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Caches/slicerCache7.xml" ContentType="application/vnd.ms-excel.slicerCache+xml"/>
  <Override PartName="/xl/slicerCaches/slicerCache8.xml" ContentType="application/vnd.ms-excel.slicerCache+xml"/>
  <Override PartName="/xl/slicerCaches/slicerCache9.xml" ContentType="application/vnd.ms-excel.slicerCache+xml"/>
  <Override PartName="/xl/slicerCaches/slicerCache10.xml" ContentType="application/vnd.ms-excel.slicerCache+xml"/>
  <Override PartName="/xl/slicerCaches/slicerCache11.xml" ContentType="application/vnd.ms-excel.slicerCache+xml"/>
  <Override PartName="/xl/slicerCaches/slicerCache12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slicers/slicer1.xml" ContentType="application/vnd.ms-excel.slicer+xml"/>
  <Override PartName="/xl/drawings/drawing2.xml" ContentType="application/vnd.openxmlformats-officedocument.drawing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slicers/slicer2.xml" ContentType="application/vnd.ms-excel.slicer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slicers/slicer3.xml" ContentType="application/vnd.ms-excel.slicer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slicers/slicer4.xml" ContentType="application/vnd.ms-excel.slicer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slicers/slicer5.xml" ContentType="application/vnd.ms-excel.slicer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xl/tables/table13.xml" ContentType="application/vnd.openxmlformats-officedocument.spreadsheetml.table+xml"/>
  <Override PartName="/xl/queryTables/queryTable13.xml" ContentType="application/vnd.openxmlformats-officedocument.spreadsheetml.queryTable+xml"/>
  <Override PartName="/xl/tables/table14.xml" ContentType="application/vnd.openxmlformats-officedocument.spreadsheetml.table+xml"/>
  <Override PartName="/xl/queryTables/queryTable14.xml" ContentType="application/vnd.openxmlformats-officedocument.spreadsheetml.queryTable+xml"/>
  <Override PartName="/xl/tables/table15.xml" ContentType="application/vnd.openxmlformats-officedocument.spreadsheetml.table+xml"/>
  <Override PartName="/xl/queryTables/queryTable15.xml" ContentType="application/vnd.openxmlformats-officedocument.spreadsheetml.queryTable+xml"/>
  <Override PartName="/xl/tables/table16.xml" ContentType="application/vnd.openxmlformats-officedocument.spreadsheetml.table+xml"/>
  <Override PartName="/xl/queryTables/queryTable16.xml" ContentType="application/vnd.openxmlformats-officedocument.spreadsheetml.queryTable+xml"/>
  <Override PartName="/xl/tables/table17.xml" ContentType="application/vnd.openxmlformats-officedocument.spreadsheetml.table+xml"/>
  <Override PartName="/xl/queryTables/queryTable17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325"/>
  <workbookPr codeName="EstaPastaDeTrabalho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bihospitalar-my.sharepoint.com/personal/wfbconsultoria_wfbconsultoria_com_br/Documents/CSL/Calculo IV/Demonstrativos/2019/"/>
    </mc:Choice>
  </mc:AlternateContent>
  <xr:revisionPtr revIDLastSave="148" documentId="8_{4D12CBE5-B312-4E06-B35C-D573F36664F6}" xr6:coauthVersionLast="45" xr6:coauthVersionMax="45" xr10:uidLastSave="{E1678D9C-B584-4669-ADAA-1DB0961968F2}"/>
  <bookViews>
    <workbookView xWindow="-120" yWindow="-120" windowWidth="29040" windowHeight="15840" tabRatio="994" activeTab="6" xr2:uid="{B144E9CE-0325-43E9-97D5-A1B9ECC5DFFB}"/>
  </bookViews>
  <sheets>
    <sheet name="Instruções" sheetId="48" r:id="rId1"/>
    <sheet name="Setorizacao REP" sheetId="6" r:id="rId2"/>
    <sheet name="Tabela Periodos" sheetId="39" r:id="rId3"/>
    <sheet name="Resumo" sheetId="41" r:id="rId4"/>
    <sheet name="Demonstrativo REP" sheetId="38" r:id="rId5"/>
    <sheet name="Demostrativo Venda Detalhada" sheetId="46" r:id="rId6"/>
    <sheet name="Demonstrativo GR" sheetId="43" r:id="rId7"/>
    <sheet name="IV Venda Tri" sheetId="34" r:id="rId8"/>
    <sheet name="IV Venda Mensal" sheetId="20" r:id="rId9"/>
    <sheet name="IV Demanda REP Mensal" sheetId="15" r:id="rId10"/>
    <sheet name="IV Demanda REP Tri" sheetId="33" r:id="rId11"/>
    <sheet name="IV Visitas REP" sheetId="36" r:id="rId12"/>
    <sheet name="Representantes" sheetId="7" r:id="rId13"/>
    <sheet name="IV Demanda GR Tri" sheetId="32" r:id="rId14"/>
    <sheet name="IV Demanda GR Mensal" sheetId="30" r:id="rId15"/>
    <sheet name="IV Visitas - GR" sheetId="35" r:id="rId16"/>
    <sheet name="Demanda Setorizada GR" sheetId="2" r:id="rId17"/>
    <sheet name="Setorizacao GR" sheetId="29" r:id="rId18"/>
    <sheet name="Demanda Setorizada REP" sheetId="12" r:id="rId19"/>
    <sheet name="Venda Detalhada" sheetId="44" r:id="rId20"/>
    <sheet name="Tabela Valores REP" sheetId="18" r:id="rId21"/>
    <sheet name="Tabela Valores GR" sheetId="19" r:id="rId22"/>
  </sheets>
  <definedNames>
    <definedName name="_xlnm._FilterDatabase" localSheetId="21" hidden="1">'Tabela Valores GR'!$A$3:$F$706</definedName>
    <definedName name="_xlnm._FilterDatabase" localSheetId="20" hidden="1">'Tabela Valores REP'!$A$2:$G$706</definedName>
    <definedName name="aq">'Demonstrativo REP'!$S$2:$X$27</definedName>
    <definedName name="Cob_100_GR">'Tabela Valores GR'!$F$4</definedName>
    <definedName name="Cob_100_REP">'Tabela Valores REP'!$F$4</definedName>
    <definedName name="Cob_Max_GR">'Tabela Valores GR'!$G$4</definedName>
    <definedName name="Cob_Max_REP">'Tabela Valores REP'!$G$4</definedName>
    <definedName name="Cob_Min_GR">'Tabela Valores GR'!$E$4</definedName>
    <definedName name="Cob_Min_REP">'Tabela Valores REP'!$E$4</definedName>
    <definedName name="DadosExternos_1" localSheetId="16" hidden="1">'Demanda Setorizada GR'!$A$5:$L$1525</definedName>
    <definedName name="DadosExternos_1" localSheetId="18" hidden="1">'Demanda Setorizada REP'!$A$5:$S$2171</definedName>
    <definedName name="DadosExternos_1" localSheetId="2" hidden="1">'Tabela Periodos'!$A$5:$N$17</definedName>
    <definedName name="DadosExternos_1" localSheetId="19" hidden="1">'Venda Detalhada'!$A$5:$G$433</definedName>
    <definedName name="DadosExternos_2" localSheetId="14" hidden="1">'IV Demanda GR Mensal'!$A$5:$P$23</definedName>
    <definedName name="DadosExternos_2" localSheetId="10" hidden="1">'IV Demanda REP Tri'!$A$5:$W$45</definedName>
    <definedName name="DadosExternos_3" localSheetId="13" hidden="1">'IV Demanda GR Tri'!$A$5:$O$11</definedName>
    <definedName name="DadosExternos_3" localSheetId="15" hidden="1">'IV Visitas - GR'!$A$5:$G$16</definedName>
    <definedName name="DadosExternos_3" localSheetId="1" hidden="1">'Setorizacao REP'!$A$5:$O$1000</definedName>
    <definedName name="DadosExternos_4" localSheetId="11" hidden="1">'IV Visitas REP'!$A$5:$Q$61</definedName>
    <definedName name="DadosExternos_4" localSheetId="12" hidden="1">Representantes!$A$5:$N$34</definedName>
    <definedName name="DadosExternos_4" localSheetId="17" hidden="1">'Setorizacao GR'!$A$5:$F$529</definedName>
    <definedName name="DadosExternos_5" localSheetId="8" hidden="1">'IV Venda Mensal'!$A$5:$S$9</definedName>
    <definedName name="DadosExternos_5" localSheetId="7" hidden="1">'IV Venda Tri'!$A$5:$J$7</definedName>
    <definedName name="DadosExternos_5" localSheetId="3" hidden="1">Resumo!$A$19:$B$38</definedName>
    <definedName name="DadosExternos_6" localSheetId="9" hidden="1">'IV Demanda REP Mensal'!$A$5:$AH$125</definedName>
    <definedName name="DadosExternos_6" localSheetId="3" hidden="1">Resumo!$A$12:$B$15</definedName>
    <definedName name="Demonstrativo_Calcular_Recuperavel_Tri">Resumo!$B$7</definedName>
    <definedName name="Demonstrativo_Mes">Resumo!$B$5</definedName>
    <definedName name="Demonstrativo_Tri">Resumo!$B$6</definedName>
    <definedName name="Demostrativo_Ano">Resumo!$B$4</definedName>
    <definedName name="Filtro_Demostrativo_GR_ANO" localSheetId="6">'Demonstrativo GR'!$D$3</definedName>
    <definedName name="Filtro_Demostrativo_GR_GR" localSheetId="6">'Demonstrativo GR'!$D$6</definedName>
    <definedName name="Filtro_Demostrativo_GR_MES" localSheetId="6">'Demonstrativo GR'!$D$4</definedName>
    <definedName name="Filtro_Demostrativo_GR_TRI" localSheetId="6">'Demonstrativo GR'!$D$5</definedName>
    <definedName name="Filtro_Demostrativo_Rep_ANO">'Demonstrativo REP'!$D$3</definedName>
    <definedName name="Filtro_Demostrativo_Rep_MES">'Demonstrativo REP'!$D$4</definedName>
    <definedName name="Filtro_Demostrativo_Rep_REP">'Demonstrativo REP'!$D$6</definedName>
    <definedName name="Filtro_Demostrativo_Rep_TRI">'Demonstrativo REP'!$D$5</definedName>
    <definedName name="Filtro_IV_Ano">'Tabela Periodos'!$C$4</definedName>
    <definedName name="Filtro_IV_Mes">'Tabela Periodos'!$D$4</definedName>
    <definedName name="Filtro_IV_Tri">'Tabela Periodos'!$E$4</definedName>
    <definedName name="Filtro_IV_Tri_Recuperavel">'Tabela Periodos'!$I$4</definedName>
    <definedName name="LOCAL_MYSQL_DATE_FORMAT" localSheetId="6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7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Peso_Demanda_GR_BERINERT">'IV Demanda GR Mensal'!$V$1</definedName>
    <definedName name="Peso_Demanda_GR_BERIPLEX">'IV Demanda GR Mensal'!$W$1</definedName>
    <definedName name="Peso_Demanda_GR_HAEMO">'IV Demanda GR Mensal'!$X$1</definedName>
    <definedName name="Peso_Demanda_GR_HIZENTRA">'IV Demanda GR Mensal'!$Y$1</definedName>
    <definedName name="Peso_Demanda_GR_PRIVIGEN">'IV Demanda GR Mensal'!$Z$1</definedName>
    <definedName name="Peso_Venda_ALBUREX">'IV Venda Tri'!$O$1</definedName>
    <definedName name="Peso_Venda_OUTROS">'IV Venda Tri'!$Q$1</definedName>
    <definedName name="Peso_Venda_RHOPYLAC">'IV Venda Tri'!$P$1</definedName>
    <definedName name="Peso_Venda_Total_GR">'IV Venda Tri'!$R$1</definedName>
    <definedName name="Peso_Visitas_GR">'IV Visitas - GR'!$I$1</definedName>
    <definedName name="Peso_Visitas_REP">'IV Visitas REP'!$R$1</definedName>
    <definedName name="SegmentaçãodeDados__FK_Email_Gerente">#N/A</definedName>
    <definedName name="SegmentaçãodeDados_Ano_Fiscal">#N/A</definedName>
    <definedName name="SegmentaçãodeDados_Ano_Fiscal1">#N/A</definedName>
    <definedName name="SegmentaçãodeDados_Email_Representante">#N/A</definedName>
    <definedName name="SegmentaçãodeDados_Mes_Fiscal">#N/A</definedName>
    <definedName name="SegmentaçãodeDados_Mes_Fiscal1">#N/A</definedName>
    <definedName name="SegmentaçãodeDados_Mes_Fiscal2">#N/A</definedName>
    <definedName name="SegmentaçãodeDados_Mes_Fiscal3">#N/A</definedName>
    <definedName name="SegmentaçãodeDados_Tri_Fiscal">#N/A</definedName>
    <definedName name="SegmentaçãodeDados_Tri_Fiscal1">#N/A</definedName>
    <definedName name="SegmentaçãodeDados_Tri_Fiscal2">#N/A</definedName>
    <definedName name="SegmentaçãodeDados_Tri_Fiscal3">#N/A</definedName>
    <definedName name="Tabela_Valores_GR">'Tabela Valores GR'!$A$4:$C$709</definedName>
    <definedName name="Tabela_Valores_REP">'Tabela Valores REP'!$A$4:$C$709</definedName>
    <definedName name="Vlr_100_GR">'Tabela Valores GR'!$F$5</definedName>
    <definedName name="Vlr_100_REP">'Tabela Valores REP'!$F$5</definedName>
    <definedName name="Vlr_Max_GR">'Tabela Valores GR'!$G$5</definedName>
    <definedName name="Vlr_Max_REP">'Tabela Valores REP'!$G$5</definedName>
    <definedName name="Vlr_Min_GR">'Tabela Valores GR'!$E$5</definedName>
    <definedName name="Vlr_Min_REP">'Tabela Valores REP'!$E$5</definedName>
  </definedNames>
  <calcPr calcId="191029"/>
  <pivotCaches>
    <pivotCache cacheId="6" r:id="rId23"/>
    <pivotCache cacheId="7" r:id="rId24"/>
    <pivotCache cacheId="8" r:id="rId25"/>
  </pivotCaches>
  <extLst>
    <ext xmlns:x14="http://schemas.microsoft.com/office/spreadsheetml/2009/9/main" uri="{BBE1A952-AA13-448e-AADC-164F8A28A991}">
      <x14:slicerCaches>
        <x14:slicerCache r:id="rId26"/>
        <x14:slicerCache r:id="rId27"/>
        <x14:slicerCache r:id="rId28"/>
        <x14:slicerCache r:id="rId29"/>
        <x14:slicerCache r:id="rId30"/>
        <x14:slicerCache r:id="rId31"/>
        <x14:slicerCache r:id="rId32"/>
        <x14:slicerCache r:id="rId33"/>
        <x14:slicerCache r:id="rId34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46BE6895-7355-4a93-B00E-2C351335B9C9}">
      <x15:slicerCaches xmlns:x14="http://schemas.microsoft.com/office/spreadsheetml/2009/9/main">
        <x14:slicerCache r:id="rId35"/>
        <x14:slicerCache r:id="rId36"/>
        <x14:slicerCache r:id="rId37"/>
      </x15:slicerCaches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VIEW_IV_2019_DEMANDA_SETORIZADA_GR_10dfd78c-e9b9-408a-ad78-00a80b01e2c9" name="VIEW_IV_2019_DEMANDA_SETORIZADA_GR" connection="Consulta - VIEW_IV_2019_DEMANDA_SETORIZADA_GR"/>
          <x15:modelTable id="VIEW_IV_2019_ESTABELECIMENTOS_SETORIZACAO_REP_c457b69f-de93-4d80-884e-1b78ab880d04" name="VIEW_IV_2019_ESTABELECIMENTOS_SETORIZACAO_REP" connection="Consulta - VIEW_IV_2019_ESTABELECIMENTOS_SETORIZACAO_REP"/>
          <x15:modelTable id="VIEW_IV_2019_DEMANDA_CONFIG_PESOS_d999b15b-d821-4c3f-a1db-5fc21d63c352" name="VIEW_IV_2019_DEMANDA_CONFIG_PESOS" connection="Consulta - VIEW_IV_2019_DEMANDA_CONFIG_PESOS"/>
          <x15:modelTable id="VIEW_IV_2019_ESTABELECIMENTOS_SETORIZACAO_GR_9b65a133-e1bb-4663-a316-0ddab93bc9ac" name="VIEW_IV_2019_ESTABELECIMENTOS_SETORIZACAO_GR" connection="Consulta - VIEW_IV_2019_ESTABELECIMENTOS_SETORIZACAO_GR"/>
          <x15:modelTable id="VIEW_IV_2019_GR_DEMANDA_06a351a5-4daa-4f16-9a6a-bbfd54472ac7" name="VIEW_IV_2019_GR_DEMANDA" connection="Consulta - VIEW_IV_2019_GR_DEMANDA"/>
          <x15:modelTable id="VIEW_IV_2019_VISITAS_GR_fc797555-ec78-46d8-b2a7-65c7c8c33675" name="VIEW_IV_2019_VISITAS_GR" connection="Consulta - VIEW_IV_2019_VISITAS_GR"/>
          <x15:modelTable id="VIEW_IV_2019_VISITAS_REP_303e4d5c-205b-4b77-bc1d-ebc7a29a801e" name="VIEW_IV_2019_VISITAS_REP" connection="Consulta - VIEW_IV_2019_VISITAS_REP"/>
          <x15:modelTable id="VIEW_IV_2019_REPRESENTANTES_635adaee-4ece-4be3-a035-50c35df60db6" name="VIEW_IV_2019_REPRESENTANTES" connection="Consulta - VIEW_IV_2019_REPRESENTANTES"/>
          <x15:modelTable id="VIEW_IV_2019_GERENTES_dbf3de19-07c8-4f07-b4a0-c049dbdbc79e" name="VIEW_IV_2019_GERENTES" connection="Consulta - VIEW_IV_2019_GERENTES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K6" i="34" l="1"/>
  <c r="K7" i="34"/>
  <c r="L6" i="34"/>
  <c r="L7" i="34"/>
  <c r="M6" i="34"/>
  <c r="M7" i="34"/>
  <c r="N6" i="34"/>
  <c r="N7" i="34"/>
  <c r="O6" i="34"/>
  <c r="O7" i="34"/>
  <c r="P6" i="34"/>
  <c r="P7" i="34"/>
  <c r="Q6" i="34"/>
  <c r="Q7" i="34"/>
  <c r="Y7" i="34" s="1"/>
  <c r="R6" i="34"/>
  <c r="R7" i="34"/>
  <c r="S6" i="34"/>
  <c r="S7" i="34"/>
  <c r="T6" i="34"/>
  <c r="T7" i="34"/>
  <c r="U6" i="34"/>
  <c r="U7" i="34"/>
  <c r="V6" i="34"/>
  <c r="V7" i="34"/>
  <c r="W6" i="34"/>
  <c r="W7" i="34"/>
  <c r="X6" i="34"/>
  <c r="Y6" i="34"/>
  <c r="T6" i="20"/>
  <c r="T7" i="20"/>
  <c r="T8" i="20"/>
  <c r="T9" i="20"/>
  <c r="U6" i="20"/>
  <c r="U7" i="20"/>
  <c r="U8" i="20"/>
  <c r="U9" i="20"/>
  <c r="V6" i="20"/>
  <c r="W6" i="20" s="1"/>
  <c r="V7" i="20"/>
  <c r="V8" i="20"/>
  <c r="W8" i="20" s="1"/>
  <c r="V9" i="20"/>
  <c r="W7" i="20"/>
  <c r="W9" i="20"/>
  <c r="X6" i="20"/>
  <c r="X7" i="20"/>
  <c r="X8" i="20"/>
  <c r="X9" i="20"/>
  <c r="X6" i="33"/>
  <c r="X7" i="33"/>
  <c r="X8" i="33"/>
  <c r="X9" i="33"/>
  <c r="X10" i="33"/>
  <c r="X11" i="33"/>
  <c r="X12" i="33"/>
  <c r="X13" i="33"/>
  <c r="X14" i="33"/>
  <c r="X15" i="33"/>
  <c r="X16" i="33"/>
  <c r="X17" i="33"/>
  <c r="X18" i="33"/>
  <c r="X19" i="33"/>
  <c r="X20" i="33"/>
  <c r="X21" i="33"/>
  <c r="X22" i="33"/>
  <c r="X23" i="33"/>
  <c r="X24" i="33"/>
  <c r="X25" i="33"/>
  <c r="X26" i="33"/>
  <c r="X27" i="33"/>
  <c r="X28" i="33"/>
  <c r="X29" i="33"/>
  <c r="X30" i="33"/>
  <c r="X31" i="33"/>
  <c r="X32" i="33"/>
  <c r="X33" i="33"/>
  <c r="X34" i="33"/>
  <c r="X35" i="33"/>
  <c r="X36" i="33"/>
  <c r="X37" i="33"/>
  <c r="X38" i="33"/>
  <c r="X39" i="33"/>
  <c r="X40" i="33"/>
  <c r="X41" i="33"/>
  <c r="X42" i="33"/>
  <c r="X43" i="33"/>
  <c r="X44" i="33"/>
  <c r="X45" i="33"/>
  <c r="Y6" i="33"/>
  <c r="Y7" i="33"/>
  <c r="Y8" i="33"/>
  <c r="Y9" i="33"/>
  <c r="Y10" i="33"/>
  <c r="Y11" i="33"/>
  <c r="Y12" i="33"/>
  <c r="Y13" i="33"/>
  <c r="Y14" i="33"/>
  <c r="Y15" i="33"/>
  <c r="Y16" i="33"/>
  <c r="Y17" i="33"/>
  <c r="Y18" i="33"/>
  <c r="Y19" i="33"/>
  <c r="Y20" i="33"/>
  <c r="Y21" i="33"/>
  <c r="Y22" i="33"/>
  <c r="Y23" i="33"/>
  <c r="Y24" i="33"/>
  <c r="Y25" i="33"/>
  <c r="Y26" i="33"/>
  <c r="Y27" i="33"/>
  <c r="Y28" i="33"/>
  <c r="Y29" i="33"/>
  <c r="Y30" i="33"/>
  <c r="Y31" i="33"/>
  <c r="Y32" i="33"/>
  <c r="Y33" i="33"/>
  <c r="Y34" i="33"/>
  <c r="Y35" i="33"/>
  <c r="Y36" i="33"/>
  <c r="Y37" i="33"/>
  <c r="Y38" i="33"/>
  <c r="Y39" i="33"/>
  <c r="Y40" i="33"/>
  <c r="Y41" i="33"/>
  <c r="Y42" i="33"/>
  <c r="Y43" i="33"/>
  <c r="Y44" i="33"/>
  <c r="Y45" i="33"/>
  <c r="Z6" i="33"/>
  <c r="Z7" i="33"/>
  <c r="Z8" i="33"/>
  <c r="Z9" i="33"/>
  <c r="Z10" i="33"/>
  <c r="Z11" i="33"/>
  <c r="Z12" i="33"/>
  <c r="Z13" i="33"/>
  <c r="Z14" i="33"/>
  <c r="Z15" i="33"/>
  <c r="Z16" i="33"/>
  <c r="Z17" i="33"/>
  <c r="Z18" i="33"/>
  <c r="Z19" i="33"/>
  <c r="Z20" i="33"/>
  <c r="Z21" i="33"/>
  <c r="Z22" i="33"/>
  <c r="Z23" i="33"/>
  <c r="Z24" i="33"/>
  <c r="Z25" i="33"/>
  <c r="Z26" i="33"/>
  <c r="Z27" i="33"/>
  <c r="Z28" i="33"/>
  <c r="Z29" i="33"/>
  <c r="Z30" i="33"/>
  <c r="Z31" i="33"/>
  <c r="Z32" i="33"/>
  <c r="Z33" i="33"/>
  <c r="Z34" i="33"/>
  <c r="Z35" i="33"/>
  <c r="Z36" i="33"/>
  <c r="Z37" i="33"/>
  <c r="Z38" i="33"/>
  <c r="Z39" i="33"/>
  <c r="Z40" i="33"/>
  <c r="Z41" i="33"/>
  <c r="Z42" i="33"/>
  <c r="Z43" i="33"/>
  <c r="Z44" i="33"/>
  <c r="Z45" i="33"/>
  <c r="AA6" i="33"/>
  <c r="AA7" i="33"/>
  <c r="AA8" i="33"/>
  <c r="AA9" i="33"/>
  <c r="AA10" i="33"/>
  <c r="AA11" i="33"/>
  <c r="AA12" i="33"/>
  <c r="AA13" i="33"/>
  <c r="AA14" i="33"/>
  <c r="AA15" i="33"/>
  <c r="AA16" i="33"/>
  <c r="AA17" i="33"/>
  <c r="AA18" i="33"/>
  <c r="AA19" i="33"/>
  <c r="AA20" i="33"/>
  <c r="AA21" i="33"/>
  <c r="AA22" i="33"/>
  <c r="AA23" i="33"/>
  <c r="AA24" i="33"/>
  <c r="AA25" i="33"/>
  <c r="AA26" i="33"/>
  <c r="AA27" i="33"/>
  <c r="AA28" i="33"/>
  <c r="AA29" i="33"/>
  <c r="AA30" i="33"/>
  <c r="AA31" i="33"/>
  <c r="AA32" i="33"/>
  <c r="AA33" i="33"/>
  <c r="AA34" i="33"/>
  <c r="AA35" i="33"/>
  <c r="AA36" i="33"/>
  <c r="AA37" i="33"/>
  <c r="AA38" i="33"/>
  <c r="AA39" i="33"/>
  <c r="AA40" i="33"/>
  <c r="AA41" i="33"/>
  <c r="AA42" i="33"/>
  <c r="AA43" i="33"/>
  <c r="AA44" i="33"/>
  <c r="AA45" i="33"/>
  <c r="AB6" i="33"/>
  <c r="AB7" i="33"/>
  <c r="AB8" i="33"/>
  <c r="AB9" i="33"/>
  <c r="AB10" i="33"/>
  <c r="AB11" i="33"/>
  <c r="AB12" i="33"/>
  <c r="AB13" i="33"/>
  <c r="AB14" i="33"/>
  <c r="AB15" i="33"/>
  <c r="AB16" i="33"/>
  <c r="AB17" i="33"/>
  <c r="AB18" i="33"/>
  <c r="AB19" i="33"/>
  <c r="AB20" i="33"/>
  <c r="AB21" i="33"/>
  <c r="AB22" i="33"/>
  <c r="AB23" i="33"/>
  <c r="AB24" i="33"/>
  <c r="AB25" i="33"/>
  <c r="AB26" i="33"/>
  <c r="AB27" i="33"/>
  <c r="AB28" i="33"/>
  <c r="AB29" i="33"/>
  <c r="AB30" i="33"/>
  <c r="AB31" i="33"/>
  <c r="AB32" i="33"/>
  <c r="AB33" i="33"/>
  <c r="AB34" i="33"/>
  <c r="AB35" i="33"/>
  <c r="AB36" i="33"/>
  <c r="AB37" i="33"/>
  <c r="AB38" i="33"/>
  <c r="AB39" i="33"/>
  <c r="AB40" i="33"/>
  <c r="AB41" i="33"/>
  <c r="AB42" i="33"/>
  <c r="AB43" i="33"/>
  <c r="AB44" i="33"/>
  <c r="AB45" i="33"/>
  <c r="AC6" i="33"/>
  <c r="AC7" i="33"/>
  <c r="AC8" i="33"/>
  <c r="AC9" i="33"/>
  <c r="AC10" i="33"/>
  <c r="AC11" i="33"/>
  <c r="AC12" i="33"/>
  <c r="AC13" i="33"/>
  <c r="AC14" i="33"/>
  <c r="AC15" i="33"/>
  <c r="AC16" i="33"/>
  <c r="AC17" i="33"/>
  <c r="AC18" i="33"/>
  <c r="AC19" i="33"/>
  <c r="AC20" i="33"/>
  <c r="AC21" i="33"/>
  <c r="AC22" i="33"/>
  <c r="AC23" i="33"/>
  <c r="AC24" i="33"/>
  <c r="AC25" i="33"/>
  <c r="AC26" i="33"/>
  <c r="AC27" i="33"/>
  <c r="AC28" i="33"/>
  <c r="AC29" i="33"/>
  <c r="AC30" i="33"/>
  <c r="AC31" i="33"/>
  <c r="AC32" i="33"/>
  <c r="AC33" i="33"/>
  <c r="AC34" i="33"/>
  <c r="AC35" i="33"/>
  <c r="AC36" i="33"/>
  <c r="AC37" i="33"/>
  <c r="AC38" i="33"/>
  <c r="AC39" i="33"/>
  <c r="AC40" i="33"/>
  <c r="AC41" i="33"/>
  <c r="AC42" i="33"/>
  <c r="AC43" i="33"/>
  <c r="AC44" i="33"/>
  <c r="AC45" i="33"/>
  <c r="AD6" i="33"/>
  <c r="AD7" i="33"/>
  <c r="AD8" i="33"/>
  <c r="AD9" i="33"/>
  <c r="AD10" i="33"/>
  <c r="AD11" i="33"/>
  <c r="AD12" i="33"/>
  <c r="AD13" i="33"/>
  <c r="AD14" i="33"/>
  <c r="AD15" i="33"/>
  <c r="AD16" i="33"/>
  <c r="AD17" i="33"/>
  <c r="AD18" i="33"/>
  <c r="AD19" i="33"/>
  <c r="AD20" i="33"/>
  <c r="AD21" i="33"/>
  <c r="AD22" i="33"/>
  <c r="AD23" i="33"/>
  <c r="AD24" i="33"/>
  <c r="AD25" i="33"/>
  <c r="AD26" i="33"/>
  <c r="AD27" i="33"/>
  <c r="AD28" i="33"/>
  <c r="AD29" i="33"/>
  <c r="AD30" i="33"/>
  <c r="AD31" i="33"/>
  <c r="AD32" i="33"/>
  <c r="AD33" i="33"/>
  <c r="AD34" i="33"/>
  <c r="AD35" i="33"/>
  <c r="AD36" i="33"/>
  <c r="AD37" i="33"/>
  <c r="AD38" i="33"/>
  <c r="AD39" i="33"/>
  <c r="AD40" i="33"/>
  <c r="AD41" i="33"/>
  <c r="AD42" i="33"/>
  <c r="AD43" i="33"/>
  <c r="AD44" i="33"/>
  <c r="AD45" i="33"/>
  <c r="AE6" i="33"/>
  <c r="AE7" i="33"/>
  <c r="AE8" i="33"/>
  <c r="AE9" i="33"/>
  <c r="AE10" i="33"/>
  <c r="AE11" i="33"/>
  <c r="AE12" i="33"/>
  <c r="AE13" i="33"/>
  <c r="AE14" i="33"/>
  <c r="AE15" i="33"/>
  <c r="AE16" i="33"/>
  <c r="AE17" i="33"/>
  <c r="AE18" i="33"/>
  <c r="AE19" i="33"/>
  <c r="AE20" i="33"/>
  <c r="AE21" i="33"/>
  <c r="AE22" i="33"/>
  <c r="AE23" i="33"/>
  <c r="AE24" i="33"/>
  <c r="AE25" i="33"/>
  <c r="AE26" i="33"/>
  <c r="AE27" i="33"/>
  <c r="AE28" i="33"/>
  <c r="AE29" i="33"/>
  <c r="AE30" i="33"/>
  <c r="AE31" i="33"/>
  <c r="AE32" i="33"/>
  <c r="AE33" i="33"/>
  <c r="AE34" i="33"/>
  <c r="AE35" i="33"/>
  <c r="AE36" i="33"/>
  <c r="AE37" i="33"/>
  <c r="AE38" i="33"/>
  <c r="AE39" i="33"/>
  <c r="AE40" i="33"/>
  <c r="AE41" i="33"/>
  <c r="AE42" i="33"/>
  <c r="AE43" i="33"/>
  <c r="AE44" i="33"/>
  <c r="AE45" i="33"/>
  <c r="AF6" i="33"/>
  <c r="AF7" i="33"/>
  <c r="AF8" i="33"/>
  <c r="AF9" i="33"/>
  <c r="AF10" i="33"/>
  <c r="AF11" i="33"/>
  <c r="AF12" i="33"/>
  <c r="AF13" i="33"/>
  <c r="AF14" i="33"/>
  <c r="AF15" i="33"/>
  <c r="AF16" i="33"/>
  <c r="AF17" i="33"/>
  <c r="AF18" i="33"/>
  <c r="AF19" i="33"/>
  <c r="AF20" i="33"/>
  <c r="AF21" i="33"/>
  <c r="AF22" i="33"/>
  <c r="AF23" i="33"/>
  <c r="AF24" i="33"/>
  <c r="AF25" i="33"/>
  <c r="AF26" i="33"/>
  <c r="AF27" i="33"/>
  <c r="AF28" i="33"/>
  <c r="AF29" i="33"/>
  <c r="AF30" i="33"/>
  <c r="AF31" i="33"/>
  <c r="AF32" i="33"/>
  <c r="AF33" i="33"/>
  <c r="AF34" i="33"/>
  <c r="AF35" i="33"/>
  <c r="AF36" i="33"/>
  <c r="AF37" i="33"/>
  <c r="AF38" i="33"/>
  <c r="AF39" i="33"/>
  <c r="AF40" i="33"/>
  <c r="AF41" i="33"/>
  <c r="AF42" i="33"/>
  <c r="AF43" i="33"/>
  <c r="AF44" i="33"/>
  <c r="AF45" i="33"/>
  <c r="AG6" i="33"/>
  <c r="AG7" i="33"/>
  <c r="AG8" i="33"/>
  <c r="AG9" i="33"/>
  <c r="AG10" i="33"/>
  <c r="AG11" i="33"/>
  <c r="AG12" i="33"/>
  <c r="AG13" i="33"/>
  <c r="AG14" i="33"/>
  <c r="AG15" i="33"/>
  <c r="AG16" i="33"/>
  <c r="AG17" i="33"/>
  <c r="AG18" i="33"/>
  <c r="AG19" i="33"/>
  <c r="AG20" i="33"/>
  <c r="AG21" i="33"/>
  <c r="AG22" i="33"/>
  <c r="AG23" i="33"/>
  <c r="AG24" i="33"/>
  <c r="AG25" i="33"/>
  <c r="AG26" i="33"/>
  <c r="AG27" i="33"/>
  <c r="AG28" i="33"/>
  <c r="AG29" i="33"/>
  <c r="AG30" i="33"/>
  <c r="AG31" i="33"/>
  <c r="AG32" i="33"/>
  <c r="AG33" i="33"/>
  <c r="AG34" i="33"/>
  <c r="AG35" i="33"/>
  <c r="AG36" i="33"/>
  <c r="AG37" i="33"/>
  <c r="AG38" i="33"/>
  <c r="AG39" i="33"/>
  <c r="AG40" i="33"/>
  <c r="AG41" i="33"/>
  <c r="AG42" i="33"/>
  <c r="AG43" i="33"/>
  <c r="AG44" i="33"/>
  <c r="AG45" i="33"/>
  <c r="AH37" i="33"/>
  <c r="AM37" i="33" s="1"/>
  <c r="AI29" i="33"/>
  <c r="AN29" i="33" s="1"/>
  <c r="AJ21" i="33"/>
  <c r="AO21" i="33" s="1"/>
  <c r="AP10" i="33"/>
  <c r="AP30" i="33"/>
  <c r="AP38" i="33"/>
  <c r="AQ6" i="33"/>
  <c r="AQ14" i="33"/>
  <c r="AQ22" i="33"/>
  <c r="AQ30" i="33"/>
  <c r="AQ38" i="33"/>
  <c r="AI6" i="15"/>
  <c r="AH6" i="33" s="1"/>
  <c r="AM6" i="33" s="1"/>
  <c r="AI7" i="15"/>
  <c r="AI8" i="15"/>
  <c r="AI9" i="15"/>
  <c r="AI10" i="15"/>
  <c r="AH10" i="33" s="1"/>
  <c r="AM10" i="33" s="1"/>
  <c r="AI11" i="15"/>
  <c r="AI12" i="15"/>
  <c r="AI13" i="15"/>
  <c r="AH13" i="33" s="1"/>
  <c r="AM13" i="33" s="1"/>
  <c r="AI14" i="15"/>
  <c r="AH14" i="33" s="1"/>
  <c r="AM14" i="33" s="1"/>
  <c r="AI15" i="15"/>
  <c r="AI16" i="15"/>
  <c r="AI17" i="15"/>
  <c r="AI18" i="15"/>
  <c r="AH18" i="33" s="1"/>
  <c r="AM18" i="33" s="1"/>
  <c r="AI19" i="15"/>
  <c r="AI20" i="15"/>
  <c r="AI21" i="15"/>
  <c r="AH21" i="33" s="1"/>
  <c r="AM21" i="33" s="1"/>
  <c r="AI22" i="15"/>
  <c r="AH22" i="33" s="1"/>
  <c r="AM22" i="33" s="1"/>
  <c r="AI23" i="15"/>
  <c r="AI24" i="15"/>
  <c r="AI25" i="15"/>
  <c r="AI26" i="15"/>
  <c r="AI27" i="15"/>
  <c r="AI28" i="15"/>
  <c r="AI29" i="15"/>
  <c r="AI30" i="15"/>
  <c r="AI31" i="15"/>
  <c r="AI32" i="15"/>
  <c r="AI33" i="15"/>
  <c r="AI34" i="15"/>
  <c r="AI35" i="15"/>
  <c r="AI36" i="15"/>
  <c r="AI37" i="15"/>
  <c r="AI38" i="15"/>
  <c r="AI39" i="15"/>
  <c r="AI40" i="15"/>
  <c r="AI41" i="15"/>
  <c r="AI42" i="15"/>
  <c r="AI43" i="15"/>
  <c r="AI44" i="15"/>
  <c r="AI45" i="15"/>
  <c r="AI46" i="15"/>
  <c r="AI47" i="15"/>
  <c r="AI48" i="15"/>
  <c r="AI49" i="15"/>
  <c r="AI50" i="15"/>
  <c r="AI51" i="15"/>
  <c r="AI52" i="15"/>
  <c r="AI53" i="15"/>
  <c r="AI54" i="15"/>
  <c r="AI55" i="15"/>
  <c r="AI56" i="15"/>
  <c r="AI57" i="15"/>
  <c r="AI58" i="15"/>
  <c r="AI59" i="15"/>
  <c r="AI60" i="15"/>
  <c r="AI61" i="15"/>
  <c r="AI62" i="15"/>
  <c r="AI63" i="15"/>
  <c r="AI64" i="15"/>
  <c r="AI65" i="15"/>
  <c r="AI66" i="15"/>
  <c r="AH26" i="33" s="1"/>
  <c r="AM26" i="33" s="1"/>
  <c r="AI67" i="15"/>
  <c r="AI68" i="15"/>
  <c r="AI69" i="15"/>
  <c r="AH29" i="33" s="1"/>
  <c r="AM29" i="33" s="1"/>
  <c r="AI70" i="15"/>
  <c r="AH30" i="33" s="1"/>
  <c r="AM30" i="33" s="1"/>
  <c r="AI71" i="15"/>
  <c r="AI72" i="15"/>
  <c r="AI73" i="15"/>
  <c r="AI74" i="15"/>
  <c r="AH34" i="33" s="1"/>
  <c r="AM34" i="33" s="1"/>
  <c r="AI75" i="15"/>
  <c r="AH35" i="33" s="1"/>
  <c r="AM35" i="33" s="1"/>
  <c r="AI76" i="15"/>
  <c r="AI77" i="15"/>
  <c r="AI78" i="15"/>
  <c r="AH38" i="33" s="1"/>
  <c r="AM38" i="33" s="1"/>
  <c r="AR38" i="33" s="1"/>
  <c r="AI79" i="15"/>
  <c r="AI80" i="15"/>
  <c r="AI81" i="15"/>
  <c r="AI82" i="15"/>
  <c r="AH42" i="33" s="1"/>
  <c r="AM42" i="33" s="1"/>
  <c r="AI83" i="15"/>
  <c r="AI84" i="15"/>
  <c r="AI85" i="15"/>
  <c r="AH45" i="33" s="1"/>
  <c r="AM45" i="33" s="1"/>
  <c r="AI86" i="15"/>
  <c r="AI87" i="15"/>
  <c r="AI88" i="15"/>
  <c r="AI89" i="15"/>
  <c r="AI90" i="15"/>
  <c r="AI91" i="15"/>
  <c r="AI92" i="15"/>
  <c r="AI93" i="15"/>
  <c r="AI94" i="15"/>
  <c r="AI95" i="15"/>
  <c r="AI96" i="15"/>
  <c r="AI97" i="15"/>
  <c r="AI98" i="15"/>
  <c r="AI99" i="15"/>
  <c r="AI100" i="15"/>
  <c r="AI101" i="15"/>
  <c r="AI102" i="15"/>
  <c r="AI103" i="15"/>
  <c r="AI104" i="15"/>
  <c r="AI105" i="15"/>
  <c r="AI106" i="15"/>
  <c r="AI107" i="15"/>
  <c r="AI108" i="15"/>
  <c r="AI109" i="15"/>
  <c r="AI110" i="15"/>
  <c r="AI111" i="15"/>
  <c r="AI112" i="15"/>
  <c r="AI113" i="15"/>
  <c r="AI114" i="15"/>
  <c r="AI115" i="15"/>
  <c r="AI116" i="15"/>
  <c r="AI117" i="15"/>
  <c r="AI118" i="15"/>
  <c r="AI119" i="15"/>
  <c r="AI120" i="15"/>
  <c r="AI121" i="15"/>
  <c r="AI122" i="15"/>
  <c r="AI123" i="15"/>
  <c r="AI124" i="15"/>
  <c r="AI125" i="15"/>
  <c r="AJ6" i="15"/>
  <c r="AI6" i="33" s="1"/>
  <c r="AN6" i="33" s="1"/>
  <c r="AJ7" i="15"/>
  <c r="AJ8" i="15"/>
  <c r="AJ9" i="15"/>
  <c r="AJ10" i="15"/>
  <c r="AI10" i="33" s="1"/>
  <c r="AN10" i="33" s="1"/>
  <c r="AJ11" i="15"/>
  <c r="AJ12" i="15"/>
  <c r="AJ13" i="15"/>
  <c r="AI13" i="33" s="1"/>
  <c r="AN13" i="33" s="1"/>
  <c r="AJ14" i="15"/>
  <c r="AI14" i="33" s="1"/>
  <c r="AN14" i="33" s="1"/>
  <c r="AJ15" i="15"/>
  <c r="AJ16" i="15"/>
  <c r="AJ17" i="15"/>
  <c r="AJ18" i="15"/>
  <c r="AI18" i="33" s="1"/>
  <c r="AN18" i="33" s="1"/>
  <c r="AJ19" i="15"/>
  <c r="AJ20" i="15"/>
  <c r="AJ21" i="15"/>
  <c r="AI21" i="33" s="1"/>
  <c r="AN21" i="33" s="1"/>
  <c r="AJ22" i="15"/>
  <c r="AI22" i="33" s="1"/>
  <c r="AN22" i="33" s="1"/>
  <c r="AJ23" i="15"/>
  <c r="AJ24" i="15"/>
  <c r="AJ25" i="15"/>
  <c r="AJ26" i="15"/>
  <c r="AJ27" i="15"/>
  <c r="AJ28" i="15"/>
  <c r="AJ29" i="15"/>
  <c r="AJ30" i="15"/>
  <c r="AJ31" i="15"/>
  <c r="AJ32" i="15"/>
  <c r="AJ33" i="15"/>
  <c r="AJ34" i="15"/>
  <c r="AJ35" i="15"/>
  <c r="AJ36" i="15"/>
  <c r="AJ37" i="15"/>
  <c r="AJ38" i="15"/>
  <c r="AJ39" i="15"/>
  <c r="AJ40" i="15"/>
  <c r="AJ41" i="15"/>
  <c r="AJ42" i="15"/>
  <c r="AJ43" i="15"/>
  <c r="AJ44" i="15"/>
  <c r="AJ45" i="15"/>
  <c r="AJ46" i="15"/>
  <c r="AJ47" i="15"/>
  <c r="AJ48" i="15"/>
  <c r="AJ49" i="15"/>
  <c r="AJ50" i="15"/>
  <c r="AJ51" i="15"/>
  <c r="AJ52" i="15"/>
  <c r="AJ53" i="15"/>
  <c r="AJ54" i="15"/>
  <c r="AJ55" i="15"/>
  <c r="AJ56" i="15"/>
  <c r="AJ57" i="15"/>
  <c r="AJ58" i="15"/>
  <c r="AJ59" i="15"/>
  <c r="AJ60" i="15"/>
  <c r="AJ61" i="15"/>
  <c r="AJ62" i="15"/>
  <c r="AJ63" i="15"/>
  <c r="AJ64" i="15"/>
  <c r="AJ65" i="15"/>
  <c r="AJ66" i="15"/>
  <c r="AI26" i="33" s="1"/>
  <c r="AN26" i="33" s="1"/>
  <c r="AJ67" i="15"/>
  <c r="AJ68" i="15"/>
  <c r="AJ69" i="15"/>
  <c r="AJ70" i="15"/>
  <c r="AI30" i="33" s="1"/>
  <c r="AN30" i="33" s="1"/>
  <c r="AJ71" i="15"/>
  <c r="AJ72" i="15"/>
  <c r="AJ73" i="15"/>
  <c r="AJ74" i="15"/>
  <c r="AI34" i="33" s="1"/>
  <c r="AN34" i="33" s="1"/>
  <c r="AJ75" i="15"/>
  <c r="AJ76" i="15"/>
  <c r="AJ77" i="15"/>
  <c r="AI37" i="33" s="1"/>
  <c r="AN37" i="33" s="1"/>
  <c r="AJ78" i="15"/>
  <c r="AI38" i="33" s="1"/>
  <c r="AN38" i="33" s="1"/>
  <c r="AJ79" i="15"/>
  <c r="AI39" i="33" s="1"/>
  <c r="AN39" i="33" s="1"/>
  <c r="AJ80" i="15"/>
  <c r="AJ81" i="15"/>
  <c r="AJ82" i="15"/>
  <c r="AI42" i="33" s="1"/>
  <c r="AN42" i="33" s="1"/>
  <c r="AJ83" i="15"/>
  <c r="AJ84" i="15"/>
  <c r="AJ85" i="15"/>
  <c r="AI45" i="33" s="1"/>
  <c r="AN45" i="33" s="1"/>
  <c r="AJ86" i="15"/>
  <c r="AJ87" i="15"/>
  <c r="AJ88" i="15"/>
  <c r="AJ89" i="15"/>
  <c r="AJ90" i="15"/>
  <c r="AJ91" i="15"/>
  <c r="AJ92" i="15"/>
  <c r="AJ93" i="15"/>
  <c r="AJ94" i="15"/>
  <c r="AJ95" i="15"/>
  <c r="AJ96" i="15"/>
  <c r="AJ97" i="15"/>
  <c r="AJ98" i="15"/>
  <c r="AJ99" i="15"/>
  <c r="AJ100" i="15"/>
  <c r="AJ101" i="15"/>
  <c r="AJ102" i="15"/>
  <c r="AJ103" i="15"/>
  <c r="AJ104" i="15"/>
  <c r="AJ105" i="15"/>
  <c r="AJ106" i="15"/>
  <c r="AJ107" i="15"/>
  <c r="AJ108" i="15"/>
  <c r="AJ109" i="15"/>
  <c r="AJ110" i="15"/>
  <c r="AJ111" i="15"/>
  <c r="AJ112" i="15"/>
  <c r="AJ113" i="15"/>
  <c r="AJ114" i="15"/>
  <c r="AJ115" i="15"/>
  <c r="AJ116" i="15"/>
  <c r="AJ117" i="15"/>
  <c r="AJ118" i="15"/>
  <c r="AJ119" i="15"/>
  <c r="AJ120" i="15"/>
  <c r="AJ121" i="15"/>
  <c r="AJ122" i="15"/>
  <c r="AJ123" i="15"/>
  <c r="AJ124" i="15"/>
  <c r="AJ125" i="15"/>
  <c r="AK6" i="15"/>
  <c r="AJ6" i="33" s="1"/>
  <c r="AO6" i="33" s="1"/>
  <c r="AK7" i="15"/>
  <c r="AK8" i="15"/>
  <c r="AK9" i="15"/>
  <c r="AK10" i="15"/>
  <c r="AJ10" i="33" s="1"/>
  <c r="AO10" i="33" s="1"/>
  <c r="AK11" i="15"/>
  <c r="AK12" i="15"/>
  <c r="AK13" i="15"/>
  <c r="AJ13" i="33" s="1"/>
  <c r="AO13" i="33" s="1"/>
  <c r="AK14" i="15"/>
  <c r="AJ14" i="33" s="1"/>
  <c r="AO14" i="33" s="1"/>
  <c r="AK15" i="15"/>
  <c r="AK16" i="15"/>
  <c r="AK17" i="15"/>
  <c r="AK18" i="15"/>
  <c r="AJ18" i="33" s="1"/>
  <c r="AO18" i="33" s="1"/>
  <c r="AK19" i="15"/>
  <c r="AK20" i="15"/>
  <c r="AK21" i="15"/>
  <c r="AK22" i="15"/>
  <c r="AJ22" i="33" s="1"/>
  <c r="AO22" i="33" s="1"/>
  <c r="AK23" i="15"/>
  <c r="AK24" i="15"/>
  <c r="AK25" i="15"/>
  <c r="AK26" i="15"/>
  <c r="AK27" i="15"/>
  <c r="AK28" i="15"/>
  <c r="AK29" i="15"/>
  <c r="AK30" i="15"/>
  <c r="AK31" i="15"/>
  <c r="AK32" i="15"/>
  <c r="AK33" i="15"/>
  <c r="AK34" i="15"/>
  <c r="AK35" i="15"/>
  <c r="AK36" i="15"/>
  <c r="AK37" i="15"/>
  <c r="AK38" i="15"/>
  <c r="AK39" i="15"/>
  <c r="AK40" i="15"/>
  <c r="AK41" i="15"/>
  <c r="AK42" i="15"/>
  <c r="AK43" i="15"/>
  <c r="AK44" i="15"/>
  <c r="AK45" i="15"/>
  <c r="AK46" i="15"/>
  <c r="AK47" i="15"/>
  <c r="AK48" i="15"/>
  <c r="AK49" i="15"/>
  <c r="AK50" i="15"/>
  <c r="AK51" i="15"/>
  <c r="AK52" i="15"/>
  <c r="AK53" i="15"/>
  <c r="AK54" i="15"/>
  <c r="AK55" i="15"/>
  <c r="AK56" i="15"/>
  <c r="AK57" i="15"/>
  <c r="AK58" i="15"/>
  <c r="AK59" i="15"/>
  <c r="AK60" i="15"/>
  <c r="AK61" i="15"/>
  <c r="AK62" i="15"/>
  <c r="AK63" i="15"/>
  <c r="AK64" i="15"/>
  <c r="AK65" i="15"/>
  <c r="AK66" i="15"/>
  <c r="AJ26" i="33" s="1"/>
  <c r="AO26" i="33" s="1"/>
  <c r="AK67" i="15"/>
  <c r="AK68" i="15"/>
  <c r="AK69" i="15"/>
  <c r="AJ29" i="33" s="1"/>
  <c r="AO29" i="33" s="1"/>
  <c r="AK70" i="15"/>
  <c r="AJ30" i="33" s="1"/>
  <c r="AO30" i="33" s="1"/>
  <c r="AK71" i="15"/>
  <c r="AK72" i="15"/>
  <c r="AK73" i="15"/>
  <c r="AK74" i="15"/>
  <c r="AJ34" i="33" s="1"/>
  <c r="AO34" i="33" s="1"/>
  <c r="AK75" i="15"/>
  <c r="AK76" i="15"/>
  <c r="AK77" i="15"/>
  <c r="AJ37" i="33" s="1"/>
  <c r="AO37" i="33" s="1"/>
  <c r="AK78" i="15"/>
  <c r="AJ38" i="33" s="1"/>
  <c r="AO38" i="33" s="1"/>
  <c r="AK79" i="15"/>
  <c r="AK80" i="15"/>
  <c r="AK81" i="15"/>
  <c r="AK82" i="15"/>
  <c r="AJ42" i="33" s="1"/>
  <c r="AO42" i="33" s="1"/>
  <c r="AK83" i="15"/>
  <c r="AJ43" i="33" s="1"/>
  <c r="AO43" i="33" s="1"/>
  <c r="AK84" i="15"/>
  <c r="AK85" i="15"/>
  <c r="AJ45" i="33" s="1"/>
  <c r="AO45" i="33" s="1"/>
  <c r="AK86" i="15"/>
  <c r="AK87" i="15"/>
  <c r="AK88" i="15"/>
  <c r="AK89" i="15"/>
  <c r="AK90" i="15"/>
  <c r="AK91" i="15"/>
  <c r="AK92" i="15"/>
  <c r="AK93" i="15"/>
  <c r="AK94" i="15"/>
  <c r="AK95" i="15"/>
  <c r="AK96" i="15"/>
  <c r="AK97" i="15"/>
  <c r="AK98" i="15"/>
  <c r="AK99" i="15"/>
  <c r="AK100" i="15"/>
  <c r="AK101" i="15"/>
  <c r="AK102" i="15"/>
  <c r="AK103" i="15"/>
  <c r="AK104" i="15"/>
  <c r="AK105" i="15"/>
  <c r="AK106" i="15"/>
  <c r="AK107" i="15"/>
  <c r="AK108" i="15"/>
  <c r="AK109" i="15"/>
  <c r="AK110" i="15"/>
  <c r="AK111" i="15"/>
  <c r="AK112" i="15"/>
  <c r="AK113" i="15"/>
  <c r="AK114" i="15"/>
  <c r="AK115" i="15"/>
  <c r="AK116" i="15"/>
  <c r="AK117" i="15"/>
  <c r="AK118" i="15"/>
  <c r="AK119" i="15"/>
  <c r="AK120" i="15"/>
  <c r="AK121" i="15"/>
  <c r="AK122" i="15"/>
  <c r="AK123" i="15"/>
  <c r="AK124" i="15"/>
  <c r="AK125" i="15"/>
  <c r="AL6" i="15"/>
  <c r="AK6" i="33" s="1"/>
  <c r="AP6" i="33" s="1"/>
  <c r="AL7" i="15"/>
  <c r="AL8" i="15"/>
  <c r="AL9" i="15"/>
  <c r="AL10" i="15"/>
  <c r="AK10" i="33" s="1"/>
  <c r="AL11" i="15"/>
  <c r="AL12" i="15"/>
  <c r="AL13" i="15"/>
  <c r="AK13" i="33" s="1"/>
  <c r="AP13" i="33" s="1"/>
  <c r="AL14" i="15"/>
  <c r="AK14" i="33" s="1"/>
  <c r="AP14" i="33" s="1"/>
  <c r="AL15" i="15"/>
  <c r="AL16" i="15"/>
  <c r="AL17" i="15"/>
  <c r="AK17" i="33" s="1"/>
  <c r="AP17" i="33" s="1"/>
  <c r="AL18" i="15"/>
  <c r="AK18" i="33" s="1"/>
  <c r="AP18" i="33" s="1"/>
  <c r="AL19" i="15"/>
  <c r="AL20" i="15"/>
  <c r="AL21" i="15"/>
  <c r="AK21" i="33" s="1"/>
  <c r="AP21" i="33" s="1"/>
  <c r="AL22" i="15"/>
  <c r="AK22" i="33" s="1"/>
  <c r="AP22" i="33" s="1"/>
  <c r="AL23" i="15"/>
  <c r="AL24" i="15"/>
  <c r="AL25" i="15"/>
  <c r="AK25" i="33" s="1"/>
  <c r="AP25" i="33" s="1"/>
  <c r="AL26" i="15"/>
  <c r="AL27" i="15"/>
  <c r="AL28" i="15"/>
  <c r="AL29" i="15"/>
  <c r="AL30" i="15"/>
  <c r="AL31" i="15"/>
  <c r="AL32" i="15"/>
  <c r="AL33" i="15"/>
  <c r="AL34" i="15"/>
  <c r="AL35" i="15"/>
  <c r="AL36" i="15"/>
  <c r="AL37" i="15"/>
  <c r="AL38" i="15"/>
  <c r="AL39" i="15"/>
  <c r="AL40" i="15"/>
  <c r="AL41" i="15"/>
  <c r="AL42" i="15"/>
  <c r="AL43" i="15"/>
  <c r="AL44" i="15"/>
  <c r="AL45" i="15"/>
  <c r="AL46" i="15"/>
  <c r="AL47" i="15"/>
  <c r="AL48" i="15"/>
  <c r="AL49" i="15"/>
  <c r="AL50" i="15"/>
  <c r="AL51" i="15"/>
  <c r="AL52" i="15"/>
  <c r="AL53" i="15"/>
  <c r="AL54" i="15"/>
  <c r="AL55" i="15"/>
  <c r="AL56" i="15"/>
  <c r="AL57" i="15"/>
  <c r="AL58" i="15"/>
  <c r="AL59" i="15"/>
  <c r="AL60" i="15"/>
  <c r="AL61" i="15"/>
  <c r="AL62" i="15"/>
  <c r="AL63" i="15"/>
  <c r="AL64" i="15"/>
  <c r="AL65" i="15"/>
  <c r="AL66" i="15"/>
  <c r="AK26" i="33" s="1"/>
  <c r="AP26" i="33" s="1"/>
  <c r="AL67" i="15"/>
  <c r="AL68" i="15"/>
  <c r="AL69" i="15"/>
  <c r="AK29" i="33" s="1"/>
  <c r="AP29" i="33" s="1"/>
  <c r="AL70" i="15"/>
  <c r="AK30" i="33" s="1"/>
  <c r="AL71" i="15"/>
  <c r="AL72" i="15"/>
  <c r="AL73" i="15"/>
  <c r="AK33" i="33" s="1"/>
  <c r="AP33" i="33" s="1"/>
  <c r="AL74" i="15"/>
  <c r="AK34" i="33" s="1"/>
  <c r="AP34" i="33" s="1"/>
  <c r="AL75" i="15"/>
  <c r="AL76" i="15"/>
  <c r="AL77" i="15"/>
  <c r="AK37" i="33" s="1"/>
  <c r="AP37" i="33" s="1"/>
  <c r="AL78" i="15"/>
  <c r="AK38" i="33" s="1"/>
  <c r="AL79" i="15"/>
  <c r="AK39" i="33" s="1"/>
  <c r="AP39" i="33" s="1"/>
  <c r="AL80" i="15"/>
  <c r="AL81" i="15"/>
  <c r="AK41" i="33" s="1"/>
  <c r="AP41" i="33" s="1"/>
  <c r="AL82" i="15"/>
  <c r="AK42" i="33" s="1"/>
  <c r="AP42" i="33" s="1"/>
  <c r="AL83" i="15"/>
  <c r="AL84" i="15"/>
  <c r="AL85" i="15"/>
  <c r="AK45" i="33" s="1"/>
  <c r="AP45" i="33" s="1"/>
  <c r="AL86" i="15"/>
  <c r="AL87" i="15"/>
  <c r="AL88" i="15"/>
  <c r="AL89" i="15"/>
  <c r="AL90" i="15"/>
  <c r="AL91" i="15"/>
  <c r="AL92" i="15"/>
  <c r="AL93" i="15"/>
  <c r="AL94" i="15"/>
  <c r="AL95" i="15"/>
  <c r="AL96" i="15"/>
  <c r="AL97" i="15"/>
  <c r="AL98" i="15"/>
  <c r="AL99" i="15"/>
  <c r="AL100" i="15"/>
  <c r="AL101" i="15"/>
  <c r="AL102" i="15"/>
  <c r="AL103" i="15"/>
  <c r="AL104" i="15"/>
  <c r="AL105" i="15"/>
  <c r="AL106" i="15"/>
  <c r="AL107" i="15"/>
  <c r="AL108" i="15"/>
  <c r="AL109" i="15"/>
  <c r="AL110" i="15"/>
  <c r="AL111" i="15"/>
  <c r="AL112" i="15"/>
  <c r="AL113" i="15"/>
  <c r="AL114" i="15"/>
  <c r="AL115" i="15"/>
  <c r="AL116" i="15"/>
  <c r="AL117" i="15"/>
  <c r="AL118" i="15"/>
  <c r="AL119" i="15"/>
  <c r="AL120" i="15"/>
  <c r="AL121" i="15"/>
  <c r="AL122" i="15"/>
  <c r="AL123" i="15"/>
  <c r="AL124" i="15"/>
  <c r="AL125" i="15"/>
  <c r="AM6" i="15"/>
  <c r="AL6" i="33" s="1"/>
  <c r="AM7" i="15"/>
  <c r="AM8" i="15"/>
  <c r="AM9" i="15"/>
  <c r="AL9" i="33" s="1"/>
  <c r="AQ9" i="33" s="1"/>
  <c r="AM10" i="15"/>
  <c r="AL10" i="33" s="1"/>
  <c r="AQ10" i="33" s="1"/>
  <c r="AM11" i="15"/>
  <c r="AM12" i="15"/>
  <c r="AM13" i="15"/>
  <c r="AL13" i="33" s="1"/>
  <c r="AQ13" i="33" s="1"/>
  <c r="AM14" i="15"/>
  <c r="AL14" i="33" s="1"/>
  <c r="AM15" i="15"/>
  <c r="AM16" i="15"/>
  <c r="AM17" i="15"/>
  <c r="AL17" i="33" s="1"/>
  <c r="AQ17" i="33" s="1"/>
  <c r="AM18" i="15"/>
  <c r="AL18" i="33" s="1"/>
  <c r="AQ18" i="33" s="1"/>
  <c r="AM19" i="15"/>
  <c r="AM20" i="15"/>
  <c r="AM21" i="15"/>
  <c r="AL21" i="33" s="1"/>
  <c r="AQ21" i="33" s="1"/>
  <c r="AM22" i="15"/>
  <c r="AL22" i="33" s="1"/>
  <c r="AM23" i="15"/>
  <c r="AL23" i="33" s="1"/>
  <c r="AQ23" i="33" s="1"/>
  <c r="AM24" i="15"/>
  <c r="AM25" i="15"/>
  <c r="AL25" i="33" s="1"/>
  <c r="AQ25" i="33" s="1"/>
  <c r="AM26" i="15"/>
  <c r="AM27" i="15"/>
  <c r="AM28" i="15"/>
  <c r="AM29" i="15"/>
  <c r="AM30" i="15"/>
  <c r="AM31" i="15"/>
  <c r="AM32" i="15"/>
  <c r="AM33" i="15"/>
  <c r="AM34" i="15"/>
  <c r="AM35" i="15"/>
  <c r="AM36" i="15"/>
  <c r="AM37" i="15"/>
  <c r="AM38" i="15"/>
  <c r="AM39" i="15"/>
  <c r="AM40" i="15"/>
  <c r="AM41" i="15"/>
  <c r="AM42" i="15"/>
  <c r="AM43" i="15"/>
  <c r="AM44" i="15"/>
  <c r="AM45" i="15"/>
  <c r="AM46" i="15"/>
  <c r="AM47" i="15"/>
  <c r="AM48" i="15"/>
  <c r="AM49" i="15"/>
  <c r="AM50" i="15"/>
  <c r="AM51" i="15"/>
  <c r="AM52" i="15"/>
  <c r="AM53" i="15"/>
  <c r="AM54" i="15"/>
  <c r="AM55" i="15"/>
  <c r="AM56" i="15"/>
  <c r="AM57" i="15"/>
  <c r="AM58" i="15"/>
  <c r="AM59" i="15"/>
  <c r="AM60" i="15"/>
  <c r="AM61" i="15"/>
  <c r="AM62" i="15"/>
  <c r="AM63" i="15"/>
  <c r="AM64" i="15"/>
  <c r="AM65" i="15"/>
  <c r="AM66" i="15"/>
  <c r="AL26" i="33" s="1"/>
  <c r="AQ26" i="33" s="1"/>
  <c r="AM67" i="15"/>
  <c r="AM68" i="15"/>
  <c r="AM69" i="15"/>
  <c r="AL29" i="33" s="1"/>
  <c r="AQ29" i="33" s="1"/>
  <c r="AM70" i="15"/>
  <c r="AL30" i="33" s="1"/>
  <c r="AM71" i="15"/>
  <c r="AM72" i="15"/>
  <c r="AM73" i="15"/>
  <c r="AL33" i="33" s="1"/>
  <c r="AQ33" i="33" s="1"/>
  <c r="AM74" i="15"/>
  <c r="AL34" i="33" s="1"/>
  <c r="AQ34" i="33" s="1"/>
  <c r="AM75" i="15"/>
  <c r="AM76" i="15"/>
  <c r="AM77" i="15"/>
  <c r="AL37" i="33" s="1"/>
  <c r="AQ37" i="33" s="1"/>
  <c r="AM78" i="15"/>
  <c r="AL38" i="33" s="1"/>
  <c r="AM79" i="15"/>
  <c r="AM80" i="15"/>
  <c r="AM81" i="15"/>
  <c r="AL41" i="33" s="1"/>
  <c r="AQ41" i="33" s="1"/>
  <c r="AM82" i="15"/>
  <c r="AL42" i="33" s="1"/>
  <c r="AQ42" i="33" s="1"/>
  <c r="AM83" i="15"/>
  <c r="AM84" i="15"/>
  <c r="AM85" i="15"/>
  <c r="AL45" i="33" s="1"/>
  <c r="AQ45" i="33" s="1"/>
  <c r="AR45" i="33" s="1"/>
  <c r="AM86" i="15"/>
  <c r="AM87" i="15"/>
  <c r="AM88" i="15"/>
  <c r="AM89" i="15"/>
  <c r="AM90" i="15"/>
  <c r="AM91" i="15"/>
  <c r="AM92" i="15"/>
  <c r="AM93" i="15"/>
  <c r="AM94" i="15"/>
  <c r="AM95" i="15"/>
  <c r="AM96" i="15"/>
  <c r="AM97" i="15"/>
  <c r="AM98" i="15"/>
  <c r="AM99" i="15"/>
  <c r="AM100" i="15"/>
  <c r="AM101" i="15"/>
  <c r="AM102" i="15"/>
  <c r="AM103" i="15"/>
  <c r="AM104" i="15"/>
  <c r="AM105" i="15"/>
  <c r="AM106" i="15"/>
  <c r="AM107" i="15"/>
  <c r="AM108" i="15"/>
  <c r="AM109" i="15"/>
  <c r="AM110" i="15"/>
  <c r="AM111" i="15"/>
  <c r="AM112" i="15"/>
  <c r="AM113" i="15"/>
  <c r="AM114" i="15"/>
  <c r="AM115" i="15"/>
  <c r="AM116" i="15"/>
  <c r="AM117" i="15"/>
  <c r="AM118" i="15"/>
  <c r="AM119" i="15"/>
  <c r="AM120" i="15"/>
  <c r="AM121" i="15"/>
  <c r="AM122" i="15"/>
  <c r="AM123" i="15"/>
  <c r="AM124" i="15"/>
  <c r="AM125" i="15"/>
  <c r="AN6" i="15"/>
  <c r="AN7" i="15"/>
  <c r="AN8" i="15"/>
  <c r="AN9" i="15"/>
  <c r="AN10" i="15"/>
  <c r="AN11" i="15"/>
  <c r="AN12" i="15"/>
  <c r="AN13" i="15"/>
  <c r="AN14" i="15"/>
  <c r="AN15" i="15"/>
  <c r="AN16" i="15"/>
  <c r="AN17" i="15"/>
  <c r="AN18" i="15"/>
  <c r="AN19" i="15"/>
  <c r="AN20" i="15"/>
  <c r="AN21" i="15"/>
  <c r="AN22" i="15"/>
  <c r="AN23" i="15"/>
  <c r="AN24" i="15"/>
  <c r="AN25" i="15"/>
  <c r="AN26" i="15"/>
  <c r="AN27" i="15"/>
  <c r="AN28" i="15"/>
  <c r="AN29" i="15"/>
  <c r="AN30" i="15"/>
  <c r="AN31" i="15"/>
  <c r="AN32" i="15"/>
  <c r="AN33" i="15"/>
  <c r="AN34" i="15"/>
  <c r="AN35" i="15"/>
  <c r="AN36" i="15"/>
  <c r="AN37" i="15"/>
  <c r="AN38" i="15"/>
  <c r="AN39" i="15"/>
  <c r="AN40" i="15"/>
  <c r="AN41" i="15"/>
  <c r="AN42" i="15"/>
  <c r="AN43" i="15"/>
  <c r="AN44" i="15"/>
  <c r="AN45" i="15"/>
  <c r="AN46" i="15"/>
  <c r="AN47" i="15"/>
  <c r="AN48" i="15"/>
  <c r="AN49" i="15"/>
  <c r="AN50" i="15"/>
  <c r="AN51" i="15"/>
  <c r="AN52" i="15"/>
  <c r="AN53" i="15"/>
  <c r="AN54" i="15"/>
  <c r="AN55" i="15"/>
  <c r="AN56" i="15"/>
  <c r="AN57" i="15"/>
  <c r="AN58" i="15"/>
  <c r="AN59" i="15"/>
  <c r="AN60" i="15"/>
  <c r="AN61" i="15"/>
  <c r="AN62" i="15"/>
  <c r="AN63" i="15"/>
  <c r="AN64" i="15"/>
  <c r="AN65" i="15"/>
  <c r="AN66" i="15"/>
  <c r="AN67" i="15"/>
  <c r="AN68" i="15"/>
  <c r="AN69" i="15"/>
  <c r="AN70" i="15"/>
  <c r="AN71" i="15"/>
  <c r="AN72" i="15"/>
  <c r="AN73" i="15"/>
  <c r="AN74" i="15"/>
  <c r="AN75" i="15"/>
  <c r="AN76" i="15"/>
  <c r="AN77" i="15"/>
  <c r="AN78" i="15"/>
  <c r="AN79" i="15"/>
  <c r="AN80" i="15"/>
  <c r="AN81" i="15"/>
  <c r="AN82" i="15"/>
  <c r="AN83" i="15"/>
  <c r="AN84" i="15"/>
  <c r="AN85" i="15"/>
  <c r="AN86" i="15"/>
  <c r="AN87" i="15"/>
  <c r="AN88" i="15"/>
  <c r="AN89" i="15"/>
  <c r="AN90" i="15"/>
  <c r="AN91" i="15"/>
  <c r="AN92" i="15"/>
  <c r="AN93" i="15"/>
  <c r="AN94" i="15"/>
  <c r="AN95" i="15"/>
  <c r="AN96" i="15"/>
  <c r="AN97" i="15"/>
  <c r="AN98" i="15"/>
  <c r="AN99" i="15"/>
  <c r="AN100" i="15"/>
  <c r="AN101" i="15"/>
  <c r="AN102" i="15"/>
  <c r="AN103" i="15"/>
  <c r="AN104" i="15"/>
  <c r="AN105" i="15"/>
  <c r="AN106" i="15"/>
  <c r="AN107" i="15"/>
  <c r="AN108" i="15"/>
  <c r="AN109" i="15"/>
  <c r="AN110" i="15"/>
  <c r="AN111" i="15"/>
  <c r="AN112" i="15"/>
  <c r="AN113" i="15"/>
  <c r="AN114" i="15"/>
  <c r="AN115" i="15"/>
  <c r="AN116" i="15"/>
  <c r="AN117" i="15"/>
  <c r="AN118" i="15"/>
  <c r="AN119" i="15"/>
  <c r="AN120" i="15"/>
  <c r="AN121" i="15"/>
  <c r="AN122" i="15"/>
  <c r="AN123" i="15"/>
  <c r="AN124" i="15"/>
  <c r="AN125" i="15"/>
  <c r="P6" i="32"/>
  <c r="P7" i="32"/>
  <c r="P8" i="32"/>
  <c r="U8" i="32" s="1"/>
  <c r="AE8" i="32" s="1"/>
  <c r="P9" i="32"/>
  <c r="U9" i="32" s="1"/>
  <c r="AE9" i="32" s="1"/>
  <c r="P10" i="32"/>
  <c r="P11" i="32"/>
  <c r="Q6" i="32"/>
  <c r="V6" i="32" s="1"/>
  <c r="AF6" i="32" s="1"/>
  <c r="Q7" i="32"/>
  <c r="V7" i="32" s="1"/>
  <c r="AF7" i="32" s="1"/>
  <c r="Q8" i="32"/>
  <c r="Q9" i="32"/>
  <c r="Q10" i="32"/>
  <c r="V10" i="32" s="1"/>
  <c r="AF10" i="32" s="1"/>
  <c r="Q11" i="32"/>
  <c r="V11" i="32" s="1"/>
  <c r="AF11" i="32" s="1"/>
  <c r="R6" i="32"/>
  <c r="R7" i="32"/>
  <c r="R8" i="32"/>
  <c r="W8" i="32" s="1"/>
  <c r="AG8" i="32" s="1"/>
  <c r="R9" i="32"/>
  <c r="W9" i="32" s="1"/>
  <c r="AG9" i="32" s="1"/>
  <c r="R10" i="32"/>
  <c r="R11" i="32"/>
  <c r="S6" i="32"/>
  <c r="X6" i="32" s="1"/>
  <c r="AH6" i="32" s="1"/>
  <c r="S7" i="32"/>
  <c r="X7" i="32" s="1"/>
  <c r="AH7" i="32" s="1"/>
  <c r="S8" i="32"/>
  <c r="S9" i="32"/>
  <c r="S10" i="32"/>
  <c r="X10" i="32" s="1"/>
  <c r="AH10" i="32" s="1"/>
  <c r="S11" i="32"/>
  <c r="X11" i="32" s="1"/>
  <c r="AH11" i="32" s="1"/>
  <c r="T6" i="32"/>
  <c r="T7" i="32"/>
  <c r="T8" i="32"/>
  <c r="Y8" i="32" s="1"/>
  <c r="AI8" i="32" s="1"/>
  <c r="T9" i="32"/>
  <c r="Y9" i="32" s="1"/>
  <c r="AI9" i="32" s="1"/>
  <c r="T10" i="32"/>
  <c r="T11" i="32"/>
  <c r="U6" i="32"/>
  <c r="AE6" i="32" s="1"/>
  <c r="U7" i="32"/>
  <c r="AE7" i="32" s="1"/>
  <c r="U10" i="32"/>
  <c r="U11" i="32"/>
  <c r="V8" i="32"/>
  <c r="AF8" i="32" s="1"/>
  <c r="V9" i="32"/>
  <c r="AF9" i="32" s="1"/>
  <c r="W6" i="32"/>
  <c r="W7" i="32"/>
  <c r="W10" i="32"/>
  <c r="AG10" i="32" s="1"/>
  <c r="W11" i="32"/>
  <c r="AG11" i="32" s="1"/>
  <c r="X8" i="32"/>
  <c r="X9" i="32"/>
  <c r="Y6" i="32"/>
  <c r="AI6" i="32" s="1"/>
  <c r="Y7" i="32"/>
  <c r="AI7" i="32" s="1"/>
  <c r="Y10" i="32"/>
  <c r="Y11" i="32"/>
  <c r="Z6" i="32"/>
  <c r="Z7" i="32"/>
  <c r="Z8" i="32"/>
  <c r="Z9" i="32"/>
  <c r="Z10" i="32"/>
  <c r="Z11" i="32"/>
  <c r="AA6" i="32"/>
  <c r="AA7" i="32"/>
  <c r="AA8" i="32"/>
  <c r="AA9" i="32"/>
  <c r="AA10" i="32"/>
  <c r="AA11" i="32"/>
  <c r="AB6" i="32"/>
  <c r="AB7" i="32"/>
  <c r="AB8" i="32"/>
  <c r="AB9" i="32"/>
  <c r="AB10" i="32"/>
  <c r="AB11" i="32"/>
  <c r="AC6" i="32"/>
  <c r="AC7" i="32"/>
  <c r="AC8" i="32"/>
  <c r="AC9" i="32"/>
  <c r="AC10" i="32"/>
  <c r="AC11" i="32"/>
  <c r="AD6" i="32"/>
  <c r="AD7" i="32"/>
  <c r="AD8" i="32"/>
  <c r="AD9" i="32"/>
  <c r="AD10" i="32"/>
  <c r="AD11" i="32"/>
  <c r="AE10" i="32"/>
  <c r="AE11" i="32"/>
  <c r="AG6" i="32"/>
  <c r="AG7" i="32"/>
  <c r="AH8" i="32"/>
  <c r="AH9" i="32"/>
  <c r="AI10" i="32"/>
  <c r="AI11" i="32"/>
  <c r="Q6" i="30"/>
  <c r="Q7" i="30"/>
  <c r="V7" i="30" s="1"/>
  <c r="Q8" i="30"/>
  <c r="Q9" i="30"/>
  <c r="V9" i="30" s="1"/>
  <c r="Q10" i="30"/>
  <c r="Q11" i="30"/>
  <c r="V11" i="30" s="1"/>
  <c r="Q12" i="30"/>
  <c r="Q13" i="30"/>
  <c r="Q14" i="30"/>
  <c r="Q15" i="30"/>
  <c r="V15" i="30" s="1"/>
  <c r="Q16" i="30"/>
  <c r="V16" i="30" s="1"/>
  <c r="Q17" i="30"/>
  <c r="V17" i="30" s="1"/>
  <c r="Q18" i="30"/>
  <c r="Q19" i="30"/>
  <c r="V19" i="30" s="1"/>
  <c r="Q20" i="30"/>
  <c r="V20" i="30" s="1"/>
  <c r="Q21" i="30"/>
  <c r="V21" i="30" s="1"/>
  <c r="Q22" i="30"/>
  <c r="Q23" i="30"/>
  <c r="V23" i="30" s="1"/>
  <c r="R6" i="30"/>
  <c r="R7" i="30"/>
  <c r="W7" i="30" s="1"/>
  <c r="R8" i="30"/>
  <c r="R9" i="30"/>
  <c r="W9" i="30" s="1"/>
  <c r="R10" i="30"/>
  <c r="R11" i="30"/>
  <c r="R12" i="30"/>
  <c r="R13" i="30"/>
  <c r="W13" i="30" s="1"/>
  <c r="R14" i="30"/>
  <c r="W14" i="30" s="1"/>
  <c r="R15" i="30"/>
  <c r="W15" i="30" s="1"/>
  <c r="R16" i="30"/>
  <c r="R17" i="30"/>
  <c r="W17" i="30" s="1"/>
  <c r="R18" i="30"/>
  <c r="W18" i="30" s="1"/>
  <c r="R19" i="30"/>
  <c r="W19" i="30" s="1"/>
  <c r="R20" i="30"/>
  <c r="R21" i="30"/>
  <c r="W21" i="30" s="1"/>
  <c r="R22" i="30"/>
  <c r="R23" i="30"/>
  <c r="W23" i="30" s="1"/>
  <c r="S6" i="30"/>
  <c r="S7" i="30"/>
  <c r="X7" i="30" s="1"/>
  <c r="S8" i="30"/>
  <c r="S9" i="30"/>
  <c r="S10" i="30"/>
  <c r="S11" i="30"/>
  <c r="X11" i="30" s="1"/>
  <c r="S12" i="30"/>
  <c r="X12" i="30" s="1"/>
  <c r="S13" i="30"/>
  <c r="X13" i="30" s="1"/>
  <c r="S14" i="30"/>
  <c r="S15" i="30"/>
  <c r="X15" i="30" s="1"/>
  <c r="S16" i="30"/>
  <c r="X16" i="30" s="1"/>
  <c r="S17" i="30"/>
  <c r="X17" i="30" s="1"/>
  <c r="S18" i="30"/>
  <c r="S19" i="30"/>
  <c r="X19" i="30" s="1"/>
  <c r="S20" i="30"/>
  <c r="S21" i="30"/>
  <c r="X21" i="30" s="1"/>
  <c r="S22" i="30"/>
  <c r="S23" i="30"/>
  <c r="X23" i="30" s="1"/>
  <c r="T6" i="30"/>
  <c r="T7" i="30"/>
  <c r="T8" i="30"/>
  <c r="T9" i="30"/>
  <c r="Y9" i="30" s="1"/>
  <c r="T10" i="30"/>
  <c r="Y10" i="30" s="1"/>
  <c r="T11" i="30"/>
  <c r="Y11" i="30" s="1"/>
  <c r="T12" i="30"/>
  <c r="T13" i="30"/>
  <c r="Y13" i="30" s="1"/>
  <c r="T14" i="30"/>
  <c r="Y14" i="30" s="1"/>
  <c r="T15" i="30"/>
  <c r="Y15" i="30" s="1"/>
  <c r="T16" i="30"/>
  <c r="T17" i="30"/>
  <c r="Y17" i="30" s="1"/>
  <c r="T18" i="30"/>
  <c r="T19" i="30"/>
  <c r="Y19" i="30" s="1"/>
  <c r="T20" i="30"/>
  <c r="T21" i="30"/>
  <c r="Y21" i="30" s="1"/>
  <c r="T22" i="30"/>
  <c r="T23" i="30"/>
  <c r="U6" i="30"/>
  <c r="U7" i="30"/>
  <c r="Z7" i="30" s="1"/>
  <c r="U8" i="30"/>
  <c r="Z8" i="30" s="1"/>
  <c r="U9" i="30"/>
  <c r="Z9" i="30" s="1"/>
  <c r="U10" i="30"/>
  <c r="U11" i="30"/>
  <c r="Z11" i="30" s="1"/>
  <c r="U12" i="30"/>
  <c r="Z12" i="30" s="1"/>
  <c r="U13" i="30"/>
  <c r="Z13" i="30" s="1"/>
  <c r="U14" i="30"/>
  <c r="U15" i="30"/>
  <c r="Z15" i="30" s="1"/>
  <c r="U16" i="30"/>
  <c r="U17" i="30"/>
  <c r="Z17" i="30" s="1"/>
  <c r="U18" i="30"/>
  <c r="U19" i="30"/>
  <c r="Z19" i="30" s="1"/>
  <c r="U20" i="30"/>
  <c r="U21" i="30"/>
  <c r="U22" i="30"/>
  <c r="U23" i="30"/>
  <c r="Z23" i="30" s="1"/>
  <c r="V6" i="30"/>
  <c r="V8" i="30"/>
  <c r="V10" i="30"/>
  <c r="V12" i="30"/>
  <c r="V13" i="30"/>
  <c r="V14" i="30"/>
  <c r="V18" i="30"/>
  <c r="V22" i="30"/>
  <c r="W6" i="30"/>
  <c r="W8" i="30"/>
  <c r="W10" i="30"/>
  <c r="W11" i="30"/>
  <c r="W12" i="30"/>
  <c r="W16" i="30"/>
  <c r="W20" i="30"/>
  <c r="W22" i="30"/>
  <c r="X6" i="30"/>
  <c r="X8" i="30"/>
  <c r="X9" i="30"/>
  <c r="X10" i="30"/>
  <c r="X14" i="30"/>
  <c r="X18" i="30"/>
  <c r="X20" i="30"/>
  <c r="X22" i="30"/>
  <c r="Y6" i="30"/>
  <c r="Y7" i="30"/>
  <c r="Y8" i="30"/>
  <c r="Y12" i="30"/>
  <c r="Y16" i="30"/>
  <c r="Y18" i="30"/>
  <c r="Y20" i="30"/>
  <c r="Y22" i="30"/>
  <c r="Y23" i="30"/>
  <c r="Z6" i="30"/>
  <c r="Z10" i="30"/>
  <c r="Z14" i="30"/>
  <c r="Z16" i="30"/>
  <c r="Z18" i="30"/>
  <c r="Z20" i="30"/>
  <c r="Z21" i="30"/>
  <c r="Z22" i="30"/>
  <c r="F13" i="41"/>
  <c r="F14" i="41"/>
  <c r="F15" i="41"/>
  <c r="F20" i="41"/>
  <c r="F21" i="41"/>
  <c r="F22" i="41"/>
  <c r="F23" i="41"/>
  <c r="F24" i="41"/>
  <c r="F25" i="41"/>
  <c r="F26" i="41"/>
  <c r="F27" i="41"/>
  <c r="F28" i="41"/>
  <c r="F29" i="41"/>
  <c r="F30" i="41"/>
  <c r="F31" i="41"/>
  <c r="F32" i="41"/>
  <c r="F33" i="41"/>
  <c r="F34" i="41"/>
  <c r="F35" i="41"/>
  <c r="F36" i="41"/>
  <c r="F37" i="41"/>
  <c r="F38" i="41"/>
  <c r="R6" i="36"/>
  <c r="R7" i="36"/>
  <c r="R8" i="36"/>
  <c r="R9" i="36"/>
  <c r="R10" i="36"/>
  <c r="R11" i="36"/>
  <c r="R12" i="36"/>
  <c r="R13" i="36"/>
  <c r="R14" i="36"/>
  <c r="R15" i="36"/>
  <c r="R16" i="36"/>
  <c r="R17" i="36"/>
  <c r="R18" i="36"/>
  <c r="R19" i="36"/>
  <c r="R20" i="36"/>
  <c r="R21" i="36"/>
  <c r="R22" i="36"/>
  <c r="R23" i="36"/>
  <c r="R24" i="36"/>
  <c r="R25" i="36"/>
  <c r="R26" i="36"/>
  <c r="R27" i="36"/>
  <c r="R28" i="36"/>
  <c r="R29" i="36"/>
  <c r="R30" i="36"/>
  <c r="R31" i="36"/>
  <c r="R32" i="36"/>
  <c r="R33" i="36"/>
  <c r="R34" i="36"/>
  <c r="R35" i="36"/>
  <c r="R36" i="36"/>
  <c r="R37" i="36"/>
  <c r="R38" i="36"/>
  <c r="R39" i="36"/>
  <c r="R40" i="36"/>
  <c r="R41" i="36"/>
  <c r="R42" i="36"/>
  <c r="R43" i="36"/>
  <c r="R44" i="36"/>
  <c r="R45" i="36"/>
  <c r="R46" i="36"/>
  <c r="R47" i="36"/>
  <c r="R48" i="36"/>
  <c r="R49" i="36"/>
  <c r="R50" i="36"/>
  <c r="R51" i="36"/>
  <c r="R52" i="36"/>
  <c r="R53" i="36"/>
  <c r="R54" i="36"/>
  <c r="R55" i="36"/>
  <c r="R56" i="36"/>
  <c r="R57" i="36"/>
  <c r="R58" i="36"/>
  <c r="R59" i="36"/>
  <c r="R60" i="36"/>
  <c r="R61" i="36"/>
  <c r="H6" i="35"/>
  <c r="H7" i="35"/>
  <c r="I7" i="35" s="1"/>
  <c r="H8" i="35"/>
  <c r="I8" i="35" s="1"/>
  <c r="H9" i="35"/>
  <c r="I9" i="35" s="1"/>
  <c r="H10" i="35"/>
  <c r="H11" i="35"/>
  <c r="I11" i="35" s="1"/>
  <c r="H12" i="35"/>
  <c r="I12" i="35" s="1"/>
  <c r="H13" i="35"/>
  <c r="I13" i="35" s="1"/>
  <c r="H14" i="35"/>
  <c r="H15" i="35"/>
  <c r="I15" i="35" s="1"/>
  <c r="H16" i="35"/>
  <c r="I16" i="35" s="1"/>
  <c r="I6" i="35"/>
  <c r="I10" i="35"/>
  <c r="I14" i="35"/>
  <c r="G7" i="46"/>
  <c r="F7" i="46"/>
  <c r="E7" i="46"/>
  <c r="D7" i="46"/>
  <c r="M6" i="46"/>
  <c r="L6" i="46"/>
  <c r="K6" i="46"/>
  <c r="J6" i="46"/>
  <c r="X6" i="38"/>
  <c r="W6" i="38"/>
  <c r="V6" i="38"/>
  <c r="U6" i="38"/>
  <c r="T6" i="38"/>
  <c r="AR42" i="33" l="1"/>
  <c r="AR37" i="33"/>
  <c r="AR29" i="33"/>
  <c r="AR13" i="33"/>
  <c r="AR21" i="33"/>
  <c r="AL43" i="33"/>
  <c r="AQ43" i="33" s="1"/>
  <c r="AL39" i="33"/>
  <c r="AQ39" i="33" s="1"/>
  <c r="AL31" i="33"/>
  <c r="AQ31" i="33" s="1"/>
  <c r="AL27" i="33"/>
  <c r="AQ27" i="33" s="1"/>
  <c r="AL19" i="33"/>
  <c r="AQ19" i="33" s="1"/>
  <c r="AL15" i="33"/>
  <c r="AQ15" i="33" s="1"/>
  <c r="AL7" i="33"/>
  <c r="AQ7" i="33" s="1"/>
  <c r="AK43" i="33"/>
  <c r="AP43" i="33" s="1"/>
  <c r="AK35" i="33"/>
  <c r="AP35" i="33" s="1"/>
  <c r="AJ35" i="33"/>
  <c r="AO35" i="33" s="1"/>
  <c r="AJ27" i="33"/>
  <c r="AO27" i="33" s="1"/>
  <c r="AJ23" i="33"/>
  <c r="AO23" i="33" s="1"/>
  <c r="AJ19" i="33"/>
  <c r="AO19" i="33" s="1"/>
  <c r="AJ11" i="33"/>
  <c r="AO11" i="33" s="1"/>
  <c r="AJ7" i="33"/>
  <c r="AO7" i="33" s="1"/>
  <c r="AI43" i="33"/>
  <c r="AN43" i="33" s="1"/>
  <c r="AI35" i="33"/>
  <c r="AN35" i="33" s="1"/>
  <c r="AR35" i="33" s="1"/>
  <c r="AI27" i="33"/>
  <c r="AN27" i="33" s="1"/>
  <c r="AH31" i="33"/>
  <c r="AM31" i="33" s="1"/>
  <c r="AH23" i="33"/>
  <c r="AM23" i="33" s="1"/>
  <c r="AH19" i="33"/>
  <c r="AM19" i="33" s="1"/>
  <c r="AK9" i="33"/>
  <c r="AP9" i="33" s="1"/>
  <c r="AJ41" i="33"/>
  <c r="AO41" i="33" s="1"/>
  <c r="AJ33" i="33"/>
  <c r="AO33" i="33" s="1"/>
  <c r="AJ25" i="33"/>
  <c r="AO25" i="33" s="1"/>
  <c r="AJ17" i="33"/>
  <c r="AO17" i="33" s="1"/>
  <c r="AJ9" i="33"/>
  <c r="AO9" i="33" s="1"/>
  <c r="AI41" i="33"/>
  <c r="AN41" i="33" s="1"/>
  <c r="AI33" i="33"/>
  <c r="AN33" i="33" s="1"/>
  <c r="AI25" i="33"/>
  <c r="AN25" i="33" s="1"/>
  <c r="AI17" i="33"/>
  <c r="AN17" i="33" s="1"/>
  <c r="AI9" i="33"/>
  <c r="AN9" i="33" s="1"/>
  <c r="AH41" i="33"/>
  <c r="AM41" i="33" s="1"/>
  <c r="AR41" i="33" s="1"/>
  <c r="AH33" i="33"/>
  <c r="AM33" i="33" s="1"/>
  <c r="AH25" i="33"/>
  <c r="AM25" i="33" s="1"/>
  <c r="AH17" i="33"/>
  <c r="AM17" i="33" s="1"/>
  <c r="AR17" i="33" s="1"/>
  <c r="AH9" i="33"/>
  <c r="AM9" i="33" s="1"/>
  <c r="AR9" i="33" s="1"/>
  <c r="AL44" i="33"/>
  <c r="AQ44" i="33" s="1"/>
  <c r="AL40" i="33"/>
  <c r="AQ40" i="33" s="1"/>
  <c r="AL36" i="33"/>
  <c r="AQ36" i="33" s="1"/>
  <c r="AL32" i="33"/>
  <c r="AQ32" i="33" s="1"/>
  <c r="AL28" i="33"/>
  <c r="AQ28" i="33" s="1"/>
  <c r="AL24" i="33"/>
  <c r="AQ24" i="33" s="1"/>
  <c r="AL20" i="33"/>
  <c r="AQ20" i="33" s="1"/>
  <c r="AL16" i="33"/>
  <c r="AQ16" i="33" s="1"/>
  <c r="AL12" i="33"/>
  <c r="AQ12" i="33" s="1"/>
  <c r="AL8" i="33"/>
  <c r="AQ8" i="33" s="1"/>
  <c r="AK44" i="33"/>
  <c r="AP44" i="33" s="1"/>
  <c r="AK40" i="33"/>
  <c r="AP40" i="33" s="1"/>
  <c r="AK36" i="33"/>
  <c r="AP36" i="33" s="1"/>
  <c r="AK32" i="33"/>
  <c r="AP32" i="33" s="1"/>
  <c r="AK28" i="33"/>
  <c r="AP28" i="33" s="1"/>
  <c r="AK24" i="33"/>
  <c r="AP24" i="33" s="1"/>
  <c r="AK20" i="33"/>
  <c r="AP20" i="33" s="1"/>
  <c r="AK16" i="33"/>
  <c r="AP16" i="33" s="1"/>
  <c r="AK12" i="33"/>
  <c r="AP12" i="33" s="1"/>
  <c r="AK8" i="33"/>
  <c r="AP8" i="33" s="1"/>
  <c r="AJ44" i="33"/>
  <c r="AO44" i="33" s="1"/>
  <c r="AJ40" i="33"/>
  <c r="AO40" i="33" s="1"/>
  <c r="AJ36" i="33"/>
  <c r="AO36" i="33" s="1"/>
  <c r="AJ32" i="33"/>
  <c r="AO32" i="33" s="1"/>
  <c r="AJ28" i="33"/>
  <c r="AO28" i="33" s="1"/>
  <c r="AL35" i="33"/>
  <c r="AQ35" i="33" s="1"/>
  <c r="AL11" i="33"/>
  <c r="AQ11" i="33" s="1"/>
  <c r="AK31" i="33"/>
  <c r="AP31" i="33" s="1"/>
  <c r="AK27" i="33"/>
  <c r="AP27" i="33" s="1"/>
  <c r="AK23" i="33"/>
  <c r="AP23" i="33" s="1"/>
  <c r="AK19" i="33"/>
  <c r="AP19" i="33" s="1"/>
  <c r="AK15" i="33"/>
  <c r="AP15" i="33" s="1"/>
  <c r="AK11" i="33"/>
  <c r="AP11" i="33" s="1"/>
  <c r="AK7" i="33"/>
  <c r="AP7" i="33" s="1"/>
  <c r="AJ39" i="33"/>
  <c r="AO39" i="33" s="1"/>
  <c r="AJ31" i="33"/>
  <c r="AO31" i="33" s="1"/>
  <c r="AJ15" i="33"/>
  <c r="AO15" i="33" s="1"/>
  <c r="AI31" i="33"/>
  <c r="AN31" i="33" s="1"/>
  <c r="AI23" i="33"/>
  <c r="AN23" i="33" s="1"/>
  <c r="AI19" i="33"/>
  <c r="AN19" i="33" s="1"/>
  <c r="AI15" i="33"/>
  <c r="AN15" i="33" s="1"/>
  <c r="AI11" i="33"/>
  <c r="AN11" i="33" s="1"/>
  <c r="AI7" i="33"/>
  <c r="AN7" i="33" s="1"/>
  <c r="AH43" i="33"/>
  <c r="AM43" i="33" s="1"/>
  <c r="AR43" i="33" s="1"/>
  <c r="AH39" i="33"/>
  <c r="AM39" i="33" s="1"/>
  <c r="AH27" i="33"/>
  <c r="AM27" i="33" s="1"/>
  <c r="AH15" i="33"/>
  <c r="AM15" i="33" s="1"/>
  <c r="AH11" i="33"/>
  <c r="AM11" i="33" s="1"/>
  <c r="AR11" i="33" s="1"/>
  <c r="AH7" i="33"/>
  <c r="AM7" i="33" s="1"/>
  <c r="AR34" i="33"/>
  <c r="AR30" i="33"/>
  <c r="AR26" i="33"/>
  <c r="AR22" i="33"/>
  <c r="AR18" i="33"/>
  <c r="AR14" i="33"/>
  <c r="AR10" i="33"/>
  <c r="AR6" i="33"/>
  <c r="AJ24" i="33"/>
  <c r="AO24" i="33" s="1"/>
  <c r="AJ20" i="33"/>
  <c r="AO20" i="33" s="1"/>
  <c r="AJ16" i="33"/>
  <c r="AO16" i="33" s="1"/>
  <c r="AJ12" i="33"/>
  <c r="AO12" i="33" s="1"/>
  <c r="AJ8" i="33"/>
  <c r="AO8" i="33" s="1"/>
  <c r="AI44" i="33"/>
  <c r="AN44" i="33" s="1"/>
  <c r="AI40" i="33"/>
  <c r="AN40" i="33" s="1"/>
  <c r="AI36" i="33"/>
  <c r="AN36" i="33" s="1"/>
  <c r="AI32" i="33"/>
  <c r="AN32" i="33" s="1"/>
  <c r="AI28" i="33"/>
  <c r="AN28" i="33" s="1"/>
  <c r="AI24" i="33"/>
  <c r="AN24" i="33" s="1"/>
  <c r="AI20" i="33"/>
  <c r="AN20" i="33" s="1"/>
  <c r="AI16" i="33"/>
  <c r="AN16" i="33" s="1"/>
  <c r="AI12" i="33"/>
  <c r="AN12" i="33" s="1"/>
  <c r="AI8" i="33"/>
  <c r="AN8" i="33" s="1"/>
  <c r="AH44" i="33"/>
  <c r="AM44" i="33" s="1"/>
  <c r="AH40" i="33"/>
  <c r="AM40" i="33" s="1"/>
  <c r="AH36" i="33"/>
  <c r="AM36" i="33" s="1"/>
  <c r="AR36" i="33" s="1"/>
  <c r="AH32" i="33"/>
  <c r="AM32" i="33" s="1"/>
  <c r="AR32" i="33" s="1"/>
  <c r="AH28" i="33"/>
  <c r="AM28" i="33" s="1"/>
  <c r="AH24" i="33"/>
  <c r="AM24" i="33" s="1"/>
  <c r="AH20" i="33"/>
  <c r="AM20" i="33" s="1"/>
  <c r="AR20" i="33" s="1"/>
  <c r="AH16" i="33"/>
  <c r="AM16" i="33" s="1"/>
  <c r="AR16" i="33" s="1"/>
  <c r="AH12" i="33"/>
  <c r="AM12" i="33" s="1"/>
  <c r="AH8" i="33"/>
  <c r="AM8" i="33" s="1"/>
  <c r="AA7" i="34"/>
  <c r="X7" i="34"/>
  <c r="Z7" i="34" s="1"/>
  <c r="Z6" i="34"/>
  <c r="AA6" i="34"/>
  <c r="AJ11" i="32"/>
  <c r="AJ10" i="32"/>
  <c r="AJ9" i="32"/>
  <c r="AJ8" i="32"/>
  <c r="AJ7" i="32"/>
  <c r="AJ6" i="32"/>
  <c r="AR8" i="33" l="1"/>
  <c r="AR12" i="33"/>
  <c r="AR28" i="33"/>
  <c r="AR44" i="33"/>
  <c r="AR7" i="33"/>
  <c r="AR39" i="33"/>
  <c r="AR33" i="33"/>
  <c r="AR19" i="33"/>
  <c r="AR15" i="33"/>
  <c r="AR23" i="33"/>
  <c r="AR24" i="33"/>
  <c r="AR40" i="33"/>
  <c r="AR27" i="33"/>
  <c r="AR25" i="33"/>
  <c r="AR31" i="33"/>
  <c r="H4" i="39" a="1"/>
  <c r="H4" i="39" s="1"/>
  <c r="I4" i="39" a="1"/>
  <c r="I4" i="39" s="1"/>
  <c r="B7" i="41" s="1"/>
  <c r="E4" i="39"/>
  <c r="B6" i="41" s="1"/>
  <c r="D4" i="39"/>
  <c r="B5" i="41" s="1"/>
  <c r="D3" i="38"/>
  <c r="C4" i="39"/>
  <c r="B4" i="41" s="1"/>
  <c r="H1" i="41"/>
  <c r="I3" i="41"/>
  <c r="G13" i="41" l="1" a="1"/>
  <c r="G13" i="41" s="1"/>
  <c r="G22" i="41" a="1"/>
  <c r="G22" i="41" s="1"/>
  <c r="G26" i="41" a="1"/>
  <c r="G26" i="41" s="1"/>
  <c r="G30" i="41" a="1"/>
  <c r="G30" i="41" s="1"/>
  <c r="G34" i="41" a="1"/>
  <c r="G34" i="41" s="1"/>
  <c r="G38" i="41" a="1"/>
  <c r="G38" i="41" s="1"/>
  <c r="G32" i="41" a="1"/>
  <c r="G32" i="41" s="1"/>
  <c r="G14" i="41" a="1"/>
  <c r="G14" i="41" s="1"/>
  <c r="G23" i="41" a="1"/>
  <c r="G23" i="41" s="1"/>
  <c r="G27" i="41" a="1"/>
  <c r="G27" i="41" s="1"/>
  <c r="G31" i="41" a="1"/>
  <c r="G31" i="41" s="1"/>
  <c r="G35" i="41" a="1"/>
  <c r="G35" i="41" s="1"/>
  <c r="G15" i="41" a="1"/>
  <c r="G15" i="41" s="1"/>
  <c r="G24" i="41" a="1"/>
  <c r="G24" i="41" s="1"/>
  <c r="G36" i="41" a="1"/>
  <c r="G36" i="41" s="1"/>
  <c r="G21" i="41" a="1"/>
  <c r="G21" i="41" s="1"/>
  <c r="G25" i="41" a="1"/>
  <c r="G25" i="41" s="1"/>
  <c r="G29" i="41" a="1"/>
  <c r="G29" i="41" s="1"/>
  <c r="G33" i="41" a="1"/>
  <c r="G33" i="41" s="1"/>
  <c r="G37" i="41" a="1"/>
  <c r="G37" i="41" s="1"/>
  <c r="G20" i="41" a="1"/>
  <c r="G20" i="41" s="1"/>
  <c r="G28" i="41" a="1"/>
  <c r="G28" i="41" s="1"/>
  <c r="D14" i="41"/>
  <c r="E15" i="41"/>
  <c r="C22" i="41"/>
  <c r="C26" i="41"/>
  <c r="C30" i="41"/>
  <c r="C34" i="41"/>
  <c r="C38" i="41"/>
  <c r="D23" i="41"/>
  <c r="D27" i="41"/>
  <c r="D31" i="41"/>
  <c r="D35" i="41"/>
  <c r="E20" i="41"/>
  <c r="E24" i="41"/>
  <c r="E28" i="41"/>
  <c r="E32" i="41"/>
  <c r="E36" i="41"/>
  <c r="C32" i="41"/>
  <c r="D29" i="41"/>
  <c r="E26" i="41"/>
  <c r="E38" i="41"/>
  <c r="D15" i="41"/>
  <c r="C23" i="41"/>
  <c r="C27" i="41"/>
  <c r="C31" i="41"/>
  <c r="C35" i="41"/>
  <c r="D20" i="41"/>
  <c r="D24" i="41"/>
  <c r="D28" i="41"/>
  <c r="D32" i="41"/>
  <c r="D36" i="41"/>
  <c r="E21" i="41"/>
  <c r="E25" i="41"/>
  <c r="E29" i="41"/>
  <c r="E33" i="41"/>
  <c r="E37" i="41"/>
  <c r="C20" i="41"/>
  <c r="C28" i="41"/>
  <c r="D21" i="41"/>
  <c r="D33" i="41"/>
  <c r="E22" i="41"/>
  <c r="E34" i="41"/>
  <c r="D13" i="41"/>
  <c r="E14" i="41"/>
  <c r="C21" i="41"/>
  <c r="C25" i="41"/>
  <c r="C29" i="41"/>
  <c r="C33" i="41"/>
  <c r="C37" i="41"/>
  <c r="D22" i="41"/>
  <c r="D26" i="41"/>
  <c r="D30" i="41"/>
  <c r="D34" i="41"/>
  <c r="D38" i="41"/>
  <c r="E23" i="41"/>
  <c r="E27" i="41"/>
  <c r="E31" i="41"/>
  <c r="E35" i="41"/>
  <c r="E13" i="41"/>
  <c r="C24" i="41"/>
  <c r="C36" i="41"/>
  <c r="D25" i="41"/>
  <c r="D37" i="41"/>
  <c r="E30" i="41"/>
  <c r="G35" i="43"/>
  <c r="G34" i="43"/>
  <c r="G33" i="43"/>
  <c r="G32" i="43"/>
  <c r="G31" i="43"/>
  <c r="G24" i="38" l="1"/>
  <c r="G22" i="43"/>
  <c r="G17" i="43"/>
  <c r="G16" i="43"/>
  <c r="G15" i="43"/>
  <c r="G14" i="43"/>
  <c r="G13" i="43"/>
  <c r="D6" i="43"/>
  <c r="D7" i="43" s="1"/>
  <c r="D5" i="43"/>
  <c r="D4" i="43"/>
  <c r="N6" i="43"/>
  <c r="O6" i="43"/>
  <c r="P6" i="43"/>
  <c r="Q6" i="43"/>
  <c r="M6" i="43"/>
  <c r="D3" i="43"/>
  <c r="J31" i="43" l="1"/>
  <c r="G27" i="43"/>
  <c r="J32" i="43"/>
  <c r="I33" i="43"/>
  <c r="H34" i="43"/>
  <c r="F32" i="43"/>
  <c r="E33" i="43"/>
  <c r="D34" i="43"/>
  <c r="F40" i="43"/>
  <c r="J35" i="43"/>
  <c r="F35" i="43"/>
  <c r="D33" i="43"/>
  <c r="I40" i="43"/>
  <c r="E40" i="43"/>
  <c r="I35" i="43"/>
  <c r="I31" i="43"/>
  <c r="H32" i="43"/>
  <c r="F34" i="43"/>
  <c r="E35" i="43"/>
  <c r="E31" i="43"/>
  <c r="D32" i="43"/>
  <c r="D40" i="43"/>
  <c r="J33" i="43"/>
  <c r="H35" i="43"/>
  <c r="H31" i="43"/>
  <c r="F33" i="43"/>
  <c r="E34" i="43"/>
  <c r="D35" i="43"/>
  <c r="D31" i="43"/>
  <c r="I32" i="43"/>
  <c r="H33" i="43"/>
  <c r="F31" i="43"/>
  <c r="E32" i="43"/>
  <c r="H27" i="43"/>
  <c r="F27" i="43"/>
  <c r="E27" i="43"/>
  <c r="D27" i="43"/>
  <c r="E22" i="43"/>
  <c r="F22" i="43"/>
  <c r="D22" i="43"/>
  <c r="H22" i="43"/>
  <c r="H15" i="43"/>
  <c r="F17" i="43"/>
  <c r="H16" i="43"/>
  <c r="H13" i="43"/>
  <c r="H17" i="43"/>
  <c r="H14" i="43"/>
  <c r="D16" i="43"/>
  <c r="D13" i="43"/>
  <c r="D17" i="43"/>
  <c r="E16" i="43"/>
  <c r="F15" i="43"/>
  <c r="E15" i="43"/>
  <c r="D14" i="43"/>
  <c r="E13" i="43"/>
  <c r="E17" i="43"/>
  <c r="F16" i="43"/>
  <c r="F14" i="43"/>
  <c r="D15" i="43"/>
  <c r="E14" i="43"/>
  <c r="F13" i="43"/>
  <c r="J34" i="43"/>
  <c r="J36" i="43" l="1"/>
  <c r="I34" i="43"/>
  <c r="I36" i="43" s="1"/>
  <c r="H36" i="43"/>
  <c r="D6" i="38"/>
  <c r="D7" i="38" s="1"/>
  <c r="D5" i="38"/>
  <c r="D4" i="38"/>
  <c r="D8" i="38" l="1"/>
  <c r="D9" i="38"/>
  <c r="F5" i="19" l="1"/>
  <c r="F4" i="19"/>
  <c r="I11" i="41"/>
  <c r="J11" i="41"/>
  <c r="I18" i="41"/>
  <c r="J18" i="41"/>
  <c r="F5" i="18"/>
  <c r="J9" i="41" l="1"/>
  <c r="I9" i="41"/>
  <c r="F11" i="41"/>
  <c r="F18" i="41"/>
  <c r="AA15" i="30"/>
  <c r="F9" i="41" l="1"/>
  <c r="I47" i="38"/>
  <c r="I46" i="38"/>
  <c r="I45" i="38"/>
  <c r="I40" i="38"/>
  <c r="H40" i="38"/>
  <c r="I37" i="38"/>
  <c r="I39" i="38"/>
  <c r="H39" i="38"/>
  <c r="I36" i="38"/>
  <c r="H36" i="38"/>
  <c r="H38" i="38"/>
  <c r="H37" i="38"/>
  <c r="I38" i="38"/>
  <c r="F47" i="38"/>
  <c r="E47" i="38"/>
  <c r="D47" i="38"/>
  <c r="F32" i="38"/>
  <c r="G31" i="38"/>
  <c r="H30" i="38"/>
  <c r="D30" i="38"/>
  <c r="E29" i="38"/>
  <c r="F45" i="38"/>
  <c r="E45" i="38"/>
  <c r="D32" i="38"/>
  <c r="F30" i="38"/>
  <c r="E48" i="38"/>
  <c r="D48" i="38"/>
  <c r="H31" i="38"/>
  <c r="E30" i="38"/>
  <c r="F46" i="38"/>
  <c r="E46" i="38"/>
  <c r="D46" i="38"/>
  <c r="E32" i="38"/>
  <c r="F31" i="38"/>
  <c r="G30" i="38"/>
  <c r="H29" i="38"/>
  <c r="D29" i="38"/>
  <c r="D45" i="38"/>
  <c r="E31" i="38"/>
  <c r="G29" i="38"/>
  <c r="F48" i="38"/>
  <c r="H32" i="38"/>
  <c r="D31" i="38"/>
  <c r="F29" i="38"/>
  <c r="H24" i="38"/>
  <c r="F24" i="38"/>
  <c r="E24" i="38"/>
  <c r="D24" i="38"/>
  <c r="D38" i="38"/>
  <c r="H20" i="38"/>
  <c r="F16" i="38"/>
  <c r="F36" i="38"/>
  <c r="G18" i="38"/>
  <c r="G39" i="38" s="1"/>
  <c r="E39" i="38"/>
  <c r="D37" i="38"/>
  <c r="E40" i="38"/>
  <c r="G19" i="38"/>
  <c r="G40" i="38" s="1"/>
  <c r="E37" i="38"/>
  <c r="F18" i="38"/>
  <c r="D39" i="38"/>
  <c r="G15" i="38"/>
  <c r="G36" i="38" s="1"/>
  <c r="H17" i="38"/>
  <c r="F38" i="38"/>
  <c r="F17" i="38"/>
  <c r="G17" i="38"/>
  <c r="G38" i="38" s="1"/>
  <c r="G16" i="38"/>
  <c r="G37" i="38" s="1"/>
  <c r="F15" i="38"/>
  <c r="F37" i="38"/>
  <c r="D40" i="38"/>
  <c r="F40" i="38"/>
  <c r="E38" i="38"/>
  <c r="H18" i="38"/>
  <c r="D36" i="38"/>
  <c r="E36" i="38"/>
  <c r="F39" i="38"/>
  <c r="H15" i="38"/>
  <c r="H16" i="38"/>
  <c r="H19" i="38"/>
  <c r="F19" i="38"/>
  <c r="E16" i="38"/>
  <c r="D17" i="38"/>
  <c r="E19" i="38"/>
  <c r="E15" i="38"/>
  <c r="D16" i="38"/>
  <c r="E18" i="38"/>
  <c r="D19" i="38"/>
  <c r="D15" i="38"/>
  <c r="E17" i="38"/>
  <c r="D18" i="38"/>
  <c r="AA23" i="30"/>
  <c r="AA11" i="30"/>
  <c r="AA22" i="30"/>
  <c r="AA6" i="30"/>
  <c r="AA19" i="30"/>
  <c r="AA10" i="30"/>
  <c r="AA21" i="30"/>
  <c r="AA17" i="30"/>
  <c r="AA9" i="30"/>
  <c r="AA18" i="30"/>
  <c r="AA7" i="30"/>
  <c r="AA20" i="30"/>
  <c r="AA16" i="30"/>
  <c r="AA8" i="30"/>
  <c r="E11" i="41"/>
  <c r="E18" i="41"/>
  <c r="AA14" i="30"/>
  <c r="C15" i="41" s="1"/>
  <c r="AA12" i="30"/>
  <c r="C13" i="41" s="1"/>
  <c r="J37" i="38"/>
  <c r="H18" i="43" l="1"/>
  <c r="I48" i="38"/>
  <c r="H41" i="38"/>
  <c r="I41" i="38"/>
  <c r="J39" i="38"/>
  <c r="J36" i="38"/>
  <c r="J38" i="38"/>
  <c r="D11" i="41"/>
  <c r="AA13" i="30"/>
  <c r="C14" i="41" s="1"/>
  <c r="E9" i="41"/>
  <c r="C18" i="41"/>
  <c r="AN2" i="15"/>
  <c r="AN3" i="15"/>
  <c r="W3" i="20"/>
  <c r="W2" i="20"/>
  <c r="N7" i="38"/>
  <c r="O7" i="38"/>
  <c r="P7" i="38"/>
  <c r="Q7" i="38"/>
  <c r="M7" i="38"/>
  <c r="AA3" i="30" l="1"/>
  <c r="J41" i="38"/>
  <c r="J40" i="38"/>
  <c r="AA2" i="30"/>
  <c r="AJ3" i="32"/>
  <c r="C11" i="41"/>
  <c r="C9" i="41" s="1"/>
  <c r="D18" i="41"/>
  <c r="D9" i="41" s="1"/>
  <c r="AJ2" i="32"/>
  <c r="AR2" i="33"/>
  <c r="AR3" i="33"/>
  <c r="G18" i="41" l="1"/>
  <c r="G11" i="41"/>
  <c r="I2" i="35"/>
  <c r="I3" i="35"/>
  <c r="G9" i="41" l="1"/>
  <c r="R2" i="36"/>
  <c r="R3" i="36"/>
  <c r="J2" i="33"/>
  <c r="K2" i="33"/>
  <c r="L2" i="33"/>
  <c r="M2" i="33"/>
  <c r="N2" i="33"/>
  <c r="O2" i="33"/>
  <c r="P2" i="33"/>
  <c r="Q2" i="33"/>
  <c r="R2" i="33"/>
  <c r="J3" i="33"/>
  <c r="K3" i="33"/>
  <c r="L3" i="33"/>
  <c r="M3" i="33"/>
  <c r="N3" i="33"/>
  <c r="O3" i="33"/>
  <c r="P3" i="33"/>
  <c r="Q3" i="33"/>
  <c r="R3" i="33"/>
  <c r="I3" i="33"/>
  <c r="I2" i="33"/>
  <c r="P1" i="34"/>
  <c r="Q1" i="34"/>
  <c r="R1" i="34"/>
  <c r="O1" i="34"/>
  <c r="E2" i="20"/>
  <c r="F2" i="20"/>
  <c r="G2" i="20"/>
  <c r="H2" i="20"/>
  <c r="I2" i="20"/>
  <c r="J2" i="20"/>
  <c r="K2" i="20"/>
  <c r="O2" i="20" s="1"/>
  <c r="E3" i="20"/>
  <c r="F3" i="20"/>
  <c r="G3" i="20"/>
  <c r="H3" i="20"/>
  <c r="I3" i="20"/>
  <c r="M3" i="20" s="1"/>
  <c r="J3" i="20"/>
  <c r="N3" i="20" s="1"/>
  <c r="K3" i="20"/>
  <c r="O3" i="20" s="1"/>
  <c r="D2" i="34"/>
  <c r="E2" i="34"/>
  <c r="F2" i="34"/>
  <c r="G2" i="34"/>
  <c r="H2" i="34"/>
  <c r="I2" i="34"/>
  <c r="J2" i="34"/>
  <c r="N2" i="34" s="1"/>
  <c r="D3" i="34"/>
  <c r="E3" i="34"/>
  <c r="F3" i="34"/>
  <c r="G3" i="34"/>
  <c r="H3" i="34"/>
  <c r="L3" i="34" s="1"/>
  <c r="I3" i="34"/>
  <c r="J3" i="34"/>
  <c r="N3" i="34" s="1"/>
  <c r="C3" i="34"/>
  <c r="C2" i="34"/>
  <c r="D3" i="20"/>
  <c r="D2" i="20"/>
  <c r="G46" i="38" l="1"/>
  <c r="G45" i="38"/>
  <c r="G40" i="43"/>
  <c r="G47" i="38"/>
  <c r="N2" i="20"/>
  <c r="M2" i="20"/>
  <c r="S2" i="34"/>
  <c r="L2" i="20"/>
  <c r="L3" i="20"/>
  <c r="Y2" i="33"/>
  <c r="AB3" i="33"/>
  <c r="AD2" i="33"/>
  <c r="AD3" i="33"/>
  <c r="AG2" i="33"/>
  <c r="AC3" i="33"/>
  <c r="AC2" i="33"/>
  <c r="AF2" i="33"/>
  <c r="AF3" i="33"/>
  <c r="AG3" i="33"/>
  <c r="AE2" i="33"/>
  <c r="AE3" i="33"/>
  <c r="AA3" i="33"/>
  <c r="X3" i="33"/>
  <c r="Y3" i="33"/>
  <c r="Z2" i="33"/>
  <c r="X2" i="33"/>
  <c r="Z3" i="33"/>
  <c r="AA2" i="33"/>
  <c r="AB2" i="33"/>
  <c r="L2" i="34"/>
  <c r="M3" i="34"/>
  <c r="M2" i="34"/>
  <c r="K3" i="34"/>
  <c r="K2" i="34"/>
  <c r="V3" i="20"/>
  <c r="T3" i="20"/>
  <c r="T2" i="20"/>
  <c r="U3" i="20"/>
  <c r="U2" i="20"/>
  <c r="X3" i="20"/>
  <c r="V2" i="20"/>
  <c r="X2" i="20"/>
  <c r="K2" i="15"/>
  <c r="J1" i="33" s="1"/>
  <c r="L2" i="15"/>
  <c r="M2" i="15"/>
  <c r="L1" i="33" s="1"/>
  <c r="N2" i="15"/>
  <c r="M1" i="33" s="1"/>
  <c r="O2" i="15"/>
  <c r="N1" i="33" s="1"/>
  <c r="P2" i="15"/>
  <c r="Q2" i="15"/>
  <c r="P1" i="33" s="1"/>
  <c r="R2" i="15"/>
  <c r="S2" i="15"/>
  <c r="R1" i="33" s="1"/>
  <c r="K3" i="15"/>
  <c r="L3" i="15"/>
  <c r="M3" i="15"/>
  <c r="N3" i="15"/>
  <c r="O3" i="15"/>
  <c r="P3" i="15"/>
  <c r="Q3" i="15"/>
  <c r="R3" i="15"/>
  <c r="S3" i="15"/>
  <c r="J3" i="15"/>
  <c r="J2" i="15"/>
  <c r="I1" i="33" s="1"/>
  <c r="H13" i="41" l="1" a="1"/>
  <c r="H13" i="41" s="1"/>
  <c r="K13" i="41" s="1"/>
  <c r="H14" i="41" a="1"/>
  <c r="H14" i="41" s="1"/>
  <c r="K14" i="41" s="1"/>
  <c r="H15" i="41" a="1"/>
  <c r="H15" i="41" s="1"/>
  <c r="K15" i="41" s="1"/>
  <c r="AA2" i="34"/>
  <c r="H40" i="43"/>
  <c r="J47" i="38"/>
  <c r="H47" i="38"/>
  <c r="H45" i="38"/>
  <c r="J46" i="38"/>
  <c r="H46" i="38"/>
  <c r="P3" i="34"/>
  <c r="O2" i="34"/>
  <c r="Q2" i="34"/>
  <c r="T2" i="34"/>
  <c r="T1" i="34" s="1"/>
  <c r="Q3" i="34"/>
  <c r="T3" i="34"/>
  <c r="Y3" i="34"/>
  <c r="AA3" i="15"/>
  <c r="R2" i="34"/>
  <c r="R3" i="34"/>
  <c r="AA3" i="34"/>
  <c r="U3" i="34"/>
  <c r="U2" i="34"/>
  <c r="U1" i="34" s="1"/>
  <c r="V2" i="34"/>
  <c r="V1" i="34" s="1"/>
  <c r="V3" i="34"/>
  <c r="S3" i="34"/>
  <c r="O3" i="34"/>
  <c r="Y2" i="34"/>
  <c r="P2" i="34"/>
  <c r="S1" i="34"/>
  <c r="AC3" i="15"/>
  <c r="Z2" i="15"/>
  <c r="Y1" i="33" s="1"/>
  <c r="O1" i="33"/>
  <c r="AA2" i="15"/>
  <c r="Z1" i="33" s="1"/>
  <c r="K1" i="33"/>
  <c r="AJ3" i="15"/>
  <c r="Y2" i="15"/>
  <c r="X1" i="33" s="1"/>
  <c r="AB2" i="15"/>
  <c r="AA1" i="33" s="1"/>
  <c r="Q1" i="33"/>
  <c r="Y3" i="15"/>
  <c r="Z3" i="15"/>
  <c r="AB3" i="15"/>
  <c r="AC2" i="15"/>
  <c r="AB1" i="33" s="1"/>
  <c r="AL2" i="15"/>
  <c r="AL3" i="15"/>
  <c r="AK3" i="15"/>
  <c r="AJ2" i="15"/>
  <c r="AI3" i="15"/>
  <c r="AK2" i="15"/>
  <c r="AI2" i="15"/>
  <c r="H27" i="41" l="1" a="1"/>
  <c r="H27" i="41" s="1"/>
  <c r="K27" i="41" s="1"/>
  <c r="H25" i="41" a="1"/>
  <c r="H25" i="41" s="1"/>
  <c r="K25" i="41" s="1"/>
  <c r="H24" i="41" a="1"/>
  <c r="H24" i="41" s="1"/>
  <c r="K24" i="41" s="1"/>
  <c r="H30" i="41" a="1"/>
  <c r="H30" i="41" s="1"/>
  <c r="K30" i="41" s="1"/>
  <c r="H31" i="41" a="1"/>
  <c r="H31" i="41" s="1"/>
  <c r="K31" i="41" s="1"/>
  <c r="H28" i="41" a="1"/>
  <c r="H28" i="41" s="1"/>
  <c r="K28" i="41" s="1"/>
  <c r="H34" i="41" a="1"/>
  <c r="H34" i="41" s="1"/>
  <c r="K34" i="41" s="1"/>
  <c r="H21" i="41" a="1"/>
  <c r="H21" i="41" s="1"/>
  <c r="K21" i="41" s="1"/>
  <c r="H35" i="41" a="1"/>
  <c r="H35" i="41" s="1"/>
  <c r="K35" i="41" s="1"/>
  <c r="H32" i="41" a="1"/>
  <c r="H32" i="41" s="1"/>
  <c r="K32" i="41" s="1"/>
  <c r="H22" i="41" a="1"/>
  <c r="H22" i="41" s="1"/>
  <c r="K22" i="41" s="1"/>
  <c r="H38" i="41" a="1"/>
  <c r="H38" i="41" s="1"/>
  <c r="K38" i="41" s="1"/>
  <c r="H33" i="41" a="1"/>
  <c r="H33" i="41" s="1"/>
  <c r="K33" i="41" s="1"/>
  <c r="H23" i="41" a="1"/>
  <c r="H23" i="41" s="1"/>
  <c r="K23" i="41" s="1"/>
  <c r="H20" i="41" a="1"/>
  <c r="H20" i="41" s="1"/>
  <c r="K20" i="41" s="1"/>
  <c r="H36" i="41" a="1"/>
  <c r="H36" i="41" s="1"/>
  <c r="K36" i="41" s="1"/>
  <c r="H29" i="41" a="1"/>
  <c r="H29" i="41" s="1"/>
  <c r="K29" i="41" s="1"/>
  <c r="H26" i="41" a="1"/>
  <c r="H26" i="41" s="1"/>
  <c r="K26" i="41" s="1"/>
  <c r="H37" i="41" a="1"/>
  <c r="H37" i="41" s="1"/>
  <c r="K37" i="41" s="1"/>
  <c r="X2" i="34"/>
  <c r="H48" i="38"/>
  <c r="X3" i="34"/>
  <c r="Z2" i="34"/>
  <c r="J45" i="38"/>
  <c r="J48" i="38" s="1"/>
  <c r="H11" i="38" s="1"/>
  <c r="J40" i="43"/>
  <c r="H9" i="43" s="1"/>
  <c r="Z3" i="34"/>
  <c r="W3" i="34"/>
  <c r="W2" i="34"/>
  <c r="AH2" i="33"/>
  <c r="AH1" i="33" s="1"/>
  <c r="AH3" i="33"/>
  <c r="AI2" i="33"/>
  <c r="AI1" i="33" s="1"/>
  <c r="AI3" i="33"/>
  <c r="AO3" i="33"/>
  <c r="AJ3" i="33"/>
  <c r="AJ2" i="33"/>
  <c r="AJ1" i="33" s="1"/>
  <c r="AK3" i="33"/>
  <c r="AP2" i="33"/>
  <c r="AK2" i="33"/>
  <c r="AK1" i="33" s="1"/>
  <c r="AQ3" i="33"/>
  <c r="AL3" i="33"/>
  <c r="AL2" i="33"/>
  <c r="AM3" i="15"/>
  <c r="AM2" i="15"/>
  <c r="F2" i="32"/>
  <c r="G2" i="32"/>
  <c r="H2" i="32"/>
  <c r="I2" i="32"/>
  <c r="J2" i="32"/>
  <c r="K2" i="32"/>
  <c r="L2" i="32"/>
  <c r="M2" i="32"/>
  <c r="N2" i="32"/>
  <c r="O2" i="32"/>
  <c r="G3" i="32"/>
  <c r="H3" i="32"/>
  <c r="I3" i="32"/>
  <c r="J3" i="32"/>
  <c r="K3" i="32"/>
  <c r="L3" i="32"/>
  <c r="M3" i="32"/>
  <c r="N3" i="32"/>
  <c r="O3" i="32"/>
  <c r="F3" i="32"/>
  <c r="K11" i="41" l="1"/>
  <c r="H11" i="41"/>
  <c r="AL1" i="33"/>
  <c r="AQ2" i="33"/>
  <c r="AP3" i="33"/>
  <c r="AO2" i="33"/>
  <c r="AN2" i="33"/>
  <c r="AN3" i="33"/>
  <c r="AM2" i="33"/>
  <c r="AM3" i="33"/>
  <c r="AI2" i="32"/>
  <c r="AG2" i="32"/>
  <c r="AF2" i="32"/>
  <c r="AG3" i="32"/>
  <c r="AA3" i="32"/>
  <c r="AF3" i="32"/>
  <c r="Q3" i="32"/>
  <c r="R2" i="32"/>
  <c r="AB3" i="32"/>
  <c r="X2" i="32"/>
  <c r="AA2" i="32"/>
  <c r="U3" i="32"/>
  <c r="Y2" i="32"/>
  <c r="W3" i="32"/>
  <c r="AB2" i="32"/>
  <c r="V3" i="32"/>
  <c r="AC2" i="32"/>
  <c r="AD2" i="32"/>
  <c r="V2" i="32"/>
  <c r="AD3" i="32"/>
  <c r="AC3" i="32"/>
  <c r="W2" i="32"/>
  <c r="Y3" i="32"/>
  <c r="X3" i="32"/>
  <c r="U2" i="32"/>
  <c r="V3" i="30"/>
  <c r="P2" i="32"/>
  <c r="T3" i="32"/>
  <c r="Q2" i="32"/>
  <c r="R3" i="32"/>
  <c r="S3" i="32"/>
  <c r="S2" i="32"/>
  <c r="T2" i="32"/>
  <c r="P3" i="32"/>
  <c r="V2" i="30"/>
  <c r="Y3" i="30"/>
  <c r="Y2" i="30"/>
  <c r="X2" i="30"/>
  <c r="X3" i="30"/>
  <c r="W2" i="30"/>
  <c r="Z3" i="30"/>
  <c r="Z2" i="30"/>
  <c r="W3" i="30"/>
  <c r="K18" i="41" l="1"/>
  <c r="K9" i="41" s="1"/>
  <c r="H18" i="41"/>
  <c r="H9" i="41" s="1"/>
  <c r="AA1" i="32"/>
  <c r="AI3" i="32"/>
  <c r="AH3" i="32"/>
  <c r="AC1" i="32"/>
  <c r="AH2" i="32"/>
  <c r="AD1" i="32"/>
  <c r="AB1" i="32"/>
  <c r="Z2" i="32"/>
  <c r="Z1" i="32" s="1"/>
  <c r="AE2" i="32"/>
  <c r="Z3" i="32"/>
  <c r="AE3" i="32" l="1"/>
  <c r="H2" i="30" l="1"/>
  <c r="G1" i="32" s="1"/>
  <c r="I2" i="30"/>
  <c r="H1" i="32" s="1"/>
  <c r="J2" i="30"/>
  <c r="I1" i="32" s="1"/>
  <c r="K2" i="30"/>
  <c r="J1" i="32" s="1"/>
  <c r="L2" i="30"/>
  <c r="K1" i="32" s="1"/>
  <c r="M2" i="30"/>
  <c r="L1" i="32" s="1"/>
  <c r="N2" i="30"/>
  <c r="M1" i="32" s="1"/>
  <c r="O2" i="30"/>
  <c r="N1" i="32" s="1"/>
  <c r="P2" i="30"/>
  <c r="O1" i="32" s="1"/>
  <c r="H3" i="30"/>
  <c r="I3" i="30"/>
  <c r="J3" i="30"/>
  <c r="K3" i="30"/>
  <c r="L3" i="30"/>
  <c r="M3" i="30"/>
  <c r="N3" i="30"/>
  <c r="O3" i="30"/>
  <c r="P3" i="30"/>
  <c r="G3" i="30"/>
  <c r="G2" i="30"/>
  <c r="F1" i="32" s="1"/>
  <c r="T3" i="30" l="1"/>
  <c r="U2" i="30"/>
  <c r="Q3" i="30"/>
  <c r="Q2" i="30"/>
  <c r="U3" i="30"/>
  <c r="R2" i="30"/>
  <c r="S3" i="30"/>
  <c r="T2" i="30"/>
  <c r="R3" i="30"/>
  <c r="S2" i="30"/>
  <c r="G5" i="19" l="1"/>
  <c r="E5" i="19"/>
  <c r="G4" i="19"/>
  <c r="E4" i="19"/>
  <c r="G5" i="18" l="1"/>
  <c r="E5" i="18"/>
  <c r="G4" i="18"/>
  <c r="E4" i="18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038F9CF-E2BA-4D7C-B0E7-855A1CF6030E}" keepAlive="1" name="Consulta - TBL_IV_PERIODOS" description="Conexão com a consulta 'TBL_IV_PERIODOS' na pasta de trabalho." type="5" refreshedVersion="6" background="1" saveData="1">
    <dbPr connection="Provider=Microsoft.Mashup.OleDb.1;Data Source=$Workbook$;Location=TBL_IV_PERIODOS;Extended Properties=&quot;&quot;" command="SELECT * FROM [TBL_IV_PERIODOS]"/>
  </connection>
  <connection id="2" xr16:uid="{8B67026C-204D-4BF4-988B-B8747A1630BE}" name="Consulta - VIEW_IV_2019_DEMANDA_CONFIG_PESOS" description="Conexão com a consulta 'VIEW_IV_2019_DEMANDA_CONFIG_PESOS' na pasta de trabalho." type="100" refreshedVersion="6" minRefreshableVersion="5">
    <extLst>
      <ext xmlns:x15="http://schemas.microsoft.com/office/spreadsheetml/2010/11/main" uri="{DE250136-89BD-433C-8126-D09CA5730AF9}">
        <x15:connection id="65c07d4d-ce52-4fdc-9e64-195c674682b5"/>
      </ext>
    </extLst>
  </connection>
  <connection id="3" xr16:uid="{FD2BFE06-505B-4153-B6A1-B3FCAB72607A}" name="Consulta - VIEW_IV_2019_DEMANDA_SETORIZADA_GR" description="Conexão com a consulta 'VIEW_IV_2019_DEMANDA_SETORIZADA_GR' na pasta de trabalho." type="100" refreshedVersion="6" minRefreshableVersion="5">
    <extLst>
      <ext xmlns:x15="http://schemas.microsoft.com/office/spreadsheetml/2010/11/main" uri="{DE250136-89BD-433C-8126-D09CA5730AF9}">
        <x15:connection id="786555fc-0146-47a7-bfd9-914542ff37b6"/>
      </ext>
    </extLst>
  </connection>
  <connection id="4" xr16:uid="{6C9A6F9F-7A4F-4CB7-BA68-71945074F205}" keepAlive="1" name="Consulta - VIEW_IV_2019_DEMANDA_SETORIZADA_REP" description="Conexão com a consulta 'VIEW_IV_2019_DEMANDA_SETORIZADA_REP' na pasta de trabalho." type="5" refreshedVersion="6" background="1" saveData="1">
    <dbPr connection="Provider=Microsoft.Mashup.OleDb.1;Data Source=$Workbook$;Location=VIEW_IV_2019_DEMANDA_SETORIZADA_REP;Extended Properties=&quot;&quot;" command="SELECT * FROM [VIEW_IV_2019_DEMANDA_SETORIZADA_REP]"/>
  </connection>
  <connection id="5" xr16:uid="{81217E00-FEE4-473F-8383-1344662C9A7F}" name="Consulta - VIEW_IV_2019_ESTABELECIMENTOS_SETORIZACAO_GR" description="Conexão com a consulta 'VIEW_IV_2019_ESTABELECIMENTOS_SETORIZACAO_GR' na pasta de trabalho." type="100" refreshedVersion="6" minRefreshableVersion="5">
    <extLst>
      <ext xmlns:x15="http://schemas.microsoft.com/office/spreadsheetml/2010/11/main" uri="{DE250136-89BD-433C-8126-D09CA5730AF9}">
        <x15:connection id="ea9ec408-6788-492f-9479-b11dddaedb2a"/>
      </ext>
    </extLst>
  </connection>
  <connection id="6" xr16:uid="{671E7754-A4E9-4017-AF75-C173ADAE0B4D}" name="Consulta - VIEW_IV_2019_ESTABELECIMENTOS_SETORIZACAO_REP" description="Conexão com a consulta 'VIEW_IV_2019_ESTABELECIMENTOS_SETORIZACAO_REP' na pasta de trabalho." type="100" refreshedVersion="6" minRefreshableVersion="5">
    <extLst>
      <ext xmlns:x15="http://schemas.microsoft.com/office/spreadsheetml/2010/11/main" uri="{DE250136-89BD-433C-8126-D09CA5730AF9}">
        <x15:connection id="c10413f8-1467-4cd7-ab5f-259d02bd7b1b"/>
      </ext>
    </extLst>
  </connection>
  <connection id="7" xr16:uid="{EFE32BC9-3476-4735-ADA5-A3CACFE7BBAD}" name="Consulta - VIEW_IV_2019_GERENTES" description="Conexão com a consulta 'VIEW_IV_2019_GERENTES' na pasta de trabalho." type="100" refreshedVersion="6" minRefreshableVersion="5">
    <extLst>
      <ext xmlns:x15="http://schemas.microsoft.com/office/spreadsheetml/2010/11/main" uri="{DE250136-89BD-433C-8126-D09CA5730AF9}">
        <x15:connection id="4229df2d-847f-44cc-bf19-6adf9816deb0"/>
      </ext>
    </extLst>
  </connection>
  <connection id="8" xr16:uid="{81542B47-63D7-4B69-A739-860E93EE0EA8}" keepAlive="1" name="Consulta - VIEW_IV_2019_GR_COTA_DEMANDA" description="Conexão com a consulta 'VIEW_IV_2019_GR_COTA_DEMANDA' na pasta de trabalho." type="5" refreshedVersion="6" background="1" saveData="1">
    <dbPr connection="Provider=Microsoft.Mashup.OleDb.1;Data Source=$Workbook$;Location=VIEW_IV_2019_GR_COTA_DEMANDA;Extended Properties=&quot;&quot;" command="SELECT * FROM [VIEW_IV_2019_GR_COTA_DEMANDA]"/>
  </connection>
  <connection id="9" xr16:uid="{001C54EC-C5C0-4778-A566-A3E969F34A47}" keepAlive="1" name="Consulta - VIEW_IV_2019_GR_COTA_DEMANDA_TRI" description="Conexão com a consulta 'VIEW_IV_2019_GR_COTA_DEMANDA_TRI' na pasta de trabalho." type="5" refreshedVersion="6" background="1" saveData="1">
    <dbPr connection="Provider=Microsoft.Mashup.OleDb.1;Data Source=$Workbook$;Location=VIEW_IV_2019_GR_COTA_DEMANDA_TRI;Extended Properties=&quot;&quot;" command="SELECT * FROM [VIEW_IV_2019_GR_COTA_DEMANDA_TRI]"/>
  </connection>
  <connection id="10" xr16:uid="{B8A0EBCF-6BF4-497A-92BB-AFD49725D1ED}" name="Consulta - VIEW_IV_2019_GR_DEMANDA" description="Conexão com a consulta 'VIEW_IV_2019_GR_DEMANDA' na pasta de trabalho." type="100" refreshedVersion="6" minRefreshableVersion="5">
    <extLst>
      <ext xmlns:x15="http://schemas.microsoft.com/office/spreadsheetml/2010/11/main" uri="{DE250136-89BD-433C-8126-D09CA5730AF9}">
        <x15:connection id="3cf13ff6-8e4f-4276-914a-2651024a1dc3"/>
      </ext>
    </extLst>
  </connection>
  <connection id="11" xr16:uid="{834F8B92-0E6E-4335-8956-C9216E1AF1B6}" keepAlive="1" name="Consulta - VIEW_IV_2019_REP_CALCULO" description="Conexão com a consulta 'VIEW_IV_2019_REP_CALCULO' na pasta de trabalho." type="5" refreshedVersion="6" background="1" saveData="1">
    <dbPr connection="Provider=Microsoft.Mashup.OleDb.1;Data Source=$Workbook$;Location=VIEW_IV_2019_REP_CALCULO;Extended Properties=&quot;&quot;" command="SELECT * FROM [VIEW_IV_2019_REP_CALCULO]"/>
  </connection>
  <connection id="12" xr16:uid="{6DE312E2-80A2-4634-9D69-2BF455C86FAD}" keepAlive="1" name="Consulta - VIEW_IV_2019_REP_CALCULO_TRI" description="Conexão com a consulta 'VIEW_IV_2019_REP_CALCULO_TRI' na pasta de trabalho." type="5" refreshedVersion="6" background="1" saveData="1">
    <dbPr connection="Provider=Microsoft.Mashup.OleDb.1;Data Source=$Workbook$;Location=VIEW_IV_2019_REP_CALCULO_TRI;Extended Properties=&quot;&quot;" command="SELECT * FROM [VIEW_IV_2019_REP_CALCULO_TRI]"/>
  </connection>
  <connection id="13" xr16:uid="{A1D2B4C3-E207-402B-9CDE-89937E46108C}" name="Consulta - VIEW_IV_2019_REPRESENTANTES" description="Conexão com a consulta 'VIEW_IV_2019_REPRESENTANTES' na pasta de trabalho." type="100" refreshedVersion="6" minRefreshableVersion="5">
    <extLst>
      <ext xmlns:x15="http://schemas.microsoft.com/office/spreadsheetml/2010/11/main" uri="{DE250136-89BD-433C-8126-D09CA5730AF9}">
        <x15:connection id="2773b11d-66f6-4d90-84db-55b19cf36591"/>
      </ext>
    </extLst>
  </connection>
  <connection id="14" xr16:uid="{1F2FF8DB-88EC-41D6-9D57-BFFFEACE272A}" keepAlive="1" name="Consulta - VIEW_IV_2019_VENDA" description="Conexão com a consulta 'VIEW_IV_2019_VENDA' na pasta de trabalho." type="5" refreshedVersion="6" background="1" saveData="1">
    <dbPr connection="Provider=Microsoft.Mashup.OleDb.1;Data Source=$Workbook$;Location=VIEW_IV_2019_VENDA;Extended Properties=&quot;&quot;" command="SELECT * FROM [VIEW_IV_2019_VENDA]"/>
  </connection>
  <connection id="15" xr16:uid="{A7888DC0-D1FA-4ECF-B431-3F15E9B6AAFD}" keepAlive="1" name="Consulta - VIEW_IV_2019_VENDA_DETALHADA" description="Conexão com a consulta 'VIEW_IV_2019_VENDA_DETALHADA' na pasta de trabalho." type="5" refreshedVersion="6" background="1" saveData="1">
    <dbPr connection="Provider=Microsoft.Mashup.OleDb.1;Data Source=$Workbook$;Location=VIEW_IV_2019_VENDA_DETALHADA;Extended Properties=&quot;&quot;" command="SELECT * FROM [VIEW_IV_2019_VENDA_DETALHADA]"/>
  </connection>
  <connection id="16" xr16:uid="{BE775423-9B7B-46B0-82E0-105FEC457B56}" keepAlive="1" name="Consulta - VIEW_IV_2019_VENDA_TRI" description="Conexão com a consulta 'VIEW_IV_2019_VENDA_TRI' na pasta de trabalho." type="5" refreshedVersion="6" background="1" saveData="1">
    <dbPr connection="Provider=Microsoft.Mashup.OleDb.1;Data Source=$Workbook$;Location=VIEW_IV_2019_VENDA_TRI;Extended Properties=&quot;&quot;" command="SELECT * FROM [VIEW_IV_2019_VENDA_TRI]"/>
  </connection>
  <connection id="17" xr16:uid="{297B928E-E6A4-4D74-8B26-431CFBE83E13}" name="Consulta - VIEW_IV_2019_VISITAS_GR" description="Conexão com a consulta 'VIEW_IV_2019_VISITAS_GR' na pasta de trabalho." type="100" refreshedVersion="6" minRefreshableVersion="5">
    <extLst>
      <ext xmlns:x15="http://schemas.microsoft.com/office/spreadsheetml/2010/11/main" uri="{DE250136-89BD-433C-8126-D09CA5730AF9}">
        <x15:connection id="21de116b-7c9f-4680-82b9-7004fc42b977"/>
      </ext>
    </extLst>
  </connection>
  <connection id="18" xr16:uid="{D15DB5C7-A2F8-4351-B4D6-E632A1F1D156}" name="Consulta - VIEW_IV_2019_VISITAS_REP" description="Conexão com a consulta 'VIEW_IV_2019_VISITAS_REP' na pasta de trabalho." type="100" refreshedVersion="6" minRefreshableVersion="5">
    <extLst>
      <ext xmlns:x15="http://schemas.microsoft.com/office/spreadsheetml/2010/11/main" uri="{DE250136-89BD-433C-8126-D09CA5730AF9}">
        <x15:connection id="67fb61ad-ef1a-4c80-a995-441ddc1813cd"/>
      </ext>
    </extLst>
  </connection>
  <connection id="19" xr16:uid="{51420BBF-D61C-4483-9000-38ACDCE447E1}" keepAlive="1" name="ModelConnection_DadosExternos_1" description="Modelo de Dados" type="5" refreshedVersion="6" minRefreshableVersion="5" saveData="1">
    <dbPr connection="Data Model Connection" command="VIEW_IV_2019_DEMANDA_SETORIZADA_GR" commandType="3"/>
    <extLst>
      <ext xmlns:x15="http://schemas.microsoft.com/office/spreadsheetml/2010/11/main" uri="{DE250136-89BD-433C-8126-D09CA5730AF9}">
        <x15:connection id="" model="1"/>
      </ext>
    </extLst>
  </connection>
  <connection id="20" xr16:uid="{4DF23059-9F4A-4CC7-B83C-3C38DD1F58AF}" keepAlive="1" name="ModelConnection_DadosExternos_3" description="Modelo de Dados" type="5" refreshedVersion="6" minRefreshableVersion="5" saveData="1">
    <dbPr connection="Data Model Connection" command="VIEW_IV_2019_ESTABELECIMENTOS_SETORIZACAO_REP" commandType="3"/>
    <extLst>
      <ext xmlns:x15="http://schemas.microsoft.com/office/spreadsheetml/2010/11/main" uri="{DE250136-89BD-433C-8126-D09CA5730AF9}">
        <x15:connection id="" model="1"/>
      </ext>
    </extLst>
  </connection>
  <connection id="21" xr16:uid="{AC0E095E-E2B5-45FC-8948-06F022280ADA}" keepAlive="1" name="ModelConnection_DadosExternos_31" description="Modelo de Dados" type="5" refreshedVersion="6" minRefreshableVersion="5" saveData="1">
    <dbPr connection="Data Model Connection" command="VIEW_IV_2019_VISITAS_GR" commandType="3"/>
    <extLst>
      <ext xmlns:x15="http://schemas.microsoft.com/office/spreadsheetml/2010/11/main" uri="{DE250136-89BD-433C-8126-D09CA5730AF9}">
        <x15:connection id="" model="1"/>
      </ext>
    </extLst>
  </connection>
  <connection id="22" xr16:uid="{1445EC61-EFAC-48D6-A9CA-5863FD21FDD8}" keepAlive="1" name="ModelConnection_DadosExternos_4" description="Modelo de Dados" type="5" refreshedVersion="6" minRefreshableVersion="5" saveData="1">
    <dbPr connection="Data Model Connection" command="VIEW_IV_2019_DEMANDA_CONFIG_PESOS" commandType="3"/>
    <extLst>
      <ext xmlns:x15="http://schemas.microsoft.com/office/spreadsheetml/2010/11/main" uri="{DE250136-89BD-433C-8126-D09CA5730AF9}">
        <x15:connection id="" model="1"/>
      </ext>
    </extLst>
  </connection>
  <connection id="23" xr16:uid="{C9B47B54-BDF3-438B-8241-FDEA58CE8582}" keepAlive="1" name="ModelConnection_DadosExternos_41" description="Modelo de Dados" type="5" refreshedVersion="6" minRefreshableVersion="5" saveData="1">
    <dbPr connection="Data Model Connection" command="VIEW_IV_2019_ESTABELECIMENTOS_SETORIZACAO_GR" commandType="3"/>
    <extLst>
      <ext xmlns:x15="http://schemas.microsoft.com/office/spreadsheetml/2010/11/main" uri="{DE250136-89BD-433C-8126-D09CA5730AF9}">
        <x15:connection id="" model="1"/>
      </ext>
    </extLst>
  </connection>
  <connection id="24" xr16:uid="{A7CF4E78-FFB3-4E78-B54E-D6F5F839512A}" keepAlive="1" name="ModelConnection_DadosExternos_42" description="Modelo de Dados" type="5" refreshedVersion="6" minRefreshableVersion="5" saveData="1">
    <dbPr connection="Data Model Connection" command="VIEW_IV_2019_VISITAS_REP" commandType="3"/>
    <extLst>
      <ext xmlns:x15="http://schemas.microsoft.com/office/spreadsheetml/2010/11/main" uri="{DE250136-89BD-433C-8126-D09CA5730AF9}">
        <x15:connection id="" model="1"/>
      </ext>
    </extLst>
  </connection>
  <connection id="25" xr16:uid="{5460237D-8C10-474D-A074-68FAD1A2B759}" keepAlive="1" name="ModelConnection_DadosExternos_5" description="Modelo de Dados" type="5" refreshedVersion="6" minRefreshableVersion="5" saveData="1">
    <dbPr connection="Data Model Connection" command="VIEW_IV_2019_REPRESENTANTES" commandType="3"/>
    <extLst>
      <ext xmlns:x15="http://schemas.microsoft.com/office/spreadsheetml/2010/11/main" uri="{DE250136-89BD-433C-8126-D09CA5730AF9}">
        <x15:connection id="" model="1"/>
      </ext>
    </extLst>
  </connection>
  <connection id="26" xr16:uid="{6BA2E927-9C9F-4EA4-B449-242DE2FBBEA0}" keepAlive="1" name="ModelConnection_DadosExternos_6" description="Modelo de Dados" type="5" refreshedVersion="6" minRefreshableVersion="5" saveData="1">
    <dbPr connection="Data Model Connection" command="VIEW_IV_2019_GERENTES" commandType="3"/>
    <extLst>
      <ext xmlns:x15="http://schemas.microsoft.com/office/spreadsheetml/2010/11/main" uri="{DE250136-89BD-433C-8126-D09CA5730AF9}">
        <x15:connection id="" model="1"/>
      </ext>
    </extLst>
  </connection>
  <connection id="27" xr16:uid="{0B3E096C-EBBF-448A-B7AD-C438B908B474}" keepAlive="1" name="ThisWorkbookDataModel" description="Modelo de Dados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<sst xmlns="http://schemas.openxmlformats.org/spreadsheetml/2006/main" count="55261" uniqueCount="1166">
  <si>
    <t>Ano-Unv</t>
  </si>
  <si>
    <t>Mes-Unv</t>
  </si>
  <si>
    <t>Ano-Fiscal</t>
  </si>
  <si>
    <t>Mes-Fiscal</t>
  </si>
  <si>
    <t>Tri-Fiscal</t>
  </si>
  <si>
    <t>Periodo-IV</t>
  </si>
  <si>
    <t>Calculo-Mensal</t>
  </si>
  <si>
    <t>Calculo-Trimestral</t>
  </si>
  <si>
    <t>Calculo-Anual</t>
  </si>
  <si>
    <t>CNPJ</t>
  </si>
  <si>
    <t>Estabelecimento</t>
  </si>
  <si>
    <t>Cidade</t>
  </si>
  <si>
    <t>UF</t>
  </si>
  <si>
    <t>Cod-Linha</t>
  </si>
  <si>
    <t>Linha</t>
  </si>
  <si>
    <t>EQ</t>
  </si>
  <si>
    <t>2019/2020</t>
  </si>
  <si>
    <t>01-Jul</t>
  </si>
  <si>
    <t>01-Tri</t>
  </si>
  <si>
    <t>INSTITUTO DE ONCOLOGIA PREVENT SENIOR - SAO PAULO - SP - PRIVADO - 00.461.479/0045-84</t>
  </si>
  <si>
    <t>SAO PAULO</t>
  </si>
  <si>
    <t>SP</t>
  </si>
  <si>
    <t>PRIVIGEN</t>
  </si>
  <si>
    <t>ONCOCENTER SERVICOS MEDICOS LTDA. - SAO PAULO - SP - PRIVADO - 04.036.348/0001-90</t>
  </si>
  <si>
    <t>INSTITUTO DE IMUNOLOGIA E ONCOLOGIA S/S LTDA - SAO PAULO - SP - PRIVADO - 05.831.510/0001-24</t>
  </si>
  <si>
    <t>HOSPITAL ALVORADA MOEMA - SAO PAULO - SP - PRIVADO - 08.100.676/0005-92</t>
  </si>
  <si>
    <t>H. METROPOLITANO - UNIDADE BUTANTA - SAO PAULO - SP - PRIVADO - 08.100.676/0008-35</t>
  </si>
  <si>
    <t>HOSPITAL ALVORADA TAGUATINGA LTDA - SAO PAULO - SP - PRIVADO - 08.100.676/0024-55</t>
  </si>
  <si>
    <t>CIP - CENTRO DE INFUSOES PACAEMBU LTDA - SAO PAULO - SP - PRIVADO - 08.871.521/0001-26</t>
  </si>
  <si>
    <t>CRETA - CENTRO REUMATOLOGICO DE TERAPIA AVANCADA LTDA. - ME - SAO PAULO - SP - PRIVADO - 10.468.341/0001-40</t>
  </si>
  <si>
    <t>CRETA - CENTRO REUMATOLOGICO DE TERAPIA AVANCADA LTDA - SAO PAULO - SP - PRIVADO - 10.468.341/0002-20</t>
  </si>
  <si>
    <t>HEMOMED - SAO PAULO - SP - PRIVADO - 10.475.230/0001-60</t>
  </si>
  <si>
    <t>HOSPITAL LEFORTE LTDA  - SAO PAULO  - SP - PRIVADO - 19.803.199/0001-14</t>
  </si>
  <si>
    <t>HOSPITAL BANDEIRANTES LTDA  - SAO PAULO - SP - PRIVADO - 21.371.777/0001-32</t>
  </si>
  <si>
    <t>HOSPITAL PAULISTANO - SAO PAULO - SP - PRIVADO - 29.435.005/0026-87</t>
  </si>
  <si>
    <t>HOSPITAL E MATERNIDADE VITORIA - SAO PAULO - SP - PRIVADO - 29.435.005/0045-40</t>
  </si>
  <si>
    <t>ESHO EMPRESA DE SERVICOS HOSPITALARES S.A - SAO PAULO - SP - PRIVADO - 29.435.005/0099-32</t>
  </si>
  <si>
    <t>CENTRO INFUSIONAL E REFERENCIA MEDICA - FESP - SAO PAULO - SP - PRIVADO - 43.643.139/0004-09</t>
  </si>
  <si>
    <t>INTERMEDICA SISTEMA DE SAUDE - SAO PAULO - SP - PRIVADO - 44.649.812/0055-20</t>
  </si>
  <si>
    <t>AMICO SAUDE LTDA  - SAO PAULO  - SP - PRIVADO - 51.722.957/0102-26</t>
  </si>
  <si>
    <t>HOSPITAL E MATERNIDADE METROPOLITANO - SAO PAULO - SP - PRIVADO - 51.722.957/0125-12</t>
  </si>
  <si>
    <t>UNIDADE DE ONCOLOGIA CLINICA E PEDIATRICA LTDA. - EPP - SAO PAULO - SP - PRIVADO - 57.394.710/0001-60</t>
  </si>
  <si>
    <t>CLINICA DE ONCOLOGIA MEDICA SOCIEDADE SIMPLES LTDA - SAO PAULO - SP - PRIVADO - 59.481.028/0001-30</t>
  </si>
  <si>
    <t>HOSPITAL SANTA CRUZ - SAO PAULO - SP - PRIVADO - 60.552.098/0001-11</t>
  </si>
  <si>
    <t>HOSPITAL ALEMAO OSWALDO CRUZ - SAO PAULO - SP - PRIVADO - 60.726.502/0001-26</t>
  </si>
  <si>
    <t>HOSPITAL SANTA PAULA LTDA - SAO PAULO - SP - PRIVADO - 60.777.901/0001-16</t>
  </si>
  <si>
    <t>HOSPITAL 9 DE JULHO - SAO PAULO - SP - PRIVADO - 60.884.855/0003-16</t>
  </si>
  <si>
    <t>HOSPITAL SANTA CATARINA - SAO PAULO - SP - PRIVADO - 60.922.168/0007-71</t>
  </si>
  <si>
    <t>HOSPITAL AMPARO MATERNAL - SAO PAULO - SP - PRIVADO - 60.922.168/0043-35</t>
  </si>
  <si>
    <t>SEPACO - SAO PAULO - SP - PRIVADO - 60.961.422/0001-55</t>
  </si>
  <si>
    <t>A.C.CAMARGO CANCER CENTER - SAO PAULO - SP - PRIVADO - 60.961.968/0001-06</t>
  </si>
  <si>
    <t>HOSPITAL E MATERNIDADE SAO CRISTOVAO - SAO PAULO - SP - PRIVADO - 60.975.174/0003-63</t>
  </si>
  <si>
    <t>HOSPITAL INFANTIL SABARA - SAO PAULO - SP - PRIVADO - 61.213.674/0002-40</t>
  </si>
  <si>
    <t>SOC BENEFICIENTE DE SENHORAS HOSPITAL SIRIO LIBANES - SAO PAULO - SP - PRIVADO - 61.590.410/0001-24</t>
  </si>
  <si>
    <t>GREEN LINE SISTEMA DE SAUDE S/A - SAO PAULO - SP - PRIVADO - 61.849.980/0010-87</t>
  </si>
  <si>
    <t>02-Ago</t>
  </si>
  <si>
    <t>CENTRAL CLINIC - SAO PAULO - SP - PRIVADO - 02.383.508/0004-94</t>
  </si>
  <si>
    <t>SAHA SERVICOS MEDICOS E HOSPITALARES LTDA. - SAO PAULO - SP - PRIVADO - 07.045.325/0001-30</t>
  </si>
  <si>
    <t>COORDENADORIA DE ASSISTENCIA FARMACEUTICA - PUBLICO - 46.374.500/0262-31</t>
  </si>
  <si>
    <t>AMICO SAUDE LTDA - SAO PAULO - SP - PRIVADO - 51.722.957/0005-06</t>
  </si>
  <si>
    <t>03-Set</t>
  </si>
  <si>
    <t>CONJUNTO HOSPITALAR DO MANDAQUI - SAO PAULO - SP - PUBLICO - 46.374.500/0088-45</t>
  </si>
  <si>
    <t>HOSPITAL GERAL DE VILA NOVA CACHOEIRINHA - SAO PAULO - SP - PUBLICO - 46.374.500/0108-23</t>
  </si>
  <si>
    <t>FUNDACAO FACULDADE DE MEDICINA - SAO PAULO - SP - PRIVADO - 56.577.059/0001-00</t>
  </si>
  <si>
    <t>HOSPITAL E MATERNIDADE SANTA JOANA S/A - SAO PAULO - SP - PRIVADO - 60.678.604/0001-13</t>
  </si>
  <si>
    <t>04-Out</t>
  </si>
  <si>
    <t>02-Tri</t>
  </si>
  <si>
    <t>HOSPITAL SANCTA MAGGIORE ITAIM - SAO PAULO - SP - PRIVADO - 00.461.479/0019-92</t>
  </si>
  <si>
    <t>BERIPLEX</t>
  </si>
  <si>
    <t>HIZENTRA</t>
  </si>
  <si>
    <t>PRONEP SAO PAULO - SAO PAULO - SP - PRIVADO - 02.837.922/0001-83</t>
  </si>
  <si>
    <t>GLOBAL CARE ASSISTENCIA DOMICILIAR LTDA - SAO PAULO - SP - PRIVADO - 03.872.790/0001-93</t>
  </si>
  <si>
    <t>HOSP SAO LUIZ ANALIA FRANCO - SAO PAULO - SP - PRIVADO - 06.047.087/0001-39</t>
  </si>
  <si>
    <t>SAO LUIZ  UNIDADE ITAIM - SAO PAULO - SP - PRIVADO - 06.047.087/0002-10</t>
  </si>
  <si>
    <t>HAEMOCOMPLETTAN</t>
  </si>
  <si>
    <t>HOSPITAL SAO LUIZ JABAQUARA - SAO PAULO - SP - PRIVADO - 06.047.087/0038-20</t>
  </si>
  <si>
    <t>HOME LIFE ASSISTENCIA DOMICILIAR EM SAUDE - PRIVADO - 08.438.844/0003-92</t>
  </si>
  <si>
    <t>PEDIATRICS HOME CARE - INTERNACAO MEDICA DOMICILIAR LTDA</t>
  </si>
  <si>
    <t>EV CITI - SAO PAULO - SP - PRIVADO - 10.323.381/0001-01</t>
  </si>
  <si>
    <t>NOVO SANTO EXPEDITO - SAO PAULO - SP - PRIVADO - 13.718.999/0001-50</t>
  </si>
  <si>
    <t>ASSOCIACAO HOSPITALAR FILHAS DE NOSSA SENHORA DO MONTE CALVARIO - SAO PAULO - SP - PRIVADO - 18.180.008/0001-42</t>
  </si>
  <si>
    <t>SR CARE ASSISTENCIA DOMICILIAR LTDA - PRIVADO - 20.812.223/0002-41</t>
  </si>
  <si>
    <t>HOSPITAL VILA NOVA STAR - SAO PAULO - SP - PRIVADO - 28.290.788/0001-37</t>
  </si>
  <si>
    <t>FARMACIA ONCO STAR - SAO PAULO - SP - PRIVADO - 28.290.788/0003-07</t>
  </si>
  <si>
    <t>INSTITUTO DO CANCER DO ESTADO DE SAO PAULO - SAO PAULO - SP - PRIVADO - 56.577.059/0006-06</t>
  </si>
  <si>
    <t>HOSPITAL DAS CLINICAS DA FACULDADE DE MEDICINA DA U S P - SAO PAULO - SP - PUBLICO - 60.448.040/0001-22</t>
  </si>
  <si>
    <t>HOSPITAL DO CORACAO - SAO PAULO - SP - PRIVADO - 60.453.024/0003-90</t>
  </si>
  <si>
    <t>HOSPITAL ALEMAO OSWALDO CRUZ - SAO PAULO - SP - PRIVADO - 60.726.502/0007-11</t>
  </si>
  <si>
    <t>HOSPITAL SAO CAMILO - SANTANA - SAO PAULO - SP - PRIVADO - 60.975.737/0012-04</t>
  </si>
  <si>
    <t>REAL E BENEMERITA ASSOCIACAO PORTUGUESA DE BENEFICENCIA - SAO PAULO - SP - PRIVADO - 61.599.908/0001-58</t>
  </si>
  <si>
    <t>HOSPITAL E MATERNIDADE SANTA MARIA - SAO PAULO - SP - PRIVADO - 62.106.505/0001-92</t>
  </si>
  <si>
    <t>IRMANDADE DA SANTA CASA DE MISERICORDIA DE SAO PAULO - SAO PAULO - SP - PRIVADO - 62.779.145/0001-90</t>
  </si>
  <si>
    <t>SARE DROGARIAS - SAO PAULO - SP - PRIVADO - 08.677.327/0001-04</t>
  </si>
  <si>
    <t>HOSPITAL MORIAH - SAO PAULO - SP - PRIVADO - 19.056.055/0001-41</t>
  </si>
  <si>
    <t>HOSPITAL ISRAELITA ALBERTEINSTEIN - SAO PAULO - SP - PRIVADO - 60.765.823/0001-30</t>
  </si>
  <si>
    <t>HOSPITAL A.C.CAMARGO - TAMANDARE - SAO PAULO - SP - PRIVADO - 60.961.968/0004-59</t>
  </si>
  <si>
    <t>HOSPITAL SAO CAMILO - POMPEIA - SAO PAULO - SP - PRIVADO - 60.975.737/0002-32</t>
  </si>
  <si>
    <t>HOSPITAL SAO CAMILO - IPIRANGA - SAO PAULO - SP - PRIVADO - 60.975.737/0051-10</t>
  </si>
  <si>
    <t>INSTITUTO DE ONCOLOGIA PEDIATRICA - IOP - SAO PAULO - SP - PRIVADO - 67.185.694/0001-50</t>
  </si>
  <si>
    <t>BERINERT</t>
  </si>
  <si>
    <t>BENEFICENCIA NIPO BRASILEIRA DE SAO PAULO - SAO PAULO - SP - PRIVADO - 60.992.427/0006-50</t>
  </si>
  <si>
    <t>HOSPITAL PROFESSOR EDMUNDO VASCONCELOS - SAO PAULO - SP - PRIVADO - 61.062.212/0001-98</t>
  </si>
  <si>
    <t>HOSPITAL AVICCENA S/A - SAO PAULO - SP - PRIVADO - 72.775.745/0001-33</t>
  </si>
  <si>
    <t>HOME HEALTH CARE DOCTOR SERVICOS MEDICOS DOMICILIARES S/S LTDA - SAO PAULO - SP - PRIVADO - 00.603.226/0001-87</t>
  </si>
  <si>
    <t>JEAN STANISLAS MARIE BRUNET-LECOMTE - PESSOA FÍSICA - 239.415.938-38</t>
  </si>
  <si>
    <t>SÃO PAULO</t>
  </si>
  <si>
    <t>UNIMED DE PIRASSUNUNGA COOPERATIVA DE TRABALHO MEDICO - SP - SAO PAULO - 00.840.048/0004-50</t>
  </si>
  <si>
    <t>PIRASSUNUNGA</t>
  </si>
  <si>
    <t>HOSPITAL SAO FRANCISCO DE RIBEIRAO PRETO SP - PRIVADO - 01.613.433/0068-92</t>
  </si>
  <si>
    <t>RIBEIRAO PRETO</t>
  </si>
  <si>
    <t>HOME CARE CENE - SAO JOSE DO RIO PRETO - SP - PRIVADO - 02.643.405/0001-73</t>
  </si>
  <si>
    <t>SAO JOSE DO RIO PRETO</t>
  </si>
  <si>
    <t>ALBERT SABIN HOSPITAL E MATERNIDADE - ATIBAIA - SP - PRIVADO - 04.275.687/0001-29</t>
  </si>
  <si>
    <t>ATIBAIA</t>
  </si>
  <si>
    <t>HSH - SANTO ANDRE - SP - PRIVADO - 06.033.403/0001-13</t>
  </si>
  <si>
    <t>SANTO ANDRE</t>
  </si>
  <si>
    <t>HOSPITAL VIVALLE - SAO JOSE DOS CAMPOS - SP - PRIVADO - 06.047.087/0030-73</t>
  </si>
  <si>
    <t>SAO JOSE DOS CAMPOS</t>
  </si>
  <si>
    <t>HOSPITAL SINO BRASILEIRO - OSASCO - SP - PRIVADO - 06.047.087/0076-56</t>
  </si>
  <si>
    <t>OSASCO</t>
  </si>
  <si>
    <t>ASSOCIACAO BENEFICENTE SAMARITANO - HORTOLANDIA - SP - PRIVADO - 06.209.132/0001-04</t>
  </si>
  <si>
    <t>HORTOLANDIA</t>
  </si>
  <si>
    <t>ALERGO LOGICA DIAGNOSTICO EM ALERGIA LTDA ME - PRIVADO - 10.447.300/0001-77</t>
  </si>
  <si>
    <t>CAMPINAS</t>
  </si>
  <si>
    <t>HOSPITAL ACACIAS - SANTO ANDRE - SP - PRIVADO - 13.718.999/0010-41</t>
  </si>
  <si>
    <t>SANTA CASA SAUDE - PRIVADO - 18.321.477/0001-34</t>
  </si>
  <si>
    <t>INSTITUTO DO CANCER DE ANDRADINA - PRIVADO - 25.026.561/0001-90</t>
  </si>
  <si>
    <t>ANDRADINA</t>
  </si>
  <si>
    <t>UNIDADE HOSPITAL VITORIA SANTOS - PRIVADO - 29.435.005/0080-22</t>
  </si>
  <si>
    <t>SANTOS</t>
  </si>
  <si>
    <t>ESHO EMPRESA DE SERVICOS HOSPITALARES S.A. - PRIVADO - 29.435.005/0082-94</t>
  </si>
  <si>
    <t>GUARULHOS</t>
  </si>
  <si>
    <t>UNIDADE HOSP GERAL E MATERNIDADE MADRE MARIA THEODORA  - CAMPINAS - SP - PRIVADO - 29.435.005/0084-56</t>
  </si>
  <si>
    <t>SANTA HELENA ASSISTENCIA MEDICA S/A - SAO BERNARDO DO CAMPO - SP - PRIVADO - 43.293.604/0021-20</t>
  </si>
  <si>
    <t>SAO BERNARDO DO CAMPO</t>
  </si>
  <si>
    <t>HOSPITAL UNIMED - BAURU - SP - PRIVADO - 44.456.036/0003-11</t>
  </si>
  <si>
    <t>BAURU</t>
  </si>
  <si>
    <t>PREFEITURA DE LINS - LINS - SP - PUBLICO - 44.531.788/0001-38</t>
  </si>
  <si>
    <t>LINS</t>
  </si>
  <si>
    <t>INTERMEDICA SISTEMA DE SAUDE S A - CAMPINAS - SP - PRIVADO - 44.649.812/0192-38</t>
  </si>
  <si>
    <t>HOSPITAL E MATERNIDADE UNIMED - RIO CLARO - SP - PRIVADO - 44.663.631/0005-90</t>
  </si>
  <si>
    <t>RIO CLARO</t>
  </si>
  <si>
    <t>UNIMED DE PIRACICABA SOC COOP DE SERVICOS MEDICOS - PIRACICABA - SP - PRIVADO - 44.803.922/0002-93</t>
  </si>
  <si>
    <t>PIRACICABA</t>
  </si>
  <si>
    <t>UNIMED HOSPITAL SAO DOMINGOS - CATANDUVA - SP - PRIVADO - 45.118.429/0012-79</t>
  </si>
  <si>
    <t>CATANDUVA</t>
  </si>
  <si>
    <t>HOSPITAL POLICLIN - SAO JOSE DOS CAMPOS - SP - PRIVADO - 45.184.066/0001-17</t>
  </si>
  <si>
    <t>UNIMED DE RIBEIRAO PRETO COOPERATIVA DE TRABALHO MEDICO - RIBEIRAO PRETO - SP - PRIVADO - 45.232.246/0005-50</t>
  </si>
  <si>
    <t>HOSPITAL UNIMED SAO CARLOS - SAO CARLOS - SP - PRIVADO - 45.359.213/0005-76</t>
  </si>
  <si>
    <t>SAO CARLOS</t>
  </si>
  <si>
    <t>UNIMED - SOROCABA - SP - PRIVADO - 45.399.961/0002-30</t>
  </si>
  <si>
    <t>SOROCABA</t>
  </si>
  <si>
    <t>JUNDIAI GABINETE PREFEITO - JUNDIAI - SP - PUBLICO - 45.780.103/0001-50</t>
  </si>
  <si>
    <t>JUNDIAI</t>
  </si>
  <si>
    <t>HOSPITAL VERA CRUZ S A - CAMPINAS - SP - PRIVADO - 46.009.718/0001-40</t>
  </si>
  <si>
    <t>HOSPITAL E MATERNIDADE CELSO PIERRO - CAMPINAS - SP - PRIVADO - 46.020.301/0002-69</t>
  </si>
  <si>
    <t>UNIMED CAMPINAS COOPERATIVA DE TRABALHO MEDICO - CAMPINAS - SP - PRIVADO - 46.124.624/0001-11</t>
  </si>
  <si>
    <t>UNIMED CAMPINAS COOPERATIVA DE TRABALHO MEDICO - SUMARE - SP - PRIVADO - 46.124.624/0025-99</t>
  </si>
  <si>
    <t>SUMARE</t>
  </si>
  <si>
    <t>DEPARTAM. REGIONAL DE SAUDE DE RIB. PRETO - DRS XIII - PUBLICO - 46.374.500/0035-33</t>
  </si>
  <si>
    <t>HOSPITAL PADRE ALBINO - CATANDUVA - SP - PRIVADO - 47.074.851/0008-19</t>
  </si>
  <si>
    <t>PREFEITURA MUNICIPAL DE GUARARAPES - GUARARAPES - SP - PUBLICO - 48.468.284/0001-71</t>
  </si>
  <si>
    <t>GUARARAPES</t>
  </si>
  <si>
    <t>HOSPITAL SAO JOAQUIM - FRANCA - SP - PRIVADO - 50.486.026/0001-60</t>
  </si>
  <si>
    <t>FRANCA</t>
  </si>
  <si>
    <t>INSTITUTO DO RADIUM - CAMPINAS - SP - PRIVADO - 51.877.926/0001-09</t>
  </si>
  <si>
    <t>PREFEITURA MUNICIPAL DE CAMPINAS - CAMPINAS - SP - PUBLICO - 51.885.242/0001-40</t>
  </si>
  <si>
    <t>JHOSPITAL UNIMED DE ARARAS - ARARAS - SP - PRIVADO - 54.012.406/0003-85</t>
  </si>
  <si>
    <t>ARARAS</t>
  </si>
  <si>
    <t>HOSPITAL SAO LUCAS - RIBEIRAO PRETO - SP - PRIVADO - 55.980.148/0001-21</t>
  </si>
  <si>
    <t>CENTRO DE REFERENCIA DA SAUDE DA MULHER - MATER - RIBEIRAO PRETO - SP - PRIVADO - 57.722.118/0003-02</t>
  </si>
  <si>
    <t>UNIMED DE SANTOS COOPERATIVA DE TRABALHO MEDICO - SANTOS - SP - PRIVADO - 58.229.691/0010-70</t>
  </si>
  <si>
    <t>CASA DE SAUDE SANTA HELENA - SAO JOSE DO RIO PRETO - SP - PRIVADO - 59.970.947/0001-78</t>
  </si>
  <si>
    <t>HOSPITAL INFANTE DOM HENRIQUE - SAO JOSE DO RIO PRETO - SP - PRIVADO - 59.972.307/0001-05</t>
  </si>
  <si>
    <t>HOSPITAL DE BASE - SAO JOSE DO RIO PRETO - SP - PRIVADO - 60.003.761/0001-29</t>
  </si>
  <si>
    <t>UNIMED SAO JOSE DOS CAMPOS - COOPERATIVA DE TRABALHO MEDICO - SAO JOSE DOS CAMPOS - SP - PRIVADO - 60.214.517/0009-62</t>
  </si>
  <si>
    <t>HOSPITAL SANTOS DUMONT - SAO JOSE DOS CAMPOS - SP - PRIVADO - 60.214.517/0016-91</t>
  </si>
  <si>
    <t>HOSPITAL BARTIRA - SANTO ANDRE - SP - PRIVADO - 06.047.087/0079-07</t>
  </si>
  <si>
    <t>CORP - SAO JOSE DO RIO PRETO - SP - PRIVADO - 10.576.443/0001-89</t>
  </si>
  <si>
    <t>BIO IMUNE - CENTRO DE APLICACOES E VACINAS  CONSULTORIA E PROCEDIMENTOS MEDICOS LTDA - ME - SANTOS - SP - PRIVADO - 10.868.295/0001-76</t>
  </si>
  <si>
    <t>ASSOCIACAO HOSPITALAR CASA DE SAUDE DE SANTOS - SANTOS - SP - PRIVADO - 18.290.268/0001-70</t>
  </si>
  <si>
    <t>HCFAMEMA - PUBLICO - 24.082.016/0001-59</t>
  </si>
  <si>
    <t>MARILIA</t>
  </si>
  <si>
    <t>UNIVERSIDADE ESTADUAL DE CAMPINAS - CAMPINAS - SP - PUBLICO - 46.068.425/0001-33</t>
  </si>
  <si>
    <t>DEPARTAMENTO REGIONAL DE SAUDE - DRS II - ARACATUBA - ARACATUBA - SP - PUBLICO - 46.374.500/0038-86</t>
  </si>
  <si>
    <t>ARACATUBA</t>
  </si>
  <si>
    <t>DEPARTAMENTO REGIONAL DE SAUDE DE PIRACICABA - DRS X - PIRACICABA - SP - PUBLICO - 46.374.500/0090-60</t>
  </si>
  <si>
    <t>CENTRO MEDICO RIO PRETO LTDA - SAO JOSE DO RIO PRETO - SP - PRIVADO - 48.310.098/0001-00</t>
  </si>
  <si>
    <t>FAEPA - RIBEIRAO PRETO - SP - PRIVADO - 57.722.118/0001-40</t>
  </si>
  <si>
    <t>HOSPITAL DE REABILITACAO DE ANOMALIAS CRANIOFACIAIS - BAURU - SP - PUBLICO - 63.025.530/0082-70</t>
  </si>
  <si>
    <t>UNIMED DE DRACENA COOPERATIVA DE TRABALHO MEDICO - PRIVADO - 68.204.486/0001-13</t>
  </si>
  <si>
    <t>DRACENA</t>
  </si>
  <si>
    <t>HOSPITAL NETTO CAMPELLO DE SERTAOZINHO - SP - PRIVADO - 01.613.433/0080-89</t>
  </si>
  <si>
    <t>SERTÃOZINHO</t>
  </si>
  <si>
    <t>HOSPITAL E MATERNIDADE BRASIL - SANTO ANDRE - SP - PRIVADO - 06.047.087/0007-24</t>
  </si>
  <si>
    <t>HOSPITAL UNIVERSITARIO DE MARILIA - MARILIA - SP - PRIVADO - 09.528.436/0001-22</t>
  </si>
  <si>
    <t>HCFMB - BOTUCATU - SP - PUBLICO - 12.474.705/0001-20</t>
  </si>
  <si>
    <t>BOTUCATU</t>
  </si>
  <si>
    <t>ESHO EMPRESA DE SERVICOS HOSPITALARES S.A. - PRIVADO - 29.435.005/0081-03</t>
  </si>
  <si>
    <t>ARUJA</t>
  </si>
  <si>
    <t>HOSPITAL PAULO SACRAMENTO - JUNDIAI - SP - PRIVADO - 44.649.812/0016-14</t>
  </si>
  <si>
    <t>DEPARTAMENTO REGIONAL DE SAUDE DE ARARAQUARA - DRS III - ARARAQUARA - SP - PUBLICO - 46.374.500/0092-21</t>
  </si>
  <si>
    <t>ARARAQUARA</t>
  </si>
  <si>
    <t>SAO JOSE DOS CAMPOS GABINETE DO PREFEITO - SAO JOSE DOS CAMPOS - SP - PUBLICO - 46.643.466/0001-06</t>
  </si>
  <si>
    <t>HOSPITAL 10 JULHO - PINDAMONHANGABA  - SP - PRIVADO - 47.565.155/0009-96</t>
  </si>
  <si>
    <t>PINDAMONHANGABA</t>
  </si>
  <si>
    <t>HOSPITAL DE CARIDADE SAO VICENTE DE PAULO - JUNDIAI - SP - PRIVADO - 50.944.198/0001-30</t>
  </si>
  <si>
    <t>HOSPITAL UNIMED DE ARACATUBA - ARACATUBA - SP - PRIVADO - 51.093.193/0004-56</t>
  </si>
  <si>
    <t>IRMANDADE DE MISERICORDIA DO HOSPITAL DA SANTA CASA DE MONTE ALTO - MONTE ALTO - SP - PRIVADO - 52.852.100/0001-40</t>
  </si>
  <si>
    <t>MONTE ALTO</t>
  </si>
  <si>
    <t>HOSPITAL BENEFICENTE SANTO ANTONIO - ORLANDIA - SP - PRIVADO - 53.311.999/0001-56</t>
  </si>
  <si>
    <t>ORLANDIA</t>
  </si>
  <si>
    <t>PRONTO ATENDIMENTO JACAREI - JACAREI - SP - PRIVADO - 60.214.517/0011-87</t>
  </si>
  <si>
    <t>JACAREI</t>
  </si>
  <si>
    <t>SAO FRANCISCO SISTEMAS DE SAUDE SOCIEDADE EMPRESARIA LIMITADA - ARARAQUARA - SP - PRIVADO - 01.613.433/0108-14</t>
  </si>
  <si>
    <t>AMICO SAUDE LTDA - MOGI DAS CRUZES - SP - PRIVADO - 51.722.957/0143-02</t>
  </si>
  <si>
    <t>MOGI DAS CRUZES</t>
  </si>
  <si>
    <t>INSTITUTO ONCOLOGICO DE RIBEIRAO PRETO LTDA - RIBEIRAO PRETO - SP - PRIVADO - 57.723.280/0001-83</t>
  </si>
  <si>
    <t>PEDRO FLÁVIO - PESSOA FÍSICA - 123.710.092-53</t>
  </si>
  <si>
    <t>BELEM</t>
  </si>
  <si>
    <t>PA</t>
  </si>
  <si>
    <t>GUSTAVO PRIETO BORGES MOREIRA - CONSELHEIRO LAFAIETE - MG - PESSOA FISICA - 173.769.686-01</t>
  </si>
  <si>
    <t>CONSELHEIRO LAFAIETE</t>
  </si>
  <si>
    <t>MG</t>
  </si>
  <si>
    <t>SANTA HELENA - BRASILIA - DF - PRIVADO - 00.049.791/0001-44</t>
  </si>
  <si>
    <t>BRASILIA</t>
  </si>
  <si>
    <t>DF</t>
  </si>
  <si>
    <t>ROBERTO MOURA GRISI - PESSOA FÍSICA - 839.256.944-04</t>
  </si>
  <si>
    <t>JOAO PESSOA</t>
  </si>
  <si>
    <t>PB</t>
  </si>
  <si>
    <t>LARISSA HELENA AMARAL CASTRO - BELEM - PA - PESSOA FISICA - 917.771.862-34</t>
  </si>
  <si>
    <t>HOSPITAL MINISTRO COSTA CAVALCANTI - FOZ DO IGUACU - PR - PRIVADO - 00.304.148/0001-10</t>
  </si>
  <si>
    <t>FOZ DO IGUACU</t>
  </si>
  <si>
    <t>PR</t>
  </si>
  <si>
    <t>HEMATOLOGICA - CLINICA DE HEMATOLOGIA LTDA - BELO HORIZONTE - MG - PRIVADO - 00.410.960/0001-20</t>
  </si>
  <si>
    <t>BELO HORIZONTE</t>
  </si>
  <si>
    <t>HEMOLABOR - GOIANIA - GO - PRIVADO - 00.418.954/0001-19</t>
  </si>
  <si>
    <t>GOIANIA</t>
  </si>
  <si>
    <t>GO</t>
  </si>
  <si>
    <t>CON-CENTRO ONCOLOGICO DE NITEROI LTDA - NITEROI - RJ - PRIVADO - 00.437.007/0001-75</t>
  </si>
  <si>
    <t>NITEROI</t>
  </si>
  <si>
    <t>RJ</t>
  </si>
  <si>
    <t>PRONTONORTE - BRASILIA - DF - PRIVADO - 00.511.816/0001-80</t>
  </si>
  <si>
    <t>CETTRO - CENTRO DE CANCER DE BRASILIA - BRASILIA - DF - PRIVADO - 00.520.237/0001-01</t>
  </si>
  <si>
    <t>HOSPITAL SANTA MARTA LTDA - BRASILIA - DF - PRIVADO - 00.610.980/0001-44</t>
  </si>
  <si>
    <t>HOSPITAL DO CORACAO DE NATAL LTDA - NATAL - RN - PRIVADO - 00.820.737/0001-50</t>
  </si>
  <si>
    <t>NATAL</t>
  </si>
  <si>
    <t>RN</t>
  </si>
  <si>
    <t>CLINICA DE CAMPO GRANDE S/A - CAMPO GRANDE - MS - PRIVADO - 00.860.841/0001-79</t>
  </si>
  <si>
    <t>CAMPO GRANDE</t>
  </si>
  <si>
    <t>MS</t>
  </si>
  <si>
    <t>INSTITUTO DEVITA - CAXIAS DO SUL - RS - PRIVADO - 01.140.803/0001-04</t>
  </si>
  <si>
    <t>CAXIAS DO SUL</t>
  </si>
  <si>
    <t>RS</t>
  </si>
  <si>
    <t>HOSPITAL E MATERNIDADE SAO NICOLAU - CATALAO - GO - PRIVADO - 01.326.206/0001-79</t>
  </si>
  <si>
    <t>CATALAO</t>
  </si>
  <si>
    <t>INCOR NATAL - NATAL - RN - PRIVADO - 01.507.901/0001-37</t>
  </si>
  <si>
    <t>HOSPITAL DO CORACAO DE BALNEARIO CAMBORIU LTDA - BALNEARIO CAMBORIU - SC - PRIVADO - 01.517.626/0001-32</t>
  </si>
  <si>
    <t>BALNEARIO CAMBORIU</t>
  </si>
  <si>
    <t>SC</t>
  </si>
  <si>
    <t>COMPLEXO HOSPITALAR JARDIM CUIABA - CUIABA - MT - PRIVADO - 01.757.351/0001-04</t>
  </si>
  <si>
    <t>CUIABA</t>
  </si>
  <si>
    <t>MT</t>
  </si>
  <si>
    <t>HOSPITAL SAO MARCOS - RECIFE - PE - PRIVADO - 02.284.062/0004-40</t>
  </si>
  <si>
    <t>RECIFE</t>
  </si>
  <si>
    <t>PE</t>
  </si>
  <si>
    <t>UDI HOSPITAL - JARACATY - MA - PRIVADO - 02.284.062/0011-70</t>
  </si>
  <si>
    <t>JARACATY</t>
  </si>
  <si>
    <t>MA</t>
  </si>
  <si>
    <t>SERVICO DE ATENDIMENTO UNIMED - GOIANIA - GO - PRIVADO - 02.476.067/0002-03</t>
  </si>
  <si>
    <t>HOSPITAL ANCHIETA LTDA - BRASILIA - DF - PRIVADO - 02.560.878/0001-07</t>
  </si>
  <si>
    <t>CENTRO DE ESPECIALIDADES MEDICAS UNIMED FACIL - CUIABA - MT - PRIVADO - 03.533.726/0015-83</t>
  </si>
  <si>
    <t>HOSPITAL AMECOR - CUIABA - MT - PRIVADO - 03.925.419/0001-42</t>
  </si>
  <si>
    <t>UNIMED DE BELEM COOPERATIVA DE TRABALHO MEDICO - BELEM - PA - PRIVADO - 04.201.372/0010-28</t>
  </si>
  <si>
    <t>HOSPITAL AEROPORTO - LAURO DE FREITAS - BA - PRIVADO - 04.602.792/0001-25</t>
  </si>
  <si>
    <t>LAURO DE FREITAS</t>
  </si>
  <si>
    <t>BA</t>
  </si>
  <si>
    <t>HBA - SALVADOR - BA - PRIVADO - 05.469.172/0001-22</t>
  </si>
  <si>
    <t>SALVADOR</t>
  </si>
  <si>
    <t>FES/BA - SALVADOR - BA - PUBLICO - 05.816.630/0001-52</t>
  </si>
  <si>
    <t>UNICLINIC - FORTALEZA - CE - PRIVADO - 05.867.015/0001-75</t>
  </si>
  <si>
    <t>FORTALEZA</t>
  </si>
  <si>
    <t>CE</t>
  </si>
  <si>
    <t>HOSPITAL REGIONAL UNIMED - FORTALEZA - CE - PRIVADO - 05.868.278/0002-80</t>
  </si>
  <si>
    <t>H A P - FORTALEZA - CE - PRIVADO - 05.874.946/0001-09</t>
  </si>
  <si>
    <t>HOSPITAL CAXIAS DOR - DUQUE DE CAXIAS - RJ - PRIVADO - 06.047.087/0013-72</t>
  </si>
  <si>
    <t>DUQUE DE CAXIAS</t>
  </si>
  <si>
    <t>HOSPITAL SANTA LUZIA - BRASILIA - DF - PRIVADO - 06.047.087/0041-26</t>
  </si>
  <si>
    <t>HOSPITAL DO CORACAO DO BRASIL - BRASILIA - DF - PRIVADO - 06.047.087/0042-07</t>
  </si>
  <si>
    <t>INSTITUTO DE ONCOLOGIA DE MACAPA EIRELI</t>
  </si>
  <si>
    <t>MACAPA</t>
  </si>
  <si>
    <t>AP</t>
  </si>
  <si>
    <t>FUNDO MUNICIPAL DE SAUDE DE RIO VERDE - GO - RIO VERDE - GO - PUBLICO - 06.190.522/0001-80</t>
  </si>
  <si>
    <t>RIO VERDE</t>
  </si>
  <si>
    <t>HOSPITAL UNIMED PRIMAVERA - PRIVADO - 06.555.031/0002-76</t>
  </si>
  <si>
    <t>TERESINA</t>
  </si>
  <si>
    <t>PI</t>
  </si>
  <si>
    <t>HOSPITAL UNIVERSITARIO WALTER CANTIDIO - FORTALEZA - CE - PUBLICO - 07.272.636/0002-12</t>
  </si>
  <si>
    <t>CEMED CARE - EMPRESA DE ATENDIMENTO CLINICO GERAL LTDA - NOVA IGUACU - RJ - PRIVADO - 07.794.623/0015-28</t>
  </si>
  <si>
    <t>NOVA IGUACU</t>
  </si>
  <si>
    <t>INSTITUTO DR JOSE FROTA - FORTALEZA - CE - PUBLICO - 07.835.044/0001-80</t>
  </si>
  <si>
    <t>CASA DE SAUDE SAO LUCAS S/A - NATAL - RN - PRIVADO - 08.319.329/0001-21</t>
  </si>
  <si>
    <t>HOSP INF VAR SANT - NATAL - RN - PRIVADO - 08.337.586/0001-96</t>
  </si>
  <si>
    <t>UNIMED JOAO PESSOA COOPERATIVA DO TRABALHO MEDICO - JOAO PESSOA - PB - PRIVADO - 08.680.639/0006-81</t>
  </si>
  <si>
    <t>VIP HOME CARE ATENDIMENTO DOMICILIAR LTDA</t>
  </si>
  <si>
    <t>PORTO ALEGRE</t>
  </si>
  <si>
    <t>SANTA JOANA - RECIFE - PE - PRIVADO - 10.839.561/0001-32</t>
  </si>
  <si>
    <t>HOSPITAL PORTUGUES - RECIFE - PE - PRIVADO - 10.892.164/0001-24</t>
  </si>
  <si>
    <t>IMIP - RECIFE - PE - PRIVADO - 10.988.301/0001-29</t>
  </si>
  <si>
    <t>HOSPITAL SAO DOMINGOS LTDA. - SAO LUIS - MA - PRIVADO - 11.006.293/0001-30</t>
  </si>
  <si>
    <t>SAO LUIS</t>
  </si>
  <si>
    <t>HOSPITAL JAYME DA FONTE - RECIFE - PE - PRIVADO - 11.452.240/0001-43</t>
  </si>
  <si>
    <t>INSTITUTO DE CANCER DE BRASILIA LTDA - BRASILIA - DF - PRIVADO - 11.859.927/0001-06</t>
  </si>
  <si>
    <t>HOSPITAL TEREZA DE LISIEUX - SALVADOR - BA - PRIVADO - 12.361.267/0103-18</t>
  </si>
  <si>
    <t>DEPOSITO - ARMAZEM FORTALEZA/CE - FORTALEZA - CE - PRIVADO - 12.361.267/0118-02</t>
  </si>
  <si>
    <t>HOSPITAL ALIANCA - SALVADOR - BA - PRIVADO - 13.016.092/0001-40</t>
  </si>
  <si>
    <t>HOSPITAL DE CIRURGIA - ARACAJU - SE - PRIVADO - 13.016.332/0001-06</t>
  </si>
  <si>
    <t>ARACAJU</t>
  </si>
  <si>
    <t>SE</t>
  </si>
  <si>
    <t>HOSPITAL SAO LUCAS - ARACAJU - SE - PRIVADO - 13.131.370/0001-00</t>
  </si>
  <si>
    <t>REDE PRIMAVERA - HOSPITAL PRIMAVERA - ARACAJU - SE - PRIVADO - 13.356.779/0001-24</t>
  </si>
  <si>
    <t>CARDIO PULMONAR DA BAHIA S.A - SALVADOR - BA - PRIVADO - 13.952.064/0001-34</t>
  </si>
  <si>
    <t>EMEC - FEIRA DE SANTANA - BA - PRIVADO - 14.074.546/0001-00</t>
  </si>
  <si>
    <t>FEIRA DE SANTANA</t>
  </si>
  <si>
    <t>PLAMHUV - VICOSA - MG - PRIVADO - 14.408.631/0001-59</t>
  </si>
  <si>
    <t>VICOSA</t>
  </si>
  <si>
    <t>CLINICA SOUZA BRITO - CUIABA - MT - PRIVADO - 15.016.827/0001-60</t>
  </si>
  <si>
    <t>EBSERH - HOSPITAL UNIVERSITARIO DO PIAUI - TERESINA - PI - PRIVADO - 15.126.437/0002-24</t>
  </si>
  <si>
    <t>EBSERH HOSPITAL UNIVERSITARIO DE SAO LUIS - SAO LUIS - MA - PRIVADO - 15.126.437/0004-96</t>
  </si>
  <si>
    <t>EMPRESA BRASILEIRA DE SERVICOS HOSPITALARES - EBSERH - NATAL - RN - PRIVADO - 15.126.437/0007-39</t>
  </si>
  <si>
    <t>EBSERH - HOSPITAL UNIVERSITARIO DE SANTA MARIA - SANTA MARIA - RS - PRIVADO - 15.126.437/0019-72</t>
  </si>
  <si>
    <t>SANTA MARIA</t>
  </si>
  <si>
    <t>HOSPITAL SANTA IZABEL - SALVADOR - BA - PRIVADO - 15.153.745/0002-49</t>
  </si>
  <si>
    <t>HOSPITAL MUNICIPAL DE SALVADOR  - SALVADOR - BA - PRIVADO - 15.153.745/0027-05</t>
  </si>
  <si>
    <t>HOSPITAL PORTUGUES - SALVADOR - BA - PRIVADO - 15.166.416/0001-51</t>
  </si>
  <si>
    <t>LIGA ALVARO BAHIA CONTRA A MORTALIDADE INFANTIL - SALVADOR - BA - PRIVADO - 15.170.723/0001-06</t>
  </si>
  <si>
    <t>LABCMI GESTAO HOSPITALAR - HEC - FEIRA DE SANTANA - BA - PRIVADO - 15.170.723/0005-30</t>
  </si>
  <si>
    <t>MCO - SALVADOR - BA - PUBLICO - 15.180.714/0003-68</t>
  </si>
  <si>
    <t>UNIVERSIDADE FEDERAL DA BAHIA - SALVADOR - BA - PUBLICO - 15.180.714/0005-20</t>
  </si>
  <si>
    <t>FUNDACAO JOSE SILVEIRA - SALVADOR - BA - PRIVADO - 15.194.004/0001-25</t>
  </si>
  <si>
    <t>NOVACLIN - SALVADOR - BA - PRIVADO - 15.242.761/0001-27</t>
  </si>
  <si>
    <t>HOSPITAL MATER DEI SA - BELO HORIZONTE - MG - PRIVADO - 16.676.520/0001-59</t>
  </si>
  <si>
    <t>PRIME HOME CARE - BRASILIA - DF - PRIVADO - 16.739.984/0001-67</t>
  </si>
  <si>
    <t>HOSPITAL UNIMED - SAO JOSE - SC - PRIVADO - 17.034.086/0001-76</t>
  </si>
  <si>
    <t>SAO JOSE</t>
  </si>
  <si>
    <t>UBERLANDIA MEDICAL CENTER - UBERLANDIA - MG - PRIVADO - 17.087.591/0001-89</t>
  </si>
  <si>
    <t>UBERLANDIA</t>
  </si>
  <si>
    <t>FUNDACAO FELICE ROSSO - BELO HORIZONTE - MG - PRIVADO - 17.214.149/0001-76</t>
  </si>
  <si>
    <t>UNIMED JUIZ DE FORA COOP DE TRABALHO MEDICO LTDA - JUIZ DE FORA - MG - PRIVADO - 17.689.407/0009-28</t>
  </si>
  <si>
    <t>JUIZ DE FORA</t>
  </si>
  <si>
    <t>HOSPITAL SANTA GENOVEVA LTDA - UBERLANDIA - MG - PRIVADO - 18.484.378/0001-73</t>
  </si>
  <si>
    <t>HOSPITAL MARCIO CUNHA - IPATINGA - MG - PRIVADO - 19.878.404/0001-00</t>
  </si>
  <si>
    <t>IPATINGA</t>
  </si>
  <si>
    <t>HOSPITAL E MATERNIDADE MADRECOR - UBERLANDIA - MG - PRIVADO - 20.150.900/0001-22</t>
  </si>
  <si>
    <t>AISI FMIT HE - ITAJUBA - MG - PRIVADO - 21.040.696/0003-11</t>
  </si>
  <si>
    <t>ITAJUBA</t>
  </si>
  <si>
    <t>CASA DE SAUDE E MATERNIDADE NOSSA SENHORA DE FATIMA S A - PATOS DE MINAS - MG - PRIVADO - 23.338.387/0001-96</t>
  </si>
  <si>
    <t>PATOS DE MINAS</t>
  </si>
  <si>
    <t>HOSPITAL REGIONAL DO BAIXO AM DO PARA DR WALDEMAR PENNA - SANTAREM - PA - PRIVADO - 24.232.886/0083-03</t>
  </si>
  <si>
    <t>SANTAREM</t>
  </si>
  <si>
    <t>HUPAA - MACEIO - AL - PUBLICO - 24.464.109/0002-29</t>
  </si>
  <si>
    <t>MACEIO</t>
  </si>
  <si>
    <t>AL</t>
  </si>
  <si>
    <t>HOSPITAL BDW - PORTO ALEGRE - RS - PRIVADO - 26.947.257/0001-49</t>
  </si>
  <si>
    <t>HOSPITAL SAO RAFAEL S.A - SALVADOR - BA - PRIVADO - 27.372.066/0001-69</t>
  </si>
  <si>
    <t>IHBDF - BRASILIA - DF - PRIVADO - 28.481.233/0001-72</t>
  </si>
  <si>
    <t>HOSPITAL UNIMED - PETROPOLIS - RJ - PRIVADO - 28.806.545/0005-32</t>
  </si>
  <si>
    <t>PETROPOLIS</t>
  </si>
  <si>
    <t>SAMER HOSPITAL - RESENDE - RJ - PRIVADO - 29.072.642/0001-88</t>
  </si>
  <si>
    <t>RESENDE</t>
  </si>
  <si>
    <t>HOSPITAL ALVORADA DE BRASILIA - BRASILIA - DF - PRIVADO - 29.435.005/0046-20</t>
  </si>
  <si>
    <t>HOSPITAL MONTE KLINIKUM - PRIVADO - 29.435.005/0074-84</t>
  </si>
  <si>
    <t>ESHO EMPRESA DE SERVICOS HOSPITALARES S.A. - NATAL - RN - PRIVADO - 29.435.005/0098-51</t>
  </si>
  <si>
    <t>UNIMED COSTA DO SOL - HOSPITAL - MACAE - RJ - PRIVADO - 35.830.868/0004-46</t>
  </si>
  <si>
    <t>MACAE</t>
  </si>
  <si>
    <t>HOME - BRASILIA - DF - PRIVADO - 37.108.388/0001-59</t>
  </si>
  <si>
    <t>HOSPITAL MARIA AUXILIADORA - BRASILIA - DF - PRIVADO - 38.000.485/0001-96</t>
  </si>
  <si>
    <t>HOSPITAL HCN - NITEROI - RJ - PRIVADO - 60.884.855/0012-07</t>
  </si>
  <si>
    <t>HOSPITAL BRASILIA - BRASILIA - DF - PRIVADO - 60.884.855/0022-89</t>
  </si>
  <si>
    <t>HOSPITAL SANTA ISABEL - BLUMENAU - SC - PRIVADO - 60.922.168/0052-26</t>
  </si>
  <si>
    <t>BLUMENAU</t>
  </si>
  <si>
    <t>HOSPITAL CURA DARS - FORTALEZA - CE - PRIVADO - 60.975.737/0035-09</t>
  </si>
  <si>
    <t>HSL UNIDADE BRASILIA - BRASILIA - DF - PRIVADO - 61.590.410/0005-58</t>
  </si>
  <si>
    <t>FUNDES - FORTALEZA - CE - PUBLICO - 74.031.865/0001-51</t>
  </si>
  <si>
    <t>HOSPITAL SANTA CRUZ SOCIEDADE ANONIMA - CURITIBA - PR - PRIVADO - 76.555.069/0001-43</t>
  </si>
  <si>
    <t>CURITIBA</t>
  </si>
  <si>
    <t>HOSPITAL INFANTIL PEQUENO PRINCIPE - CURITIBA - PR - PRIVADO - 76.591.569/0001-30</t>
  </si>
  <si>
    <t>FES - FLORIANOPOLIS - SC - PUBLICO - 80.673.411/0001-87</t>
  </si>
  <si>
    <t>FLORIANOPOLIS</t>
  </si>
  <si>
    <t>HU - UFSC - FLORIANOPOLIS - SC - PUBLICO - 83.899.526/0004-25</t>
  </si>
  <si>
    <t>HOSPITAL UNIMED LITORAL - BALNEARIO CAMBORIU - SC - PRIVADO - 85.377.174/0003-92</t>
  </si>
  <si>
    <t>HOSPITAL DE CLINICAS - PORTO ALEGRE - RS - PRIVADO - 87.020.517/0001-20</t>
  </si>
  <si>
    <t>ASSOCIACAO DR BARTHOLOMEU TACCHINI - BENTO GONCALVES - RS - PRIVADO - 87.547.444/0001-20</t>
  </si>
  <si>
    <t>BENTO GONCALVES</t>
  </si>
  <si>
    <t>HOSPITAL UNIMED CAXIAS DO SUL - CAXIAS DO SUL - RS - PRIVADO - 87.827.689/0024-05</t>
  </si>
  <si>
    <t>RS SSA GABINETE DO SECRETARIO - PORTO ALEGRE - RS - PUBLICO - 87.958.625/0001-49</t>
  </si>
  <si>
    <t>HOSPITAL MAE DE DEUS - PORTO ALEGRE - RS - PRIVADO - 88.625.686/0024-43</t>
  </si>
  <si>
    <t>HOSPITAL SAO LUCAS DA PUCRS - PORTO ALEGRE - RS - PRIVADO - 88.630.413/0007-96</t>
  </si>
  <si>
    <t>HOSPITAL SAO VICENTE DE PAULO - PASSO FUNDO - RS - PRIVADO - 92.021.062/0003-60</t>
  </si>
  <si>
    <t>PASSO FUNDO</t>
  </si>
  <si>
    <t>ASSOCIACAO HOSPITALAR MOINHOS DE VENTO - PORTO ALEGRE - RS - PRIVADO - 92.685.833/0001-51</t>
  </si>
  <si>
    <t>HOSPITAL ERNESTO DORNELLES - PORTO ALEGRE - RS - PRIVADO - 92.741.016/0002-54</t>
  </si>
  <si>
    <t>HOSPITAL CRISTO REDENTOR - PORTO ALEGRE - RS - PRIVADO - 92.787.118/0003-91</t>
  </si>
  <si>
    <t>IRMANDADE DA SANTA CASA DE MISERICORDIA DE PORTO ALEGRE - PORTO ALEGRE - RS - PRIVADO - 92.815.000/0001-68</t>
  </si>
  <si>
    <t>FUNDACAO UNIVERSITARIA DE CARDIOLOGIA - PORTO ALEGRE - RS - PRIVADO - 92.898.550/0001-98</t>
  </si>
  <si>
    <t>INSTITUTO DE CARDIOLOGIA DO DISTRITO FEDERAL - BRASILIA - DF - PRIVADO - 92.898.550/0006-00</t>
  </si>
  <si>
    <t>HOSPITAL DE CARIDADE DR ASTROGILDO DE AZEVEDO - SANTA MARIA - RS - PRIVADO - 95.610.887/0001-46</t>
  </si>
  <si>
    <t>MARIA LEDA FEITOSA FARIAS - MARIA LEDA FEITOSA FARIAS - NOSSA SENHORA DA GLORIA - SE - PESSOA FISICA - 007.003.865-13</t>
  </si>
  <si>
    <t>NOSSA SENHORA DA GLORIA</t>
  </si>
  <si>
    <t>GUILHERME MOURA DA SILVA - RIBEIRAO DAS NEVES - MG - PESSOA FISICA - 703.064.536-73</t>
  </si>
  <si>
    <t>RIBEIRAO DAS NEVES</t>
  </si>
  <si>
    <t>HENRIQUE WALCHER NOGUEIRA - PESSOA FÍSICA - 828.542.460-04</t>
  </si>
  <si>
    <t>DEPARTAMENTO DE LOGISTICA - BRASILIA - DF - PUBLICO - 00.394.544/0008-51</t>
  </si>
  <si>
    <t>NATAL HOSPITAL CENTER S.A. - NATAL - RN - PRIVADO - 02.109.397/0001-80</t>
  </si>
  <si>
    <t>HOSPITAL ESPERANCA - RECIFE - PE - PRIVADO - 02.284.062/0001-06</t>
  </si>
  <si>
    <t>HOSPITAL DA CIDADE - SALVADOR - BA - PRIVADO - 03.376.102/0001-02</t>
  </si>
  <si>
    <t>NEON - NUCLEO ESPECIALIZADO EM ONCOLOGIA - SERRA - ES - PRIVADO - 04.786.490/0001-54</t>
  </si>
  <si>
    <t>SERRA</t>
  </si>
  <si>
    <t>ES</t>
  </si>
  <si>
    <t>PA SSA GABINETE DO SECRETARIO - BELEM - PA - PUBLICO - 05.054.929/0001-17</t>
  </si>
  <si>
    <t>HOSPITAL INCAR - SANTO ANTONIO DE JESUS - BA - PRIVADO - 05.652.543/0001-07</t>
  </si>
  <si>
    <t>SANTO ANTONIO DE JESUS</t>
  </si>
  <si>
    <t>DEPOSITO-ARMAZEM DE FORTALEZA - FORTALEZA - CE - PRIVADO - 05.874.946/0002-81</t>
  </si>
  <si>
    <t>HOSPITAL MEMORIAL SAO JOSE - Recife - PE - PRIVADO - 06.047.087/0092-76</t>
  </si>
  <si>
    <t>CASA DE SAUDE E MATERNIDADE SAO RAIMUNDO SA - FORTALEZA - CE - PRIVADO - 07.245.269/0001-87</t>
  </si>
  <si>
    <t>CIONC - CENTRO INTEGRADO DE ONCOLOGIA DE CURITIBA S/S - CURITIBA - PR - PRIVADO - 07.734.165/0001-36</t>
  </si>
  <si>
    <t>UNIMED NATAL SOCIEDADE COOPERATIVA DE TRABALHO MEDICO - NATAL - RN - PRIVADO - 08.380.701/0017-72</t>
  </si>
  <si>
    <t>H S COR - DUQUE DE CAXIAS - RJ - PRIVADO - 08.562.523/0001-33</t>
  </si>
  <si>
    <t>FUNDO ESTADUAL DE SAUDE DO PARANA - FUNSAUDE - CURITIBA - PR - PUBLICO - 08.597.121/0001-74</t>
  </si>
  <si>
    <t>IMIP HOSPITALAR - HMA - PAULISTA - PE - PRIVADO - 09.039.744/0002-75</t>
  </si>
  <si>
    <t>PAULISTA</t>
  </si>
  <si>
    <t>GAMP - PRIVADO - 09.549.061/0002-68</t>
  </si>
  <si>
    <t>CANOAS</t>
  </si>
  <si>
    <t>ICIPE - BRASILIA - DF - PRIVADO - 10.942.995/0001-63</t>
  </si>
  <si>
    <t>PRONTO S.CARDIOLOGICO DE PE.PROF.LUIZ TAVARES-PROCAPE - RECIFE - PE - PUBLICO - 11.022.597/0015-97</t>
  </si>
  <si>
    <t>HOSPITAL SAO CARLOS LTDA - FORTALEZA - CE - PRIVADO - 11.794.674/0001-21</t>
  </si>
  <si>
    <t>PRODAL SAUDE S/A - SALVADOR - BA - PRIVADO - 11.943.553/0001-02</t>
  </si>
  <si>
    <t>HOSPITAL UNIMED - MACEIO - AL - PRIVADO - 12.442.737/0004-96</t>
  </si>
  <si>
    <t>CDDS SERVICOS MEDICOS LTDA - NATAL - RN - PRIVADO - 13.262.578/0001-68</t>
  </si>
  <si>
    <t>EBSERH - COMPLEXO HOSPITALAR DO CEARA (HUWC E MEAC) - FORTALEZA - CE - PRIVADO - 15.126.437/0014-68</t>
  </si>
  <si>
    <t>SEMEC - SALVADOR - BA - PRIVADO - 15.140.254/0001-82</t>
  </si>
  <si>
    <t>S O S VIDA SOLUCOES EM SAUDE - ARACAJU - SE - PRIVADO - 16.064.313/0005-77</t>
  </si>
  <si>
    <t>FBC - SALVADOR - BA - PRIVADO - 16.475.154/0002-50</t>
  </si>
  <si>
    <t>UNIMED ARAGUARI - ARAGUARI - MG - PRIVADO - 20.909.271/0001-71</t>
  </si>
  <si>
    <t>ARAGUARI</t>
  </si>
  <si>
    <t>FUNDACAO OURO BRANCO - OURO BRANCO - MG - PRIVADO - 21.299.615/0001-30</t>
  </si>
  <si>
    <t>OURO BRANCO</t>
  </si>
  <si>
    <t>SANTA CASA DE MISERICORDIA NOSSA SENHORA DO PATROCINIO - PATROCINIO - MG - PRIVADO - 23.406.564/0001-24</t>
  </si>
  <si>
    <t>PATROCINIO</t>
  </si>
  <si>
    <t>HOSPITAL E MATERNIDADE SANTA CLARA LTDA - UBERLANDIA - MG - PRIVADO - 25.761.040/0001-87</t>
  </si>
  <si>
    <t>CIAS UNIMED VITORIA - CENTRO INTEGRADO ATENCAO A SAUDE - VITORIA - ES - PRIVADO - 27.578.434/0015-25</t>
  </si>
  <si>
    <t>VITORIA</t>
  </si>
  <si>
    <t>HOSPITAL SAO JOSE DO AVAI - ITAPERUNA - RJ - PRIVADO - 29.640.612/0001-20</t>
  </si>
  <si>
    <t>ITAPERUNA</t>
  </si>
  <si>
    <t>LEONARDO VIERO SILVEIRA - JAGUARI - RS - PRIVADO - 29.908.956/0001-78</t>
  </si>
  <si>
    <t>JAGUARI</t>
  </si>
  <si>
    <t>CASA DE SAUDE E MATERNIDADE SANTA MARTHA SA - NITEROI - RJ - PRIVADO - 30.079.461/0001-62</t>
  </si>
  <si>
    <t>HOSPITAL UNIMED - VOLTA REDONDA - RJ - PRIVADO - 35.917.970/0007-26</t>
  </si>
  <si>
    <t>VOLTA REDONDA</t>
  </si>
  <si>
    <t>HOSPITAL UNIMED RESENDE - RESENDE - RJ - PRIVADO - 68.709.211/0002-12</t>
  </si>
  <si>
    <t>UNIMED GRANDE FLORIANOPOLIS - COOPERATIVA DE TRABALHO MEDICO - SAO JOSE - SC - PRIVADO - 77.858.611/0014-14</t>
  </si>
  <si>
    <t>HOSPITAL DIVINA PROVIDENCIA - PORTO ALEGRE - RS - PRIVADO - 87.317.764/0010-84</t>
  </si>
  <si>
    <t>HOSPITAL DO CIRCULO - CAXIAS DO SUL - RS - PRIVADO - 88.645.403/0013-72</t>
  </si>
  <si>
    <t>HOSPITAL DIVINA PROVIDENCIA - FREDERICO WESTPHALEN - RS - PRIVADO - 92.404.789/0001-64</t>
  </si>
  <si>
    <t>FREDERICO WESTPHALEN</t>
  </si>
  <si>
    <t>PMPA - PORTO ALEGRE - RS - PUBLICO - 92.963.560/0001-60</t>
  </si>
  <si>
    <t>EDUARDO SEIBERT TEIXEIRA - SALVADOR - BA - PESSOA FISICA - 093.243.225-59</t>
  </si>
  <si>
    <t>SANTA LUCIA - BRASILIA - DF - PRIVADO - 00.025.841/0001-53</t>
  </si>
  <si>
    <t>ANA ANGELICA TORRES - MACEIO - AL - PESSOA FISICA - 444.822.994-72</t>
  </si>
  <si>
    <t>MARCELO CESAR AVILA - FLORIANOPOLIS - SC - PESSOA FISICA - 480.639.839-04</t>
  </si>
  <si>
    <t>NUBIA SOARES SALES DE MORAES - BRASILIA - DF - PESSOA FISICA - 854.655.261-49</t>
  </si>
  <si>
    <t>TAIANA ANGELICA LUZ _x000D_
- PESSOA FÍSICA - 933.266.452-87</t>
  </si>
  <si>
    <t>HOSPITAL DAHER LAGO SUL S/A - BRASILIA - DF - PRIVADO - 00.382.069/0001-27</t>
  </si>
  <si>
    <t>HEMOLABOR UNIDADE ONCO-HEMATOLOGICA - GOIANIA - GO - PRIVADO - 00.418.954/0007-04</t>
  </si>
  <si>
    <t>INGOH - INSTITUTO GOIANO DE ONCOLOGIA E HEMATOLOGIA - GOIANIA - GO - PRIVADO - 01.277.573/0001-20</t>
  </si>
  <si>
    <t>CEHON - CENTRO DE HEMATOLOGIA E ONCOLOGIA DA BAHIA LTDA - SALVADOR - BA - PRIVADO - 01.837.492/0001-37</t>
  </si>
  <si>
    <t>HOSPITAL DO CORACAO - ARACAJU - SE - PRIVADO - 03.222.051/0001-56</t>
  </si>
  <si>
    <t>FUNDO MUNICIPAL DE SAUDE DO JABOATAO DOS GUARARAPES - PUBLICO - 03.904.395/0001-45</t>
  </si>
  <si>
    <t>JABOATAO DOS GUARARAPES</t>
  </si>
  <si>
    <t>HOSPITAL ESPERANCA OLINDA - PE - PRIVADO - 06.047.087/0012-91</t>
  </si>
  <si>
    <t>OLINDA</t>
  </si>
  <si>
    <t>DROGARIA DA PRACA - MANGARATIBA - RJ - PRIVADO - 10.558.548/0001-05</t>
  </si>
  <si>
    <t>MANGARATIBA</t>
  </si>
  <si>
    <t>ONCOVIT DISTRIBUIDORA DE MEDICAMENTOS LTDA - VITORIA - ES - PRIVADO - 10.586.940/0001-68</t>
  </si>
  <si>
    <t>HOSPITAL UNIMED RECIFE III - RECIFE - PE - PRIVADO - 11.214.624/0019-57</t>
  </si>
  <si>
    <t>HOSPITAL LAYR MAIA - BELEM - PA - PRIVADO - 12.361.267/0002-74</t>
  </si>
  <si>
    <t>CENTRO MEDICO GABRIEL SOARES - ARACAJU - SE - PRIVADO - 12.361.267/0005-17</t>
  </si>
  <si>
    <t>HOSPITAL GUARAS - SAO LUIS - MA - PRIVADO - 12.361.267/0007-89</t>
  </si>
  <si>
    <t>HOSPITAL MACEIO - MACEIO - AL - PRIVADO - 12.361.267/0008-60</t>
  </si>
  <si>
    <t>HOSPITAL RIO POTY - TERESINA - PI - PRIVADO - 12.361.267/0040-08</t>
  </si>
  <si>
    <t>HOSPITAL ESPINHEIRO - 2611606 - PE - PRIVADO - 12.361.267/0072-87</t>
  </si>
  <si>
    <t>HOSPITAL ANA LIMA - MARACANAU - CE - PRIVADO - 12.361.267/0084-10</t>
  </si>
  <si>
    <t>MARACANAU</t>
  </si>
  <si>
    <t>HOSPITAL GERAL DA PARAIBA - JOAO PESSOA - PB - PRIVADO - 12.361.267/0088-44</t>
  </si>
  <si>
    <t>HOSPITAL ANTONIO PRUDENTE DE NATAL - NATAL - RN - PRIVADO - 12.361.267/0096-54</t>
  </si>
  <si>
    <t>HOSPITAL FRANCISCA DE SANDE - FEIRA DE SANTANA - BA - PRIVADO - 12.361.267/0104-07</t>
  </si>
  <si>
    <t>HOSPITAL SAO LUCAS - MANAUS - AM - PRIVADO - 12.361.267/0116-32</t>
  </si>
  <si>
    <t>MANAUS</t>
  </si>
  <si>
    <t>AM</t>
  </si>
  <si>
    <t>RAUL SOARES GABINETE DO PREFEITO - RAUL SOARES - MG - PUBLICO - 18.836.965/0001-84</t>
  </si>
  <si>
    <t>RAUL SOARES</t>
  </si>
  <si>
    <t>LIFE HOME CARE - NILOPOLIS - RJ - PRIVADO - 25.308.058/0001-28</t>
  </si>
  <si>
    <t>NILOPOLIS</t>
  </si>
  <si>
    <t>MEDCLINICA DO CENTRO DE TERESOPOLIS - TERESOPOLIS - RJ - PRIVADO - 36.238.913/0001-98</t>
  </si>
  <si>
    <t>TERESOPOLIS</t>
  </si>
  <si>
    <t>HOSPITAL SAO MATEUS LTDA. - FORTALEZA - CE - PRIVADO - 41.580.077/0001-65</t>
  </si>
  <si>
    <t>MATERNIDADE BRASILIA - BRASILIA - DF - PRIVADO - 60.884.855/0019-83</t>
  </si>
  <si>
    <t>UOPECCAN - CASCAVEL - PR - PRIVADO - 81.270.548/0001-53</t>
  </si>
  <si>
    <t>CASCAVEL</t>
  </si>
  <si>
    <t>HOSPITAL JAAR ANDRADE LTDA - SALVADOR - BA - PRIVADO - 97.397.848/0001-38</t>
  </si>
  <si>
    <t>DEPOSITO-ARMAZEM SALVADOR/BA - SALVADOR - BA - PRIVADO - 12.361.267/0147-39</t>
  </si>
  <si>
    <t>UNIMED DE BRUSQUE - BRUSQUE - SC - PRIVADO - 01.554.266/0001-49</t>
  </si>
  <si>
    <t>BRUSQUE</t>
  </si>
  <si>
    <t>HOSPITAL SANTA CATARINA - BLUMENAU - SC - PRIVADO - 01.880.344/0001-03</t>
  </si>
  <si>
    <t>HOSPITAL DAS FORCAS ARMADAS - BRASILIA - DF - PUBLICO - 03.568.867/0001-36</t>
  </si>
  <si>
    <t>VIVER CLINICA MEDICA LTDA - FLORIANOPOLIS - SC - PRIVADO - 04.670.913/0001-76</t>
  </si>
  <si>
    <t>CRUZ VERMELHA BRASILEIRA - FILIAL DO ESTADO DO PARANA - CURITIBA - PR - PRIVADO - 07.404.052/0001-72</t>
  </si>
  <si>
    <t>CLINICA DE ONCOLOGIA VIVER - SANTA MARIA - RS - PRIVADO - 12.508.728/0001-08</t>
  </si>
  <si>
    <t>HOSPITAL VITORIA - CURITIBA - PR - PRIVADO - 29.435.005/0056-00</t>
  </si>
  <si>
    <t>HOSPITAL UNIMED - PRONTO ATENDIMENTO - POCOS DE CALDAS - MG - PRIVADO - 41.781.949/0002-34</t>
  </si>
  <si>
    <t>POCOS DE CALDAS</t>
  </si>
  <si>
    <t>HOSPITAL E MATERNIDADE MARIA AUXILIADORA - MARINGA - PR - PRIVADO - 79.115.762/0001-93</t>
  </si>
  <si>
    <t>MARINGA</t>
  </si>
  <si>
    <t>CENTRO MEDICO UNIMED - TUBARAO - SC - PRIVADO - 85.241.339/0008-09</t>
  </si>
  <si>
    <t>TUBARAO</t>
  </si>
  <si>
    <t>ONCOMED CENTRO PREV E TRAT DE DOENCAS NEOPLASICAS LTDA</t>
  </si>
  <si>
    <t>ONCOLOGIA CLINICA NITEROI S/S - NITEROI - RJ - PRIVADO - 00.521.197/0001-04</t>
  </si>
  <si>
    <t>HOSPITAL ECOVILLE - CURITIBA - PR - PRIVADO - 00.942.063/0001-67</t>
  </si>
  <si>
    <t>INSTITUTO DE NEUROLOGIA - GOIANIA - GO - PRIVADO - 01.011.865/0001-16</t>
  </si>
  <si>
    <t>CEOF - FLORIANOPOLIS - SC - PRIVADO - 01.125.832/0001-05</t>
  </si>
  <si>
    <t>HOSPITAL DAS CLINICAS PRIMAVERA - PRIMAVERA DO LESTE - MT - PRIVADO - 01.383.835/0001-30</t>
  </si>
  <si>
    <t>PRIMAVERA DO LESTE</t>
  </si>
  <si>
    <t>CLINICA PERINATAL VITORIA LTDA - SERRA - ES - PRIVADO - 01.396.804/0001-14</t>
  </si>
  <si>
    <t>HOSPITAL DO CORACAO DE ALAGOAS - MACEIO - AL - PRIVADO - 01.454.407/0001-51</t>
  </si>
  <si>
    <t>SERVICOS DE QUIMIOTERAPIA UNIMED BRUSQUE - BRUSQUE - SC - PRIVADO - 01.554.266/0003-00</t>
  </si>
  <si>
    <t>ONCO VIDA - BRASILIA - DF - PRIVADO - 01.682.668/0001-29</t>
  </si>
  <si>
    <t>UNIMED GOIANIA - GOIANIA - GO - PRIVADO - 02.476.067/0001-22</t>
  </si>
  <si>
    <t>CENTRO CLINICO UNIMED - PRIVADO - 02.476.067/0003-94</t>
  </si>
  <si>
    <t>NUCLEO DE HEMATOLOGIA E ONCOLOGIA - BELO HORIZONTE - MG - PRIVADO - 02.623.693/0001-02</t>
  </si>
  <si>
    <t>NOSSA SAUDE OPERADORA DE PLANOS PRIVADOS DE ASSISTENCIA A SAUDE LTDA. - CURITIBA - PR - PRIVADO - 02.862.447/0002-86</t>
  </si>
  <si>
    <t>UNIMED CUIABA DISTRIBUIDORA DE MEDICAMENTOS - CUIABA - MT - PRIVADO - 03.533.726/0007-73</t>
  </si>
  <si>
    <t>ICTR - INSTITUTO DO CANCER E TRANSPLANTE S/C - CURITIBA - PR - PRIVADO - 03.824.198/0001-16</t>
  </si>
  <si>
    <t>INSTITUTO DE HEMATOLOGIA E ONCOLOGIA CURITIBA - CURITIBA - PR - PRIVADO - 03.850.913/0001-95</t>
  </si>
  <si>
    <t>HOSPITAL MONTE SINAI LTDA - GARANHUNS - PE - PRIVADO - 03.858.924/0001-11</t>
  </si>
  <si>
    <t>GARANHUNS</t>
  </si>
  <si>
    <t>GRUPO ACREDITAR - BRASILIA - DF - PRIVADO - 03.989.821/0001-90</t>
  </si>
  <si>
    <t>BENEFICENCIA NIPO BRASILEIRA DA AMAZONIA - BELEM - PA - PRIVADO - 04.966.545/0003-70</t>
  </si>
  <si>
    <t>SAO BERNARDO APART - COLATINA - ES - PRIVADO - 07.039.651/0001-34</t>
  </si>
  <si>
    <t>COLATINA</t>
  </si>
  <si>
    <t>HOSPITAL ANGELINA CARON - CAMPINA GRANDE DO SUL - PR - PRIVADO - 07.088.017/0001-91</t>
  </si>
  <si>
    <t>CAMPINA GRANDE DO SUL</t>
  </si>
  <si>
    <t>GASTROCLINICA - FORTALEZA - CE - PRIVADO - 07.272.404/0001-83</t>
  </si>
  <si>
    <t>CEMED CARE - EMPRESA DE ATENDIMENTO CLINICO GERAL LTDA - SAO JOSE DOS PINHAIS - PR - PRIVADO - 07.794.623/0022-57</t>
  </si>
  <si>
    <t>SAO JOSE DOS PINHAIS</t>
  </si>
  <si>
    <t>CEMED CARE EMPRESA DE ATENDIMENTO CLINICO GERAL LTDA - BRASILIA - DF - PRIVADO - 07.794.623/0051-91</t>
  </si>
  <si>
    <t>HOSPITAL UNIMED - NATAL - RN - PRIVADO - 08.380.701/0006-10</t>
  </si>
  <si>
    <t>ALIANCA INSTITUTO DE ONCOLOGIA S.A.</t>
  </si>
  <si>
    <t>COMANDO DA ARTILHARIA DIVIS DA TERC DIVISAO DE EXERCITO - CRUZ ALTA - RS - PUBLICO - 09.572.216/0002-87</t>
  </si>
  <si>
    <t>CRUZ ALTA</t>
  </si>
  <si>
    <t>HOSPITAL DE GUARNICAO DE SANTA MARIA - SANTA MARIA - RS - PUBLICO - 09.605.231/0002-84</t>
  </si>
  <si>
    <t>HOSPITAL DA RESTAURACAO - RECIFE - PE - PUBLICO - 10.572.048/0002-09</t>
  </si>
  <si>
    <t>HOSPITAL RODOLFO FERNANDES - MOSSORO - RN - PRIVADO - 12.361.267/0091-40</t>
  </si>
  <si>
    <t>MOSSORO</t>
  </si>
  <si>
    <t>INTEGRARE TERAPEUTICA - FORTALEZA - CE - PRIVADO - 12.568.570/0001-61</t>
  </si>
  <si>
    <t>IBR INSTITUTO BRANDAO DE REABILITACAO LTDA - EPP - VITORIA DA CONQUISTA - BA - PRIVADO - 13.284.872/0001-70</t>
  </si>
  <si>
    <t>VITORIA DA CONQUISTA</t>
  </si>
  <si>
    <t>HOSPITAL UNIMED - ARACAJU - SE - PRIVADO - 15.592.785/0001-06</t>
  </si>
  <si>
    <t>CERUB - CENTRO REUMATOLOGICO DE UBERLNDIA</t>
  </si>
  <si>
    <t>FUNDACAO HOSPITALAR SAO LUCAS - CASCAVEL - PR - PRIVADO - 21.998.635/0001-08</t>
  </si>
  <si>
    <t>SANTA CASA - PASSOS - MG - PRIVADO - 23.278.898/0001-60</t>
  </si>
  <si>
    <t>PASSOS</t>
  </si>
  <si>
    <t>PRONTO ATENDIMENTO UNIMED RONDONOPOLIS - RONDONOPOLIS - MT - PRIVADO - 24.676.884/0007-52</t>
  </si>
  <si>
    <t>RONDONOPOLIS</t>
  </si>
  <si>
    <t>HOSPITAL DE CLINICAS DA UFU - UBERLANDIA - MG - PUBLICO - 25.648.387/0002-07</t>
  </si>
  <si>
    <t>HOSPITAL DOUTOR DORIO SILVA - SERRA - ES - PUBLICO - 27.080.605/0015-91</t>
  </si>
  <si>
    <t>HOSPITAL SANTA RITA DE CASSIA - VITORIA - ES - PRIVADO - 28.137.925/0001-06</t>
  </si>
  <si>
    <t>UNIMED DE NOVA FRIBURGO - NOVA FRIBURGO - RJ - PRIVADO - 29.135.795/0002-08</t>
  </si>
  <si>
    <t>NOVA FRIBURGO</t>
  </si>
  <si>
    <t>ONIX MATEUS LEME - CURITIBA - PR - PRIVADO - 30.117.769/0001-55</t>
  </si>
  <si>
    <t>IMUNOMED ESPECIALIDADES E CLINICA DE INFUSAO - PRIVADO - 39.387.477/0001-07</t>
  </si>
  <si>
    <t>SOCIEDADE BENEFICENTE DE SENHORAS - HOSPITAL SIRIO LIBANES</t>
  </si>
  <si>
    <t>HOSPITAL MED IMAGEM LTDA</t>
  </si>
  <si>
    <t>PRO-ONCO CENTRO DE TRATAMENTO ONCOLOGICO SS LTDA - LONDRINA - PR - PRIVADO - 73.863.342/0001-09</t>
  </si>
  <si>
    <t>LONDRINA</t>
  </si>
  <si>
    <t>PRONTO ATENDIMENTO UNIMED LONDRINA - PRIVADO - 75.222.224/0018-95</t>
  </si>
  <si>
    <t>HOSPITAL NOSSA SENHORA DAS GRACAS - CURITIBA - PR - PRIVADO - 76.562.198/0001-69</t>
  </si>
  <si>
    <t>HOSPITAL MARCELINO CHAMPAGNAT - CURITIBA - PR - PRIVADO - 76.659.820/0023-67</t>
  </si>
  <si>
    <t>HOSPITAL PARANA - MARINGA - PR - PRIVADO - 77.265.361/0001-94</t>
  </si>
  <si>
    <t>CLINICA PRO-VIDA LTDA - TUBARAO - SC - PRIVADO - 80.490.618/0001-16</t>
  </si>
  <si>
    <t>HOSPITAL UNIMED BLUMENAU - UNIDADE VILA NOVA - BLUMENAU - SC - PRIVADO - 82.624.776/0006-51</t>
  </si>
  <si>
    <t>HOSPITAL ADVENTISTA DE BELEM - BELEM - PA - PRIVADO - 83.367.342/0002-52</t>
  </si>
  <si>
    <t>IMPERIAL HOSPITAL DE CARIDADE - FLORIANOPOLIS - SC - PRIVADO - 83.884.999/0001-06</t>
  </si>
  <si>
    <t>UNIMED PLANALTO MEDIO - COOPERATIVA DE SERVICOS MEDICOS - PASSO FUNDO - RS - PRIVADO - 87.607.149/0006-26</t>
  </si>
  <si>
    <t>INSTITUTO DE ONCOLOGIA KAPLAN - PORTO ALEGRE - RS - PRIVADO - 94.831.294/0001-47</t>
  </si>
  <si>
    <t>MATERNIDADE FEMINA - GOIANIA - GO - PRIVADO - 00.053.629/0001-08</t>
  </si>
  <si>
    <t>CLINICA DE DOENCAS RENAIS DE BRASILIA LTDA - PRIVADO - 01.602.408/0001-04</t>
  </si>
  <si>
    <t>ONCO HEMATOS S/S LTDA - ME - ARACAJU - SE - PRIVADO - 03.091.003/0001-76</t>
  </si>
  <si>
    <t>FARMA REGIA - SANTA HELENA - MA - PRIVADO - 03.210.872/0001-72</t>
  </si>
  <si>
    <t>SANTA HELENA</t>
  </si>
  <si>
    <t>MEDRADIUS - MACEIO - AL - PRIVADO - 03.866.223/0001-24</t>
  </si>
  <si>
    <t>HOSPITAL DO CORACAO DE LONDRINA LTDA - LONDRINA - PR - PRIVADO - 04.762.301/0001-03</t>
  </si>
  <si>
    <t>CLINICA SAO MARCOS - SAO LUIS - MA - PRIVADO - 07.750.144/0001-04</t>
  </si>
  <si>
    <t>HOSPITAL UNIVERSITARIO DA UFGD - DOURADOS - MS - PUBLICO - 07.775.847/0002-78</t>
  </si>
  <si>
    <t>DOURADOS</t>
  </si>
  <si>
    <t>HOSPITAL GERAL DE CURITIBA - CURITIBA - PR - PUBLICO - 09.579.964/0002-91</t>
  </si>
  <si>
    <t>FUNDACAO DE SAUDE PUBLICA DE NOVO HAMBURGO - FSNH - NOVO HAMBURGO - RS - PUBLICO - 11.055.682/0001-56</t>
  </si>
  <si>
    <t>NOVO HAMBURGO</t>
  </si>
  <si>
    <t>HOSPITAL UNIMED RECIFE - RECIFE - PE - PRIVADO - 11.214.624/0004-70</t>
  </si>
  <si>
    <t>FUNDO MUNICIPAL DE SAUDE DE TERESINA - TERESINA - PI - PUBLICO - 11.273.170/0001-66</t>
  </si>
  <si>
    <t>TITULO DO ESTABELECIMENTO (NOME DE FANTASIA)  HOSPITAL GERAL JOINVILLE - JOINVILLE - SC - PRIVADO - 12.361.267/0042-61</t>
  </si>
  <si>
    <t>JOINVILLE</t>
  </si>
  <si>
    <t>CLINICA SANTA HELENA - ARACAJU - SE - PRIVADO - 13.086.053/0001-19</t>
  </si>
  <si>
    <t>UNIMED SUL DO PARA - MARABA - PA - PRIVADO - 14.112.023/0001-00</t>
  </si>
  <si>
    <t>MARABA</t>
  </si>
  <si>
    <t>EBSERH HOSPITAL UNIVERSITARIO DE BRASILIA - BRASILIA - DF - PRIVADO - 15.126.437/0003-05</t>
  </si>
  <si>
    <t>UNIMED UBERABA COOPERATIVA DE TRABALHO MEDICO LTDA</t>
  </si>
  <si>
    <t>UBERABA</t>
  </si>
  <si>
    <t>CASA DE CARIDADE DE CARANGOLA - CARANGOLA - MG - PRIVADO - 19.274.091/0001-81</t>
  </si>
  <si>
    <t>CARANGOLA</t>
  </si>
  <si>
    <t>HOSPITAL MULTI ESPECIALIDADES LTDA EPP - PRIVADO - 21.155.621/0001-14</t>
  </si>
  <si>
    <t>HOSPITAL DR. ROBERTO ARNIZAUT SILVARES - SAO MATEUS - ES - PUBLICO - 27.080.605/0003-58</t>
  </si>
  <si>
    <t>SAO MATEUS</t>
  </si>
  <si>
    <t>HOSPITAL MARIO LIONI - DUQUE DE CAXIAS - RJ - PRIVADO - 29.435.005/0034-97</t>
  </si>
  <si>
    <t>CLINICA DE NEUROLOGIA E NEUROINFUSAO DE BRASILIA - BRASILIA - DF - PRIVADO - 30.135.335/0001-88</t>
  </si>
  <si>
    <t>HOSPITAL SAO LUCAS - NOVA FRIBURGO - RJ - PRIVADO - 30.537.740/0001-22</t>
  </si>
  <si>
    <t>PETROBRAS - SENADOR CANEDO - GO - PRIVADO - 33.000.167/0021-55</t>
  </si>
  <si>
    <t>SENADOR CANEDO</t>
  </si>
  <si>
    <t>HOSPITAL NOSSA SENHORA DO PILAR LTDA - CURITIBA - PR - PRIVADO - 76.498.013/0001-02</t>
  </si>
  <si>
    <t>HOSPITAL DO CANCER DE LONDRINA - LONDRINA - PR - PRIVADO - 78.633.088/0001-76</t>
  </si>
  <si>
    <t>CENTRO DE ONCOLOGIA UNIMED PORTO ALEGRE - PORTO ALEGRE - RS - PRIVADO - 87.096.616/0031-01</t>
  </si>
  <si>
    <t>UNICLINICA - ERECHIM - RS - PRIVADO - 87.638.334/0005-05</t>
  </si>
  <si>
    <t>ERECHIM</t>
  </si>
  <si>
    <t>MUNICIPIO DE CAXIAS DO SUL - CAXIAS DO SUL - RS - PUBLICO - 88.830.609/0001-39</t>
  </si>
  <si>
    <t>INSTITUTO ORTOPEDICO DE GOIANIA LTDA - GOIANIA - GO - PRIVADO - 01.570.589/0001-26</t>
  </si>
  <si>
    <t>HOSPITAL SANTA HELENA - GOIANIA - GO - PRIVADO - 01.656.123/0001-48</t>
  </si>
  <si>
    <t>HOSPITAL MEMORIAL ARTHUR RAMOS - MACEIO - AL - PRIVADO - 01.722.424/0001-22</t>
  </si>
  <si>
    <t>HOSPITAL UNIVERSITARIO ALCIDES CARNEIRO/UFCG - CAMPINA GRANDE - PB - PUBLICO - 05.055.128/0002-57</t>
  </si>
  <si>
    <t>CAMPINA GRANDE</t>
  </si>
  <si>
    <t>HOSPITAL AMPARO - GOIANIA - GO - PRIVADO - 05.919.720/0001-79</t>
  </si>
  <si>
    <t>HONCORD - GOIANIA - GO - PRIVADO - 06.337.035/0001-05</t>
  </si>
  <si>
    <t>HOSPITAL SAO LUIS - HSLZ LTDA. - SAO JOSE DE RIBAMAR - MA - PRIVADO - 09.192.098/0001-09</t>
  </si>
  <si>
    <t>SAO JOSE DE RIBAMAR</t>
  </si>
  <si>
    <t>GLN HOSPITALAR - VOLTA REDONDA - RJ - PRIVADO - 10.562.003/0001-72</t>
  </si>
  <si>
    <t>EMPRESA BRASILEIRA DE SERVICOS HOSPITALARES - EBSERH</t>
  </si>
  <si>
    <t>UNIMED ARAXA COOPERATIVA DE TRABALHO MEDICO LTDA  - ARAXA - MG - PRIVADO - 25.910.449/0004-60</t>
  </si>
  <si>
    <t>ARAXA</t>
  </si>
  <si>
    <t>HOSPITAL UNIVERSITARIO ANTONIO PEDRO - NITEROI - RJ - PUBLICO - 28.523.215/0003-78</t>
  </si>
  <si>
    <t>C.T.O. - PETROPOLIS - RJ - PRIVADO - 30.638.381/0001-08</t>
  </si>
  <si>
    <t>HOSPITAL UNIMED - UNIDADE CENTRO - CAMPO MOURAO - PR - PRIVADO - 81.715.716/0004-10</t>
  </si>
  <si>
    <t>CAMPO MOURAO</t>
  </si>
  <si>
    <t>HOSPITAL STO ANTONIO - BLUMENAU - SC - PRIVADO - 82.654.088/0001-20</t>
  </si>
  <si>
    <t>MARIA BEATRIZ DE SOUZA MOREIRA - RIO DE JANEIRO - RJ - PESSOA FISICA - 111.149.877-60</t>
  </si>
  <si>
    <t>RIO DE JANEIRO</t>
  </si>
  <si>
    <t>HOSPITAL GERAL DE BONSUCESSO/RJ - RIO DE JANEIRO - RJ - PUBLICO - 00.394.544/0202-91</t>
  </si>
  <si>
    <t>HOSPITAL FEDERAL CARDOSO FONTES - RIO DE JANEIRO - RJ - PUBLICO - 00.394.544/0203-72</t>
  </si>
  <si>
    <t>HOSPITAL DA LAGOA/RJ - RIO DE JANEIRO - RJ - PUBLICO - 00.394.544/0204-53</t>
  </si>
  <si>
    <t>HOSPITAL GERAL DE IPANEMA/RJ - RIO DE JANEIRO - RJ - PUBLICO - 00.394.544/0210-00</t>
  </si>
  <si>
    <t>INSTITUTO NACIONAL DE CARDIOLOGIA - RIO DE JANEIRO - RJ - PUBLICO - 00.394.544/0213-44</t>
  </si>
  <si>
    <t>HOSPITAL BARRA DOR - RIO DE JANEIRO - RJ - PRIVADO - 02.284.062/0005-21</t>
  </si>
  <si>
    <t>CENTRON - CENTRO DE TRATAMENTO ONCOLOGICO LTDA - RIO DE JANEIRO - RJ - PRIVADO - 02.864.097/0001-06</t>
  </si>
  <si>
    <t>HOSPITAL COPA DOR - RIO DE JANEIRO - RJ - PRIVADO - 06.047.087/0009-96</t>
  </si>
  <si>
    <t>HOSPITAL QUINTA DOR - RIO DE JANEIRO - RJ - PRIVADO - 06.047.087/0010-20</t>
  </si>
  <si>
    <t>HOSPITAL COPA DOR STAR - PRIVADO - 06.047.087/0026-97</t>
  </si>
  <si>
    <t>HOSPITAL OESTE DOR - RIO DE JANEIRO - RJ - PRIVADO - 06.047.087/0033-16</t>
  </si>
  <si>
    <t>CEMED CARE - EMPRESA DE ATENDIMENTO CLINICO GERAL LTDA - RIO DE JANEIRO - RJ - PRIVADO - 07.794.623/0048-96</t>
  </si>
  <si>
    <t>HOSPITAL SAMARITANO - RIO DE JANEIRO - RJ - PRIVADO - 08.100.676/0021-02</t>
  </si>
  <si>
    <t>INSTITUTO DOR DE GESTAO DE SAUDE PUBLICA - RIO DE JANEIRO - RJ - PRIVADO - 08.850.962/0002-22</t>
  </si>
  <si>
    <t>UNIMED-RIO EMPREENDIMENTOS MEDICOS E HOSPITALARES LTDA - RIO DE JANEIRO - RJ - PRIVADO - 09.219.138/0005-84</t>
  </si>
  <si>
    <t>HOSPITAL NORTE DOR DE CASCADURA S.A - RIO DE JANEIRO - RJ - PRIVADO - 09.578.217/0001-58</t>
  </si>
  <si>
    <t>HOSPITAL CENTRALDO EXERCITO - RIO DE JANEIRO - RJ - PUBLICO - 09.609.235/0002-30</t>
  </si>
  <si>
    <t>HOSPITAL CASA DE PORTUGAL - RIO DE JANEIRO - RJ - PRIVADO - 11.279.865/0001-55</t>
  </si>
  <si>
    <t>HOSPITAL SAO VICENTE DE PAULO - RIO DE JANEIRO - RJ - PRIVADO - 18.010.750/0001-00</t>
  </si>
  <si>
    <t>BRASIF S/A ADMINISTRACAO E PARTICIPACOES - 21.109.731/0001-40</t>
  </si>
  <si>
    <t>HOMEBABY HOMECARE DA CRIANCA ATENDIMENTO MEDICO DOMICILIAR LIMITADA - RIO DE JANEIRO - RJ - PRIVADO - 21.265.360/0001-95</t>
  </si>
  <si>
    <t>HOSPITAL CASA ARRENDATARIA SERVICOS MEDICOS HOSPITALARES E INVESTIMENTOS LTDA - RIO DE JANEIRO - RJ - PRIVADO - 24.217.779/0001-60</t>
  </si>
  <si>
    <t>HOSPITAL DR BADIM - RIO DE JANEIRO - RJ - PRIVADO - 27.901.222/0001-31</t>
  </si>
  <si>
    <t>ONCOLOGIA REDE DOR S.A. - RIO DE JANEIRO - RJ - PRIVADO - 28.000.107/0001-59</t>
  </si>
  <si>
    <t>URGIL - RIO DE JANEIRO - RJ - PRIVADO - 28.602.407/0001-08</t>
  </si>
  <si>
    <t>HOSPITAL RIOS DOR - RIO DE JANEIRO - RJ - PRIVADO - 29.259.736/0004-03</t>
  </si>
  <si>
    <t>HOSPITAL PRO-CARDIACO - RIO DE JANEIRO - RJ - PRIVADO - 29.435.005/0051-98</t>
  </si>
  <si>
    <t>HOSPITAL PASTEUR - RIO DE JANEIRO - RJ - PRIVADO - 29.435.005/0057-83</t>
  </si>
  <si>
    <t>HOSPITAL SAMARITANO - RIO DE JANEIRO - RJ - PRIVADO - 29.435.005/0061-60</t>
  </si>
  <si>
    <t>CLINICA SAO VICENTE - RIO DE JANEIRO - RJ - PRIVADO - 31.635.857/0001-01</t>
  </si>
  <si>
    <t>HOSPITAIS INTEGRADOS DA GAVEA S/A - RIO DE JANEIRO - RJ - PRIVADO - 31.635.857/0002-92</t>
  </si>
  <si>
    <t>HOSPITAL DE CLINICAS RIO MAR BARRA LTDA - RIO DE JANEIRO - RJ - PRIVADO - 32.154.700/0001-27</t>
  </si>
  <si>
    <t>PETROBRAS - RIO DE JANEIRO - RJ - PRIVADO - 33.000.167/0001-01</t>
  </si>
  <si>
    <t>LARANJEIRAS CLINICA PERINATAL - RIO DE JANEIRO - RJ - PRIVADO - 33.419.482/0002-59</t>
  </si>
  <si>
    <t>INSTITUTO DE PUERICULTURA E PEDIATRIA MARTAGAO GESTEIR - RIO DE JANEIRO - RJ - PUBLICO - 33.663.683/0026-74</t>
  </si>
  <si>
    <t>HOSPITAL UNIVERSITARIO - RIO DE JANEIRO - RJ - PUBLICO - 33.663.683/0053-47</t>
  </si>
  <si>
    <t>INSTITUTO FERNANDES FIGUEIRA - RIO DE JANEIRO - RJ - PUBLICO - 33.781.055/0002-16</t>
  </si>
  <si>
    <t>CENTRO DE ESTUDOS E PESQUISAS 28 - RIO DE JANEIRO - RJ - PRIVADO - 33.927.377/0001-40</t>
  </si>
  <si>
    <t>COI CLINICAS ONCOLOGICAS INTEGRADAS SA - RIO DE JANEIRO - RJ - PRIVADO - 39.086.160/0001-30</t>
  </si>
  <si>
    <t>HOSPITAL SAO FRANCISCO NA PROVIDENCIA DE DEUS - RIO DE JANEIRO - RJ - PRIVADO - 53.221.255/0049-95</t>
  </si>
  <si>
    <t>HOSPITAL SAO LUCAS - RIO DE JANEIRO - RJ - PRIVADO - 60.884.855/0016-30</t>
  </si>
  <si>
    <t>CASA DE SAUDE SAO JOSE - RIO DE JANEIRO - RJ - PRIVADO - 60.922.168/0003-48</t>
  </si>
  <si>
    <t>ONCOCLINICA - CENTRO DE TRATAMENTO ONCOLOGICO S.A. - PRIVADO - 72.101.124/0005-06</t>
  </si>
  <si>
    <t>HOSPITAL ADVENTISTA SILVESTRE - RIO DE JANEIRO - RJ - PRIVADO - 73.696.718/0002-19</t>
  </si>
  <si>
    <t>HOSPITAL NAVAL MARCILIO DIAS - RIO DE JANEIRO - RJ - PUBLICO - 00.394.502/0148-70</t>
  </si>
  <si>
    <t>INSTITUTO NACIONAL DE CANCER - RIO DE JANEIRO - RJ - PUBLICO - 00.394.544/0171-50</t>
  </si>
  <si>
    <t>CLINICA CIRURGICA E ONCOLOGICA DA PENHA LTDA - RIO DE JANEIRO - RJ - PRIVADO - 22.400.856/0001-97</t>
  </si>
  <si>
    <t>CASA DE SAUDE SANTA LUCIA - RIO DE JANEIRO - RJ - PRIVADO - 29.435.005/0052-79</t>
  </si>
  <si>
    <t>HOSPITAL DE CLINICAS DE JACAREPAGUA LTDA - RIO DE JANEIRO - RJ - PRIVADO - 34.058.123/0001-03</t>
  </si>
  <si>
    <t>CLIMES CLINICA MEDICA ESPECIALIZADA LTDA - RIO DE JANEIRO - RJ - PRIVADO - 40.320.103/0001-53</t>
  </si>
  <si>
    <t>HOSPITAL BALBINO - RIO DE JANEIRO - RJ - PRIVADO - 42.297.507/0001-07</t>
  </si>
  <si>
    <t>MAIARA ALMEIDA DA SILVA - RIO DE JANEIRO - RJ - PESSOA FISICA - 003.204.650-20</t>
  </si>
  <si>
    <t>REJANE CELESTE DOS ANJOS BECKER - RIO DE JANEIRO - RJ - PESSOA FISICA - 053.719.447-96</t>
  </si>
  <si>
    <t>UNIMED-RIO EMPREENDIMENTOS MEDICOS E HOSPITALARES LTDA - RIO DE JANEIRO - RJ - PRIVADO - 09.219.138/0004-01</t>
  </si>
  <si>
    <t>FUNDACAO ARY FRAUZINO PARA PESQUISA E CONTROL DO CANCER - PRIVADO - 40.226.946/0002-76</t>
  </si>
  <si>
    <t>#PK-Email</t>
  </si>
  <si>
    <t>Nome</t>
  </si>
  <si>
    <t>Perfil</t>
  </si>
  <si>
    <t>#FK-Cod-Equipe</t>
  </si>
  <si>
    <t>Equipe</t>
  </si>
  <si>
    <t>@-Ativo</t>
  </si>
  <si>
    <t>@-IV</t>
  </si>
  <si>
    <t>%-BERINERT</t>
  </si>
  <si>
    <t>%-BERIPLEX</t>
  </si>
  <si>
    <t>%-HAEMO</t>
  </si>
  <si>
    <t>%-HIZENTRA</t>
  </si>
  <si>
    <t>%-PRIVIGEN</t>
  </si>
  <si>
    <t>aline.fonseca@cslbehring.com</t>
  </si>
  <si>
    <t>ALINE FONSECA - HSP - RS</t>
  </si>
  <si>
    <t>Representante</t>
  </si>
  <si>
    <t>Hospitalar</t>
  </si>
  <si>
    <t>antonio.tunes@cslbehring.com</t>
  </si>
  <si>
    <t>ANTONIO TUNES - HSP - SPC</t>
  </si>
  <si>
    <t>artur.junior@cslbehring.com</t>
  </si>
  <si>
    <t>ARTUR JUNIOR - HSP - SPI</t>
  </si>
  <si>
    <t>bruna.claro@cslbehring.com</t>
  </si>
  <si>
    <t>BRUNA CLARO - ESP - SPI</t>
  </si>
  <si>
    <t>Especialidade</t>
  </si>
  <si>
    <t>distribuidores@wfbconsultoria.com.br</t>
  </si>
  <si>
    <t>(DISTRIBUIDORES)</t>
  </si>
  <si>
    <t>eveline.goulart@cslbehring.com</t>
  </si>
  <si>
    <t>EVELINE GOULART - ESP - RJ</t>
  </si>
  <si>
    <t>fernanda.bornhausen@cslbehring.com</t>
  </si>
  <si>
    <t>FERNANDA BORNHAUSEN - HSP - SC/PR</t>
  </si>
  <si>
    <t>iwens.silva@cslbehring.com</t>
  </si>
  <si>
    <t>IWENS SILVA - HSP - MG/ES</t>
  </si>
  <si>
    <t>Hosp-Esp</t>
  </si>
  <si>
    <t>janaina.palmiro@cslbehring.com</t>
  </si>
  <si>
    <t>JANAINA PALMIRO - ESP - SPC</t>
  </si>
  <si>
    <t>karen.rosa@cslbehring.com</t>
  </si>
  <si>
    <t>KAREN ROSA - HSP - DF/GO/MS/MT/TO</t>
  </si>
  <si>
    <t>kleber.silva@cslbehring.com</t>
  </si>
  <si>
    <t>KLEBER SILVA - HSP - CE/MA/PI</t>
  </si>
  <si>
    <t>lais.magalhaes@cslbehring.com</t>
  </si>
  <si>
    <t>LAIS MAGALHAES - HSP - BA/AL/SE</t>
  </si>
  <si>
    <t>lenilson.silva@cslbehring.com</t>
  </si>
  <si>
    <t>LENILSON SILVA - HSP - PB/PE/RN</t>
  </si>
  <si>
    <t>manuele.bertamoni@cslbehring.com</t>
  </si>
  <si>
    <t>MANUELE BERTAMONI - HSP - RS</t>
  </si>
  <si>
    <t>marcus.bastos@cslbehring.com</t>
  </si>
  <si>
    <t>MARCUS BASTOS - HSP - RJ</t>
  </si>
  <si>
    <t>michele.moraes@cslbehring.com</t>
  </si>
  <si>
    <t>MICHELE MORAES - ESP - PR/SC/RS</t>
  </si>
  <si>
    <t>nelson.martins@cslbehring.com</t>
  </si>
  <si>
    <t>NELSON MARTINS - HSP - SPC</t>
  </si>
  <si>
    <t>orfao@vago</t>
  </si>
  <si>
    <t>(# ORFÃO)</t>
  </si>
  <si>
    <t>romeu.soares@cslbehring.com</t>
  </si>
  <si>
    <t>ROMEU SOARES - HSP - RJ</t>
  </si>
  <si>
    <t>tathiana.ponce@cslbehring.com</t>
  </si>
  <si>
    <t>TATHIANA PONCE - HSP - SPC</t>
  </si>
  <si>
    <t>vago.ESP.MG-ES@vago.com</t>
  </si>
  <si>
    <t>XXX-ESP-VAGO (MG-ES)</t>
  </si>
  <si>
    <t>vago.ESP.NO@vago.com</t>
  </si>
  <si>
    <t>XXX-ESP-VAGO NO (DF/GO/MS/MT/TO)</t>
  </si>
  <si>
    <t>vago.ESP.RJ@vago.com</t>
  </si>
  <si>
    <t>XXX-ESP-VAGO RJ</t>
  </si>
  <si>
    <t>vago.ESP.SPC@vago.com</t>
  </si>
  <si>
    <t>XXX-ESP-VAGO SPC</t>
  </si>
  <si>
    <t>vago.HSP.NO@vago.com</t>
  </si>
  <si>
    <t>XXX-HSP-VAGO NO (DF/GO/MS/MT/TO)</t>
  </si>
  <si>
    <t>vago.HSP.RJ@vago.com</t>
  </si>
  <si>
    <t>XXX-HSP-VAGO RJ</t>
  </si>
  <si>
    <t>vago.HSP.SPC@vago.com</t>
  </si>
  <si>
    <t>XXX-HSP-VAGO SPC</t>
  </si>
  <si>
    <t>valeria.braga@cslbehring.com</t>
  </si>
  <si>
    <t>VALERIA BRAGA - ESP - (CE/MA/PI/BA/AL/SE/PB/PE/RN)</t>
  </si>
  <si>
    <t>wladimir.campelo@cslbehring.com</t>
  </si>
  <si>
    <t>WLADIMIR CAMPELO - ESP/HSP - AC/AM/AP/PA/RO/RR/DF</t>
  </si>
  <si>
    <t>#FK-Email-Gerente</t>
  </si>
  <si>
    <t>Gerente</t>
  </si>
  <si>
    <t>rafael.esteves@cslbehring.com</t>
  </si>
  <si>
    <t>RAFAEL ESTEVES (RJ/SPI/SUL)</t>
  </si>
  <si>
    <t>claudia.bueno@cslbehring.com</t>
  </si>
  <si>
    <t>CLAUDIA BUENO (SPC/SPI)</t>
  </si>
  <si>
    <t>gerente.orfao@vago.com</t>
  </si>
  <si>
    <t>XXX - GERENTE ORFAO</t>
  </si>
  <si>
    <t>fernando.leony@cslbehring.com</t>
  </si>
  <si>
    <t>FERNANDO LEONY (CO/NO/NE)</t>
  </si>
  <si>
    <t>HOSPITAL DE CLINICAS - CURITIBA - PR - PUBLICO - 75.095.679/0002-20</t>
  </si>
  <si>
    <t>Status</t>
  </si>
  <si>
    <t>Qtd_REPS</t>
  </si>
  <si>
    <t>1-Setorizado</t>
  </si>
  <si>
    <t>#FK-CNPJ</t>
  </si>
  <si>
    <t>Email-Representante</t>
  </si>
  <si>
    <t>@-BERINERT</t>
  </si>
  <si>
    <t>@-BERIPLEX</t>
  </si>
  <si>
    <t>@-HAEMO</t>
  </si>
  <si>
    <t>@-HIZENTRA</t>
  </si>
  <si>
    <t>@-PRIVIGEN</t>
  </si>
  <si>
    <t xml:space="preserve">TAIANA ANGELICA LUZ _x000D_
- PESSOA FÍSICA - 933.266.452-87_x000D_
</t>
  </si>
  <si>
    <t xml:space="preserve">CAMPINAS </t>
  </si>
  <si>
    <t>SAO JOSE DOS CAMPOS _x000D_</t>
  </si>
  <si>
    <t xml:space="preserve">FORTALEZA </t>
  </si>
  <si>
    <t>Calculo-2019</t>
  </si>
  <si>
    <t>Garantido-BERINERT</t>
  </si>
  <si>
    <t>Garantido-BERIPLEX</t>
  </si>
  <si>
    <t>Garantido-HAEMO</t>
  </si>
  <si>
    <t>Garantido-HIZENTRA</t>
  </si>
  <si>
    <t>Garantido-PRIVIGEN</t>
  </si>
  <si>
    <t>05-Nov</t>
  </si>
  <si>
    <t>06-Dez</t>
  </si>
  <si>
    <t>Cota-BERINERT</t>
  </si>
  <si>
    <t>Demanda-BERINERT</t>
  </si>
  <si>
    <t>Cobertura-BERINERT</t>
  </si>
  <si>
    <t>Cota-BERIPLEX</t>
  </si>
  <si>
    <t>Demanda-BERIPLEX</t>
  </si>
  <si>
    <t>Cobertura-BERIPLEX</t>
  </si>
  <si>
    <t>Cota-HAEMO</t>
  </si>
  <si>
    <t>Demanda-HAEMO</t>
  </si>
  <si>
    <t>Cobertura-HAEMO</t>
  </si>
  <si>
    <t>Cota-HIZENTRA</t>
  </si>
  <si>
    <t>Demanda-HIZENTRA</t>
  </si>
  <si>
    <t>Cobertura-HIZENTRA</t>
  </si>
  <si>
    <t>Cota-PRIVIGEN</t>
  </si>
  <si>
    <t>Demanda-PRIVIGEN</t>
  </si>
  <si>
    <t>Cobertura-PRIVIGEN</t>
  </si>
  <si>
    <t>% Cobertura</t>
  </si>
  <si>
    <t>Valor Base (Cálculo Balance)</t>
  </si>
  <si>
    <t>Aumento%</t>
  </si>
  <si>
    <t>Representantes</t>
  </si>
  <si>
    <t>Gerentes</t>
  </si>
  <si>
    <t>Minimo</t>
  </si>
  <si>
    <t>Máximo</t>
  </si>
  <si>
    <t>Cota-ALBUREX</t>
  </si>
  <si>
    <t>Venda-ALBUREX</t>
  </si>
  <si>
    <t>Cobertura-ALBUREX</t>
  </si>
  <si>
    <t>Cota-RHOPHYLAC</t>
  </si>
  <si>
    <t>Venda-RHOPHYLAC</t>
  </si>
  <si>
    <t>Cobertura-RHOPYLAC</t>
  </si>
  <si>
    <t>Cota-OUTROS PRODUTOS</t>
  </si>
  <si>
    <t>Cobertura-OUTROS PRODUTOS</t>
  </si>
  <si>
    <t>Cota-TOTAL</t>
  </si>
  <si>
    <t>Venda-TOTAL</t>
  </si>
  <si>
    <t>Cobertura-TOTAL</t>
  </si>
  <si>
    <r>
      <rPr>
        <b/>
        <sz val="10"/>
        <color rgb="FFFF0000"/>
        <rFont val="Calibri"/>
        <family val="2"/>
        <scheme val="minor"/>
      </rPr>
      <t>Excluidas</t>
    </r>
    <r>
      <rPr>
        <sz val="10"/>
        <color theme="1"/>
        <rFont val="Calibri"/>
        <family val="2"/>
        <scheme val="minor"/>
      </rPr>
      <t xml:space="preserve"> as cotas da equipe </t>
    </r>
    <r>
      <rPr>
        <b/>
        <sz val="10"/>
        <color rgb="FFFF0000"/>
        <rFont val="Calibri"/>
        <family val="2"/>
        <scheme val="minor"/>
      </rPr>
      <t xml:space="preserve">ESPECIALIDADES </t>
    </r>
    <r>
      <rPr>
        <sz val="10"/>
        <color theme="1"/>
        <rFont val="Calibri"/>
        <family val="2"/>
        <scheme val="minor"/>
      </rPr>
      <t>(DUPLICIDADES)</t>
    </r>
  </si>
  <si>
    <t>Tipo</t>
  </si>
  <si>
    <t>Total</t>
  </si>
  <si>
    <t>Sub-total (filtro)</t>
  </si>
  <si>
    <t>Demanda.BERINERT</t>
  </si>
  <si>
    <t>Demanda.BERIPLEX</t>
  </si>
  <si>
    <t>Demanda.HAEMO</t>
  </si>
  <si>
    <t>Demanda.HIZENTRA</t>
  </si>
  <si>
    <t>Demanda.PRIVIGEN</t>
  </si>
  <si>
    <t>Cota.BERINERT</t>
  </si>
  <si>
    <t>Cota.BERIPLEX</t>
  </si>
  <si>
    <t>Cota.HAEMO</t>
  </si>
  <si>
    <t>Cota.HIZENTRA</t>
  </si>
  <si>
    <t>Cota.PRIVIGEN</t>
  </si>
  <si>
    <r>
      <rPr>
        <b/>
        <sz val="10"/>
        <color rgb="FFFF0000"/>
        <rFont val="Calibri"/>
        <family val="2"/>
        <scheme val="minor"/>
      </rPr>
      <t>Excluidas</t>
    </r>
    <r>
      <rPr>
        <sz val="10"/>
        <color theme="1"/>
        <rFont val="Calibri"/>
        <family val="2"/>
        <scheme val="minor"/>
      </rPr>
      <t xml:space="preserve"> as </t>
    </r>
    <r>
      <rPr>
        <b/>
        <sz val="10"/>
        <color rgb="FFFF0000"/>
        <rFont val="Calibri"/>
        <family val="2"/>
        <scheme val="minor"/>
      </rPr>
      <t>DUPLICIDADES</t>
    </r>
    <r>
      <rPr>
        <sz val="10"/>
        <color theme="1"/>
        <rFont val="Calibri"/>
        <family val="2"/>
        <scheme val="minor"/>
      </rPr>
      <t xml:space="preserve"> de demanda por equipes</t>
    </r>
  </si>
  <si>
    <t>Cobertura.BERINERT</t>
  </si>
  <si>
    <t>Cobertura.BERIPLEX</t>
  </si>
  <si>
    <t>Cobertura.HAEMO</t>
  </si>
  <si>
    <t>Cobertura.HIZENTRA</t>
  </si>
  <si>
    <t>Cobertura.PRIVIGEN</t>
  </si>
  <si>
    <t>Premio.BERINERT</t>
  </si>
  <si>
    <t>Premio.BERIPLEX</t>
  </si>
  <si>
    <t>Premio.HAEMO</t>
  </si>
  <si>
    <t>Premio.HIZENTRA</t>
  </si>
  <si>
    <t>Premio.PRIVIGEN</t>
  </si>
  <si>
    <t>Calculo Premio Demanda</t>
  </si>
  <si>
    <t>Recebido.BERINERT</t>
  </si>
  <si>
    <t>Recebido.BERIPLEX</t>
  </si>
  <si>
    <t>Recebido.HAEMO</t>
  </si>
  <si>
    <t>Recebido.HIZENTRA</t>
  </si>
  <si>
    <t>Recebido.PRIVIGEN</t>
  </si>
  <si>
    <t>Recuperavel.BERINERT</t>
  </si>
  <si>
    <t>Recuperavel.BERIPLEX</t>
  </si>
  <si>
    <t>Recuperavel.HAEMO</t>
  </si>
  <si>
    <t>Recuperavel.HIZENTRA</t>
  </si>
  <si>
    <t>Recuperavel.PRIVIGEN</t>
  </si>
  <si>
    <t>Recuperavel Tri Demanda</t>
  </si>
  <si>
    <r>
      <rPr>
        <b/>
        <sz val="12"/>
        <color rgb="FFFF0000"/>
        <rFont val="Calibri"/>
        <family val="2"/>
        <scheme val="minor"/>
      </rPr>
      <t>CSL Behring</t>
    </r>
    <r>
      <rPr>
        <b/>
        <sz val="12"/>
        <color rgb="FF0070C0"/>
        <rFont val="Calibri"/>
        <family val="2"/>
        <scheme val="minor"/>
      </rPr>
      <t xml:space="preserve"> - Cálculo IV 2019 - Setorização Representantes</t>
    </r>
  </si>
  <si>
    <r>
      <rPr>
        <b/>
        <sz val="12"/>
        <color rgb="FFFF0000"/>
        <rFont val="Calibri"/>
        <family val="2"/>
        <scheme val="minor"/>
      </rPr>
      <t>CSL Behring</t>
    </r>
    <r>
      <rPr>
        <b/>
        <sz val="12"/>
        <color rgb="FF0070C0"/>
        <rFont val="Calibri"/>
        <family val="2"/>
        <scheme val="minor"/>
      </rPr>
      <t xml:space="preserve"> - Cálculo IV 2019 - Setorização Gerentes</t>
    </r>
  </si>
  <si>
    <r>
      <rPr>
        <b/>
        <sz val="12"/>
        <color rgb="FFFF0000"/>
        <rFont val="Calibri"/>
        <family val="2"/>
        <scheme val="minor"/>
      </rPr>
      <t>CSL Behring</t>
    </r>
    <r>
      <rPr>
        <b/>
        <sz val="12"/>
        <color rgb="FF0070C0"/>
        <rFont val="Calibri"/>
        <family val="2"/>
        <scheme val="minor"/>
      </rPr>
      <t xml:space="preserve"> - Cálculo Incentivo 2019 - Recuperável Trimestral</t>
    </r>
  </si>
  <si>
    <r>
      <rPr>
        <b/>
        <sz val="12"/>
        <color rgb="FFFF0000"/>
        <rFont val="Calibri"/>
        <family val="2"/>
        <scheme val="minor"/>
      </rPr>
      <t>CSL Behring</t>
    </r>
    <r>
      <rPr>
        <b/>
        <sz val="12"/>
        <color rgb="FF0070C0"/>
        <rFont val="Calibri"/>
        <family val="2"/>
        <scheme val="minor"/>
      </rPr>
      <t xml:space="preserve"> - Cálculo Incentivo 2019 - Mensal</t>
    </r>
  </si>
  <si>
    <t>Somente estabelecimentos com demanda em 2019/2020 (fiscal)</t>
  </si>
  <si>
    <t>Excluidas as duplicidades referentes a equipes</t>
  </si>
  <si>
    <t>Os percentuias de cobertura são arrendodas para cima</t>
  </si>
  <si>
    <r>
      <rPr>
        <b/>
        <sz val="14"/>
        <color rgb="FFFF0000"/>
        <rFont val="Calibri"/>
        <family val="2"/>
        <scheme val="minor"/>
      </rPr>
      <t>CSL Behring</t>
    </r>
    <r>
      <rPr>
        <b/>
        <sz val="14"/>
        <color rgb="FF0070C0"/>
        <rFont val="Calibri"/>
        <family val="2"/>
        <scheme val="minor"/>
      </rPr>
      <t xml:space="preserve"> - Cálculo Incentivo 2019 - Tabela de valores base</t>
    </r>
  </si>
  <si>
    <r>
      <rPr>
        <b/>
        <sz val="12"/>
        <color rgb="FFFF0000"/>
        <rFont val="Calibri"/>
        <family val="2"/>
        <scheme val="minor"/>
      </rPr>
      <t>CSL Behring</t>
    </r>
    <r>
      <rPr>
        <b/>
        <sz val="12"/>
        <color rgb="FF0070C0"/>
        <rFont val="Calibri"/>
        <family val="2"/>
        <scheme val="minor"/>
      </rPr>
      <t xml:space="preserve"> - Demanda por Estabelecimentos x Gerentes Cálculo Incentivo 2019</t>
    </r>
  </si>
  <si>
    <t>Duplicados em razão de alocação do estabelecimento para mais de uma equipe</t>
  </si>
  <si>
    <r>
      <rPr>
        <b/>
        <sz val="14"/>
        <color rgb="FFFF0000"/>
        <rFont val="Calibri"/>
        <family val="2"/>
        <scheme val="minor"/>
      </rPr>
      <t>CSL Behring</t>
    </r>
    <r>
      <rPr>
        <b/>
        <sz val="14"/>
        <color rgb="FF0070C0"/>
        <rFont val="Calibri"/>
        <family val="2"/>
        <scheme val="minor"/>
      </rPr>
      <t xml:space="preserve"> - Demanda por Estabelecimentos x Equipes s Representantes -  Cálculo Incentivo 2019</t>
    </r>
  </si>
  <si>
    <t>Peso-BERINERT</t>
  </si>
  <si>
    <t>Peso-BERIPLEX</t>
  </si>
  <si>
    <t>Peso-HAEMO</t>
  </si>
  <si>
    <t>Peso-HIZENTRA</t>
  </si>
  <si>
    <t>Peso-PRIVIGEN</t>
  </si>
  <si>
    <t>Os percentuais de cobertura são arrendodas para cima</t>
  </si>
  <si>
    <r>
      <rPr>
        <b/>
        <sz val="12"/>
        <color rgb="FFFF0000"/>
        <rFont val="Calibri"/>
        <family val="2"/>
        <scheme val="minor"/>
      </rPr>
      <t>CSL Behring</t>
    </r>
    <r>
      <rPr>
        <b/>
        <sz val="12"/>
        <color rgb="FF0070C0"/>
        <rFont val="Calibri"/>
        <family val="2"/>
        <scheme val="minor"/>
      </rPr>
      <t xml:space="preserve"> - Cálculo Incentivo 2019 - Representantes - Mensal</t>
    </r>
  </si>
  <si>
    <t>Premio-ALBUREX</t>
  </si>
  <si>
    <t>Premio-RHOPYLAC</t>
  </si>
  <si>
    <t>Premio-OUTROS</t>
  </si>
  <si>
    <t>Premio-TOTAL-GR</t>
  </si>
  <si>
    <t>Peso-TOTAL</t>
  </si>
  <si>
    <t>Peso-OUTROS PRODUTOS</t>
  </si>
  <si>
    <t>Venda-OUTROS PRODUTOS</t>
  </si>
  <si>
    <t>Peso-RHOPHYLAC</t>
  </si>
  <si>
    <t>Peso-ALBUREX</t>
  </si>
  <si>
    <r>
      <rPr>
        <b/>
        <sz val="12"/>
        <color rgb="FFFF0000"/>
        <rFont val="Calibri"/>
        <family val="2"/>
        <scheme val="minor"/>
      </rPr>
      <t>CSL Behring</t>
    </r>
    <r>
      <rPr>
        <b/>
        <sz val="12"/>
        <color rgb="FF0070C0"/>
        <rFont val="Calibri"/>
        <family val="2"/>
        <scheme val="minor"/>
      </rPr>
      <t xml:space="preserve"> - Cálculo Incentivo 2019 - Venda Mensal</t>
    </r>
  </si>
  <si>
    <t>Cota-RHOPYLAC</t>
  </si>
  <si>
    <t>Venda-RHOPYLAC</t>
  </si>
  <si>
    <t>Cota-OUTRO PRODUTOS</t>
  </si>
  <si>
    <t>Venda-OUTRO PRODUTOS</t>
  </si>
  <si>
    <t>Recebido-ALBUREX</t>
  </si>
  <si>
    <t>Recebido-RHOPYLAC</t>
  </si>
  <si>
    <t>Recebido-OUTROS</t>
  </si>
  <si>
    <t>Recebido-TOTAL-GR</t>
  </si>
  <si>
    <t>Recuperavel-ALBUREX</t>
  </si>
  <si>
    <t>Recuperavel-RHOPYLAC</t>
  </si>
  <si>
    <t>Recuperavel-OUTROS</t>
  </si>
  <si>
    <t>Recuperavel-TOTAL-GR</t>
  </si>
  <si>
    <r>
      <rPr>
        <b/>
        <sz val="12"/>
        <color rgb="FFFF0000"/>
        <rFont val="Calibri"/>
        <family val="2"/>
        <scheme val="minor"/>
      </rPr>
      <t>CSL Behring</t>
    </r>
    <r>
      <rPr>
        <b/>
        <sz val="12"/>
        <color rgb="FF0070C0"/>
        <rFont val="Calibri"/>
        <family val="2"/>
        <scheme val="minor"/>
      </rPr>
      <t xml:space="preserve"> - Cálculo Incentivo 2019 - Recuperavel Trimestral</t>
    </r>
  </si>
  <si>
    <r>
      <rPr>
        <b/>
        <sz val="12"/>
        <color rgb="FFFF0000"/>
        <rFont val="Calibri"/>
        <family val="2"/>
        <scheme val="minor"/>
      </rPr>
      <t>CSL Behring</t>
    </r>
    <r>
      <rPr>
        <b/>
        <sz val="12"/>
        <color rgb="FF0070C0"/>
        <rFont val="Calibri"/>
        <family val="2"/>
        <scheme val="minor"/>
      </rPr>
      <t xml:space="preserve"> - Cálculo Incentivo 2019 - Representantes - Trimestral</t>
    </r>
  </si>
  <si>
    <t>Premio-BERINERT</t>
  </si>
  <si>
    <t>Premio-BERIPLEX</t>
  </si>
  <si>
    <t>Premio-HAEMO</t>
  </si>
  <si>
    <t>Premio-HIZENTRA</t>
  </si>
  <si>
    <t>Premio-PRIVIGEN</t>
  </si>
  <si>
    <t>Recebido-BERINERT</t>
  </si>
  <si>
    <t>Recebido-BERIPLEX</t>
  </si>
  <si>
    <t>Recebido-HAEMO</t>
  </si>
  <si>
    <t>Recebido-HIZENTRA</t>
  </si>
  <si>
    <t>Recebido-PRIVIGEN</t>
  </si>
  <si>
    <t>Recuperavel-BERIPLEX</t>
  </si>
  <si>
    <t>Recuperavel-BERINERT</t>
  </si>
  <si>
    <t>Recuperavel-HAEMO</t>
  </si>
  <si>
    <t>Recuperavel-HIZENTRA</t>
  </si>
  <si>
    <t>Recuperavel-PRIVIGEN</t>
  </si>
  <si>
    <t>Visitas-Realizar</t>
  </si>
  <si>
    <t>Visitas-Realizadas</t>
  </si>
  <si>
    <t>@</t>
  </si>
  <si>
    <t>Dias-Uteis</t>
  </si>
  <si>
    <t>Dias-Eventos</t>
  </si>
  <si>
    <t>Dias-Visita</t>
  </si>
  <si>
    <t>Visitas-Dia</t>
  </si>
  <si>
    <t>Visitas-Cobertura</t>
  </si>
  <si>
    <t>Garantido</t>
  </si>
  <si>
    <t>Visitas-Premio</t>
  </si>
  <si>
    <r>
      <rPr>
        <b/>
        <sz val="12"/>
        <color rgb="FFFF0000"/>
        <rFont val="Calibri"/>
        <family val="2"/>
        <scheme val="minor"/>
      </rPr>
      <t>CSL Behring</t>
    </r>
    <r>
      <rPr>
        <b/>
        <sz val="12"/>
        <color rgb="FF0070C0"/>
        <rFont val="Calibri"/>
        <family val="2"/>
        <scheme val="minor"/>
      </rPr>
      <t xml:space="preserve"> - Cálculo Incentivo 2019 - Representantes - Visitas</t>
    </r>
  </si>
  <si>
    <t>Data-Mapas</t>
  </si>
  <si>
    <t>Data-Conferencia</t>
  </si>
  <si>
    <t>Data-Fechamento</t>
  </si>
  <si>
    <t>Data-Pagamento</t>
  </si>
  <si>
    <t>07-Jan</t>
  </si>
  <si>
    <t>03-Tri</t>
  </si>
  <si>
    <t>08-Fev</t>
  </si>
  <si>
    <t>09-Mar</t>
  </si>
  <si>
    <t>10-Abr</t>
  </si>
  <si>
    <t>04-Tri</t>
  </si>
  <si>
    <t>11-Mai</t>
  </si>
  <si>
    <t>12-Jun</t>
  </si>
  <si>
    <t>Ano</t>
  </si>
  <si>
    <t>Mês</t>
  </si>
  <si>
    <t>Tri</t>
  </si>
  <si>
    <t>HAEMO</t>
  </si>
  <si>
    <t>Sub-Total (filtro)</t>
  </si>
  <si>
    <t>Demonstrativo REP</t>
  </si>
  <si>
    <r>
      <rPr>
        <b/>
        <sz val="16"/>
        <color rgb="FFFF0000"/>
        <rFont val="Calibri"/>
        <family val="2"/>
        <scheme val="minor"/>
      </rPr>
      <t>CSL Behring</t>
    </r>
    <r>
      <rPr>
        <b/>
        <sz val="16"/>
        <color rgb="FF0070C0"/>
        <rFont val="Calibri"/>
        <family val="2"/>
        <scheme val="minor"/>
      </rPr>
      <t xml:space="preserve"> - Cálculo Incentivo 2019 </t>
    </r>
  </si>
  <si>
    <r>
      <rPr>
        <b/>
        <sz val="12"/>
        <color rgb="FFFF0000"/>
        <rFont val="Calibri"/>
        <family val="2"/>
        <scheme val="minor"/>
      </rPr>
      <t>CSL Behring</t>
    </r>
    <r>
      <rPr>
        <b/>
        <sz val="12"/>
        <color rgb="FF0070C0"/>
        <rFont val="Calibri"/>
        <family val="2"/>
        <scheme val="minor"/>
      </rPr>
      <t xml:space="preserve"> - Cálculo IV 2019 - Configuração de IV Representantes</t>
    </r>
  </si>
  <si>
    <t>E-mail</t>
  </si>
  <si>
    <t>Premio-Total</t>
  </si>
  <si>
    <t>Recuperavel-Total</t>
  </si>
  <si>
    <t>Premio-Total-REP</t>
  </si>
  <si>
    <t>Recuperavel-Total-REP</t>
  </si>
  <si>
    <t>Premio.Total</t>
  </si>
  <si>
    <t>IV Demanda Mês (70%)</t>
  </si>
  <si>
    <t>IV Visitas (5%)</t>
  </si>
  <si>
    <t>IV Conhecimento (5%)</t>
  </si>
  <si>
    <t>IV Venda Mês (20%)</t>
  </si>
  <si>
    <t>Calcular Recuperavel Tri</t>
  </si>
  <si>
    <t>Recuperavel Demanda Tri</t>
  </si>
  <si>
    <t>Recuperavel Venda Tri</t>
  </si>
  <si>
    <t>Observações</t>
  </si>
  <si>
    <t>Total Premiação</t>
  </si>
  <si>
    <t>Acréscimos (+)</t>
  </si>
  <si>
    <t>Descontos (-)</t>
  </si>
  <si>
    <t>Email</t>
  </si>
  <si>
    <r>
      <rPr>
        <b/>
        <sz val="14"/>
        <color rgb="FFFF0000"/>
        <rFont val="Calibri"/>
        <family val="2"/>
        <scheme val="minor"/>
      </rPr>
      <t>CSL Behring</t>
    </r>
    <r>
      <rPr>
        <b/>
        <sz val="14"/>
        <color rgb="FF0070C0"/>
        <rFont val="Calibri"/>
        <family val="2"/>
        <scheme val="minor"/>
      </rPr>
      <t xml:space="preserve"> - Cálculo Incentivo 2019 - Resumo para pagamento </t>
    </r>
  </si>
  <si>
    <t>Gerentes Regionais</t>
  </si>
  <si>
    <t>Demanda Total</t>
  </si>
  <si>
    <t>Cota</t>
  </si>
  <si>
    <t>Demanda</t>
  </si>
  <si>
    <t>Cobertura</t>
  </si>
  <si>
    <t>Peso</t>
  </si>
  <si>
    <t>Prêmio</t>
  </si>
  <si>
    <t>Recuperavel</t>
  </si>
  <si>
    <t>Demanda Mensal</t>
  </si>
  <si>
    <t>Demanda Recuperavel</t>
  </si>
  <si>
    <t>ALBUREX</t>
  </si>
  <si>
    <t>RHOPHYLAC</t>
  </si>
  <si>
    <t>OUTROS</t>
  </si>
  <si>
    <t>Venda Mensal</t>
  </si>
  <si>
    <t>Venda</t>
  </si>
  <si>
    <t>Venda Recuperavel</t>
  </si>
  <si>
    <t>Visitas</t>
  </si>
  <si>
    <t>Meta</t>
  </si>
  <si>
    <t>Realizado</t>
  </si>
  <si>
    <t>Conehcimento</t>
  </si>
  <si>
    <t>SAMEL - MANAUS - AM - PRIVADO - 04.159.778/0001-07</t>
  </si>
  <si>
    <t>HOSPITAL SANTA ROSA - CUIABA - MT - PRIVADO - 70.524.145/0001-77</t>
  </si>
  <si>
    <t>0-Setorizar</t>
  </si>
  <si>
    <t>Total a Receber</t>
  </si>
  <si>
    <t>Visitas/Conhecimento</t>
  </si>
  <si>
    <t>Recebido</t>
  </si>
  <si>
    <t>Detalhamento da Demanda</t>
  </si>
  <si>
    <t>Demonstrativo GR</t>
  </si>
  <si>
    <t>Unidades Equivalentes</t>
  </si>
  <si>
    <t>E-Mail</t>
  </si>
  <si>
    <r>
      <rPr>
        <b/>
        <sz val="14"/>
        <color rgb="FFFF0000"/>
        <rFont val="Calibri"/>
        <family val="2"/>
        <scheme val="minor"/>
      </rPr>
      <t>CSL Behring</t>
    </r>
    <r>
      <rPr>
        <b/>
        <sz val="14"/>
        <color rgb="FF0070C0"/>
        <rFont val="Calibri"/>
        <family val="2"/>
        <scheme val="minor"/>
      </rPr>
      <t xml:space="preserve"> - Cálculo IV 2019 - Períodos de Cálculo</t>
    </r>
  </si>
  <si>
    <t>Config CálculoAtual</t>
  </si>
  <si>
    <t>INSTITUTO MINEIRO ESPECIALIZADO EM GASTROENTEROLOGIA - BELO HORIZONTE - MG - PRIVADO - 01.444.455/0001-69</t>
  </si>
  <si>
    <t>CLIOM - MACEIO - AL - PRIVADO - 05.612.725/0001-54</t>
  </si>
  <si>
    <t>HOSPITAL ISRAELITA ALBERT SABIN - RIO DE JANEIRO - RJ - PRIVADO - 33.722.224/0001-66</t>
  </si>
  <si>
    <t>Estabelecimento-Venda</t>
  </si>
  <si>
    <t>Grupo-Linha-IV-REP</t>
  </si>
  <si>
    <t>BRL</t>
  </si>
  <si>
    <t>VICTORIA</t>
  </si>
  <si>
    <t>OUTROS PRODUTOS</t>
  </si>
  <si>
    <t>HOSPITAL GERAL DO ANDARAI/RJ - RIO DE JANEIRO - RJ</t>
  </si>
  <si>
    <t>HOSPITAL GERAL DE BONSUCESSO/RJ - RIO DE JANEIRO - RJ</t>
  </si>
  <si>
    <t>HOSPITAL FEDERAL CARDOSO FONTES - RIO DE JANEIRO - RJ</t>
  </si>
  <si>
    <t>HOSPITAL DA LAGOA/RJ - RIO DE JANEIRO - RJ</t>
  </si>
  <si>
    <t>HOSPITAL GERAL DE IPANEMA/RJ - RIO DE JANEIRO - RJ</t>
  </si>
  <si>
    <t>HOSPITAL SERVIDORES DO ESTADO/RJ - RIO DE JANEIRO - RJ</t>
  </si>
  <si>
    <t>INSTITUTO NACIONAL DE CARDIOLOGIA - RIO DE JANEIRO - RJ</t>
  </si>
  <si>
    <t xml:space="preserve">RAGI MEDICAL </t>
  </si>
  <si>
    <t>ALMINHANA (PHD)</t>
  </si>
  <si>
    <t>DUPATRI</t>
  </si>
  <si>
    <t>ONCO PROD</t>
  </si>
  <si>
    <t>PROHOSP PR</t>
  </si>
  <si>
    <t>BRASIL PHARMA</t>
  </si>
  <si>
    <t>FES/BA - SALVADOR - BA</t>
  </si>
  <si>
    <t>EXPRESSA</t>
  </si>
  <si>
    <t>NAZARIA (JORGE BATISTA)</t>
  </si>
  <si>
    <t>HOSPITAL UNIVERSITARIO WALTER CANTIDIO - FORTALEZA - CE</t>
  </si>
  <si>
    <t>UNI HOSPITALAR</t>
  </si>
  <si>
    <t>CIONC - CENTRO INTEGRADO DE ONCOLOGIA DE CURITIBA S/S - CURITIBA - PR</t>
  </si>
  <si>
    <t>CDM</t>
  </si>
  <si>
    <t>MAXIMUS</t>
  </si>
  <si>
    <t>FUNDO ESTADUAL DE SAUDE DO PARANA - FUNSAUDE - CURITIBA - PR</t>
  </si>
  <si>
    <t>MEDICAMENTAL</t>
  </si>
  <si>
    <t>ELFA</t>
  </si>
  <si>
    <t>MAJELA</t>
  </si>
  <si>
    <t>S3</t>
  </si>
  <si>
    <t>HOSPITAL DA RESTAURACAO - RECIFE - PE</t>
  </si>
  <si>
    <t>MEDCOMERCE</t>
  </si>
  <si>
    <t>GLOBAL</t>
  </si>
  <si>
    <t>CM HOSPITALAR</t>
  </si>
  <si>
    <t>HCFMB - BOTUCATU - SP</t>
  </si>
  <si>
    <t>MAIS SAUDE</t>
  </si>
  <si>
    <t>EMPRESA BRASILEIRA DE SERVICOS HOSPITALARES - EBSERH - NATAL - RN</t>
  </si>
  <si>
    <t>EBSERH - HOSPITAL UNIVERSITARIO DE SANTA MARIA - SANTA MARIA - RS</t>
  </si>
  <si>
    <t>HOSPITAL UNIVERST DA UFSCAR PROF DR HORACIO C PANEPUCCI - SAO CARLOS - SP</t>
  </si>
  <si>
    <t>RIO BAHIA</t>
  </si>
  <si>
    <t>MCO - SALVADOR - BA</t>
  </si>
  <si>
    <t>FUTURA</t>
  </si>
  <si>
    <t>BIOHOSP</t>
  </si>
  <si>
    <t>HOSPITAL DE CLINICAS DA UFTM - UBERABA - MG</t>
  </si>
  <si>
    <t>HOSPITAL DE CLINICAS DA UFU - UBERLANDIA - MG</t>
  </si>
  <si>
    <t>HOSPITAL DOUTOR DORIO SILVA - SERRA - ES</t>
  </si>
  <si>
    <t>SIGEL</t>
  </si>
  <si>
    <t>INSTITUTO DE PUERICULTURA E PEDIATRIA MARTAGAO GESTEIR - RIO DE JANEIRO - RJ</t>
  </si>
  <si>
    <t>HOSPITAL UNIVERSITARIO - RIO DE JANEIRO - RJ</t>
  </si>
  <si>
    <t>INSTITUTO FERNANDES FIGUEIRA - RIO DE JANEIRO - RJ</t>
  </si>
  <si>
    <t>J NERVAL</t>
  </si>
  <si>
    <t>JUNDIAI GABINETE PREFEITO - JUNDIAI - SP</t>
  </si>
  <si>
    <t>UNIVERSIDADE ESTADUAL DE CAMPINAS - CAMPINAS - SP</t>
  </si>
  <si>
    <t>HOSPITAL GUILHERME ALVARO - SANTOS - SP</t>
  </si>
  <si>
    <t>DEPARTAM. REGIONAL DE SAUDE DE RIB. PRETO - DRS XIII</t>
  </si>
  <si>
    <t>HOSPITAL GERAL DE TAIPAS - SAO PAULO - SP</t>
  </si>
  <si>
    <t>HOSPITAL REGIONAL SUL - SAO PAULO - SP</t>
  </si>
  <si>
    <t>HOSPITAL GERAL DE VILA PENTEADO - SAO PAULO - SP</t>
  </si>
  <si>
    <t>SECRETARIA DA SAUDE UNIDADE DE GESTAO ASSISTENCIAL IV - SAO PAULO - SP</t>
  </si>
  <si>
    <t>HOSPITAL ESTADUAL DE PRESIDENTE PRUDENTE - PRESIDENTE PRUDENTE - SP</t>
  </si>
  <si>
    <t>HOSPITAL DO SERVIDOR PUBLICO MUNICIPAL - SAO PAULO - SP</t>
  </si>
  <si>
    <t>PREFEITURA MUNICIPAL DE GUARARAPES - GUARARAPES - SP</t>
  </si>
  <si>
    <t>PREFEITURA MUNICIPAL DE CAMPINAS - CAMPINAS - SP</t>
  </si>
  <si>
    <t>INSTITUTO DO CANCER DO ESTADO DE SAO PAULO - SAO PAULO - SP</t>
  </si>
  <si>
    <t>CENTRO DE REFERENCIA DA SAUDE DA MULHER - MATER - RIBEIRAO PRETO - SP</t>
  </si>
  <si>
    <t>HOSPITAL DE BASE - SAO JOSE DO RIO PRETO - SP</t>
  </si>
  <si>
    <t>HOSPITAL DAS CLINICAS DA FACULDADE DE MEDICINA DA U S P - SAO PAULO - SP</t>
  </si>
  <si>
    <t>IAMSPE - SAO PAULO - SP</t>
  </si>
  <si>
    <t>SOC BENEFICIENTE DE SENHORAS HOSPITAL SIRIO LIBANES - SAO PAULO - SP</t>
  </si>
  <si>
    <t>REAL E BENEMERITA ASSOCIACAO PORTUGUESA DE BENEFICENCIA - SAO PAULO - SP</t>
  </si>
  <si>
    <t>PROFARMA</t>
  </si>
  <si>
    <t>GENESIO A MENDES BR</t>
  </si>
  <si>
    <t>HOSPITAL DE CLINICAS - PORTO ALEGRE - RS</t>
  </si>
  <si>
    <t>HOSPITAL CRISTO REDENTOR - PORTO ALEGRE - RS</t>
  </si>
  <si>
    <t>SANTA CRUZ</t>
  </si>
  <si>
    <t>DEPARTAMENTO DE LOGISTICA - BRASILIA - DF</t>
  </si>
  <si>
    <t>INSTITUTO NACIONAL DE CANCER - RIO DE JANEIRO - RJ</t>
  </si>
  <si>
    <t>MED-SURGERY</t>
  </si>
  <si>
    <t>MEDRADIUS - MACEIO - AL</t>
  </si>
  <si>
    <t>HOSPITAL GERAL DE CURITIBA - CURITIBA - PR</t>
  </si>
  <si>
    <t>ICIPE - BRASILIA - DF</t>
  </si>
  <si>
    <t>PRONTO S.CARDIOLOGICO DE PE.PROF.LUIZ TAVARES-PROCAPE - RECIFE - PE</t>
  </si>
  <si>
    <t>MACROMED/SUPERMED</t>
  </si>
  <si>
    <t>FUNDO MUNICIPAL DE SAUDE DE TERESINA - TERESINA - PI</t>
  </si>
  <si>
    <t>REPRESENTA</t>
  </si>
  <si>
    <t>EBSERH HOSPITAL UNIVERSITARIO DE BRASILIA - BRASILIA - DF</t>
  </si>
  <si>
    <t>EBSERH - COMPLEXO HOSPITALAR DO CEARA (HUWC E MEAC) - FORTALEZA - CE</t>
  </si>
  <si>
    <t>HCFAMEMA</t>
  </si>
  <si>
    <t>HOSPITAL DR. ROBERTO ARNIZAUT SILVARES - SAO MATEUS - ES</t>
  </si>
  <si>
    <t>UNIVERSIDADE FEDERAL DO ESTADO DO RIO DE JANEIRO - RIO DE JANEIRO - RJ</t>
  </si>
  <si>
    <t>UNID INT SAUDE DR OSWALDO B FARIA DE MIRANDOPOLIS - MIRANDOPOLIS - SP</t>
  </si>
  <si>
    <t>DEPARTAMENTO REGIONAL DE SAUDE - DRS II - ARACATUBA - ARACATUBA - SP</t>
  </si>
  <si>
    <t>DEPARTAMENTO REGIONAL DE SAUDE DE PIRACICABA - DRS X - PIRACICABA - SP</t>
  </si>
  <si>
    <t>COORDENADORIA DE ASSISTENCIA FARMACEUTICA</t>
  </si>
  <si>
    <t>SANTA RITA</t>
  </si>
  <si>
    <t>HOSPITAL ISRAELITA ALBERTEINSTEIN - SAO PAULO - SP</t>
  </si>
  <si>
    <t>HOSPITAL SAO PAULO - SAO PAULO - SP</t>
  </si>
  <si>
    <t>FUNDES - FORTALEZA - CE</t>
  </si>
  <si>
    <t>COORDENACAO DE ARMAZENAGEM E DISTRIBUICAO LOGISTICA - GUARULHOS - SP</t>
  </si>
  <si>
    <t>ESCRITORIO DE REPRESENTACAO DO MS/SAO PAULO - SAO PAULO - SP</t>
  </si>
  <si>
    <t>F CARDOSO</t>
  </si>
  <si>
    <t>HOSPITAL UNIVERSITARIO ALCIDES CARNEIRO/UFCG - CAMPINA GRANDE - PB</t>
  </si>
  <si>
    <t>MAUES E LOBATO</t>
  </si>
  <si>
    <t>ONCOVIT DISTRIBUIDORA DE MEDICAMENTOS LTDA - VITORIA - ES</t>
  </si>
  <si>
    <t>EBSERH HOSPITAL UNIVERSITARIO DE SAO LUIS - SAO LUIS - MA</t>
  </si>
  <si>
    <t>UNIVERSIDADE FEDERAL DA BAHIA - SALVADOR - BA</t>
  </si>
  <si>
    <t>SECRETARIA DA SAUDE - PALMAS - TO</t>
  </si>
  <si>
    <t>HOSPITAL UNIVERSITARIO ANTONIO PEDRO - NITEROI - RJ</t>
  </si>
  <si>
    <t>RIO DE JANEIRO GABINETE DO PREFEITO - RIO DE JANEIRO - RJ</t>
  </si>
  <si>
    <t>COMPLEXO HOSPITALAR DO JUQUERY - FRANCO DA ROCHA - SP</t>
  </si>
  <si>
    <t>CONJUNTO HOSPITALAR DO MANDAQUI - SAO PAULO - SP</t>
  </si>
  <si>
    <t>DEPARTAMENTO REGIONAL DE SAUDE DE ARARAQUARA - DRS III - ARARAQUARA - SP</t>
  </si>
  <si>
    <t>HOSPITAL GERAL DE VILA NOVA CACHOEIRINHA - SAO PAULO - SP</t>
  </si>
  <si>
    <t>HOSPITAL REGIONAL DE ASSIS - ASSIS - SP</t>
  </si>
  <si>
    <t>HOSPITAL MATERNID INTERLAGOS WALDEMAR SEYSSEL - ARRELIA - SAO PAULO - SP</t>
  </si>
  <si>
    <t>SAO JOSE DOS CAMPOS GABINETE DO PREFEITO - SAO JOSE DOS CAMPOS - SP</t>
  </si>
  <si>
    <t>FUNDACAO FACULDADE DE MEDICINA - SAO PAULO - SP</t>
  </si>
  <si>
    <t>HOSPITAL DAS FORCAS ARMADAS - BRASILIA - DF</t>
  </si>
  <si>
    <t>MEDICAL LIFE</t>
  </si>
  <si>
    <t>FUNDARJ - RIO DE JANEIRO - RJ</t>
  </si>
  <si>
    <r>
      <rPr>
        <b/>
        <sz val="14"/>
        <color rgb="FFFF0000"/>
        <rFont val="Calibri"/>
        <family val="2"/>
        <scheme val="minor"/>
      </rPr>
      <t>CSL Behring</t>
    </r>
    <r>
      <rPr>
        <b/>
        <sz val="14"/>
        <color rgb="FF0070C0"/>
        <rFont val="Calibri"/>
        <family val="2"/>
        <scheme val="minor"/>
      </rPr>
      <t xml:space="preserve"> -  Cálculo Incentivo 2019 - Venda Detalhada por Grupo IV/Distribuidor</t>
    </r>
  </si>
  <si>
    <t>Total Geral</t>
  </si>
  <si>
    <t>Venda BRL</t>
  </si>
  <si>
    <t>Detalhamento da Demanda Mensal</t>
  </si>
  <si>
    <t>Detalhamento da Venda Mensal</t>
  </si>
  <si>
    <t>Detalhamento da Demanda Trimestral</t>
  </si>
  <si>
    <t>Detalhamento da Venda Trimestral</t>
  </si>
  <si>
    <t>Instruções</t>
  </si>
  <si>
    <t>Verificar setorização representantes</t>
  </si>
  <si>
    <t>Semanal</t>
  </si>
  <si>
    <t>Período</t>
  </si>
  <si>
    <t>Tarefa</t>
  </si>
  <si>
    <t>Ordem</t>
  </si>
  <si>
    <r>
      <t xml:space="preserve">planilha Setorizacao REP não deve conter nenhum status </t>
    </r>
    <r>
      <rPr>
        <b/>
        <sz val="10"/>
        <color rgb="FFFF0000"/>
        <rFont val="Calibri"/>
        <family val="2"/>
        <scheme val="minor"/>
      </rPr>
      <t>0-Setorizar</t>
    </r>
  </si>
  <si>
    <t>Atualizar dados</t>
  </si>
  <si>
    <t>Mensal</t>
  </si>
  <si>
    <r>
      <t>Definir período do cálculo (</t>
    </r>
    <r>
      <rPr>
        <b/>
        <sz val="10"/>
        <color rgb="FFFF0000"/>
        <rFont val="Calibri"/>
        <family val="2"/>
        <scheme val="minor"/>
      </rPr>
      <t>início do mês</t>
    </r>
    <r>
      <rPr>
        <sz val="10"/>
        <color theme="1"/>
        <rFont val="Calibri"/>
        <family val="2"/>
        <scheme val="minor"/>
      </rPr>
      <t>)</t>
    </r>
  </si>
  <si>
    <t>,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</si>
</sst>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6">
    <numFmt numFmtId="8" formatCode="&quot;R$&quot;\ #,##0.00;[Red]\-&quot;R$&quot;\ #,##0.00"/>
    <numFmt numFmtId="44" formatCode="_-&quot;R$&quot;\ * #,##0.00_-;\-&quot;R$&quot;\ * #,##0.00_-;_-&quot;R$&quot;\ * &quot;-&quot;??_-;_-@_-"/>
    <numFmt numFmtId="164" formatCode="_(&quot;R$&quot;* #,##0.00_);_(&quot;R$&quot;* \(#,##0.00\);_(&quot;R$&quot;* &quot;-&quot;??_);_(@_)"/>
    <numFmt numFmtId="165" formatCode="&quot;R$&quot;\ #,##0.00"/>
    <numFmt numFmtId="166" formatCode="0.0%"/>
    <numFmt numFmtId="167" formatCode="0.00_ ;[Red]\-0.00\ "/>
  </numFmts>
  <fonts count="5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0"/>
      <color theme="1"/>
      <name val="Calibri"/>
      <family val="2"/>
      <scheme val="minor"/>
    </font>
    <font>
      <sz val="8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0"/>
      <color rgb="FF002060"/>
      <name val="Calibri"/>
      <family val="2"/>
      <scheme val="minor"/>
    </font>
    <font>
      <b/>
      <sz val="10"/>
      <color rgb="FF006100"/>
      <name val="Calibri"/>
      <family val="2"/>
      <scheme val="minor"/>
    </font>
    <font>
      <sz val="10"/>
      <color rgb="FF9C6500"/>
      <name val="Calibri"/>
      <family val="2"/>
      <scheme val="minor"/>
    </font>
    <font>
      <sz val="10"/>
      <color rgb="FF002060"/>
      <name val="Calibri"/>
      <family val="2"/>
      <scheme val="minor"/>
    </font>
    <font>
      <b/>
      <sz val="14"/>
      <color rgb="FF0070C0"/>
      <name val="Calibri"/>
      <family val="2"/>
      <scheme val="minor"/>
    </font>
    <font>
      <b/>
      <sz val="10"/>
      <color rgb="FFFA7D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10"/>
      <color rgb="FF0070C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b/>
      <sz val="12"/>
      <color rgb="FF0070C0"/>
      <name val="Calibri"/>
      <family val="2"/>
      <scheme val="minor"/>
    </font>
    <font>
      <b/>
      <sz val="10"/>
      <color theme="9" tint="-0.249977111117893"/>
      <name val="Calibri"/>
      <family val="2"/>
      <scheme val="minor"/>
    </font>
    <font>
      <b/>
      <sz val="9"/>
      <color rgb="FF3F3F76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i/>
      <sz val="10"/>
      <color rgb="FF0070C0"/>
      <name val="Calibri"/>
      <family val="2"/>
      <scheme val="minor"/>
    </font>
    <font>
      <b/>
      <sz val="14"/>
      <color rgb="FFFF0000"/>
      <name val="Calibri"/>
      <family val="2"/>
      <scheme val="minor"/>
    </font>
    <font>
      <b/>
      <sz val="10"/>
      <color theme="4" tint="-0.249977111117893"/>
      <name val="Calibri"/>
      <family val="2"/>
      <scheme val="minor"/>
    </font>
    <font>
      <sz val="10"/>
      <color rgb="FF000000"/>
      <name val="Calibri"/>
      <family val="2"/>
      <scheme val="minor"/>
    </font>
    <font>
      <b/>
      <i/>
      <sz val="10"/>
      <color theme="9" tint="-0.249977111117893"/>
      <name val="Calibri"/>
      <family val="2"/>
      <scheme val="minor"/>
    </font>
    <font>
      <b/>
      <sz val="14"/>
      <color theme="9" tint="-0.249977111117893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6"/>
      <color rgb="FF0070C0"/>
      <name val="Calibri"/>
      <family val="2"/>
      <scheme val="minor"/>
    </font>
    <font>
      <b/>
      <sz val="16"/>
      <color rgb="FFFF0000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rgb="FF0070C0"/>
      <name val="Calibri"/>
      <family val="2"/>
      <scheme val="minor"/>
    </font>
    <font>
      <sz val="10"/>
      <color rgb="FFFF0000"/>
      <name val="Calibri"/>
      <family val="2"/>
      <scheme val="minor"/>
    </font>
    <font>
      <b/>
      <sz val="10"/>
      <color rgb="FF000000"/>
      <name val="Calibri"/>
      <family val="2"/>
      <scheme val="minor"/>
    </font>
    <font>
      <sz val="11"/>
      <color theme="9" tint="0.59999389629810485"/>
      <name val="Calibri"/>
      <family val="2"/>
      <scheme val="minor"/>
    </font>
    <font>
      <b/>
      <sz val="10"/>
      <color rgb="FF3F3F76"/>
      <name val="Calibri"/>
      <family val="2"/>
      <scheme val="minor"/>
    </font>
    <font>
      <b/>
      <sz val="11"/>
      <color theme="9" tint="-0.249977111117893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70C0"/>
      <name val="Calibri"/>
      <family val="2"/>
      <scheme val="minor"/>
    </font>
    <font>
      <b/>
      <sz val="11"/>
      <color theme="5" tint="-0.249977111117893"/>
      <name val="Calibri"/>
      <family val="2"/>
      <scheme val="minor"/>
    </font>
    <font>
      <sz val="11"/>
      <color theme="5" tint="-0.249977111117893"/>
      <name val="Calibri"/>
      <family val="2"/>
      <scheme val="minor"/>
    </font>
    <font>
      <b/>
      <sz val="10"/>
      <color theme="5" tint="-0.249977111117893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theme="9" tint="-0.249977111117893"/>
      <name val="Calibri"/>
      <family val="2"/>
      <scheme val="minor"/>
    </font>
    <font>
      <b/>
      <sz val="10"/>
      <color theme="9" tint="0.3999755851924192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4"/>
      <color theme="8" tint="-0.249977111117893"/>
      <name val="Calibri"/>
      <family val="2"/>
      <scheme val="minor"/>
    </font>
    <font>
      <b/>
      <sz val="10"/>
      <color theme="8" tint="-0.249977111117893"/>
      <name val="Calibri"/>
      <family val="2"/>
      <scheme val="minor"/>
    </font>
  </fonts>
  <fills count="2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rgb="FFF2F2F2"/>
      </patternFill>
    </fill>
    <fill>
      <patternFill patternType="solid">
        <fgColor rgb="FFFFFFCC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2F7FC"/>
        <bgColor indexed="64"/>
      </patternFill>
    </fill>
    <fill>
      <patternFill patternType="solid">
        <fgColor rgb="FFFFCC99"/>
      </patternFill>
    </fill>
    <fill>
      <patternFill patternType="solid">
        <fgColor theme="9"/>
        <bgColor theme="9"/>
      </patternFill>
    </fill>
    <fill>
      <patternFill patternType="solid">
        <fgColor theme="4"/>
        <bgColor theme="4"/>
      </patternFill>
    </fill>
    <fill>
      <patternFill patternType="solid">
        <fgColor theme="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-0.249977111117893"/>
        <bgColor theme="9"/>
      </patternFill>
    </fill>
    <fill>
      <patternFill patternType="solid">
        <fgColor theme="5" tint="-0.249977111117893"/>
        <bgColor theme="9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249977111117893"/>
        <bgColor indexed="64"/>
      </patternFill>
    </fill>
  </fills>
  <borders count="25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dashed">
        <color theme="9" tint="0.39994506668294322"/>
      </left>
      <right style="dashed">
        <color theme="9" tint="0.39994506668294322"/>
      </right>
      <top style="dashed">
        <color theme="9" tint="0.39994506668294322"/>
      </top>
      <bottom style="dashed">
        <color theme="9" tint="0.39994506668294322"/>
      </bottom>
      <diagonal/>
    </border>
    <border>
      <left style="dashed">
        <color rgb="FF0070C0"/>
      </left>
      <right style="dashed">
        <color rgb="FF0070C0"/>
      </right>
      <top style="dashed">
        <color rgb="FF0070C0"/>
      </top>
      <bottom style="dashed">
        <color rgb="FF0070C0"/>
      </bottom>
      <diagonal/>
    </border>
    <border>
      <left style="dashed">
        <color theme="9" tint="0.39994506668294322"/>
      </left>
      <right style="dashed">
        <color theme="9" tint="0.39994506668294322"/>
      </right>
      <top/>
      <bottom style="dashed">
        <color theme="9" tint="0.39994506668294322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dashed">
        <color theme="9" tint="0.39994506668294322"/>
      </right>
      <top/>
      <bottom/>
      <diagonal/>
    </border>
    <border>
      <left style="dashed">
        <color theme="9" tint="0.39994506668294322"/>
      </left>
      <right/>
      <top/>
      <bottom/>
      <diagonal/>
    </border>
    <border>
      <left style="thin">
        <color theme="9" tint="0.39991454817346722"/>
      </left>
      <right style="thin">
        <color theme="9" tint="0.39991454817346722"/>
      </right>
      <top style="thin">
        <color theme="9" tint="0.39991454817346722"/>
      </top>
      <bottom style="thin">
        <color theme="9" tint="0.39991454817346722"/>
      </bottom>
      <diagonal/>
    </border>
    <border>
      <left style="dashed">
        <color theme="9" tint="0.39994506668294322"/>
      </left>
      <right/>
      <top style="dashed">
        <color theme="9" tint="0.39994506668294322"/>
      </top>
      <bottom style="dashed">
        <color theme="9" tint="0.39994506668294322"/>
      </bottom>
      <diagonal/>
    </border>
    <border>
      <left/>
      <right/>
      <top style="dashed">
        <color theme="9" tint="0.39994506668294322"/>
      </top>
      <bottom style="dashed">
        <color theme="9" tint="0.39994506668294322"/>
      </bottom>
      <diagonal/>
    </border>
    <border>
      <left/>
      <right style="dashed">
        <color theme="9" tint="0.39994506668294322"/>
      </right>
      <top style="dashed">
        <color theme="9" tint="0.39994506668294322"/>
      </top>
      <bottom style="dashed">
        <color theme="9" tint="0.39994506668294322"/>
      </bottom>
      <diagonal/>
    </border>
    <border>
      <left style="dashed">
        <color theme="8" tint="-0.24994659260841701"/>
      </left>
      <right style="dashed">
        <color theme="8" tint="-0.24994659260841701"/>
      </right>
      <top style="dashed">
        <color theme="8" tint="-0.24994659260841701"/>
      </top>
      <bottom style="dashed">
        <color theme="8" tint="-0.24994659260841701"/>
      </bottom>
      <diagonal/>
    </border>
    <border>
      <left style="dashed">
        <color theme="5" tint="-0.24994659260841701"/>
      </left>
      <right style="dashed">
        <color theme="5" tint="-0.24994659260841701"/>
      </right>
      <top style="dashed">
        <color theme="5" tint="-0.24994659260841701"/>
      </top>
      <bottom style="dashed">
        <color theme="5" tint="-0.24994659260841701"/>
      </bottom>
      <diagonal/>
    </border>
    <border>
      <left style="dashed">
        <color theme="9" tint="0.39991454817346722"/>
      </left>
      <right style="dashed">
        <color theme="9" tint="0.39991454817346722"/>
      </right>
      <top style="dashed">
        <color theme="9" tint="0.39991454817346722"/>
      </top>
      <bottom style="dashed">
        <color theme="9" tint="0.39991454817346722"/>
      </bottom>
      <diagonal/>
    </border>
    <border>
      <left style="dashed">
        <color theme="9" tint="0.39991454817346722"/>
      </left>
      <right/>
      <top style="dashed">
        <color theme="9" tint="0.39991454817346722"/>
      </top>
      <bottom style="dashed">
        <color theme="9" tint="0.39991454817346722"/>
      </bottom>
      <diagonal/>
    </border>
    <border>
      <left/>
      <right/>
      <top style="dashed">
        <color theme="9" tint="0.39991454817346722"/>
      </top>
      <bottom style="dashed">
        <color theme="9" tint="0.39991454817346722"/>
      </bottom>
      <diagonal/>
    </border>
    <border>
      <left/>
      <right style="dashed">
        <color theme="9" tint="0.39991454817346722"/>
      </right>
      <top style="dashed">
        <color theme="9" tint="0.39991454817346722"/>
      </top>
      <bottom style="dashed">
        <color theme="9" tint="0.39991454817346722"/>
      </bottom>
      <diagonal/>
    </border>
    <border>
      <left style="dashed">
        <color rgb="FF0070C0"/>
      </left>
      <right style="dashed">
        <color rgb="FF0070C0"/>
      </right>
      <top/>
      <bottom style="dashed">
        <color rgb="FF0070C0"/>
      </bottom>
      <diagonal/>
    </border>
    <border>
      <left style="dashed">
        <color theme="9" tint="0.79998168889431442"/>
      </left>
      <right style="dashed">
        <color theme="9" tint="0.79998168889431442"/>
      </right>
      <top style="dashed">
        <color theme="9" tint="0.79998168889431442"/>
      </top>
      <bottom style="dashed">
        <color theme="9" tint="0.79998168889431442"/>
      </bottom>
      <diagonal/>
    </border>
    <border>
      <left style="thin">
        <color theme="9"/>
      </left>
      <right style="thin">
        <color theme="9"/>
      </right>
      <top style="thin">
        <color theme="9"/>
      </top>
      <bottom/>
      <diagonal/>
    </border>
    <border>
      <left style="dashed">
        <color theme="0" tint="-0.34998626667073579"/>
      </left>
      <right style="dashed">
        <color theme="0" tint="-0.34998626667073579"/>
      </right>
      <top style="dashed">
        <color theme="0" tint="-0.34998626667073579"/>
      </top>
      <bottom style="dashed">
        <color theme="0" tint="-0.34998626667073579"/>
      </bottom>
      <diagonal/>
    </border>
  </borders>
  <cellStyleXfs count="12">
    <xf numFmtId="0" fontId="0" fillId="0" borderId="0"/>
    <xf numFmtId="9" fontId="1" fillId="0" borderId="0" applyFont="0" applyFill="0" applyBorder="0" applyAlignment="0" applyProtection="0"/>
    <xf numFmtId="0" fontId="2" fillId="2" borderId="0" applyNumberFormat="0" applyBorder="0" applyAlignment="0" applyProtection="0"/>
    <xf numFmtId="0" fontId="3" fillId="4" borderId="1" applyNumberFormat="0" applyAlignment="0" applyProtection="0"/>
    <xf numFmtId="0" fontId="1" fillId="5" borderId="2" applyNumberFormat="0" applyFont="0" applyAlignment="0" applyProtection="0"/>
    <xf numFmtId="0" fontId="1" fillId="6" borderId="0" applyNumberFormat="0" applyBorder="0" applyAlignment="0" applyProtection="0"/>
    <xf numFmtId="0" fontId="8" fillId="0" borderId="0" applyNumberFormat="0" applyFill="0" applyBorder="0" applyAlignment="0" applyProtection="0"/>
    <xf numFmtId="0" fontId="10" fillId="3" borderId="0" applyNumberFormat="0" applyBorder="0" applyAlignment="0" applyProtection="0"/>
    <xf numFmtId="16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7" fillId="11" borderId="1" applyNumberFormat="0" applyAlignment="0" applyProtection="0"/>
    <xf numFmtId="0" fontId="34" fillId="14" borderId="0" applyNumberFormat="0" applyBorder="0" applyAlignment="0" applyProtection="0"/>
  </cellStyleXfs>
  <cellXfs count="186">
    <xf numFmtId="0" fontId="0" fillId="0" borderId="0" xfId="0"/>
    <xf numFmtId="0" fontId="0" fillId="0" borderId="0" xfId="0" applyNumberFormat="1"/>
    <xf numFmtId="0" fontId="0" fillId="0" borderId="0" xfId="0" applyAlignment="1">
      <alignment horizontal="center" vertical="center"/>
    </xf>
    <xf numFmtId="0" fontId="4" fillId="0" borderId="0" xfId="0" applyFont="1" applyAlignment="1">
      <alignment vertical="center"/>
    </xf>
    <xf numFmtId="1" fontId="4" fillId="0" borderId="0" xfId="0" applyNumberFormat="1" applyFont="1" applyAlignment="1">
      <alignment vertical="center"/>
    </xf>
    <xf numFmtId="3" fontId="4" fillId="0" borderId="0" xfId="0" applyNumberFormat="1" applyFont="1" applyAlignment="1">
      <alignment vertical="center"/>
    </xf>
    <xf numFmtId="0" fontId="4" fillId="0" borderId="0" xfId="0" applyFont="1" applyAlignment="1">
      <alignment horizontal="center" vertical="center"/>
    </xf>
    <xf numFmtId="0" fontId="4" fillId="0" borderId="0" xfId="0" applyNumberFormat="1" applyFont="1" applyAlignment="1">
      <alignment horizontal="center" vertical="center"/>
    </xf>
    <xf numFmtId="0" fontId="4" fillId="0" borderId="0" xfId="0" applyNumberFormat="1" applyFont="1" applyAlignment="1">
      <alignment vertical="center"/>
    </xf>
    <xf numFmtId="1" fontId="4" fillId="0" borderId="0" xfId="0" applyNumberFormat="1" applyFont="1" applyAlignment="1">
      <alignment horizontal="center" vertical="center"/>
    </xf>
    <xf numFmtId="3" fontId="4" fillId="0" borderId="0" xfId="0" applyNumberFormat="1" applyFont="1" applyAlignment="1">
      <alignment horizontal="center" vertical="center"/>
    </xf>
    <xf numFmtId="0" fontId="4" fillId="0" borderId="0" xfId="0" applyFont="1"/>
    <xf numFmtId="9" fontId="4" fillId="0" borderId="0" xfId="1" applyFont="1" applyAlignment="1">
      <alignment horizontal="center" vertical="center"/>
    </xf>
    <xf numFmtId="0" fontId="6" fillId="0" borderId="0" xfId="0" applyFont="1" applyAlignment="1">
      <alignment vertical="center"/>
    </xf>
    <xf numFmtId="0" fontId="6" fillId="0" borderId="0" xfId="0" applyFont="1" applyAlignment="1">
      <alignment horizontal="center" vertical="center"/>
    </xf>
    <xf numFmtId="0" fontId="4" fillId="0" borderId="0" xfId="0" applyFont="1" applyAlignment="1">
      <alignment vertical="center" wrapText="1"/>
    </xf>
    <xf numFmtId="0" fontId="4" fillId="0" borderId="0" xfId="6" applyNumberFormat="1" applyFont="1" applyAlignment="1">
      <alignment vertical="center"/>
    </xf>
    <xf numFmtId="0" fontId="9" fillId="0" borderId="0" xfId="0" applyFont="1" applyAlignment="1">
      <alignment vertical="center"/>
    </xf>
    <xf numFmtId="0" fontId="9" fillId="0" borderId="0" xfId="0" applyFont="1" applyAlignment="1">
      <alignment horizontal="left" vertical="center"/>
    </xf>
    <xf numFmtId="10" fontId="11" fillId="3" borderId="3" xfId="7" applyNumberFormat="1" applyFont="1" applyBorder="1" applyAlignment="1">
      <alignment horizontal="center" vertical="center"/>
    </xf>
    <xf numFmtId="44" fontId="11" fillId="3" borderId="3" xfId="9" applyFont="1" applyFill="1" applyBorder="1" applyAlignment="1">
      <alignment horizontal="center" vertical="center"/>
    </xf>
    <xf numFmtId="10" fontId="11" fillId="3" borderId="3" xfId="1" applyNumberFormat="1" applyFont="1" applyFill="1" applyBorder="1" applyAlignment="1">
      <alignment horizontal="center" vertical="center"/>
    </xf>
    <xf numFmtId="10" fontId="13" fillId="5" borderId="3" xfId="4" applyNumberFormat="1" applyFont="1" applyBorder="1" applyAlignment="1">
      <alignment horizontal="center" vertical="center"/>
    </xf>
    <xf numFmtId="44" fontId="13" fillId="5" borderId="3" xfId="9" applyFont="1" applyFill="1" applyBorder="1" applyAlignment="1">
      <alignment horizontal="center" vertical="center"/>
    </xf>
    <xf numFmtId="10" fontId="13" fillId="5" borderId="3" xfId="1" applyNumberFormat="1" applyFont="1" applyFill="1" applyBorder="1" applyAlignment="1">
      <alignment horizontal="center" vertical="center"/>
    </xf>
    <xf numFmtId="10" fontId="12" fillId="2" borderId="3" xfId="2" applyNumberFormat="1" applyFont="1" applyBorder="1" applyAlignment="1">
      <alignment horizontal="center" vertical="center"/>
    </xf>
    <xf numFmtId="44" fontId="12" fillId="2" borderId="3" xfId="9" applyFont="1" applyFill="1" applyBorder="1" applyAlignment="1">
      <alignment horizontal="center" vertical="center"/>
    </xf>
    <xf numFmtId="10" fontId="12" fillId="2" borderId="3" xfId="1" applyNumberFormat="1" applyFont="1" applyFill="1" applyBorder="1" applyAlignment="1">
      <alignment horizontal="center" vertical="center"/>
    </xf>
    <xf numFmtId="10" fontId="4" fillId="6" borderId="3" xfId="5" applyNumberFormat="1" applyFont="1" applyBorder="1" applyAlignment="1">
      <alignment horizontal="center" vertical="center"/>
    </xf>
    <xf numFmtId="44" fontId="4" fillId="6" borderId="3" xfId="9" applyFont="1" applyFill="1" applyBorder="1" applyAlignment="1">
      <alignment horizontal="center" vertical="center"/>
    </xf>
    <xf numFmtId="10" fontId="4" fillId="6" borderId="3" xfId="1" applyNumberFormat="1" applyFont="1" applyFill="1" applyBorder="1" applyAlignment="1">
      <alignment horizontal="center" vertical="center"/>
    </xf>
    <xf numFmtId="10" fontId="11" fillId="9" borderId="3" xfId="1" applyNumberFormat="1" applyFont="1" applyFill="1" applyBorder="1" applyAlignment="1">
      <alignment horizontal="center" vertical="center"/>
    </xf>
    <xf numFmtId="44" fontId="11" fillId="9" borderId="3" xfId="9" applyFont="1" applyFill="1" applyBorder="1" applyAlignment="1">
      <alignment horizontal="center" vertical="center"/>
    </xf>
    <xf numFmtId="10" fontId="14" fillId="10" borderId="3" xfId="1" applyNumberFormat="1" applyFont="1" applyFill="1" applyBorder="1" applyAlignment="1">
      <alignment horizontal="center" vertical="center"/>
    </xf>
    <xf numFmtId="44" fontId="14" fillId="10" borderId="3" xfId="9" applyFont="1" applyFill="1" applyBorder="1" applyAlignment="1">
      <alignment horizontal="center" vertical="center"/>
    </xf>
    <xf numFmtId="0" fontId="15" fillId="0" borderId="0" xfId="0" applyFont="1"/>
    <xf numFmtId="0" fontId="16" fillId="4" borderId="1" xfId="3" applyFont="1" applyAlignment="1">
      <alignment horizontal="center" vertical="center"/>
    </xf>
    <xf numFmtId="9" fontId="7" fillId="7" borderId="4" xfId="1" applyFont="1" applyFill="1" applyBorder="1" applyAlignment="1">
      <alignment horizontal="center" vertical="center"/>
    </xf>
    <xf numFmtId="9" fontId="7" fillId="5" borderId="4" xfId="4" applyNumberFormat="1" applyFont="1" applyBorder="1" applyAlignment="1">
      <alignment horizontal="center" vertical="center" wrapText="1"/>
    </xf>
    <xf numFmtId="10" fontId="11" fillId="8" borderId="3" xfId="7" applyNumberFormat="1" applyFont="1" applyFill="1" applyBorder="1" applyAlignment="1">
      <alignment horizontal="center" vertical="center"/>
    </xf>
    <xf numFmtId="44" fontId="11" fillId="8" borderId="3" xfId="9" applyFont="1" applyFill="1" applyBorder="1" applyAlignment="1">
      <alignment horizontal="center" vertical="center"/>
    </xf>
    <xf numFmtId="10" fontId="11" fillId="8" borderId="3" xfId="1" applyNumberFormat="1" applyFont="1" applyFill="1" applyBorder="1" applyAlignment="1">
      <alignment horizontal="center" vertical="center"/>
    </xf>
    <xf numFmtId="9" fontId="7" fillId="7" borderId="4" xfId="1" applyFont="1" applyFill="1" applyBorder="1" applyAlignment="1">
      <alignment horizontal="center" vertical="center" wrapText="1"/>
    </xf>
    <xf numFmtId="10" fontId="3" fillId="8" borderId="3" xfId="3" applyNumberFormat="1" applyFill="1" applyBorder="1" applyAlignment="1">
      <alignment horizontal="center" vertical="center"/>
    </xf>
    <xf numFmtId="44" fontId="3" fillId="8" borderId="1" xfId="3" applyNumberFormat="1" applyFill="1" applyAlignment="1">
      <alignment horizontal="center" vertical="center"/>
    </xf>
    <xf numFmtId="8" fontId="4" fillId="0" borderId="0" xfId="0" applyNumberFormat="1" applyFont="1" applyAlignment="1">
      <alignment vertical="center"/>
    </xf>
    <xf numFmtId="165" fontId="4" fillId="0" borderId="0" xfId="0" applyNumberFormat="1" applyFont="1" applyAlignment="1">
      <alignment vertical="center"/>
    </xf>
    <xf numFmtId="0" fontId="4" fillId="0" borderId="0" xfId="0" applyNumberFormat="1" applyFont="1"/>
    <xf numFmtId="0" fontId="15" fillId="0" borderId="0" xfId="0" applyFont="1" applyAlignment="1">
      <alignment vertical="center"/>
    </xf>
    <xf numFmtId="0" fontId="21" fillId="0" borderId="0" xfId="0" applyFont="1" applyAlignment="1">
      <alignment vertical="center"/>
    </xf>
    <xf numFmtId="3" fontId="18" fillId="12" borderId="5" xfId="0" applyNumberFormat="1" applyFont="1" applyFill="1" applyBorder="1" applyAlignment="1">
      <alignment horizontal="center" vertical="center"/>
    </xf>
    <xf numFmtId="0" fontId="22" fillId="0" borderId="5" xfId="0" applyFont="1" applyBorder="1" applyAlignment="1">
      <alignment horizontal="right" vertical="center"/>
    </xf>
    <xf numFmtId="3" fontId="18" fillId="12" borderId="5" xfId="0" applyNumberFormat="1" applyFont="1" applyFill="1" applyBorder="1" applyAlignment="1">
      <alignment horizontal="right" vertical="center"/>
    </xf>
    <xf numFmtId="10" fontId="18" fillId="12" borderId="5" xfId="1" applyNumberFormat="1" applyFont="1" applyFill="1" applyBorder="1" applyAlignment="1">
      <alignment horizontal="center" vertical="center"/>
    </xf>
    <xf numFmtId="10" fontId="22" fillId="0" borderId="5" xfId="1" applyNumberFormat="1" applyFont="1" applyBorder="1" applyAlignment="1">
      <alignment horizontal="center" vertical="center"/>
    </xf>
    <xf numFmtId="10" fontId="4" fillId="0" borderId="0" xfId="1" applyNumberFormat="1" applyFont="1" applyAlignment="1">
      <alignment horizontal="center" vertical="center"/>
    </xf>
    <xf numFmtId="165" fontId="4" fillId="0" borderId="0" xfId="1" applyNumberFormat="1" applyFont="1" applyAlignment="1">
      <alignment horizontal="center" vertical="center"/>
    </xf>
    <xf numFmtId="9" fontId="23" fillId="11" borderId="3" xfId="10" applyNumberFormat="1" applyFont="1" applyBorder="1" applyAlignment="1">
      <alignment horizontal="center" vertical="center"/>
    </xf>
    <xf numFmtId="3" fontId="22" fillId="0" borderId="5" xfId="0" applyNumberFormat="1" applyFont="1" applyBorder="1" applyAlignment="1">
      <alignment horizontal="center" vertical="center"/>
    </xf>
    <xf numFmtId="165" fontId="18" fillId="12" borderId="5" xfId="0" applyNumberFormat="1" applyFont="1" applyFill="1" applyBorder="1" applyAlignment="1">
      <alignment horizontal="center" vertical="center"/>
    </xf>
    <xf numFmtId="165" fontId="22" fillId="0" borderId="5" xfId="0" applyNumberFormat="1" applyFont="1" applyBorder="1" applyAlignment="1">
      <alignment horizontal="center" vertical="center"/>
    </xf>
    <xf numFmtId="165" fontId="4" fillId="0" borderId="0" xfId="1" applyNumberFormat="1" applyFont="1" applyAlignment="1">
      <alignment vertical="center"/>
    </xf>
    <xf numFmtId="10" fontId="4" fillId="0" borderId="0" xfId="0" applyNumberFormat="1" applyFont="1" applyAlignment="1">
      <alignment horizontal="center" vertical="center"/>
    </xf>
    <xf numFmtId="0" fontId="19" fillId="0" borderId="0" xfId="0" applyFont="1" applyAlignment="1">
      <alignment vertical="center"/>
    </xf>
    <xf numFmtId="0" fontId="25" fillId="0" borderId="0" xfId="0" applyFont="1" applyAlignment="1">
      <alignment vertical="center"/>
    </xf>
    <xf numFmtId="165" fontId="4" fillId="0" borderId="0" xfId="0" applyNumberFormat="1" applyFont="1" applyAlignment="1">
      <alignment horizontal="center" vertical="center"/>
    </xf>
    <xf numFmtId="165" fontId="4" fillId="0" borderId="0" xfId="0" applyNumberFormat="1" applyFont="1" applyAlignment="1">
      <alignment horizontal="center"/>
    </xf>
    <xf numFmtId="165" fontId="18" fillId="13" borderId="6" xfId="0" applyNumberFormat="1" applyFont="1" applyFill="1" applyBorder="1" applyAlignment="1">
      <alignment horizontal="right" vertical="center"/>
    </xf>
    <xf numFmtId="165" fontId="27" fillId="0" borderId="6" xfId="0" applyNumberFormat="1" applyFont="1" applyBorder="1" applyAlignment="1">
      <alignment horizontal="right" vertical="center"/>
    </xf>
    <xf numFmtId="9" fontId="18" fillId="13" borderId="6" xfId="1" applyFont="1" applyFill="1" applyBorder="1" applyAlignment="1">
      <alignment horizontal="center" vertical="center"/>
    </xf>
    <xf numFmtId="9" fontId="27" fillId="0" borderId="6" xfId="1" applyFont="1" applyBorder="1" applyAlignment="1">
      <alignment horizontal="center" vertical="center"/>
    </xf>
    <xf numFmtId="166" fontId="4" fillId="0" borderId="0" xfId="1" applyNumberFormat="1" applyFont="1" applyAlignment="1">
      <alignment horizontal="center" vertical="center"/>
    </xf>
    <xf numFmtId="4" fontId="4" fillId="0" borderId="0" xfId="0" applyNumberFormat="1" applyFont="1" applyAlignment="1">
      <alignment vertical="center"/>
    </xf>
    <xf numFmtId="165" fontId="28" fillId="0" borderId="0" xfId="0" applyNumberFormat="1" applyFont="1" applyAlignment="1">
      <alignment vertical="center"/>
    </xf>
    <xf numFmtId="3" fontId="4" fillId="0" borderId="0" xfId="0" applyNumberFormat="1" applyFont="1" applyAlignment="1">
      <alignment horizontal="right" vertical="center"/>
    </xf>
    <xf numFmtId="9" fontId="4" fillId="0" borderId="0" xfId="0" applyNumberFormat="1" applyFont="1" applyAlignment="1">
      <alignment horizontal="center" vertical="center"/>
    </xf>
    <xf numFmtId="9" fontId="18" fillId="12" borderId="5" xfId="1" applyFont="1" applyFill="1" applyBorder="1" applyAlignment="1">
      <alignment horizontal="center" vertical="center"/>
    </xf>
    <xf numFmtId="9" fontId="22" fillId="0" borderId="5" xfId="1" applyFont="1" applyBorder="1" applyAlignment="1">
      <alignment horizontal="center" vertical="center"/>
    </xf>
    <xf numFmtId="165" fontId="18" fillId="12" borderId="7" xfId="0" applyNumberFormat="1" applyFont="1" applyFill="1" applyBorder="1" applyAlignment="1">
      <alignment horizontal="center" vertical="center"/>
    </xf>
    <xf numFmtId="9" fontId="23" fillId="11" borderId="5" xfId="10" applyNumberFormat="1" applyFont="1" applyBorder="1" applyAlignment="1">
      <alignment horizontal="center" vertical="center"/>
    </xf>
    <xf numFmtId="14" fontId="4" fillId="0" borderId="0" xfId="0" applyNumberFormat="1" applyFont="1" applyAlignment="1">
      <alignment horizontal="center" vertical="center"/>
    </xf>
    <xf numFmtId="0" fontId="4" fillId="0" borderId="0" xfId="0" applyFont="1" applyAlignment="1">
      <alignment horizontal="center"/>
    </xf>
    <xf numFmtId="0" fontId="25" fillId="0" borderId="0" xfId="0" applyFont="1" applyAlignment="1">
      <alignment horizontal="right" vertical="center"/>
    </xf>
    <xf numFmtId="0" fontId="29" fillId="0" borderId="0" xfId="0" applyFont="1" applyAlignment="1">
      <alignment horizontal="right" vertical="center"/>
    </xf>
    <xf numFmtId="0" fontId="18" fillId="12" borderId="8" xfId="0" applyFont="1" applyFill="1" applyBorder="1" applyAlignment="1">
      <alignment horizontal="left" vertical="center"/>
    </xf>
    <xf numFmtId="3" fontId="18" fillId="12" borderId="8" xfId="0" applyNumberFormat="1" applyFont="1" applyFill="1" applyBorder="1" applyAlignment="1">
      <alignment horizontal="left" vertical="center"/>
    </xf>
    <xf numFmtId="3" fontId="22" fillId="0" borderId="5" xfId="0" applyNumberFormat="1" applyFont="1" applyBorder="1" applyAlignment="1">
      <alignment horizontal="left" vertical="center"/>
    </xf>
    <xf numFmtId="0" fontId="0" fillId="0" borderId="0" xfId="0" applyAlignment="1">
      <alignment vertical="center"/>
    </xf>
    <xf numFmtId="0" fontId="30" fillId="0" borderId="0" xfId="0" applyFont="1" applyAlignment="1">
      <alignment vertical="center"/>
    </xf>
    <xf numFmtId="0" fontId="31" fillId="0" borderId="0" xfId="0" applyFont="1" applyAlignment="1">
      <alignment vertical="center"/>
    </xf>
    <xf numFmtId="0" fontId="32" fillId="0" borderId="0" xfId="0" applyFont="1" applyAlignment="1">
      <alignment vertical="center"/>
    </xf>
    <xf numFmtId="0" fontId="4" fillId="0" borderId="0" xfId="0" applyFont="1" applyAlignment="1">
      <alignment horizontal="left" vertical="center"/>
    </xf>
    <xf numFmtId="0" fontId="4" fillId="0" borderId="0" xfId="0" pivotButton="1" applyFont="1" applyAlignment="1">
      <alignment vertical="center"/>
    </xf>
    <xf numFmtId="0" fontId="18" fillId="12" borderId="0" xfId="0" applyFont="1" applyFill="1" applyAlignment="1">
      <alignment horizontal="left" vertical="center"/>
    </xf>
    <xf numFmtId="0" fontId="18" fillId="12" borderId="0" xfId="0" applyFont="1" applyFill="1" applyAlignment="1">
      <alignment horizontal="center" vertical="center"/>
    </xf>
    <xf numFmtId="9" fontId="10" fillId="3" borderId="3" xfId="7" applyNumberFormat="1" applyBorder="1" applyAlignment="1">
      <alignment horizontal="center" vertical="center" wrapText="1"/>
    </xf>
    <xf numFmtId="9" fontId="2" fillId="2" borderId="3" xfId="2" applyNumberFormat="1" applyBorder="1" applyAlignment="1">
      <alignment horizontal="center" vertical="center" wrapText="1"/>
    </xf>
    <xf numFmtId="9" fontId="34" fillId="14" borderId="3" xfId="11" applyNumberFormat="1" applyBorder="1" applyAlignment="1">
      <alignment horizontal="center" vertical="center" wrapText="1"/>
    </xf>
    <xf numFmtId="0" fontId="4" fillId="0" borderId="0" xfId="0" applyFont="1" applyAlignment="1">
      <alignment horizontal="center" vertical="center" wrapText="1"/>
    </xf>
    <xf numFmtId="8" fontId="4" fillId="0" borderId="0" xfId="0" applyNumberFormat="1" applyFont="1" applyAlignment="1">
      <alignment horizontal="center" vertical="center"/>
    </xf>
    <xf numFmtId="167" fontId="4" fillId="0" borderId="0" xfId="0" applyNumberFormat="1" applyFont="1" applyAlignment="1">
      <alignment horizontal="center" vertical="center"/>
    </xf>
    <xf numFmtId="165" fontId="22" fillId="0" borderId="5" xfId="0" applyNumberFormat="1" applyFont="1" applyBorder="1" applyAlignment="1">
      <alignment horizontal="right" vertical="center"/>
    </xf>
    <xf numFmtId="165" fontId="7" fillId="0" borderId="0" xfId="0" applyNumberFormat="1" applyFont="1" applyAlignment="1">
      <alignment horizontal="center" vertical="center"/>
    </xf>
    <xf numFmtId="165" fontId="7" fillId="0" borderId="0" xfId="0" applyNumberFormat="1" applyFont="1" applyAlignment="1">
      <alignment vertical="center"/>
    </xf>
    <xf numFmtId="165" fontId="7" fillId="0" borderId="0" xfId="1" applyNumberFormat="1" applyFont="1" applyAlignment="1">
      <alignment horizontal="center" vertical="center"/>
    </xf>
    <xf numFmtId="8" fontId="7" fillId="0" borderId="0" xfId="0" applyNumberFormat="1" applyFont="1" applyAlignment="1">
      <alignment vertical="center"/>
    </xf>
    <xf numFmtId="165" fontId="37" fillId="0" borderId="0" xfId="0" applyNumberFormat="1" applyFont="1" applyAlignment="1">
      <alignment vertical="center"/>
    </xf>
    <xf numFmtId="0" fontId="35" fillId="0" borderId="0" xfId="0" applyFont="1" applyAlignment="1">
      <alignment horizontal="center" vertical="center" wrapText="1"/>
    </xf>
    <xf numFmtId="0" fontId="36" fillId="0" borderId="0" xfId="0" applyFont="1" applyAlignment="1">
      <alignment horizontal="center" vertical="center" wrapText="1"/>
    </xf>
    <xf numFmtId="0" fontId="4" fillId="0" borderId="0" xfId="0" applyNumberFormat="1" applyFont="1" applyAlignment="1">
      <alignment horizontal="left" vertical="center"/>
    </xf>
    <xf numFmtId="0" fontId="4" fillId="15" borderId="0" xfId="0" applyNumberFormat="1" applyFont="1" applyFill="1" applyAlignment="1">
      <alignment vertical="center"/>
    </xf>
    <xf numFmtId="8" fontId="4" fillId="15" borderId="0" xfId="0" applyNumberFormat="1" applyFont="1" applyFill="1" applyAlignment="1">
      <alignment horizontal="center" vertical="center"/>
    </xf>
    <xf numFmtId="167" fontId="4" fillId="15" borderId="0" xfId="0" applyNumberFormat="1" applyFont="1" applyFill="1" applyAlignment="1">
      <alignment horizontal="center" vertical="center"/>
    </xf>
    <xf numFmtId="165" fontId="4" fillId="15" borderId="0" xfId="0" applyNumberFormat="1" applyFont="1" applyFill="1" applyAlignment="1">
      <alignment horizontal="center" vertical="center"/>
    </xf>
    <xf numFmtId="0" fontId="4" fillId="15" borderId="0" xfId="0" applyFont="1" applyFill="1" applyAlignment="1">
      <alignment horizontal="left" vertical="center"/>
    </xf>
    <xf numFmtId="0" fontId="38" fillId="0" borderId="0" xfId="0" applyFont="1" applyAlignment="1">
      <alignment horizontal="center" vertical="center"/>
    </xf>
    <xf numFmtId="0" fontId="22" fillId="0" borderId="0" xfId="0" applyFont="1" applyAlignment="1">
      <alignment horizontal="right" vertical="center"/>
    </xf>
    <xf numFmtId="3" fontId="22" fillId="0" borderId="11" xfId="0" applyNumberFormat="1" applyFont="1" applyBorder="1" applyAlignment="1">
      <alignment horizontal="center" vertical="center"/>
    </xf>
    <xf numFmtId="0" fontId="18" fillId="12" borderId="8" xfId="0" applyFont="1" applyFill="1" applyBorder="1" applyAlignment="1">
      <alignment horizontal="center" vertical="center"/>
    </xf>
    <xf numFmtId="0" fontId="31" fillId="0" borderId="0" xfId="0" applyFont="1" applyAlignment="1">
      <alignment horizontal="center" vertical="center"/>
    </xf>
    <xf numFmtId="0" fontId="40" fillId="0" borderId="0" xfId="0" applyFont="1" applyAlignment="1">
      <alignment vertical="center"/>
    </xf>
    <xf numFmtId="0" fontId="18" fillId="16" borderId="15" xfId="0" applyFont="1" applyFill="1" applyBorder="1" applyAlignment="1">
      <alignment horizontal="left" vertical="center"/>
    </xf>
    <xf numFmtId="3" fontId="18" fillId="16" borderId="15" xfId="0" applyNumberFormat="1" applyFont="1" applyFill="1" applyBorder="1" applyAlignment="1">
      <alignment horizontal="left" vertical="center"/>
    </xf>
    <xf numFmtId="3" fontId="19" fillId="0" borderId="15" xfId="0" applyNumberFormat="1" applyFont="1" applyBorder="1" applyAlignment="1">
      <alignment horizontal="center" vertical="center"/>
    </xf>
    <xf numFmtId="165" fontId="19" fillId="0" borderId="15" xfId="0" applyNumberFormat="1" applyFont="1" applyBorder="1" applyAlignment="1">
      <alignment horizontal="center" vertical="center"/>
    </xf>
    <xf numFmtId="9" fontId="19" fillId="0" borderId="15" xfId="1" applyFont="1" applyBorder="1" applyAlignment="1">
      <alignment horizontal="center" vertical="center"/>
    </xf>
    <xf numFmtId="3" fontId="19" fillId="7" borderId="15" xfId="0" applyNumberFormat="1" applyFont="1" applyFill="1" applyBorder="1" applyAlignment="1">
      <alignment horizontal="center" vertical="center"/>
    </xf>
    <xf numFmtId="0" fontId="42" fillId="0" borderId="0" xfId="0" applyFont="1" applyAlignment="1"/>
    <xf numFmtId="0" fontId="40" fillId="0" borderId="0" xfId="0" applyFont="1" applyAlignment="1"/>
    <xf numFmtId="0" fontId="43" fillId="0" borderId="0" xfId="0" applyFont="1" applyAlignment="1">
      <alignment vertical="center"/>
    </xf>
    <xf numFmtId="0" fontId="44" fillId="0" borderId="0" xfId="0" applyFont="1" applyAlignment="1">
      <alignment vertical="center"/>
    </xf>
    <xf numFmtId="0" fontId="44" fillId="0" borderId="0" xfId="0" applyFont="1" applyAlignment="1">
      <alignment horizontal="center" vertical="center"/>
    </xf>
    <xf numFmtId="3" fontId="45" fillId="0" borderId="16" xfId="0" applyNumberFormat="1" applyFont="1" applyBorder="1" applyAlignment="1">
      <alignment horizontal="center" vertical="center"/>
    </xf>
    <xf numFmtId="9" fontId="45" fillId="0" borderId="16" xfId="1" applyFont="1" applyBorder="1" applyAlignment="1">
      <alignment horizontal="center" vertical="center"/>
    </xf>
    <xf numFmtId="3" fontId="45" fillId="7" borderId="16" xfId="0" applyNumberFormat="1" applyFont="1" applyFill="1" applyBorder="1" applyAlignment="1">
      <alignment horizontal="center" vertical="center"/>
    </xf>
    <xf numFmtId="0" fontId="18" fillId="17" borderId="16" xfId="0" applyFont="1" applyFill="1" applyBorder="1" applyAlignment="1">
      <alignment horizontal="left" vertical="center"/>
    </xf>
    <xf numFmtId="3" fontId="22" fillId="0" borderId="17" xfId="0" applyNumberFormat="1" applyFont="1" applyBorder="1" applyAlignment="1">
      <alignment horizontal="center" vertical="center"/>
    </xf>
    <xf numFmtId="0" fontId="18" fillId="12" borderId="17" xfId="0" applyFont="1" applyFill="1" applyBorder="1" applyAlignment="1">
      <alignment horizontal="left" vertical="center"/>
    </xf>
    <xf numFmtId="9" fontId="22" fillId="0" borderId="17" xfId="1" applyFont="1" applyBorder="1" applyAlignment="1">
      <alignment horizontal="center" vertical="center"/>
    </xf>
    <xf numFmtId="165" fontId="22" fillId="0" borderId="17" xfId="0" applyNumberFormat="1" applyFont="1" applyBorder="1" applyAlignment="1">
      <alignment horizontal="center" vertical="center"/>
    </xf>
    <xf numFmtId="3" fontId="18" fillId="12" borderId="17" xfId="0" applyNumberFormat="1" applyFont="1" applyFill="1" applyBorder="1" applyAlignment="1">
      <alignment horizontal="left" vertical="center"/>
    </xf>
    <xf numFmtId="165" fontId="18" fillId="18" borderId="15" xfId="0" applyNumberFormat="1" applyFont="1" applyFill="1" applyBorder="1" applyAlignment="1">
      <alignment horizontal="center" vertical="center"/>
    </xf>
    <xf numFmtId="165" fontId="18" fillId="19" borderId="16" xfId="0" applyNumberFormat="1" applyFont="1" applyFill="1" applyBorder="1" applyAlignment="1">
      <alignment horizontal="center" vertical="center"/>
    </xf>
    <xf numFmtId="165" fontId="18" fillId="12" borderId="17" xfId="0" applyNumberFormat="1" applyFont="1" applyFill="1" applyBorder="1" applyAlignment="1">
      <alignment horizontal="center" vertical="center"/>
    </xf>
    <xf numFmtId="165" fontId="18" fillId="20" borderId="5" xfId="0" applyNumberFormat="1" applyFont="1" applyFill="1" applyBorder="1" applyAlignment="1">
      <alignment horizontal="center" vertical="center"/>
    </xf>
    <xf numFmtId="165" fontId="18" fillId="13" borderId="21" xfId="0" applyNumberFormat="1" applyFont="1" applyFill="1" applyBorder="1" applyAlignment="1">
      <alignment horizontal="right" vertical="center"/>
    </xf>
    <xf numFmtId="9" fontId="39" fillId="11" borderId="15" xfId="10" applyNumberFormat="1" applyFont="1" applyBorder="1" applyAlignment="1">
      <alignment horizontal="center" vertical="center"/>
    </xf>
    <xf numFmtId="0" fontId="41" fillId="0" borderId="0" xfId="0" applyFont="1" applyAlignment="1">
      <alignment horizontal="center" vertical="center"/>
    </xf>
    <xf numFmtId="0" fontId="46" fillId="12" borderId="0" xfId="0" applyFont="1" applyFill="1" applyBorder="1" applyAlignment="1">
      <alignment horizontal="left" vertical="center"/>
    </xf>
    <xf numFmtId="0" fontId="46" fillId="12" borderId="9" xfId="0" applyFont="1" applyFill="1" applyBorder="1" applyAlignment="1">
      <alignment horizontal="left" vertical="center"/>
    </xf>
    <xf numFmtId="165" fontId="47" fillId="0" borderId="5" xfId="0" applyNumberFormat="1" applyFont="1" applyBorder="1" applyAlignment="1">
      <alignment horizontal="center" vertical="center"/>
    </xf>
    <xf numFmtId="0" fontId="30" fillId="0" borderId="0" xfId="0" applyFont="1" applyAlignment="1"/>
    <xf numFmtId="44" fontId="0" fillId="0" borderId="0" xfId="0" applyNumberFormat="1"/>
    <xf numFmtId="9" fontId="19" fillId="7" borderId="15" xfId="1" applyFont="1" applyFill="1" applyBorder="1" applyAlignment="1">
      <alignment horizontal="center" vertical="center"/>
    </xf>
    <xf numFmtId="0" fontId="18" fillId="20" borderId="0" xfId="0" applyFont="1" applyFill="1" applyAlignment="1">
      <alignment horizontal="center" vertical="center"/>
    </xf>
    <xf numFmtId="0" fontId="39" fillId="11" borderId="1" xfId="10" applyNumberFormat="1" applyFont="1" applyAlignment="1">
      <alignment horizontal="left" vertical="center"/>
    </xf>
    <xf numFmtId="0" fontId="4" fillId="0" borderId="22" xfId="0" applyFont="1" applyBorder="1" applyAlignment="1">
      <alignment horizontal="center" vertical="center"/>
    </xf>
    <xf numFmtId="0" fontId="4" fillId="0" borderId="22" xfId="0" applyFont="1" applyBorder="1" applyAlignment="1">
      <alignment vertical="center"/>
    </xf>
    <xf numFmtId="0" fontId="49" fillId="0" borderId="0" xfId="0" applyFont="1" applyAlignment="1">
      <alignment vertical="center"/>
    </xf>
    <xf numFmtId="1" fontId="4" fillId="0" borderId="0" xfId="0" applyNumberFormat="1" applyFont="1"/>
    <xf numFmtId="165" fontId="4" fillId="0" borderId="0" xfId="0" applyNumberFormat="1" applyFont="1"/>
    <xf numFmtId="0" fontId="7" fillId="0" borderId="0" xfId="0" pivotButton="1" applyFont="1" applyAlignment="1">
      <alignment vertical="center"/>
    </xf>
    <xf numFmtId="0" fontId="42" fillId="0" borderId="0" xfId="0" applyFont="1" applyAlignment="1">
      <alignment vertical="center"/>
    </xf>
    <xf numFmtId="165" fontId="4" fillId="0" borderId="0" xfId="0" applyNumberFormat="1" applyFont="1" applyAlignment="1">
      <alignment horizontal="right" vertical="center"/>
    </xf>
    <xf numFmtId="0" fontId="18" fillId="21" borderId="0" xfId="0" applyFont="1" applyFill="1" applyAlignment="1">
      <alignment horizontal="center" vertical="center"/>
    </xf>
    <xf numFmtId="0" fontId="50" fillId="0" borderId="0" xfId="0" applyFont="1" applyAlignment="1">
      <alignment vertical="center"/>
    </xf>
    <xf numFmtId="165" fontId="51" fillId="0" borderId="23" xfId="0" applyNumberFormat="1" applyFont="1" applyBorder="1" applyAlignment="1">
      <alignment vertical="center"/>
    </xf>
    <xf numFmtId="0" fontId="0" fillId="0" borderId="0" xfId="0" pivotButton="1" applyAlignment="1">
      <alignment vertical="center"/>
    </xf>
    <xf numFmtId="0" fontId="4" fillId="0" borderId="24" xfId="0" applyFont="1" applyBorder="1" applyAlignment="1">
      <alignment horizontal="center" vertical="center"/>
    </xf>
    <xf numFmtId="0" fontId="4" fillId="0" borderId="24" xfId="0" applyFont="1" applyBorder="1" applyAlignment="1">
      <alignment vertical="center"/>
    </xf>
    <xf numFmtId="0" fontId="7" fillId="22" borderId="24" xfId="0" applyFont="1" applyFill="1" applyBorder="1" applyAlignment="1">
      <alignment horizontal="center" vertical="center"/>
    </xf>
    <xf numFmtId="0" fontId="19" fillId="0" borderId="24" xfId="0" applyFont="1" applyBorder="1" applyAlignment="1">
      <alignment horizontal="center" vertical="center"/>
    </xf>
    <xf numFmtId="0" fontId="48" fillId="0" borderId="22" xfId="0" applyFont="1" applyBorder="1" applyAlignment="1">
      <alignment horizontal="right" vertical="center"/>
    </xf>
    <xf numFmtId="3" fontId="18" fillId="12" borderId="10" xfId="0" applyNumberFormat="1" applyFont="1" applyFill="1" applyBorder="1" applyAlignment="1">
      <alignment horizontal="left" vertical="center"/>
    </xf>
    <xf numFmtId="3" fontId="18" fillId="12" borderId="9" xfId="0" applyNumberFormat="1" applyFont="1" applyFill="1" applyBorder="1" applyAlignment="1">
      <alignment horizontal="left" vertical="center"/>
    </xf>
    <xf numFmtId="3" fontId="22" fillId="0" borderId="12" xfId="0" applyNumberFormat="1" applyFont="1" applyBorder="1" applyAlignment="1">
      <alignment horizontal="left" vertical="center"/>
    </xf>
    <xf numFmtId="3" fontId="22" fillId="0" borderId="13" xfId="0" applyNumberFormat="1" applyFont="1" applyBorder="1" applyAlignment="1">
      <alignment horizontal="left" vertical="center"/>
    </xf>
    <xf numFmtId="3" fontId="22" fillId="0" borderId="14" xfId="0" applyNumberFormat="1" applyFont="1" applyBorder="1" applyAlignment="1">
      <alignment horizontal="left" vertical="center"/>
    </xf>
    <xf numFmtId="0" fontId="18" fillId="12" borderId="18" xfId="0" applyFont="1" applyFill="1" applyBorder="1" applyAlignment="1">
      <alignment horizontal="left" vertical="center"/>
    </xf>
    <xf numFmtId="0" fontId="18" fillId="12" borderId="19" xfId="0" applyFont="1" applyFill="1" applyBorder="1" applyAlignment="1">
      <alignment horizontal="left" vertical="center"/>
    </xf>
    <xf numFmtId="0" fontId="18" fillId="12" borderId="20" xfId="0" applyFont="1" applyFill="1" applyBorder="1" applyAlignment="1">
      <alignment horizontal="left" vertical="center"/>
    </xf>
    <xf numFmtId="0" fontId="18" fillId="12" borderId="0" xfId="0" applyFont="1" applyFill="1" applyBorder="1" applyAlignment="1">
      <alignment horizontal="left" vertical="center"/>
    </xf>
    <xf numFmtId="0" fontId="18" fillId="12" borderId="9" xfId="0" applyFont="1" applyFill="1" applyBorder="1" applyAlignment="1">
      <alignment horizontal="left" vertical="center"/>
    </xf>
    <xf numFmtId="0" fontId="22" fillId="0" borderId="12" xfId="0" applyNumberFormat="1" applyFont="1" applyBorder="1" applyAlignment="1">
      <alignment horizontal="left" vertical="center"/>
    </xf>
    <xf numFmtId="0" fontId="22" fillId="0" borderId="13" xfId="0" applyNumberFormat="1" applyFont="1" applyBorder="1" applyAlignment="1">
      <alignment horizontal="left" vertical="center"/>
    </xf>
    <xf numFmtId="0" fontId="22" fillId="0" borderId="14" xfId="0" applyNumberFormat="1" applyFont="1" applyBorder="1" applyAlignment="1">
      <alignment horizontal="left" vertical="center"/>
    </xf>
  </cellXfs>
  <cellStyles count="12">
    <cellStyle name="20% - Ênfase6" xfId="5" builtinId="50"/>
    <cellStyle name="Bom" xfId="2" builtinId="26"/>
    <cellStyle name="Cálculo" xfId="3" builtinId="22"/>
    <cellStyle name="Ênfase1" xfId="11" builtinId="29"/>
    <cellStyle name="Entrada" xfId="10" builtinId="20"/>
    <cellStyle name="Hiperlink" xfId="6" builtinId="8"/>
    <cellStyle name="Moeda 2" xfId="8" xr:uid="{177C8307-5165-4AB3-805B-82E3ADB1B367}"/>
    <cellStyle name="Moeda 6" xfId="9" xr:uid="{5E0BE3EB-402F-4487-A1E0-EF9554BF179B}"/>
    <cellStyle name="Neutro 2" xfId="7" xr:uid="{05A6A35A-6FDA-4477-9795-D50474D87CB1}"/>
    <cellStyle name="Normal" xfId="0" builtinId="0"/>
    <cellStyle name="Nota" xfId="4" builtinId="10"/>
    <cellStyle name="Porcentagem" xfId="1" builtinId="5"/>
  </cellStyles>
  <dxfs count="701">
    <dxf>
      <font>
        <strike val="0"/>
        <outline val="0"/>
        <shadow val="0"/>
        <u val="none"/>
        <vertAlign val="baseline"/>
        <sz val="10"/>
        <name val="Calibri"/>
        <family val="2"/>
        <scheme val="minor"/>
      </font>
      <numFmt numFmtId="165" formatCode="&quot;R$&quot;\ #,##0.00"/>
    </dxf>
    <dxf>
      <font>
        <strike val="0"/>
        <outline val="0"/>
        <shadow val="0"/>
        <u val="none"/>
        <vertAlign val="baseline"/>
        <sz val="10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0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0"/>
        <name val="Calibri"/>
        <family val="2"/>
        <scheme val="minor"/>
      </font>
      <numFmt numFmtId="1" formatCode="0"/>
    </dxf>
    <dxf>
      <font>
        <strike val="0"/>
        <outline val="0"/>
        <shadow val="0"/>
        <u val="none"/>
        <vertAlign val="baseline"/>
        <sz val="10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0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0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  <alignment horizontal="general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" formatCode="0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" formatCode="0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&quot;R$&quot;\ #,##0.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" formatCode="#,##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" formatCode="#,##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&quot;R$&quot;\ #,##0.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&quot;R$&quot;\ #,##0.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&quot;R$&quot;\ #,##0.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&quot;R$&quot;\ #,##0.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&quot;R$&quot;\ #,##0.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&quot;R$&quot;\ #,##0.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4" formatCode="0.00%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4" formatCode="0.00%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4" formatCode="0.00%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4" formatCode="0.00%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4" formatCode="0.00%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" formatCode="#,##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" formatCode="#,##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" formatCode="#,##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" formatCode="#,##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" formatCode="#,##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" formatCode="#,##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" formatCode="#,##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" formatCode="#,##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" formatCode="#,##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" formatCode="#,##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&quot;R$&quot;\ #,##0.00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&quot;R$&quot;\ #,##0.00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&quot;R$&quot;\ #,##0.00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&quot;R$&quot;\ #,##0.00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&quot;R$&quot;\ #,##0.00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&quot;R$&quot;\ #,##0.00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&quot;R$&quot;\ #,##0.00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&quot;R$&quot;\ #,##0.00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&quot;R$&quot;\ #,##0.00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&quot;R$&quot;\ #,##0.00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&quot;R$&quot;\ #,##0.00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&quot;R$&quot;\ #,##0.00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&quot;R$&quot;\ #,##0.00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&quot;R$&quot;\ #,##0.00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&quot;R$&quot;\ #,##0.00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&quot;R$&quot;\ #,##0.00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4" formatCode="0.00%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4" formatCode="0.00%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4" formatCode="0.00%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4" formatCode="0.00%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4" formatCode="0.00%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" formatCode="#,##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" formatCode="#,##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" formatCode="#,##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" formatCode="#,##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" formatCode="#,##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" formatCode="#,##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" formatCode="#,##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" formatCode="#,##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" formatCode="#,##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" formatCode="#,##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  <alignment horizontal="general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color theme="8" tint="-0.24994659260841701"/>
      </font>
    </dxf>
    <dxf>
      <font>
        <color rgb="FF9C0006"/>
      </font>
    </dxf>
    <dxf>
      <font>
        <color theme="8" tint="-0.24994659260841701"/>
      </font>
    </dxf>
    <dxf>
      <font>
        <color rgb="FF9C0006"/>
      </font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b/>
        <i val="0"/>
        <color rgb="FF0070C0"/>
      </font>
    </dxf>
    <dxf>
      <font>
        <b/>
        <i val="0"/>
        <color theme="5" tint="-0.24994659260841701"/>
      </font>
    </dxf>
    <dxf>
      <font>
        <b/>
        <i val="0"/>
        <color rgb="FF7030A0"/>
      </font>
    </dxf>
    <dxf>
      <font>
        <b val="0"/>
        <i/>
        <color theme="0" tint="-0.24994659260841701"/>
      </font>
    </dxf>
    <dxf>
      <font>
        <b/>
        <i val="0"/>
        <color rgb="FF0070C0"/>
      </font>
    </dxf>
    <dxf>
      <font>
        <b/>
        <i val="0"/>
        <color rgb="FF0070C0"/>
      </font>
    </dxf>
    <dxf>
      <font>
        <b val="0"/>
        <i/>
        <color theme="0" tint="-0.24994659260841701"/>
      </font>
    </dxf>
    <dxf>
      <font>
        <b/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&quot;R$&quot;\ #,##0.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3" formatCode="0%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b/>
        <i val="0"/>
        <color rgb="FF0070C0"/>
      </font>
    </dxf>
    <dxf>
      <font>
        <b val="0"/>
        <i/>
        <color theme="0" tint="-0.14996795556505021"/>
      </font>
    </dxf>
    <dxf>
      <font>
        <b/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&quot;R$&quot;\ #,##0.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&quot;R$&quot;\ #,##0.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&quot;R$&quot;\ #,##0.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&quot;R$&quot;\ #,##0.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&quot;R$&quot;\ #,##0.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&quot;R$&quot;\ #,##0.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&quot;R$&quot;\ #,##0.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&quot;R$&quot;\ #,##0.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&quot;R$&quot;\ #,##0.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&quot;R$&quot;\ #,##0.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&quot;R$&quot;\ #,##0.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&quot;R$&quot;\ #,##0.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&quot;R$&quot;\ #,##0.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&quot;R$&quot;\ #,##0.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&quot;R$&quot;\ #,##0.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&quot;R$&quot;\ #,##0.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3" formatCode="0%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3" formatCode="0%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3" formatCode="0%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3" formatCode="0%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3" formatCode="0%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3" formatCode="0%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3" formatCode="0%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3" formatCode="0%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3" formatCode="0%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3" formatCode="0%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" formatCode="#,##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" formatCode="#,##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" formatCode="#,##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" formatCode="#,##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" formatCode="#,##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" formatCode="#,##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" formatCode="#,##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" formatCode="#,##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" formatCode="#,##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" formatCode="#,##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color theme="8" tint="-0.24994659260841701"/>
      </font>
    </dxf>
    <dxf>
      <font>
        <color rgb="FF9C0006"/>
      </font>
    </dxf>
    <dxf>
      <font>
        <color theme="8" tint="-0.24994659260841701"/>
      </font>
    </dxf>
    <dxf>
      <font>
        <color rgb="FF9C0006"/>
      </font>
    </dxf>
    <dxf>
      <font>
        <color theme="8" tint="-0.24994659260841701"/>
      </font>
    </dxf>
    <dxf>
      <font>
        <color rgb="FF9C0006"/>
      </font>
    </dxf>
    <dxf>
      <font>
        <b/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&quot;R$&quot;\ #,##0.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&quot;R$&quot;\ #,##0.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&quot;R$&quot;\ #,##0.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&quot;R$&quot;\ #,##0.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&quot;R$&quot;\ #,##0.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&quot;R$&quot;\ #,##0.0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4" formatCode="0.00%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4" formatCode="0.00%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4" formatCode="0.00%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4" formatCode="0.00%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4" formatCode="0.00%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4" formatCode="0.00%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4" formatCode="0.00%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4" formatCode="0.00%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4" formatCode="0.00%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4" formatCode="0.00%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" formatCode="#,##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" formatCode="#,##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" formatCode="#,##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" formatCode="#,##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" formatCode="#,##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" formatCode="#,##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" formatCode="#,##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" formatCode="#,##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" formatCode="#,##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" formatCode="#,##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/>
        <i val="0"/>
        <color rgb="FF0070C0"/>
      </font>
    </dxf>
    <dxf>
      <font>
        <b val="0"/>
        <i/>
        <color theme="0" tint="-0.24994659260841701"/>
      </font>
    </dxf>
    <dxf>
      <font>
        <b/>
        <i val="0"/>
        <color rgb="FF0070C0"/>
      </font>
    </dxf>
    <dxf>
      <font>
        <b val="0"/>
        <i/>
        <color theme="0" tint="-0.24994659260841701"/>
      </font>
    </dxf>
    <dxf>
      <font>
        <b/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2" formatCode="&quot;R$&quot;\ #,##0.00;[Red]\-&quot;R$&quot;\ #,##0.00"/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2" formatCode="&quot;R$&quot;\ #,##0.00;[Red]\-&quot;R$&quot;\ #,##0.00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2" formatCode="&quot;R$&quot;\ #,##0.00;[Red]\-&quot;R$&quot;\ #,##0.00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&quot;R$&quot;\ #,##0.00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&quot;R$&quot;\ #,##0.00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2" formatCode="&quot;R$&quot;\ #,##0.00;[Red]\-&quot;R$&quot;\ #,##0.00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&quot;R$&quot;\ #,##0.00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2" formatCode="&quot;R$&quot;\ #,##0.00;[Red]\-&quot;R$&quot;\ #,##0.00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2" formatCode="&quot;R$&quot;\ #,##0.00;[Red]\-&quot;R$&quot;\ #,##0.00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2" formatCode="&quot;R$&quot;\ #,##0.00;[Red]\-&quot;R$&quot;\ #,##0.00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2" formatCode="&quot;R$&quot;\ #,##0.00;[Red]\-&quot;R$&quot;\ #,##0.00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2" formatCode="&quot;R$&quot;\ #,##0.00;[Red]\-&quot;R$&quot;\ #,##0.00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2" formatCode="&quot;R$&quot;\ #,##0.00;[Red]\-&quot;R$&quot;\ #,##0.00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numFmt numFmtId="165" formatCode="&quot;R$&quot;\ #,##0.00"/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numFmt numFmtId="165" formatCode="&quot;R$&quot;\ #,##0.00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numFmt numFmtId="165" formatCode="&quot;R$&quot;\ #,##0.00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numFmt numFmtId="165" formatCode="&quot;R$&quot;\ #,##0.00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numFmt numFmtId="165" formatCode="&quot;R$&quot;\ #,##0.00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numFmt numFmtId="165" formatCode="&quot;R$&quot;\ #,##0.00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numFmt numFmtId="165" formatCode="&quot;R$&quot;\ #,##0.00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numFmt numFmtId="165" formatCode="&quot;R$&quot;\ #,##0.00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numFmt numFmtId="165" formatCode="&quot;R$&quot;\ #,##0.00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&quot;R$&quot;\ #,##0.00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&quot;R$&quot;\ #,##0.00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&quot;R$&quot;\ #,##0.00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&quot;R$&quot;\ #,##0.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6" formatCode="0.0%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6" formatCode="0.0%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6" formatCode="0.0%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6" formatCode="0.0%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4" formatCode="#,##0.00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Calibri"/>
        <family val="2"/>
        <scheme val="minor"/>
      </font>
      <numFmt numFmtId="4" formatCode="#,##0.00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Calibri"/>
        <family val="2"/>
        <scheme val="minor"/>
      </font>
      <numFmt numFmtId="4" formatCode="#,##0.00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4" formatCode="#,##0.00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4" formatCode="#,##0.00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Calibri"/>
        <family val="2"/>
        <scheme val="minor"/>
      </font>
      <numFmt numFmtId="4" formatCode="#,##0.00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Calibri"/>
        <family val="2"/>
        <scheme val="minor"/>
      </font>
      <numFmt numFmtId="4" formatCode="#,##0.00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4" formatCode="#,##0.00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color rgb="FF0070C0"/>
      </font>
    </dxf>
    <dxf>
      <font>
        <color rgb="FF9C0006"/>
      </font>
    </dxf>
    <dxf>
      <numFmt numFmtId="3" formatCode="#,##0"/>
    </dxf>
    <dxf>
      <font>
        <b/>
      </font>
    </dxf>
    <dxf>
      <font>
        <color theme="0"/>
      </font>
    </dxf>
    <dxf>
      <fill>
        <patternFill patternType="solid">
          <bgColor theme="9"/>
        </patternFill>
      </fill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b val="0"/>
        <i/>
        <color theme="0" tint="-0.24994659260841701"/>
      </font>
    </dxf>
    <dxf>
      <font>
        <b val="0"/>
        <i/>
        <color theme="0" tint="-0.24994659260841701"/>
      </font>
    </dxf>
    <dxf>
      <font>
        <b val="0"/>
        <i/>
        <color theme="0" tint="-0.24994659260841701"/>
      </font>
    </dxf>
    <dxf>
      <font>
        <b val="0"/>
        <i/>
        <color theme="0" tint="-0.24994659260841701"/>
      </font>
    </dxf>
    <dxf>
      <font>
        <b val="0"/>
        <i/>
        <color theme="0" tint="-0.24994659260841701"/>
      </font>
    </dxf>
    <dxf>
      <font>
        <b/>
        <i val="0"/>
        <color theme="0" tint="-0.24994659260841701"/>
      </font>
    </dxf>
    <dxf>
      <font>
        <b val="0"/>
        <i/>
        <color theme="0" tint="-0.24994659260841701"/>
      </font>
    </dxf>
    <dxf>
      <font>
        <b val="0"/>
        <i/>
        <color theme="0" tint="-0.24994659260841701"/>
      </font>
    </dxf>
    <dxf>
      <font>
        <b val="0"/>
        <i/>
        <color theme="0" tint="-0.24994659260841701"/>
      </font>
    </dxf>
    <dxf>
      <font>
        <b val="0"/>
        <i/>
        <color theme="0" tint="-0.24994659260841701"/>
      </font>
    </dxf>
    <dxf>
      <font>
        <b/>
        <i val="0"/>
        <color rgb="FF0070C0"/>
      </font>
    </dxf>
    <dxf>
      <font>
        <b val="0"/>
        <i/>
        <color theme="0" tint="-0.24994659260841701"/>
      </font>
    </dxf>
    <dxf>
      <font>
        <b val="0"/>
        <i/>
        <color theme="0" tint="-0.24994659260841701"/>
      </font>
    </dxf>
    <dxf>
      <font>
        <b val="0"/>
        <i/>
        <color theme="0" tint="-0.24994659260841701"/>
      </font>
    </dxf>
    <dxf>
      <font>
        <b/>
        <i val="0"/>
        <color rgb="FF0070C0"/>
      </font>
    </dxf>
    <dxf>
      <font>
        <b val="0"/>
        <i/>
        <color theme="0" tint="-0.24994659260841701"/>
      </font>
    </dxf>
    <dxf>
      <font>
        <b/>
        <i val="0"/>
        <color theme="0" tint="-0.24994659260841701"/>
      </font>
    </dxf>
    <dxf>
      <font>
        <b val="0"/>
        <i/>
        <color theme="0" tint="-0.24994659260841701"/>
      </font>
    </dxf>
    <dxf>
      <font>
        <b val="0"/>
        <i/>
        <color theme="0" tint="-0.24994659260841701"/>
      </font>
    </dxf>
    <dxf>
      <font>
        <b val="0"/>
        <i/>
        <color theme="0" tint="-0.24994659260841701"/>
      </font>
    </dxf>
    <dxf>
      <font>
        <b val="0"/>
        <i/>
        <color theme="0" tint="-0.24994659260841701"/>
      </font>
    </dxf>
    <dxf>
      <font>
        <b val="0"/>
        <i/>
        <color theme="0" tint="-0.24994659260841701"/>
      </font>
    </dxf>
    <dxf>
      <font>
        <b/>
        <i val="0"/>
        <color theme="0" tint="-0.24994659260841701"/>
      </font>
    </dxf>
    <dxf>
      <font>
        <b val="0"/>
        <i/>
        <color theme="0" tint="-0.24994659260841701"/>
      </font>
    </dxf>
    <dxf>
      <font>
        <b val="0"/>
        <i/>
        <color theme="0" tint="-0.24994659260841701"/>
      </font>
    </dxf>
    <dxf>
      <font>
        <b val="0"/>
        <i/>
        <color theme="0" tint="-0.24994659260841701"/>
      </font>
    </dxf>
    <dxf>
      <font>
        <b val="0"/>
        <i/>
        <color theme="0" tint="-0.24994659260841701"/>
      </font>
    </dxf>
    <dxf>
      <font>
        <b val="0"/>
        <i/>
        <color theme="0" tint="-0.24994659260841701"/>
      </font>
    </dxf>
    <dxf>
      <font>
        <b/>
        <i val="0"/>
        <color rgb="FF0070C0"/>
      </font>
    </dxf>
    <dxf>
      <font>
        <b val="0"/>
        <i/>
        <color theme="0" tint="-0.24994659260841701"/>
      </font>
    </dxf>
    <dxf>
      <font>
        <b/>
        <i val="0"/>
        <color theme="0" tint="-0.24994659260841701"/>
      </font>
    </dxf>
    <dxf>
      <font>
        <b/>
        <i val="0"/>
        <color theme="0" tint="-0.24994659260841701"/>
      </font>
    </dxf>
    <dxf>
      <font>
        <b val="0"/>
        <i/>
        <color theme="0" tint="-0.24994659260841701"/>
      </font>
    </dxf>
    <dxf>
      <font>
        <b val="0"/>
        <i/>
        <color theme="0" tint="-0.24994659260841701"/>
      </font>
    </dxf>
    <dxf>
      <font>
        <b val="0"/>
        <i/>
        <color theme="0" tint="-0.24994659260841701"/>
      </font>
    </dxf>
    <dxf>
      <font>
        <b val="0"/>
        <i/>
        <color theme="0" tint="-0.24994659260841701"/>
      </font>
    </dxf>
    <dxf>
      <font>
        <b/>
        <i val="0"/>
        <color theme="0" tint="-0.24994659260841701"/>
      </font>
    </dxf>
    <dxf>
      <font>
        <b val="0"/>
        <i/>
        <color theme="0" tint="-0.24994659260841701"/>
      </font>
    </dxf>
    <dxf>
      <font>
        <b/>
        <i val="0"/>
        <color theme="0" tint="-0.24994659260841701"/>
      </font>
    </dxf>
    <dxf>
      <font>
        <b val="0"/>
        <i/>
        <color theme="0" tint="-0.24994659260841701"/>
      </font>
    </dxf>
    <dxf>
      <font>
        <b/>
        <i val="0"/>
        <color theme="0" tint="-0.24994659260841701"/>
      </font>
    </dxf>
    <dxf>
      <font>
        <b/>
        <i val="0"/>
        <color theme="0" tint="-0.24994659260841701"/>
      </font>
    </dxf>
    <dxf>
      <font>
        <b val="0"/>
        <i/>
        <color theme="0" tint="-0.24994659260841701"/>
      </font>
    </dxf>
    <dxf>
      <font>
        <b val="0"/>
        <i/>
        <color theme="0" tint="-0.24994659260841701"/>
      </font>
    </dxf>
    <dxf>
      <font>
        <b val="0"/>
        <i/>
        <color theme="0" tint="-0.24994659260841701"/>
      </font>
    </dxf>
    <dxf>
      <font>
        <b val="0"/>
        <i/>
        <color theme="0" tint="-0.24994659260841701"/>
      </font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numFmt numFmtId="165" formatCode="&quot;R$&quot;\ #,##0.00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right"/>
    </dxf>
    <dxf>
      <font>
        <b/>
      </font>
    </dxf>
    <dxf>
      <font>
        <sz val="10"/>
      </font>
    </dxf>
    <dxf>
      <font>
        <b/>
      </font>
    </dxf>
    <dxf>
      <font>
        <b/>
      </font>
    </dxf>
    <dxf>
      <font>
        <color theme="0"/>
      </font>
    </dxf>
    <dxf>
      <font>
        <color theme="0"/>
      </font>
    </dxf>
    <dxf>
      <fill>
        <patternFill patternType="solid">
          <bgColor theme="9"/>
        </patternFill>
      </fill>
    </dxf>
    <dxf>
      <fill>
        <patternFill patternType="solid">
          <bgColor theme="9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numFmt numFmtId="165" formatCode="&quot;R$&quot;\ #,##0.00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right"/>
    </dxf>
    <dxf>
      <font>
        <b/>
      </font>
    </dxf>
    <dxf>
      <font>
        <sz val="10"/>
      </font>
    </dxf>
    <dxf>
      <font>
        <b/>
      </font>
    </dxf>
    <dxf>
      <font>
        <b/>
      </font>
    </dxf>
    <dxf>
      <font>
        <color theme="0"/>
      </font>
    </dxf>
    <dxf>
      <font>
        <color theme="0"/>
      </font>
    </dxf>
    <dxf>
      <fill>
        <patternFill patternType="solid">
          <bgColor theme="9"/>
        </patternFill>
      </fill>
    </dxf>
    <dxf>
      <fill>
        <patternFill patternType="solid">
          <bgColor theme="9"/>
        </patternFill>
      </fill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font>
        <b/>
        <color theme="0"/>
      </font>
      <fill>
        <patternFill patternType="solid">
          <fgColor theme="9"/>
          <bgColor theme="9"/>
        </patternFill>
      </fill>
      <alignment horizontal="left"/>
    </dxf>
    <dxf>
      <font>
        <b/>
        <color theme="0"/>
      </font>
      <fill>
        <patternFill patternType="solid">
          <fgColor theme="9"/>
          <bgColor theme="9"/>
        </patternFill>
      </fill>
      <alignment horizontal="left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font>
        <b/>
        <color theme="0"/>
      </font>
      <fill>
        <patternFill patternType="solid">
          <fgColor theme="9"/>
          <bgColor theme="9"/>
        </patternFill>
      </fill>
      <alignment horizontal="left"/>
    </dxf>
    <dxf>
      <font>
        <b/>
        <color theme="0"/>
      </font>
      <fill>
        <patternFill patternType="solid">
          <fgColor theme="9"/>
          <bgColor theme="9"/>
        </patternFill>
      </fill>
      <alignment horizontal="left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alignment horizontal="center"/>
    </dxf>
    <dxf>
      <font>
        <b/>
        <i val="0"/>
        <color theme="0" tint="-0.24994659260841701"/>
      </font>
    </dxf>
    <dxf>
      <font>
        <b val="0"/>
        <i/>
        <color theme="0" tint="-0.24994659260841701"/>
      </font>
    </dxf>
    <dxf>
      <font>
        <b val="0"/>
        <i/>
        <color theme="0" tint="-0.24994659260841701"/>
      </font>
    </dxf>
    <dxf>
      <font>
        <b/>
        <i val="0"/>
        <color theme="0" tint="-0.24994659260841701"/>
      </font>
    </dxf>
    <dxf>
      <font>
        <b val="0"/>
        <i/>
        <color theme="0" tint="-0.24994659260841701"/>
      </font>
    </dxf>
    <dxf>
      <font>
        <b val="0"/>
        <i/>
        <color theme="0" tint="-0.24994659260841701"/>
      </font>
    </dxf>
    <dxf>
      <font>
        <b val="0"/>
        <i/>
        <color theme="0" tint="-0.24994659260841701"/>
      </font>
    </dxf>
    <dxf>
      <font>
        <b val="0"/>
        <i/>
        <color theme="0" tint="-0.24994659260841701"/>
      </font>
    </dxf>
    <dxf>
      <font>
        <b val="0"/>
        <i/>
        <color theme="0" tint="-0.24994659260841701"/>
      </font>
    </dxf>
    <dxf>
      <font>
        <b val="0"/>
        <i/>
        <color theme="0" tint="-0.24994659260841701"/>
      </font>
    </dxf>
    <dxf>
      <font>
        <b val="0"/>
        <i/>
        <color theme="0" tint="-0.24994659260841701"/>
      </font>
    </dxf>
    <dxf>
      <font>
        <b val="0"/>
        <i/>
        <color theme="0" tint="-0.24994659260841701"/>
      </font>
    </dxf>
    <dxf>
      <font>
        <b val="0"/>
        <i/>
        <color theme="0" tint="-0.24994659260841701"/>
      </font>
    </dxf>
    <dxf>
      <font>
        <b val="0"/>
        <i/>
        <color theme="0" tint="-0.24994659260841701"/>
      </font>
    </dxf>
    <dxf>
      <font>
        <b val="0"/>
        <i/>
        <color theme="0" tint="-0.24994659260841701"/>
      </font>
    </dxf>
    <dxf>
      <font>
        <b/>
        <i val="0"/>
        <color theme="0" tint="-0.24994659260841701"/>
      </font>
    </dxf>
    <dxf>
      <font>
        <b/>
        <i val="0"/>
        <color theme="0" tint="-0.24994659260841701"/>
      </font>
    </dxf>
    <dxf>
      <font>
        <b val="0"/>
        <i/>
        <color theme="0" tint="-0.24994659260841701"/>
      </font>
    </dxf>
    <dxf>
      <font>
        <b/>
        <i val="0"/>
        <color theme="0" tint="-0.24994659260841701"/>
      </font>
    </dxf>
    <dxf>
      <font>
        <b val="0"/>
        <i/>
        <color theme="0" tint="-0.24994659260841701"/>
      </font>
    </dxf>
    <dxf>
      <font>
        <b val="0"/>
        <i/>
        <color theme="0" tint="-0.24994659260841701"/>
      </font>
    </dxf>
    <dxf>
      <font>
        <b val="0"/>
        <i/>
        <color theme="0" tint="-0.24994659260841701"/>
      </font>
    </dxf>
    <dxf>
      <font>
        <b val="0"/>
        <i/>
        <color theme="0" tint="-0.24994659260841701"/>
      </font>
    </dxf>
    <dxf>
      <font>
        <b val="0"/>
        <i/>
        <color theme="0" tint="-0.24994659260841701"/>
      </font>
    </dxf>
    <dxf>
      <font>
        <b/>
        <i val="0"/>
        <color rgb="FF0070C0"/>
      </font>
    </dxf>
    <dxf>
      <font>
        <b val="0"/>
        <i/>
        <color theme="0" tint="-0.24994659260841701"/>
      </font>
    </dxf>
    <dxf>
      <font>
        <b val="0"/>
        <i/>
        <color theme="0" tint="-0.24994659260841701"/>
      </font>
    </dxf>
    <dxf>
      <font>
        <b val="0"/>
        <i/>
        <color theme="0" tint="-0.24994659260841701"/>
      </font>
    </dxf>
    <dxf>
      <font>
        <b/>
        <i val="0"/>
        <color rgb="FF0070C0"/>
      </font>
    </dxf>
    <dxf>
      <font>
        <b val="0"/>
        <i/>
        <color theme="0" tint="-0.24994659260841701"/>
      </font>
    </dxf>
    <dxf>
      <font>
        <b/>
        <i val="0"/>
        <color theme="0" tint="-0.24994659260841701"/>
      </font>
    </dxf>
    <dxf>
      <font>
        <b val="0"/>
        <i/>
        <color theme="0" tint="-0.24994659260841701"/>
      </font>
    </dxf>
    <dxf>
      <font>
        <b val="0"/>
        <i/>
        <color theme="0" tint="-0.24994659260841701"/>
      </font>
    </dxf>
    <dxf>
      <font>
        <b val="0"/>
        <i/>
        <color theme="0" tint="-0.24994659260841701"/>
      </font>
    </dxf>
    <dxf>
      <font>
        <b val="0"/>
        <i/>
        <color theme="0" tint="-0.24994659260841701"/>
      </font>
    </dxf>
    <dxf>
      <font>
        <b val="0"/>
        <i/>
        <color theme="0" tint="-0.24994659260841701"/>
      </font>
    </dxf>
    <dxf>
      <font>
        <b val="0"/>
        <i/>
        <color theme="0" tint="-0.24994659260841701"/>
      </font>
    </dxf>
    <dxf>
      <font>
        <b/>
        <i val="0"/>
        <color theme="0" tint="-0.24994659260841701"/>
      </font>
    </dxf>
    <dxf>
      <font>
        <b/>
        <i val="0"/>
        <color theme="0" tint="-0.24994659260841701"/>
      </font>
    </dxf>
    <dxf>
      <font>
        <b val="0"/>
        <i/>
        <color theme="0" tint="-0.24994659260841701"/>
      </font>
    </dxf>
    <dxf>
      <font>
        <b/>
        <i val="0"/>
        <color theme="0" tint="-0.24994659260841701"/>
      </font>
    </dxf>
    <dxf>
      <font>
        <b val="0"/>
        <i/>
        <color theme="0" tint="-0.24994659260841701"/>
      </font>
    </dxf>
    <dxf>
      <font>
        <b val="0"/>
        <i/>
        <color theme="0" tint="-0.24994659260841701"/>
      </font>
    </dxf>
    <dxf>
      <font>
        <b val="0"/>
        <i/>
        <color theme="0" tint="-0.24994659260841701"/>
      </font>
    </dxf>
    <dxf>
      <font>
        <b val="0"/>
        <i/>
        <color theme="0" tint="-0.24994659260841701"/>
      </font>
    </dxf>
    <dxf>
      <font>
        <b val="0"/>
        <i/>
        <color theme="0" tint="-0.24994659260841701"/>
      </font>
    </dxf>
    <dxf>
      <font>
        <b/>
        <i val="0"/>
        <color rgb="FF0070C0"/>
      </font>
    </dxf>
    <dxf>
      <font>
        <b val="0"/>
        <i/>
        <color theme="0" tint="-0.24994659260841701"/>
      </font>
    </dxf>
    <dxf>
      <font>
        <b/>
        <i val="0"/>
        <color theme="0" tint="-0.24994659260841701"/>
      </font>
    </dxf>
    <dxf>
      <font>
        <b/>
        <i val="0"/>
        <color theme="0" tint="-0.24994659260841701"/>
      </font>
    </dxf>
    <dxf>
      <font>
        <b val="0"/>
        <i/>
        <color theme="0" tint="-0.24994659260841701"/>
      </font>
    </dxf>
    <dxf>
      <font>
        <b val="0"/>
        <i/>
        <color theme="0" tint="-0.24994659260841701"/>
      </font>
    </dxf>
    <dxf>
      <font>
        <b val="0"/>
        <i/>
        <color theme="0" tint="-0.24994659260841701"/>
      </font>
    </dxf>
    <dxf>
      <font>
        <b val="0"/>
        <i/>
        <color theme="0" tint="-0.24994659260841701"/>
      </font>
    </dxf>
    <dxf>
      <font>
        <b val="0"/>
        <i/>
        <color theme="0" tint="-0.24994659260841701"/>
      </font>
    </dxf>
    <dxf>
      <font>
        <b val="0"/>
        <i/>
        <color theme="0" tint="-0.24994659260841701"/>
      </font>
    </dxf>
    <dxf>
      <font>
        <b/>
        <i val="0"/>
        <color theme="0" tint="-0.24994659260841701"/>
      </font>
    </dxf>
    <dxf>
      <font>
        <b val="0"/>
        <i/>
        <color theme="0" tint="-0.24994659260841701"/>
      </font>
    </dxf>
    <dxf>
      <font>
        <b/>
        <i val="0"/>
        <color theme="0" tint="-0.24994659260841701"/>
      </font>
    </dxf>
    <dxf>
      <font>
        <b val="0"/>
        <i/>
        <color theme="0" tint="-0.24994659260841701"/>
      </font>
    </dxf>
    <dxf>
      <font>
        <b/>
        <i val="0"/>
        <color theme="0" tint="-0.24994659260841701"/>
      </font>
    </dxf>
    <dxf>
      <font>
        <b/>
        <i val="0"/>
        <color theme="0" tint="-0.24994659260841701"/>
      </font>
    </dxf>
    <dxf>
      <font>
        <b val="0"/>
        <i/>
        <color theme="0" tint="-0.24994659260841701"/>
      </font>
    </dxf>
    <dxf>
      <font>
        <b val="0"/>
        <i/>
        <color theme="0" tint="-0.24994659260841701"/>
      </font>
    </dxf>
    <dxf>
      <font>
        <b val="0"/>
        <i/>
        <color theme="0" tint="-0.24994659260841701"/>
      </font>
    </dxf>
    <dxf>
      <font>
        <b val="0"/>
        <i/>
        <color theme="0" tint="-0.24994659260841701"/>
      </font>
    </dxf>
    <dxf>
      <font>
        <b val="0"/>
        <i/>
        <color theme="0" tint="-0.24994659260841701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&quot;R$&quot;\ #,##0.0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&quot;R$&quot;\ #,##0.0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&quot;R$&quot;\ #,##0.0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&quot;R$&quot;\ #,##0.0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&quot;R$&quot;\ #,##0.0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&quot;R$&quot;\ #,##0.0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&quot;R$&quot;\ #,##0.0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&quot;R$&quot;\ #,##0.0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&quot;R$&quot;\ #,##0.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Calibri"/>
        <family val="2"/>
        <scheme val="minor"/>
      </font>
      <numFmt numFmtId="0" formatCode="General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Calibri"/>
        <family val="2"/>
        <scheme val="minor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Calibri"/>
        <family val="2"/>
        <scheme val="minor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&quot;R$&quot;\ #,##0.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Calibri"/>
        <family val="2"/>
        <scheme val="minor"/>
      </font>
      <numFmt numFmtId="165" formatCode="&quot;R$&quot;\ #,##0.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Calibri"/>
        <family val="2"/>
        <scheme val="minor"/>
      </font>
      <numFmt numFmtId="165" formatCode="&quot;R$&quot;\ #,##0.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Calibri"/>
        <family val="2"/>
        <scheme val="minor"/>
      </font>
      <numFmt numFmtId="165" formatCode="&quot;R$&quot;\ #,##0.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Calibri"/>
        <family val="2"/>
        <scheme val="minor"/>
      </font>
      <numFmt numFmtId="165" formatCode="&quot;R$&quot;\ #,##0.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Calibri"/>
        <family val="2"/>
        <scheme val="minor"/>
      </font>
      <numFmt numFmtId="167" formatCode="0.00_ ;[Red]\-0.00\ 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Calibri"/>
        <family val="2"/>
        <scheme val="minor"/>
      </font>
      <numFmt numFmtId="12" formatCode="&quot;R$&quot;\ #,##0.00;[Red]\-&quot;R$&quot;\ #,##0.0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2" formatCode="&quot;R$&quot;\ #,##0.00;[Red]\-&quot;R$&quot;\ #,##0.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Calibri"/>
        <family val="2"/>
        <scheme val="minor"/>
      </font>
      <numFmt numFmtId="12" formatCode="&quot;R$&quot;\ #,##0.00;[Red]\-&quot;R$&quot;\ #,##0.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Calibri"/>
        <family val="2"/>
        <scheme val="minor"/>
      </font>
      <numFmt numFmtId="0" formatCode="General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Calibri"/>
        <family val="2"/>
        <scheme val="minor"/>
      </font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Calibri"/>
        <family val="2"/>
        <scheme val="minor"/>
      </font>
      <alignment horizontal="center" vertical="center" textRotation="0" wrapText="1" indent="0" justifyLastLine="0" shrinkToFit="0" readingOrder="0"/>
    </dxf>
    <dxf>
      <font>
        <b/>
        <i val="0"/>
        <color rgb="FF0070C0"/>
      </font>
    </dxf>
    <dxf>
      <font>
        <b val="0"/>
        <i/>
        <color theme="0" tint="-0.24994659260841701"/>
      </font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9" formatCode="dd/mm/yyyy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9" formatCode="dd/mm/yyyy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9" formatCode="dd/mm/yyyy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9" formatCode="dd/mm/yyyy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/>
        <i val="0"/>
        <color rgb="FF0070C0"/>
      </font>
    </dxf>
    <dxf>
      <font>
        <b val="0"/>
        <i/>
        <color theme="0" tint="-0.24994659260841701"/>
      </font>
    </dxf>
    <dxf>
      <font>
        <b/>
        <i val="0"/>
        <color rgb="FF0070C0"/>
      </font>
    </dxf>
    <dxf>
      <font>
        <b val="0"/>
        <i/>
        <color theme="0" tint="-0.24994659260841701"/>
      </font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" formatCode="0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b/>
        <i val="0"/>
        <color rgb="FF0070C0"/>
      </font>
    </dxf>
    <dxf>
      <font>
        <color rgb="FF9C0006"/>
      </font>
    </dxf>
    <dxf>
      <font>
        <b val="0"/>
        <i/>
        <color theme="0" tint="-0.24994659260841701"/>
      </font>
    </dxf>
    <dxf>
      <font>
        <b/>
        <i val="0"/>
        <color rgb="FF0070C0"/>
      </font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D8C34D7F-CB07-437C-BCEA-2C0994708B1A}">
      <tableStyleElement type="wholeTable" dxfId="700"/>
      <tableStyleElement type="headerRow" dxfId="699"/>
    </tableStyle>
  </tableStyles>
  <colors>
    <mruColors>
      <color rgb="FFFF993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microsoft.com/office/2007/relationships/slicerCache" Target="slicerCaches/slicerCache1.xml"/><Relationship Id="rId39" Type="http://schemas.openxmlformats.org/officeDocument/2006/relationships/connections" Target="connections.xml"/><Relationship Id="rId21" Type="http://schemas.openxmlformats.org/officeDocument/2006/relationships/worksheet" Target="worksheets/sheet21.xml"/><Relationship Id="rId34" Type="http://schemas.microsoft.com/office/2007/relationships/slicerCache" Target="slicerCaches/slicerCache9.xml"/><Relationship Id="rId42" Type="http://schemas.openxmlformats.org/officeDocument/2006/relationships/sheetMetadata" Target="metadata.xml"/><Relationship Id="rId47" Type="http://schemas.openxmlformats.org/officeDocument/2006/relationships/customXml" Target="../customXml/item3.xml"/><Relationship Id="rId50" Type="http://schemas.openxmlformats.org/officeDocument/2006/relationships/customXml" Target="../customXml/item6.xml"/><Relationship Id="rId55" Type="http://schemas.openxmlformats.org/officeDocument/2006/relationships/customXml" Target="../customXml/item11.xml"/><Relationship Id="rId63" Type="http://schemas.openxmlformats.org/officeDocument/2006/relationships/customXml" Target="../customXml/item19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microsoft.com/office/2007/relationships/slicerCache" Target="slicerCaches/slicerCache4.xml"/><Relationship Id="rId11" Type="http://schemas.openxmlformats.org/officeDocument/2006/relationships/worksheet" Target="worksheets/sheet11.xml"/><Relationship Id="rId24" Type="http://schemas.openxmlformats.org/officeDocument/2006/relationships/pivotCacheDefinition" Target="pivotCache/pivotCacheDefinition2.xml"/><Relationship Id="rId32" Type="http://schemas.microsoft.com/office/2007/relationships/slicerCache" Target="slicerCaches/slicerCache7.xml"/><Relationship Id="rId37" Type="http://schemas.microsoft.com/office/2007/relationships/slicerCache" Target="slicerCaches/slicerCache12.xml"/><Relationship Id="rId40" Type="http://schemas.openxmlformats.org/officeDocument/2006/relationships/styles" Target="styles.xml"/><Relationship Id="rId45" Type="http://schemas.openxmlformats.org/officeDocument/2006/relationships/customXml" Target="../customXml/item1.xml"/><Relationship Id="rId53" Type="http://schemas.openxmlformats.org/officeDocument/2006/relationships/customXml" Target="../customXml/item9.xml"/><Relationship Id="rId58" Type="http://schemas.openxmlformats.org/officeDocument/2006/relationships/customXml" Target="../customXml/item14.xml"/><Relationship Id="rId5" Type="http://schemas.openxmlformats.org/officeDocument/2006/relationships/worksheet" Target="worksheets/sheet5.xml"/><Relationship Id="rId61" Type="http://schemas.openxmlformats.org/officeDocument/2006/relationships/customXml" Target="../customXml/item17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microsoft.com/office/2007/relationships/slicerCache" Target="slicerCaches/slicerCache2.xml"/><Relationship Id="rId30" Type="http://schemas.microsoft.com/office/2007/relationships/slicerCache" Target="slicerCaches/slicerCache5.xml"/><Relationship Id="rId35" Type="http://schemas.microsoft.com/office/2007/relationships/slicerCache" Target="slicerCaches/slicerCache10.xml"/><Relationship Id="rId43" Type="http://schemas.openxmlformats.org/officeDocument/2006/relationships/powerPivotData" Target="model/item.data"/><Relationship Id="rId48" Type="http://schemas.openxmlformats.org/officeDocument/2006/relationships/customXml" Target="../customXml/item4.xml"/><Relationship Id="rId56" Type="http://schemas.openxmlformats.org/officeDocument/2006/relationships/customXml" Target="../customXml/item12.xml"/><Relationship Id="rId64" Type="http://schemas.openxmlformats.org/officeDocument/2006/relationships/customXml" Target="../customXml/item20.xml"/><Relationship Id="rId8" Type="http://schemas.openxmlformats.org/officeDocument/2006/relationships/worksheet" Target="worksheets/sheet8.xml"/><Relationship Id="rId51" Type="http://schemas.openxmlformats.org/officeDocument/2006/relationships/customXml" Target="../customXml/item7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pivotCacheDefinition" Target="pivotCache/pivotCacheDefinition3.xml"/><Relationship Id="rId33" Type="http://schemas.microsoft.com/office/2007/relationships/slicerCache" Target="slicerCaches/slicerCache8.xml"/><Relationship Id="rId38" Type="http://schemas.openxmlformats.org/officeDocument/2006/relationships/theme" Target="theme/theme1.xml"/><Relationship Id="rId46" Type="http://schemas.openxmlformats.org/officeDocument/2006/relationships/customXml" Target="../customXml/item2.xml"/><Relationship Id="rId59" Type="http://schemas.openxmlformats.org/officeDocument/2006/relationships/customXml" Target="../customXml/item15.xml"/><Relationship Id="rId20" Type="http://schemas.openxmlformats.org/officeDocument/2006/relationships/worksheet" Target="worksheets/sheet20.xml"/><Relationship Id="rId41" Type="http://schemas.openxmlformats.org/officeDocument/2006/relationships/sharedStrings" Target="sharedStrings.xml"/><Relationship Id="rId54" Type="http://schemas.openxmlformats.org/officeDocument/2006/relationships/customXml" Target="../customXml/item10.xml"/><Relationship Id="rId62" Type="http://schemas.openxmlformats.org/officeDocument/2006/relationships/customXml" Target="../customXml/item18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pivotCacheDefinition" Target="pivotCache/pivotCacheDefinition1.xml"/><Relationship Id="rId28" Type="http://schemas.microsoft.com/office/2007/relationships/slicerCache" Target="slicerCaches/slicerCache3.xml"/><Relationship Id="rId36" Type="http://schemas.microsoft.com/office/2007/relationships/slicerCache" Target="slicerCaches/slicerCache11.xml"/><Relationship Id="rId49" Type="http://schemas.openxmlformats.org/officeDocument/2006/relationships/customXml" Target="../customXml/item5.xml"/><Relationship Id="rId57" Type="http://schemas.openxmlformats.org/officeDocument/2006/relationships/customXml" Target="../customXml/item13.xml"/><Relationship Id="rId10" Type="http://schemas.openxmlformats.org/officeDocument/2006/relationships/worksheet" Target="worksheets/sheet10.xml"/><Relationship Id="rId31" Type="http://schemas.microsoft.com/office/2007/relationships/slicerCache" Target="slicerCaches/slicerCache6.xml"/><Relationship Id="rId44" Type="http://schemas.openxmlformats.org/officeDocument/2006/relationships/calcChain" Target="calcChain.xml"/><Relationship Id="rId52" Type="http://schemas.openxmlformats.org/officeDocument/2006/relationships/customXml" Target="../customXml/item8.xml"/><Relationship Id="rId60" Type="http://schemas.openxmlformats.org/officeDocument/2006/relationships/customXml" Target="../customXml/item16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12</xdr:col>
      <xdr:colOff>1228726</xdr:colOff>
      <xdr:row>0</xdr:row>
      <xdr:rowOff>0</xdr:rowOff>
    </xdr:from>
    <xdr:to>
      <xdr:col>14</xdr:col>
      <xdr:colOff>8026</xdr:colOff>
      <xdr:row>3</xdr:row>
      <xdr:rowOff>33225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6" name="Mes-Fiscal 3">
              <a:extLst>
                <a:ext uri="{FF2B5EF4-FFF2-40B4-BE49-F238E27FC236}">
                  <a16:creationId xmlns:a16="http://schemas.microsoft.com/office/drawing/2014/main" id="{A5ECAB58-EC55-4F8C-853A-C677233B8F3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es-Fiscal 3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211176" y="0"/>
              <a:ext cx="1332000" cy="900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 slicer da tabela. As segmentações de dados da tabela não são suportadas nesta versão do Excel.
Se a forma tiver sido modificada em uma versão anterior do Excel, ou se a pasta de trabalho foi salva no Excel 2007 ou anterior, a segmentação de dados não pode ser usada.</a:t>
              </a:r>
            </a:p>
          </xdr:txBody>
        </xdr:sp>
      </mc:Fallback>
    </mc:AlternateContent>
    <xdr:clientData/>
  </xdr:twoCellAnchor>
  <xdr:twoCellAnchor editAs="absolute">
    <xdr:from>
      <xdr:col>11</xdr:col>
      <xdr:colOff>1157288</xdr:colOff>
      <xdr:row>0</xdr:row>
      <xdr:rowOff>0</xdr:rowOff>
    </xdr:from>
    <xdr:to>
      <xdr:col>12</xdr:col>
      <xdr:colOff>1212938</xdr:colOff>
      <xdr:row>3</xdr:row>
      <xdr:rowOff>33225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7" name="Tri-Fiscal 3">
              <a:extLst>
                <a:ext uri="{FF2B5EF4-FFF2-40B4-BE49-F238E27FC236}">
                  <a16:creationId xmlns:a16="http://schemas.microsoft.com/office/drawing/2014/main" id="{5C8EFA3A-3C64-4D78-A18B-B0D7E944C68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Tri-Fiscal 3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863388" y="0"/>
              <a:ext cx="1332000" cy="900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 slicer da tabela. As segmentações de dados da tabela não são suportadas nesta versão do Excel.
Se a forma tiver sido modificada em uma versão anterior do Excel, ou se a pasta de trabalho foi salva no Excel 2007 ou anterior, a segmentação de dados não pode ser usada.</a:t>
              </a:r>
            </a:p>
          </xdr:txBody>
        </xdr:sp>
      </mc:Fallback>
    </mc:AlternateContent>
    <xdr:clientData/>
  </xdr:twoCellAnchor>
  <xdr:twoCellAnchor editAs="absolute">
    <xdr:from>
      <xdr:col>10</xdr:col>
      <xdr:colOff>790575</xdr:colOff>
      <xdr:row>0</xdr:row>
      <xdr:rowOff>0</xdr:rowOff>
    </xdr:from>
    <xdr:to>
      <xdr:col>11</xdr:col>
      <xdr:colOff>1141500</xdr:colOff>
      <xdr:row>3</xdr:row>
      <xdr:rowOff>33225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5" name="Ano-Fiscal 1">
              <a:extLst>
                <a:ext uri="{FF2B5EF4-FFF2-40B4-BE49-F238E27FC236}">
                  <a16:creationId xmlns:a16="http://schemas.microsoft.com/office/drawing/2014/main" id="{91E9DFE6-6080-4806-9B3B-DE0AED62A62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no-Fiscal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515600" y="0"/>
              <a:ext cx="1332000" cy="900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 slicer da tabela. As segmentações de dados da tabela não são suportadas nesta versão do Excel.
Se a forma tiver sido modificada em uma versão anterior do Excel, ou se a pasta de trabalho foi salva no Excel 2007 ou anterior, a segmentação de dados não pode ser usada.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absolute">
    <xdr:from>
      <xdr:col>3</xdr:col>
      <xdr:colOff>219074</xdr:colOff>
      <xdr:row>0</xdr:row>
      <xdr:rowOff>0</xdr:rowOff>
    </xdr:from>
    <xdr:to>
      <xdr:col>4</xdr:col>
      <xdr:colOff>465224</xdr:colOff>
      <xdr:row>5</xdr:row>
      <xdr:rowOff>14175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Ano-Fiscal">
              <a:extLst>
                <a:ext uri="{FF2B5EF4-FFF2-40B4-BE49-F238E27FC236}">
                  <a16:creationId xmlns:a16="http://schemas.microsoft.com/office/drawing/2014/main" id="{97541882-57F8-4CBC-8E85-AA65E5E4DF6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no-Fiscal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962524" y="0"/>
              <a:ext cx="1332000" cy="900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 slicer da tabela. As segmentações de dados da tabela não são suportadas nesta versão do Excel.
Se a forma tiver sido modificada em uma versão anterior do Excel, ou se a pasta de trabalho foi salva no Excel 2007 ou anterior, a segmentação de dados não pode ser usada.</a:t>
              </a:r>
            </a:p>
          </xdr:txBody>
        </xdr:sp>
      </mc:Fallback>
    </mc:AlternateContent>
    <xdr:clientData/>
  </xdr:twoCellAnchor>
  <xdr:twoCellAnchor editAs="absolute">
    <xdr:from>
      <xdr:col>5</xdr:col>
      <xdr:colOff>733425</xdr:colOff>
      <xdr:row>0</xdr:row>
      <xdr:rowOff>0</xdr:rowOff>
    </xdr:from>
    <xdr:to>
      <xdr:col>12</xdr:col>
      <xdr:colOff>9525</xdr:colOff>
      <xdr:row>5</xdr:row>
      <xdr:rowOff>14175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Mes-Fiscal 2">
              <a:extLst>
                <a:ext uri="{FF2B5EF4-FFF2-40B4-BE49-F238E27FC236}">
                  <a16:creationId xmlns:a16="http://schemas.microsoft.com/office/drawing/2014/main" id="{2B29A09A-04F4-4F3D-8BC0-DA96B5893BD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es-Fiscal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658100" y="0"/>
              <a:ext cx="7258050" cy="900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 slicer da tabela. As segmentações de dados da tabela não são suportadas nesta versão do Excel.
Se a forma tiver sido modificada em uma versão anterior do Excel, ou se a pasta de trabalho foi salva no Excel 2007 ou anterior, a segmentação de dados não pode ser usada.</a:t>
              </a:r>
            </a:p>
          </xdr:txBody>
        </xdr:sp>
      </mc:Fallback>
    </mc:AlternateContent>
    <xdr:clientData/>
  </xdr:twoCellAnchor>
  <xdr:twoCellAnchor editAs="absolute">
    <xdr:from>
      <xdr:col>4</xdr:col>
      <xdr:colOff>481012</xdr:colOff>
      <xdr:row>0</xdr:row>
      <xdr:rowOff>1</xdr:rowOff>
    </xdr:from>
    <xdr:to>
      <xdr:col>5</xdr:col>
      <xdr:colOff>717637</xdr:colOff>
      <xdr:row>5</xdr:row>
      <xdr:rowOff>14176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4" name="Tri-Fiscal 2">
              <a:extLst>
                <a:ext uri="{FF2B5EF4-FFF2-40B4-BE49-F238E27FC236}">
                  <a16:creationId xmlns:a16="http://schemas.microsoft.com/office/drawing/2014/main" id="{A4EE7D6E-068C-44DA-92D7-738D7B667C1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Tri-Fiscal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310312" y="1"/>
              <a:ext cx="1332000" cy="900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 slicer da tabela. As segmentações de dados da tabela não são suportadas nesta versão do Excel.
Se a forma tiver sido modificada em uma versão anterior do Excel, ou se a pasta de trabalho foi salva no Excel 2007 ou anterior, a segmentação de dados não pode ser usada.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238124</xdr:rowOff>
    </xdr:from>
    <xdr:to>
      <xdr:col>0</xdr:col>
      <xdr:colOff>2476499</xdr:colOff>
      <xdr:row>32</xdr:row>
      <xdr:rowOff>9525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2" name="Email-Representante">
              <a:extLst>
                <a:ext uri="{FF2B5EF4-FFF2-40B4-BE49-F238E27FC236}">
                  <a16:creationId xmlns:a16="http://schemas.microsoft.com/office/drawing/2014/main" id="{0F2EF7CC-59ED-4EFC-AA20-0F2CEDE1CB7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Email-Representant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647699"/>
              <a:ext cx="2476499" cy="581025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1085849</xdr:colOff>
      <xdr:row>0</xdr:row>
      <xdr:rowOff>0</xdr:rowOff>
    </xdr:from>
    <xdr:to>
      <xdr:col>0</xdr:col>
      <xdr:colOff>2170612</xdr:colOff>
      <xdr:row>2</xdr:row>
      <xdr:rowOff>300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0" name="Mes-Fiscal">
              <a:extLst>
                <a:ext uri="{FF2B5EF4-FFF2-40B4-BE49-F238E27FC236}">
                  <a16:creationId xmlns:a16="http://schemas.microsoft.com/office/drawing/2014/main" id="{784322EC-1C7B-4360-8AA4-D958D5A4E74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es-Fiscal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85849" y="0"/>
              <a:ext cx="1084763" cy="648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1082381</xdr:colOff>
      <xdr:row>2</xdr:row>
      <xdr:rowOff>300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1" name="Tri-Fiscal">
              <a:extLst>
                <a:ext uri="{FF2B5EF4-FFF2-40B4-BE49-F238E27FC236}">
                  <a16:creationId xmlns:a16="http://schemas.microsoft.com/office/drawing/2014/main" id="{C8C46660-BF5F-4E8E-A74B-7A323E6B138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Tri-Fiscal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0"/>
              <a:ext cx="1082381" cy="648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1</xdr:rowOff>
    </xdr:from>
    <xdr:ext cx="1440000" cy="792000"/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Ano-Fiscal 2">
              <a:extLst>
                <a:ext uri="{FF2B5EF4-FFF2-40B4-BE49-F238E27FC236}">
                  <a16:creationId xmlns:a16="http://schemas.microsoft.com/office/drawing/2014/main" id="{7D3D94ED-1718-4FF8-B18F-6B15F650DDF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no-Fiscal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1"/>
              <a:ext cx="1440000" cy="792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oneCellAnchor>
  <xdr:oneCellAnchor>
    <xdr:from>
      <xdr:col>0</xdr:col>
      <xdr:colOff>0</xdr:colOff>
      <xdr:row>12</xdr:row>
      <xdr:rowOff>9525</xdr:rowOff>
    </xdr:from>
    <xdr:ext cx="1440000" cy="3600000"/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Mes-Fiscal 4">
              <a:extLst>
                <a:ext uri="{FF2B5EF4-FFF2-40B4-BE49-F238E27FC236}">
                  <a16:creationId xmlns:a16="http://schemas.microsoft.com/office/drawing/2014/main" id="{B8EC11D0-1A5C-4EB0-9225-E503F88BFDE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es-Fiscal 4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2343150"/>
              <a:ext cx="1440000" cy="3600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oneCellAnchor>
  <xdr:oneCellAnchor>
    <xdr:from>
      <xdr:col>0</xdr:col>
      <xdr:colOff>0</xdr:colOff>
      <xdr:row>4</xdr:row>
      <xdr:rowOff>19051</xdr:rowOff>
    </xdr:from>
    <xdr:ext cx="1440000" cy="1476000"/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Tri-Fiscal 4">
              <a:extLst>
                <a:ext uri="{FF2B5EF4-FFF2-40B4-BE49-F238E27FC236}">
                  <a16:creationId xmlns:a16="http://schemas.microsoft.com/office/drawing/2014/main" id="{C02788FB-BC44-4DAA-805F-82154D7422B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Tri-Fiscal 4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828676"/>
              <a:ext cx="1440000" cy="1476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1260000</xdr:colOff>
      <xdr:row>2</xdr:row>
      <xdr:rowOff>252300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Mes-Fiscal 1">
              <a:extLst>
                <a:ext uri="{FF2B5EF4-FFF2-40B4-BE49-F238E27FC236}">
                  <a16:creationId xmlns:a16="http://schemas.microsoft.com/office/drawing/2014/main" id="{676EF5CC-0456-4217-B5FE-4ACBB522EF7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es-Fiscal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0"/>
              <a:ext cx="1260000" cy="900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1238250</xdr:colOff>
      <xdr:row>0</xdr:row>
      <xdr:rowOff>0</xdr:rowOff>
    </xdr:from>
    <xdr:to>
      <xdr:col>1</xdr:col>
      <xdr:colOff>2700</xdr:colOff>
      <xdr:row>2</xdr:row>
      <xdr:rowOff>252300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6" name="Tri-Fiscal 1">
              <a:extLst>
                <a:ext uri="{FF2B5EF4-FFF2-40B4-BE49-F238E27FC236}">
                  <a16:creationId xmlns:a16="http://schemas.microsoft.com/office/drawing/2014/main" id="{FC4E1771-7AC2-4497-BC6B-3B0D6E13332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Tri-Fiscal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38250" y="0"/>
              <a:ext cx="1260000" cy="900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2</xdr:row>
      <xdr:rowOff>247650</xdr:rowOff>
    </xdr:from>
    <xdr:to>
      <xdr:col>1</xdr:col>
      <xdr:colOff>9524</xdr:colOff>
      <xdr:row>10</xdr:row>
      <xdr:rowOff>76200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7" name="#FK-Email-Gerente">
              <a:extLst>
                <a:ext uri="{FF2B5EF4-FFF2-40B4-BE49-F238E27FC236}">
                  <a16:creationId xmlns:a16="http://schemas.microsoft.com/office/drawing/2014/main" id="{FD5F52C9-EF13-4167-8CF6-716E585F2D2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#FK-Email-Gerent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895350"/>
              <a:ext cx="2505074" cy="14382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aldomiro Barbosa" refreshedDate="43756.913828356483" createdVersion="6" refreshedVersion="6" minRefreshableVersion="3" recordCount="1505" xr:uid="{83A54CD7-E967-4F00-926C-5941CF6AB1F1}">
  <cacheSource type="worksheet">
    <worksheetSource name="VIEW_IV_2019_DEMANDA_SETORIZADA_GR"/>
  </cacheSource>
  <cacheFields count="12">
    <cacheField name="Ano-Fiscal" numFmtId="0">
      <sharedItems count="1">
        <s v="2019/2020"/>
      </sharedItems>
    </cacheField>
    <cacheField name="Mes-Fiscal" numFmtId="0">
      <sharedItems count="4">
        <s v="01-Jul"/>
        <s v="02-Ago"/>
        <s v="03-Set"/>
        <s v="04-Out"/>
      </sharedItems>
    </cacheField>
    <cacheField name="Tri-Fiscal" numFmtId="0">
      <sharedItems count="2">
        <s v="01-Tri"/>
        <s v="02-Tri"/>
      </sharedItems>
    </cacheField>
    <cacheField name="CNPJ" numFmtId="1">
      <sharedItems containsSemiMixedTypes="0" containsString="0" containsNumber="1" containsInteger="1" minValue="320465020" maxValue="97397848000138"/>
    </cacheField>
    <cacheField name="Estabelecimento" numFmtId="0">
      <sharedItems count="521">
        <s v="INSTITUTO DE ONCOLOGIA PREVENT SENIOR - SAO PAULO - SP - PRIVADO - 00.461.479/0045-84"/>
        <s v="CENTRAL CLINIC - SAO PAULO - SP - PRIVADO - 02.383.508/0004-94"/>
        <s v="ONCOCENTER SERVICOS MEDICOS LTDA. - SAO PAULO - SP - PRIVADO - 04.036.348/0001-90"/>
        <s v="INSTITUTO DE IMUNOLOGIA E ONCOLOGIA S/S LTDA - SAO PAULO - SP - PRIVADO - 05.831.510/0001-24"/>
        <s v="HOSPITAL ALVORADA MOEMA - SAO PAULO - SP - PRIVADO - 08.100.676/0005-92"/>
        <s v="H. METROPOLITANO - UNIDADE BUTANTA - SAO PAULO - SP - PRIVADO - 08.100.676/0008-35"/>
        <s v="HOSPITAL ALVORADA TAGUATINGA LTDA - SAO PAULO - SP - PRIVADO - 08.100.676/0024-55"/>
        <s v="CIP - CENTRO DE INFUSOES PACAEMBU LTDA - SAO PAULO - SP - PRIVADO - 08.871.521/0001-26"/>
        <s v="CRETA - CENTRO REUMATOLOGICO DE TERAPIA AVANCADA LTDA. - ME - SAO PAULO - SP - PRIVADO - 10.468.341/0001-40"/>
        <s v="CRETA - CENTRO REUMATOLOGICO DE TERAPIA AVANCADA LTDA - SAO PAULO - SP - PRIVADO - 10.468.341/0002-20"/>
        <s v="HEMOMED - SAO PAULO - SP - PRIVADO - 10.475.230/0001-60"/>
        <s v="HOSPITAL LEFORTE LTDA  - SAO PAULO  - SP - PRIVADO - 19.803.199/0001-14"/>
        <s v="HOSPITAL BANDEIRANTES LTDA  - SAO PAULO - SP - PRIVADO - 21.371.777/0001-32"/>
        <s v="HOSPITAL PAULISTANO - SAO PAULO - SP - PRIVADO - 29.435.005/0026-87"/>
        <s v="HOSPITAL E MATERNIDADE VITORIA - SAO PAULO - SP - PRIVADO - 29.435.005/0045-40"/>
        <s v="ESHO EMPRESA DE SERVICOS HOSPITALARES S.A - SAO PAULO - SP - PRIVADO - 29.435.005/0099-32"/>
        <s v="CENTRO INFUSIONAL E REFERENCIA MEDICA - FESP - SAO PAULO - SP - PRIVADO - 43.643.139/0004-09"/>
        <s v="INTERMEDICA SISTEMA DE SAUDE - SAO PAULO - SP - PRIVADO - 44.649.812/0055-20"/>
        <s v="AMICO SAUDE LTDA  - SAO PAULO  - SP - PRIVADO - 51.722.957/0102-26"/>
        <s v="HOSPITAL E MATERNIDADE METROPOLITANO - SAO PAULO - SP - PRIVADO - 51.722.957/0125-12"/>
        <s v="UNIDADE DE ONCOLOGIA CLINICA E PEDIATRICA LTDA. - EPP - SAO PAULO - SP - PRIVADO - 57.394.710/0001-60"/>
        <s v="CLINICA DE ONCOLOGIA MEDICA SOCIEDADE SIMPLES LTDA - SAO PAULO - SP - PRIVADO - 59.481.028/0001-30"/>
        <s v="HOSPITAL SANTA CRUZ - SAO PAULO - SP - PRIVADO - 60.552.098/0001-11"/>
        <s v="HOSPITAL ALEMAO OSWALDO CRUZ - SAO PAULO - SP - PRIVADO - 60.726.502/0001-26"/>
        <s v="HOSPITAL SANTA PAULA LTDA - SAO PAULO - SP - PRIVADO - 60.777.901/0001-16"/>
        <s v="HOSPITAL 9 DE JULHO - SAO PAULO - SP - PRIVADO - 60.884.855/0003-16"/>
        <s v="HOSPITAL SANTA CATARINA - SAO PAULO - SP - PRIVADO - 60.922.168/0007-71"/>
        <s v="HOSPITAL AMPARO MATERNAL - SAO PAULO - SP - PRIVADO - 60.922.168/0043-35"/>
        <s v="SEPACO - SAO PAULO - SP - PRIVADO - 60.961.422/0001-55"/>
        <s v="A.C.CAMARGO CANCER CENTER - SAO PAULO - SP - PRIVADO - 60.961.968/0001-06"/>
        <s v="HOSPITAL E MATERNIDADE SAO CRISTOVAO - SAO PAULO - SP - PRIVADO - 60.975.174/0003-63"/>
        <s v="HOSPITAL INFANTIL SABARA - SAO PAULO - SP - PRIVADO - 61.213.674/0002-40"/>
        <s v="SOC BENEFICIENTE DE SENHORAS HOSPITAL SIRIO LIBANES - SAO PAULO - SP - PRIVADO - 61.590.410/0001-24"/>
        <s v="GREEN LINE SISTEMA DE SAUDE S/A - SAO PAULO - SP - PRIVADO - 61.849.980/0010-87"/>
        <s v="SAHA SERVICOS MEDICOS E HOSPITALARES LTDA. - SAO PAULO - SP - PRIVADO - 07.045.325/0001-30"/>
        <s v="COORDENADORIA DE ASSISTENCIA FARMACEUTICA - PUBLICO - 46.374.500/0262-31"/>
        <s v="AMICO SAUDE LTDA - SAO PAULO - SP - PRIVADO - 51.722.957/0005-06"/>
        <s v="CONJUNTO HOSPITALAR DO MANDAQUI - SAO PAULO - SP - PUBLICO - 46.374.500/0088-45"/>
        <s v="HOSPITAL GERAL DE VILA NOVA CACHOEIRINHA - SAO PAULO - SP - PUBLICO - 46.374.500/0108-23"/>
        <s v="FUNDACAO FACULDADE DE MEDICINA - SAO PAULO - SP - PRIVADO - 56.577.059/0001-00"/>
        <s v="HOSPITAL E MATERNIDADE SANTA JOANA S/A - SAO PAULO - SP - PRIVADO - 60.678.604/0001-13"/>
        <s v="HOSPITAL SANCTA MAGGIORE ITAIM - SAO PAULO - SP - PRIVADO - 00.461.479/0019-92"/>
        <s v="PRONEP SAO PAULO - SAO PAULO - SP - PRIVADO - 02.837.922/0001-83"/>
        <s v="GLOBAL CARE ASSISTENCIA DOMICILIAR LTDA - SAO PAULO - SP - PRIVADO - 03.872.790/0001-93"/>
        <s v="HOSP SAO LUIZ ANALIA FRANCO - SAO PAULO - SP - PRIVADO - 06.047.087/0001-39"/>
        <s v="SAO LUIZ  UNIDADE ITAIM - SAO PAULO - SP - PRIVADO - 06.047.087/0002-10"/>
        <s v="HOSPITAL SAO LUIZ JABAQUARA - SAO PAULO - SP - PRIVADO - 06.047.087/0038-20"/>
        <s v="HOME LIFE ASSISTENCIA DOMICILIAR EM SAUDE - PRIVADO - 08.438.844/0003-92"/>
        <s v="PEDIATRICS HOME CARE - INTERNACAO MEDICA DOMICILIAR LTDA"/>
        <s v="EV CITI - SAO PAULO - SP - PRIVADO - 10.323.381/0001-01"/>
        <s v="NOVO SANTO EXPEDITO - SAO PAULO - SP - PRIVADO - 13.718.999/0001-50"/>
        <s v="ASSOCIACAO HOSPITALAR FILHAS DE NOSSA SENHORA DO MONTE CALVARIO - SAO PAULO - SP - PRIVADO - 18.180.008/0001-42"/>
        <s v="SR CARE ASSISTENCIA DOMICILIAR LTDA - PRIVADO - 20.812.223/0002-41"/>
        <s v="HOSPITAL VILA NOVA STAR - SAO PAULO - SP - PRIVADO - 28.290.788/0001-37"/>
        <s v="FARMACIA ONCO STAR - SAO PAULO - SP - PRIVADO - 28.290.788/0003-07"/>
        <s v="INSTITUTO DO CANCER DO ESTADO DE SAO PAULO - SAO PAULO - SP - PRIVADO - 56.577.059/0006-06"/>
        <s v="HOSPITAL DAS CLINICAS DA FACULDADE DE MEDICINA DA U S P - SAO PAULO - SP - PUBLICO - 60.448.040/0001-22"/>
        <s v="HOSPITAL DO CORACAO - SAO PAULO - SP - PRIVADO - 60.453.024/0003-90"/>
        <s v="HOSPITAL ALEMAO OSWALDO CRUZ - SAO PAULO - SP - PRIVADO - 60.726.502/0007-11"/>
        <s v="HOSPITAL SAO CAMILO - SANTANA - SAO PAULO - SP - PRIVADO - 60.975.737/0012-04"/>
        <s v="REAL E BENEMERITA ASSOCIACAO PORTUGUESA DE BENEFICENCIA - SAO PAULO - SP - PRIVADO - 61.599.908/0001-58"/>
        <s v="HOSPITAL E MATERNIDADE SANTA MARIA - SAO PAULO - SP - PRIVADO - 62.106.505/0001-92"/>
        <s v="IRMANDADE DA SANTA CASA DE MISERICORDIA DE SAO PAULO - SAO PAULO - SP - PRIVADO - 62.779.145/0001-90"/>
        <s v="SARE DROGARIAS - SAO PAULO - SP - PRIVADO - 08.677.327/0001-04"/>
        <s v="HOSPITAL MORIAH - SAO PAULO - SP - PRIVADO - 19.056.055/0001-41"/>
        <s v="HOSPITAL ISRAELITA ALBERTEINSTEIN - SAO PAULO - SP - PRIVADO - 60.765.823/0001-30"/>
        <s v="HOSPITAL A.C.CAMARGO - TAMANDARE - SAO PAULO - SP - PRIVADO - 60.961.968/0004-59"/>
        <s v="HOSPITAL SAO CAMILO - POMPEIA - SAO PAULO - SP - PRIVADO - 60.975.737/0002-32"/>
        <s v="HOSPITAL SAO CAMILO - IPIRANGA - SAO PAULO - SP - PRIVADO - 60.975.737/0051-10"/>
        <s v="INSTITUTO DE ONCOLOGIA PEDIATRICA - IOP - SAO PAULO - SP - PRIVADO - 67.185.694/0001-50"/>
        <s v="BENEFICENCIA NIPO BRASILEIRA DE SAO PAULO - SAO PAULO - SP - PRIVADO - 60.992.427/0006-50"/>
        <s v="HOSPITAL PROFESSOR EDMUNDO VASCONCELOS - SAO PAULO - SP - PRIVADO - 61.062.212/0001-98"/>
        <s v="HOSPITAL AVICCENA S/A - SAO PAULO - SP - PRIVADO - 72.775.745/0001-33"/>
        <s v="HOME HEALTH CARE DOCTOR SERVICOS MEDICOS DOMICILIARES S/S LTDA - SAO PAULO - SP - PRIVADO - 00.603.226/0001-87"/>
        <s v="JEAN STANISLAS MARIE BRUNET-LECOMTE - PESSOA FÍSICA - 239.415.938-38"/>
        <s v="UNIMED DE PIRASSUNUNGA COOPERATIVA DE TRABALHO MEDICO - SP - SAO PAULO - 00.840.048/0004-50"/>
        <s v="HOSPITAL SAO FRANCISCO DE RIBEIRAO PRETO SP - PRIVADO - 01.613.433/0068-92"/>
        <s v="HOME CARE CENE - SAO JOSE DO RIO PRETO - SP - PRIVADO - 02.643.405/0001-73"/>
        <s v="ALBERT SABIN HOSPITAL E MATERNIDADE - ATIBAIA - SP - PRIVADO - 04.275.687/0001-29"/>
        <s v="HSH - SANTO ANDRE - SP - PRIVADO - 06.033.403/0001-13"/>
        <s v="HOSPITAL VIVALLE - SAO JOSE DOS CAMPOS - SP - PRIVADO - 06.047.087/0030-73"/>
        <s v="HOSPITAL SINO BRASILEIRO - OSASCO - SP - PRIVADO - 06.047.087/0076-56"/>
        <s v="ASSOCIACAO BENEFICENTE SAMARITANO - HORTOLANDIA - SP - PRIVADO - 06.209.132/0001-04"/>
        <s v="ALERGO LOGICA DIAGNOSTICO EM ALERGIA LTDA ME - PRIVADO - 10.447.300/0001-77"/>
        <s v="HOSPITAL ACACIAS - SANTO ANDRE - SP - PRIVADO - 13.718.999/0010-41"/>
        <s v="SANTA CASA SAUDE - PRIVADO - 18.321.477/0001-34"/>
        <s v="INSTITUTO DO CANCER DE ANDRADINA - PRIVADO - 25.026.561/0001-90"/>
        <s v="UNIDADE HOSPITAL VITORIA SANTOS - PRIVADO - 29.435.005/0080-22"/>
        <s v="ESHO EMPRESA DE SERVICOS HOSPITALARES S.A. - PRIVADO - 29.435.005/0082-94"/>
        <s v="UNIDADE HOSP GERAL E MATERNIDADE MADRE MARIA THEODORA  - CAMPINAS - SP - PRIVADO - 29.435.005/0084-56"/>
        <s v="SANTA HELENA ASSISTENCIA MEDICA S/A - SAO BERNARDO DO CAMPO - SP - PRIVADO - 43.293.604/0021-20"/>
        <s v="HOSPITAL UNIMED - BAURU - SP - PRIVADO - 44.456.036/0003-11"/>
        <s v="PREFEITURA DE LINS - LINS - SP - PUBLICO - 44.531.788/0001-38"/>
        <s v="INTERMEDICA SISTEMA DE SAUDE S A - CAMPINAS - SP - PRIVADO - 44.649.812/0192-38"/>
        <s v="HOSPITAL E MATERNIDADE UNIMED - RIO CLARO - SP - PRIVADO - 44.663.631/0005-90"/>
        <s v="UNIMED DE PIRACICABA SOC COOP DE SERVICOS MEDICOS - PIRACICABA - SP - PRIVADO - 44.803.922/0002-93"/>
        <s v="UNIMED HOSPITAL SAO DOMINGOS - CATANDUVA - SP - PRIVADO - 45.118.429/0012-79"/>
        <s v="HOSPITAL POLICLIN - SAO JOSE DOS CAMPOS - SP - PRIVADO - 45.184.066/0001-17"/>
        <s v="UNIMED DE RIBEIRAO PRETO COOPERATIVA DE TRABALHO MEDICO - RIBEIRAO PRETO - SP - PRIVADO - 45.232.246/0005-50"/>
        <s v="HOSPITAL UNIMED SAO CARLOS - SAO CARLOS - SP - PRIVADO - 45.359.213/0005-76"/>
        <s v="UNIMED - SOROCABA - SP - PRIVADO - 45.399.961/0002-30"/>
        <s v="JUNDIAI GABINETE PREFEITO - JUNDIAI - SP - PUBLICO - 45.780.103/0001-50"/>
        <s v="HOSPITAL VERA CRUZ S A - CAMPINAS - SP - PRIVADO - 46.009.718/0001-40"/>
        <s v="HOSPITAL E MATERNIDADE CELSO PIERRO - CAMPINAS - SP - PRIVADO - 46.020.301/0002-69"/>
        <s v="UNIMED CAMPINAS COOPERATIVA DE TRABALHO MEDICO - CAMPINAS - SP - PRIVADO - 46.124.624/0001-11"/>
        <s v="UNIMED CAMPINAS COOPERATIVA DE TRABALHO MEDICO - SUMARE - SP - PRIVADO - 46.124.624/0025-99"/>
        <s v="DEPARTAM. REGIONAL DE SAUDE DE RIB. PRETO - DRS XIII - PUBLICO - 46.374.500/0035-33"/>
        <s v="HOSPITAL PADRE ALBINO - CATANDUVA - SP - PRIVADO - 47.074.851/0008-19"/>
        <s v="PREFEITURA MUNICIPAL DE GUARARAPES - GUARARAPES - SP - PUBLICO - 48.468.284/0001-71"/>
        <s v="HOSPITAL SAO JOAQUIM - FRANCA - SP - PRIVADO - 50.486.026/0001-60"/>
        <s v="INSTITUTO DO RADIUM - CAMPINAS - SP - PRIVADO - 51.877.926/0001-09"/>
        <s v="PREFEITURA MUNICIPAL DE CAMPINAS - CAMPINAS - SP - PUBLICO - 51.885.242/0001-40"/>
        <s v="JHOSPITAL UNIMED DE ARARAS - ARARAS - SP - PRIVADO - 54.012.406/0003-85"/>
        <s v="HOSPITAL SAO LUCAS - RIBEIRAO PRETO - SP - PRIVADO - 55.980.148/0001-21"/>
        <s v="CENTRO DE REFERENCIA DA SAUDE DA MULHER - MATER - RIBEIRAO PRETO - SP - PRIVADO - 57.722.118/0003-02"/>
        <s v="UNIMED DE SANTOS COOPERATIVA DE TRABALHO MEDICO - SANTOS - SP - PRIVADO - 58.229.691/0010-70"/>
        <s v="CASA DE SAUDE SANTA HELENA - SAO JOSE DO RIO PRETO - SP - PRIVADO - 59.970.947/0001-78"/>
        <s v="HOSPITAL INFANTE DOM HENRIQUE - SAO JOSE DO RIO PRETO - SP - PRIVADO - 59.972.307/0001-05"/>
        <s v="HOSPITAL DE BASE - SAO JOSE DO RIO PRETO - SP - PRIVADO - 60.003.761/0001-29"/>
        <s v="UNIMED SAO JOSE DOS CAMPOS - COOPERATIVA DE TRABALHO MEDICO - SAO JOSE DOS CAMPOS - SP - PRIVADO - 60.214.517/0009-62"/>
        <s v="HOSPITAL SANTOS DUMONT - SAO JOSE DOS CAMPOS - SP - PRIVADO - 60.214.517/0016-91"/>
        <s v="HOSPITAL BARTIRA - SANTO ANDRE - SP - PRIVADO - 06.047.087/0079-07"/>
        <s v="CORP - SAO JOSE DO RIO PRETO - SP - PRIVADO - 10.576.443/0001-89"/>
        <s v="BIO IMUNE - CENTRO DE APLICACOES E VACINAS  CONSULTORIA E PROCEDIMENTOS MEDICOS LTDA - ME - SANTOS - SP - PRIVADO - 10.868.295/0001-76"/>
        <s v="ASSOCIACAO HOSPITALAR CASA DE SAUDE DE SANTOS - SANTOS - SP - PRIVADO - 18.290.268/0001-70"/>
        <s v="HCFAMEMA - PUBLICO - 24.082.016/0001-59"/>
        <s v="UNIVERSIDADE ESTADUAL DE CAMPINAS - CAMPINAS - SP - PUBLICO - 46.068.425/0001-33"/>
        <s v="DEPARTAMENTO REGIONAL DE SAUDE - DRS II - ARACATUBA - ARACATUBA - SP - PUBLICO - 46.374.500/0038-86"/>
        <s v="DEPARTAMENTO REGIONAL DE SAUDE DE PIRACICABA - DRS X - PIRACICABA - SP - PUBLICO - 46.374.500/0090-60"/>
        <s v="CENTRO MEDICO RIO PRETO LTDA - SAO JOSE DO RIO PRETO - SP - PRIVADO - 48.310.098/0001-00"/>
        <s v="FAEPA - RIBEIRAO PRETO - SP - PRIVADO - 57.722.118/0001-40"/>
        <s v="HOSPITAL DE REABILITACAO DE ANOMALIAS CRANIOFACIAIS - BAURU - SP - PUBLICO - 63.025.530/0082-70"/>
        <s v="UNIMED DE DRACENA COOPERATIVA DE TRABALHO MEDICO - PRIVADO - 68.204.486/0001-13"/>
        <s v="HOSPITAL NETTO CAMPELLO DE SERTAOZINHO - SP - PRIVADO - 01.613.433/0080-89"/>
        <s v="HOSPITAL E MATERNIDADE BRASIL - SANTO ANDRE - SP - PRIVADO - 06.047.087/0007-24"/>
        <s v="HOSPITAL UNIVERSITARIO DE MARILIA - MARILIA - SP - PRIVADO - 09.528.436/0001-22"/>
        <s v="HCFMB - BOTUCATU - SP - PUBLICO - 12.474.705/0001-20"/>
        <s v="ESHO EMPRESA DE SERVICOS HOSPITALARES S.A. - PRIVADO - 29.435.005/0081-03"/>
        <s v="HOSPITAL PAULO SACRAMENTO - JUNDIAI - SP - PRIVADO - 44.649.812/0016-14"/>
        <s v="DEPARTAMENTO REGIONAL DE SAUDE DE ARARAQUARA - DRS III - ARARAQUARA - SP - PUBLICO - 46.374.500/0092-21"/>
        <s v="SAO JOSE DOS CAMPOS GABINETE DO PREFEITO - SAO JOSE DOS CAMPOS - SP - PUBLICO - 46.643.466/0001-06"/>
        <s v="HOSPITAL 10 JULHO - PINDAMONHANGABA  - SP - PRIVADO - 47.565.155/0009-96"/>
        <s v="HOSPITAL DE CARIDADE SAO VICENTE DE PAULO - JUNDIAI - SP - PRIVADO - 50.944.198/0001-30"/>
        <s v="HOSPITAL UNIMED DE ARACATUBA - ARACATUBA - SP - PRIVADO - 51.093.193/0004-56"/>
        <s v="IRMANDADE DE MISERICORDIA DO HOSPITAL DA SANTA CASA DE MONTE ALTO - MONTE ALTO - SP - PRIVADO - 52.852.100/0001-40"/>
        <s v="HOSPITAL BENEFICENTE SANTO ANTONIO - ORLANDIA - SP - PRIVADO - 53.311.999/0001-56"/>
        <s v="PRONTO ATENDIMENTO JACAREI - JACAREI - SP - PRIVADO - 60.214.517/0011-87"/>
        <s v="SAO FRANCISCO SISTEMAS DE SAUDE SOCIEDADE EMPRESARIA LIMITADA - ARARAQUARA - SP - PRIVADO - 01.613.433/0108-14"/>
        <s v="AMICO SAUDE LTDA - MOGI DAS CRUZES - SP - PRIVADO - 51.722.957/0143-02"/>
        <s v="INSTITUTO ONCOLOGICO DE RIBEIRAO PRETO LTDA - RIBEIRAO PRETO - SP - PRIVADO - 57.723.280/0001-83"/>
        <s v="PEDRO FLÁVIO - PESSOA FÍSICA - 123.710.092-53"/>
        <s v="MARIA LEDA FEITOSA FARIAS - MARIA LEDA FEITOSA FARIAS - NOSSA SENHORA DA GLORIA - SE - PESSOA FISICA - 007.003.865-13"/>
        <s v="GUSTAVO PRIETO BORGES MOREIRA - CONSELHEIRO LAFAIETE - MG - PESSOA FISICA - 173.769.686-01"/>
        <s v="SANTA HELENA - BRASILIA - DF - PRIVADO - 00.049.791/0001-44"/>
        <s v="ROBERTO MOURA GRISI - PESSOA FÍSICA - 839.256.944-04"/>
        <s v="LARISSA HELENA AMARAL CASTRO - BELEM - PA - PESSOA FISICA - 917.771.862-34"/>
        <s v="HOSPITAL MINISTRO COSTA CAVALCANTI - FOZ DO IGUACU - PR - PRIVADO - 00.304.148/0001-10"/>
        <s v="GUILHERME MOURA DA SILVA - RIBEIRAO DAS NEVES - MG - PESSOA FISICA - 703.064.536-73"/>
        <s v="HENRIQUE WALCHER NOGUEIRA - PESSOA FÍSICA - 828.542.460-04"/>
        <s v="HEMATOLOGICA - CLINICA DE HEMATOLOGIA LTDA - BELO HORIZONTE - MG - PRIVADO - 00.410.960/0001-20"/>
        <s v="HEMOLABOR - GOIANIA - GO - PRIVADO - 00.418.954/0001-19"/>
        <s v="CON-CENTRO ONCOLOGICO DE NITEROI LTDA - NITEROI - RJ - PRIVADO - 00.437.007/0001-75"/>
        <s v="PRONTONORTE - BRASILIA - DF - PRIVADO - 00.511.816/0001-80"/>
        <s v="DEPARTAMENTO DE LOGISTICA - BRASILIA - DF - PUBLICO - 00.394.544/0008-51"/>
        <s v="CETTRO - CENTRO DE CANCER DE BRASILIA - BRASILIA - DF - PRIVADO - 00.520.237/0001-01"/>
        <s v="HOSPITAL SANTA MARTA LTDA - BRASILIA - DF - PRIVADO - 00.610.980/0001-44"/>
        <s v="HOSPITAL DO CORACAO DE NATAL LTDA - NATAL - RN - PRIVADO - 00.820.737/0001-50"/>
        <s v="CLINICA DE CAMPO GRANDE S/A - CAMPO GRANDE - MS - PRIVADO - 00.860.841/0001-79"/>
        <s v="INSTITUTO DEVITA - CAXIAS DO SUL - RS - PRIVADO - 01.140.803/0001-04"/>
        <s v="HOSPITAL E MATERNIDADE SAO NICOLAU - CATALAO - GO - PRIVADO - 01.326.206/0001-79"/>
        <s v="INCOR NATAL - NATAL - RN - PRIVADO - 01.507.901/0001-37"/>
        <s v="HOSPITAL DO CORACAO DE BALNEARIO CAMBORIU LTDA - BALNEARIO CAMBORIU - SC - PRIVADO - 01.517.626/0001-32"/>
        <s v="COMPLEXO HOSPITALAR JARDIM CUIABA - CUIABA - MT - PRIVADO - 01.757.351/0001-04"/>
        <s v="HOSPITAL SAO MARCOS - RECIFE - PE - PRIVADO - 02.284.062/0004-40"/>
        <s v="UDI HOSPITAL - JARACATY - MA - PRIVADO - 02.284.062/0011-70"/>
        <s v="SERVICO DE ATENDIMENTO UNIMED - GOIANIA - GO - PRIVADO - 02.476.067/0002-03"/>
        <s v="HOSPITAL ANCHIETA LTDA - BRASILIA - DF - PRIVADO - 02.560.878/0001-07"/>
        <s v="CENTRO DE ESPECIALIDADES MEDICAS UNIMED FACIL - CUIABA - MT - PRIVADO - 03.533.726/0015-83"/>
        <s v="NATAL HOSPITAL CENTER S.A. - NATAL - RN - PRIVADO - 02.109.397/0001-80"/>
        <s v="HOSPITAL AMECOR - CUIABA - MT - PRIVADO - 03.925.419/0001-42"/>
        <s v="HOSPITAL ESPERANCA - RECIFE - PE - PRIVADO - 02.284.062/0001-06"/>
        <s v="UNIMED DE BELEM COOPERATIVA DE TRABALHO MEDICO - BELEM - PA - PRIVADO - 04.201.372/0010-28"/>
        <s v="HOSPITAL AEROPORTO - LAURO DE FREITAS - BA - PRIVADO - 04.602.792/0001-25"/>
        <s v="HBA - SALVADOR - BA - PRIVADO - 05.469.172/0001-22"/>
        <s v="FES/BA - SALVADOR - BA - PUBLICO - 05.816.630/0001-52"/>
        <s v="UNICLINIC - FORTALEZA - CE - PRIVADO - 05.867.015/0001-75"/>
        <s v="HOSPITAL REGIONAL UNIMED - FORTALEZA - CE - PRIVADO - 05.868.278/0002-80"/>
        <s v="H A P - FORTALEZA - CE - PRIVADO - 05.874.946/0001-09"/>
        <s v="HOSPITAL DA CIDADE - SALVADOR - BA - PRIVADO - 03.376.102/0001-02"/>
        <s v="HOSPITAL CAXIAS DOR - DUQUE DE CAXIAS - RJ - PRIVADO - 06.047.087/0013-72"/>
        <s v="HOSPITAL SANTA LUZIA - BRASILIA - DF - PRIVADO - 06.047.087/0041-26"/>
        <s v="HOSPITAL DO CORACAO DO BRASIL - BRASILIA - DF - PRIVADO - 06.047.087/0042-07"/>
        <s v="INSTITUTO DE ONCOLOGIA DE MACAPA EIRELI"/>
        <s v="FUNDO MUNICIPAL DE SAUDE DE RIO VERDE - GO - RIO VERDE - GO - PUBLICO - 06.190.522/0001-80"/>
        <s v="HOSPITAL UNIMED PRIMAVERA - PRIVADO - 06.555.031/0002-76"/>
        <s v="HOSPITAL UNIVERSITARIO WALTER CANTIDIO - FORTALEZA - CE - PUBLICO - 07.272.636/0002-12"/>
        <s v="CEMED CARE - EMPRESA DE ATENDIMENTO CLINICO GERAL LTDA - NOVA IGUACU - RJ - PRIVADO - 07.794.623/0015-28"/>
        <s v="INSTITUTO DR JOSE FROTA - FORTALEZA - CE - PUBLICO - 07.835.044/0001-80"/>
        <s v="CASA DE SAUDE SAO LUCAS S/A - NATAL - RN - PRIVADO - 08.319.329/0001-21"/>
        <s v="HOSP INF VAR SANT - NATAL - RN - PRIVADO - 08.337.586/0001-96"/>
        <s v="UNIMED JOAO PESSOA COOPERATIVA DO TRABALHO MEDICO - JOAO PESSOA - PB - PRIVADO - 08.680.639/0006-81"/>
        <s v="VIP HOME CARE ATENDIMENTO DOMICILIAR LTDA"/>
        <s v="SANTA JOANA - RECIFE - PE - PRIVADO - 10.839.561/0001-32"/>
        <s v="HOSPITAL PORTUGUES - RECIFE - PE - PRIVADO - 10.892.164/0001-24"/>
        <s v="IMIP - RECIFE - PE - PRIVADO - 10.988.301/0001-29"/>
        <s v="HOSPITAL SAO DOMINGOS LTDA. - SAO LUIS - MA - PRIVADO - 11.006.293/0001-30"/>
        <s v="HOSPITAL JAYME DA FONTE - RECIFE - PE - PRIVADO - 11.452.240/0001-43"/>
        <s v="INSTITUTO DE CANCER DE BRASILIA LTDA - BRASILIA - DF - PRIVADO - 11.859.927/0001-06"/>
        <s v="HOSPITAL TEREZA DE LISIEUX - SALVADOR - BA - PRIVADO - 12.361.267/0103-18"/>
        <s v="DEPOSITO - ARMAZEM FORTALEZA/CE - FORTALEZA - CE - PRIVADO - 12.361.267/0118-02"/>
        <s v="HOSPITAL ALIANCA - SALVADOR - BA - PRIVADO - 13.016.092/0001-40"/>
        <s v="HOSPITAL DE CIRURGIA - ARACAJU - SE - PRIVADO - 13.016.332/0001-06"/>
        <s v="HOSPITAL SAO LUCAS - ARACAJU - SE - PRIVADO - 13.131.370/0001-00"/>
        <s v="REDE PRIMAVERA - HOSPITAL PRIMAVERA - ARACAJU - SE - PRIVADO - 13.356.779/0001-24"/>
        <s v="CARDIO PULMONAR DA BAHIA S.A - SALVADOR - BA - PRIVADO - 13.952.064/0001-34"/>
        <s v="EMEC - FEIRA DE SANTANA - BA - PRIVADO - 14.074.546/0001-00"/>
        <s v="PLAMHUV - VICOSA - MG - PRIVADO - 14.408.631/0001-59"/>
        <s v="CLINICA SOUZA BRITO - CUIABA - MT - PRIVADO - 15.016.827/0001-60"/>
        <s v="EBSERH - HOSPITAL UNIVERSITARIO DO PIAUI - TERESINA - PI - PRIVADO - 15.126.437/0002-24"/>
        <s v="EBSERH HOSPITAL UNIVERSITARIO DE SAO LUIS - SAO LUIS - MA - PRIVADO - 15.126.437/0004-96"/>
        <s v="EMPRESA BRASILEIRA DE SERVICOS HOSPITALARES - EBSERH - NATAL - RN - PRIVADO - 15.126.437/0007-39"/>
        <s v="EBSERH - HOSPITAL UNIVERSITARIO DE SANTA MARIA - SANTA MARIA - RS - PRIVADO - 15.126.437/0019-72"/>
        <s v="HOSPITAL SANTA IZABEL - SALVADOR - BA - PRIVADO - 15.153.745/0002-49"/>
        <s v="HOSPITAL MUNICIPAL DE SALVADOR  - SALVADOR - BA - PRIVADO - 15.153.745/0027-05"/>
        <s v="HOSPITAL PORTUGUES - SALVADOR - BA - PRIVADO - 15.166.416/0001-51"/>
        <s v="LIGA ALVARO BAHIA CONTRA A MORTALIDADE INFANTIL - SALVADOR - BA - PRIVADO - 15.170.723/0001-06"/>
        <s v="LABCMI GESTAO HOSPITALAR - HEC - FEIRA DE SANTANA - BA - PRIVADO - 15.170.723/0005-30"/>
        <s v="MCO - SALVADOR - BA - PUBLICO - 15.180.714/0003-68"/>
        <s v="UNIVERSIDADE FEDERAL DA BAHIA - SALVADOR - BA - PUBLICO - 15.180.714/0005-20"/>
        <s v="FUNDACAO JOSE SILVEIRA - SALVADOR - BA - PRIVADO - 15.194.004/0001-25"/>
        <s v="NOVACLIN - SALVADOR - BA - PRIVADO - 15.242.761/0001-27"/>
        <s v="HOSPITAL MATER DEI SA - BELO HORIZONTE - MG - PRIVADO - 16.676.520/0001-59"/>
        <s v="PRIME HOME CARE - BRASILIA - DF - PRIVADO - 16.739.984/0001-67"/>
        <s v="HOSPITAL UNIMED - SAO JOSE - SC - PRIVADO - 17.034.086/0001-76"/>
        <s v="UBERLANDIA MEDICAL CENTER - UBERLANDIA - MG - PRIVADO - 17.087.591/0001-89"/>
        <s v="FUNDACAO FELICE ROSSO - BELO HORIZONTE - MG - PRIVADO - 17.214.149/0001-76"/>
        <s v="UNIMED JUIZ DE FORA COOP DE TRABALHO MEDICO LTDA - JUIZ DE FORA - MG - PRIVADO - 17.689.407/0009-28"/>
        <s v="HOSPITAL SANTA GENOVEVA LTDA - UBERLANDIA - MG - PRIVADO - 18.484.378/0001-73"/>
        <s v="HOSPITAL MARCIO CUNHA - IPATINGA - MG - PRIVADO - 19.878.404/0001-00"/>
        <s v="HOSPITAL E MATERNIDADE MADRECOR - UBERLANDIA - MG - PRIVADO - 20.150.900/0001-22"/>
        <s v="AISI FMIT HE - ITAJUBA - MG - PRIVADO - 21.040.696/0003-11"/>
        <s v="CASA DE SAUDE E MATERNIDADE NOSSA SENHORA DE FATIMA S A - PATOS DE MINAS - MG - PRIVADO - 23.338.387/0001-96"/>
        <s v="HOSPITAL REGIONAL DO BAIXO AM DO PARA DR WALDEMAR PENNA - SANTAREM - PA - PRIVADO - 24.232.886/0083-03"/>
        <s v="HUPAA - MACEIO - AL - PUBLICO - 24.464.109/0002-29"/>
        <s v="HOSPITAL BDW - PORTO ALEGRE - RS - PRIVADO - 26.947.257/0001-49"/>
        <s v="HOSPITAL SAO RAFAEL S.A - SALVADOR - BA - PRIVADO - 27.372.066/0001-69"/>
        <s v="IHBDF - BRASILIA - DF - PRIVADO - 28.481.233/0001-72"/>
        <s v="HOSPITAL UNIMED - PETROPOLIS - RJ - PRIVADO - 28.806.545/0005-32"/>
        <s v="SAMER HOSPITAL - RESENDE - RJ - PRIVADO - 29.072.642/0001-88"/>
        <s v="HOSPITAL ALVORADA DE BRASILIA - BRASILIA - DF - PRIVADO - 29.435.005/0046-20"/>
        <s v="HOSPITAL MONTE KLINIKUM - PRIVADO - 29.435.005/0074-84"/>
        <s v="ESHO EMPRESA DE SERVICOS HOSPITALARES S.A. - NATAL - RN - PRIVADO - 29.435.005/0098-51"/>
        <s v="UNIMED COSTA DO SOL - HOSPITAL - MACAE - RJ - PRIVADO - 35.830.868/0004-46"/>
        <s v="HOME - BRASILIA - DF - PRIVADO - 37.108.388/0001-59"/>
        <s v="HOSPITAL MARIA AUXILIADORA - BRASILIA - DF - PRIVADO - 38.000.485/0001-96"/>
        <s v="HOSPITAL HCN - NITEROI - RJ - PRIVADO - 60.884.855/0012-07"/>
        <s v="HOSPITAL BRASILIA - BRASILIA - DF - PRIVADO - 60.884.855/0022-89"/>
        <s v="HOSPITAL SANTA ISABEL - BLUMENAU - SC - PRIVADO - 60.922.168/0052-26"/>
        <s v="HOSPITAL CURA DARS - FORTALEZA - CE - PRIVADO - 60.975.737/0035-09"/>
        <s v="HSL UNIDADE BRASILIA - BRASILIA - DF - PRIVADO - 61.590.410/0005-58"/>
        <s v="FUNDES - FORTALEZA - CE - PUBLICO - 74.031.865/0001-51"/>
        <s v="HOSPITAL SANTA CRUZ SOCIEDADE ANONIMA - CURITIBA - PR - PRIVADO - 76.555.069/0001-43"/>
        <s v="HOSPITAL INFANTIL PEQUENO PRINCIPE - CURITIBA - PR - PRIVADO - 76.591.569/0001-30"/>
        <s v="FES - FLORIANOPOLIS - SC - PUBLICO - 80.673.411/0001-87"/>
        <s v="HU - UFSC - FLORIANOPOLIS - SC - PUBLICO - 83.899.526/0004-25"/>
        <s v="HOSPITAL UNIMED LITORAL - BALNEARIO CAMBORIU - SC - PRIVADO - 85.377.174/0003-92"/>
        <s v="HOSPITAL DE CLINICAS - PORTO ALEGRE - RS - PRIVADO - 87.020.517/0001-20"/>
        <s v="ASSOCIACAO DR BARTHOLOMEU TACCHINI - BENTO GONCALVES - RS - PRIVADO - 87.547.444/0001-20"/>
        <s v="HOSPITAL UNIMED CAXIAS DO SUL - CAXIAS DO SUL - RS - PRIVADO - 87.827.689/0024-05"/>
        <s v="RS SSA GABINETE DO SECRETARIO - PORTO ALEGRE - RS - PUBLICO - 87.958.625/0001-49"/>
        <s v="HOSPITAL MAE DE DEUS - PORTO ALEGRE - RS - PRIVADO - 88.625.686/0024-43"/>
        <s v="HOSPITAL SAO LUCAS DA PUCRS - PORTO ALEGRE - RS - PRIVADO - 88.630.413/0007-96"/>
        <s v="HOSPITAL SAO VICENTE DE PAULO - PASSO FUNDO - RS - PRIVADO - 92.021.062/0003-60"/>
        <s v="ASSOCIACAO HOSPITALAR MOINHOS DE VENTO - PORTO ALEGRE - RS - PRIVADO - 92.685.833/0001-51"/>
        <s v="HOSPITAL ERNESTO DORNELLES - PORTO ALEGRE - RS - PRIVADO - 92.741.016/0002-54"/>
        <s v="HOSPITAL CRISTO REDENTOR - PORTO ALEGRE - RS - PRIVADO - 92.787.118/0003-91"/>
        <s v="IRMANDADE DA SANTA CASA DE MISERICORDIA DE PORTO ALEGRE - PORTO ALEGRE - RS - PRIVADO - 92.815.000/0001-68"/>
        <s v="FUNDACAO UNIVERSITARIA DE CARDIOLOGIA - PORTO ALEGRE - RS - PRIVADO - 92.898.550/0001-98"/>
        <s v="INSTITUTO DE CARDIOLOGIA DO DISTRITO FEDERAL - BRASILIA - DF - PRIVADO - 92.898.550/0006-00"/>
        <s v="HOSPITAL DE CARIDADE DR ASTROGILDO DE AZEVEDO - SANTA MARIA - RS - PRIVADO - 95.610.887/0001-46"/>
        <s v="NEON - NUCLEO ESPECIALIZADO EM ONCOLOGIA - SERRA - ES - PRIVADO - 04.786.490/0001-54"/>
        <s v="PA SSA GABINETE DO SECRETARIO - BELEM - PA - PUBLICO - 05.054.929/0001-17"/>
        <s v="HOSPITAL INCAR - SANTO ANTONIO DE JESUS - BA - PRIVADO - 05.652.543/0001-07"/>
        <s v="DEPOSITO-ARMAZEM DE FORTALEZA - FORTALEZA - CE - PRIVADO - 05.874.946/0002-81"/>
        <s v="HOSPITAL MEMORIAL SAO JOSE - Recife - PE - PRIVADO - 06.047.087/0092-76"/>
        <s v="CASA DE SAUDE E MATERNIDADE SAO RAIMUNDO SA - FORTALEZA - CE - PRIVADO - 07.245.269/0001-87"/>
        <s v="CIONC - CENTRO INTEGRADO DE ONCOLOGIA DE CURITIBA S/S - CURITIBA - PR - PRIVADO - 07.734.165/0001-36"/>
        <s v="UNIMED NATAL SOCIEDADE COOPERATIVA DE TRABALHO MEDICO - NATAL - RN - PRIVADO - 08.380.701/0017-72"/>
        <s v="H S COR - DUQUE DE CAXIAS - RJ - PRIVADO - 08.562.523/0001-33"/>
        <s v="FUNDO ESTADUAL DE SAUDE DO PARANA - FUNSAUDE - CURITIBA - PR - PUBLICO - 08.597.121/0001-74"/>
        <s v="IMIP HOSPITALAR - HMA - PAULISTA - PE - PRIVADO - 09.039.744/0002-75"/>
        <s v="GAMP - PRIVADO - 09.549.061/0002-68"/>
        <s v="ICIPE - BRASILIA - DF - PRIVADO - 10.942.995/0001-63"/>
        <s v="PRONTO S.CARDIOLOGICO DE PE.PROF.LUIZ TAVARES-PROCAPE - RECIFE - PE - PUBLICO - 11.022.597/0015-97"/>
        <s v="HOSPITAL SAO CARLOS LTDA - FORTALEZA - CE - PRIVADO - 11.794.674/0001-21"/>
        <s v="PRODAL SAUDE S/A - SALVADOR - BA - PRIVADO - 11.943.553/0001-02"/>
        <s v="HOSPITAL UNIMED - MACEIO - AL - PRIVADO - 12.442.737/0004-96"/>
        <s v="CDDS SERVICOS MEDICOS LTDA - NATAL - RN - PRIVADO - 13.262.578/0001-68"/>
        <s v="EBSERH - COMPLEXO HOSPITALAR DO CEARA (HUWC E MEAC) - FORTALEZA - CE - PRIVADO - 15.126.437/0014-68"/>
        <s v="SEMEC - SALVADOR - BA - PRIVADO - 15.140.254/0001-82"/>
        <s v="S O S VIDA SOLUCOES EM SAUDE - ARACAJU - SE - PRIVADO - 16.064.313/0005-77"/>
        <s v="FBC - SALVADOR - BA - PRIVADO - 16.475.154/0002-50"/>
        <s v="UNIMED ARAGUARI - ARAGUARI - MG - PRIVADO - 20.909.271/0001-71"/>
        <s v="FUNDACAO OURO BRANCO - OURO BRANCO - MG - PRIVADO - 21.299.615/0001-30"/>
        <s v="SANTA CASA DE MISERICORDIA NOSSA SENHORA DO PATROCINIO - PATROCINIO - MG - PRIVADO - 23.406.564/0001-24"/>
        <s v="HOSPITAL E MATERNIDADE SANTA CLARA LTDA - UBERLANDIA - MG - PRIVADO - 25.761.040/0001-87"/>
        <s v="CIAS UNIMED VITORIA - CENTRO INTEGRADO ATENCAO A SAUDE - VITORIA - ES - PRIVADO - 27.578.434/0015-25"/>
        <s v="HOSPITAL SAO JOSE DO AVAI - ITAPERUNA - RJ - PRIVADO - 29.640.612/0001-20"/>
        <s v="LEONARDO VIERO SILVEIRA - JAGUARI - RS - PRIVADO - 29.908.956/0001-78"/>
        <s v="CASA DE SAUDE E MATERNIDADE SANTA MARTHA SA - NITEROI - RJ - PRIVADO - 30.079.461/0001-62"/>
        <s v="HOSPITAL UNIMED - VOLTA REDONDA - RJ - PRIVADO - 35.917.970/0007-26"/>
        <s v="HOSPITAL UNIMED RESENDE - RESENDE - RJ - PRIVADO - 68.709.211/0002-12"/>
        <s v="UNIMED GRANDE FLORIANOPOLIS - COOPERATIVA DE TRABALHO MEDICO - SAO JOSE - SC - PRIVADO - 77.858.611/0014-14"/>
        <s v="HOSPITAL DIVINA PROVIDENCIA - PORTO ALEGRE - RS - PRIVADO - 87.317.764/0010-84"/>
        <s v="HOSPITAL DO CIRCULO - CAXIAS DO SUL - RS - PRIVADO - 88.645.403/0013-72"/>
        <s v="HOSPITAL DIVINA PROVIDENCIA - FREDERICO WESTPHALEN - RS - PRIVADO - 92.404.789/0001-64"/>
        <s v="PMPA - PORTO ALEGRE - RS - PUBLICO - 92.963.560/0001-60"/>
        <s v="EDUARDO SEIBERT TEIXEIRA - SALVADOR - BA - PESSOA FISICA - 093.243.225-59"/>
        <s v="SANTA LUCIA - BRASILIA - DF - PRIVADO - 00.025.841/0001-53"/>
        <s v="ANA ANGELICA TORRES - MACEIO - AL - PESSOA FISICA - 444.822.994-72"/>
        <s v="MARCELO CESAR AVILA - FLORIANOPOLIS - SC - PESSOA FISICA - 480.639.839-04"/>
        <s v="NUBIA SOARES SALES DE MORAES - BRASILIA - DF - PESSOA FISICA - 854.655.261-49"/>
        <s v="TAIANA ANGELICA LUZ _x000d__x000a_- PESSOA FÍSICA - 933.266.452-87"/>
        <s v="HOSPITAL DAHER LAGO SUL S/A - BRASILIA - DF - PRIVADO - 00.382.069/0001-27"/>
        <s v="HEMOLABOR UNIDADE ONCO-HEMATOLOGICA - GOIANIA - GO - PRIVADO - 00.418.954/0007-04"/>
        <s v="INGOH - INSTITUTO GOIANO DE ONCOLOGIA E HEMATOLOGIA - GOIANIA - GO - PRIVADO - 01.277.573/0001-20"/>
        <s v="CEHON - CENTRO DE HEMATOLOGIA E ONCOLOGIA DA BAHIA LTDA - SALVADOR - BA - PRIVADO - 01.837.492/0001-37"/>
        <s v="HOSPITAL DO CORACAO - ARACAJU - SE - PRIVADO - 03.222.051/0001-56"/>
        <s v="FUNDO MUNICIPAL DE SAUDE DO JABOATAO DOS GUARARAPES - PUBLICO - 03.904.395/0001-45"/>
        <s v="HOSPITAL ESPERANCA OLINDA - PE - PRIVADO - 06.047.087/0012-91"/>
        <s v="DROGARIA DA PRACA - MANGARATIBA - RJ - PRIVADO - 10.558.548/0001-05"/>
        <s v="ONCOVIT DISTRIBUIDORA DE MEDICAMENTOS LTDA - VITORIA - ES - PRIVADO - 10.586.940/0001-68"/>
        <s v="HOSPITAL UNIMED RECIFE III - RECIFE - PE - PRIVADO - 11.214.624/0019-57"/>
        <s v="HOSPITAL LAYR MAIA - BELEM - PA - PRIVADO - 12.361.267/0002-74"/>
        <s v="CENTRO MEDICO GABRIEL SOARES - ARACAJU - SE - PRIVADO - 12.361.267/0005-17"/>
        <s v="HOSPITAL GUARAS - SAO LUIS - MA - PRIVADO - 12.361.267/0007-89"/>
        <s v="HOSPITAL MACEIO - MACEIO - AL - PRIVADO - 12.361.267/0008-60"/>
        <s v="HOSPITAL RIO POTY - TERESINA - PI - PRIVADO - 12.361.267/0040-08"/>
        <s v="HOSPITAL ESPINHEIRO - 2611606 - PE - PRIVADO - 12.361.267/0072-87"/>
        <s v="HOSPITAL ANA LIMA - MARACANAU - CE - PRIVADO - 12.361.267/0084-10"/>
        <s v="HOSPITAL GERAL DA PARAIBA - JOAO PESSOA - PB - PRIVADO - 12.361.267/0088-44"/>
        <s v="HOSPITAL ANTONIO PRUDENTE DE NATAL - NATAL - RN - PRIVADO - 12.361.267/0096-54"/>
        <s v="HOSPITAL FRANCISCA DE SANDE - FEIRA DE SANTANA - BA - PRIVADO - 12.361.267/0104-07"/>
        <s v="HOSPITAL SAO LUCAS - MANAUS - AM - PRIVADO - 12.361.267/0116-32"/>
        <s v="RAUL SOARES GABINETE DO PREFEITO - RAUL SOARES - MG - PUBLICO - 18.836.965/0001-84"/>
        <s v="LIFE HOME CARE - NILOPOLIS - RJ - PRIVADO - 25.308.058/0001-28"/>
        <s v="MEDCLINICA DO CENTRO DE TERESOPOLIS - TERESOPOLIS - RJ - PRIVADO - 36.238.913/0001-98"/>
        <s v="HOSPITAL SAO MATEUS LTDA. - FORTALEZA - CE - PRIVADO - 41.580.077/0001-65"/>
        <s v="MATERNIDADE BRASILIA - BRASILIA - DF - PRIVADO - 60.884.855/0019-83"/>
        <s v="UOPECCAN - CASCAVEL - PR - PRIVADO - 81.270.548/0001-53"/>
        <s v="HOSPITAL JAAR ANDRADE LTDA - SALVADOR - BA - PRIVADO - 97.397.848/0001-38"/>
        <s v="SAMEL - MANAUS - AM - PRIVADO - 04.159.778/0001-07"/>
        <s v="HOSPITAL UNIMED RECIFE - RECIFE - PE - PRIVADO - 11.214.624/0004-70"/>
        <s v="DEPOSITO-ARMAZEM SALVADOR/BA - SALVADOR - BA - PRIVADO - 12.361.267/0147-39"/>
        <s v="HOSPITAL MARIO LIONI - DUQUE DE CAXIAS - RJ - PRIVADO - 29.435.005/0034-97"/>
        <s v="HOSPITAL SANTA ROSA - CUIABA - MT - PRIVADO - 70.524.145/0001-77"/>
        <s v="HOSPITAL DE CLINICAS - CURITIBA - PR - PUBLICO - 75.095.679/0002-20"/>
        <s v="MATERNIDADE FEMINA - GOIANIA - GO - PRIVADO - 00.053.629/0001-08"/>
        <s v="INSTITUTO DE NEUROLOGIA - GOIANIA - GO - PRIVADO - 01.011.865/0001-16"/>
        <s v="HOSPITAL DAS CLINICAS PRIMAVERA - PRIMAVERA DO LESTE - MT - PRIVADO - 01.383.835/0001-30"/>
        <s v="HOSPITAL DO CORACAO DE ALAGOAS - MACEIO - AL - PRIVADO - 01.454.407/0001-51"/>
        <s v="ONCO VIDA - BRASILIA - DF - PRIVADO - 01.682.668/0001-29"/>
        <s v="UNIMED GOIANIA - GOIANIA - GO - PRIVADO - 02.476.067/0001-22"/>
        <s v="CENTRO CLINICO UNIMED - PRIVADO - 02.476.067/0003-94"/>
        <s v="CLINICA DE DOENCAS RENAIS DE BRASILIA LTDA - PRIVADO - 01.602.408/0001-04"/>
        <s v="UNIMED CUIABA DISTRIBUIDORA DE MEDICAMENTOS - CUIABA - MT - PRIVADO - 03.533.726/0007-73"/>
        <s v="HOSPITAL MONTE SINAI LTDA - GARANHUNS - PE - PRIVADO - 03.858.924/0001-11"/>
        <s v="GRUPO ACREDITAR - BRASILIA - DF - PRIVADO - 03.989.821/0001-90"/>
        <s v="BENEFICENCIA NIPO BRASILEIRA DA AMAZONIA - BELEM - PA - PRIVADO - 04.966.545/0003-70"/>
        <s v="ONCO HEMATOS S/S LTDA - ME - ARACAJU - SE - PRIVADO - 03.091.003/0001-76"/>
        <s v="FARMA REGIA - SANTA HELENA - MA - PRIVADO - 03.210.872/0001-72"/>
        <s v="MEDRADIUS - MACEIO - AL - PRIVADO - 03.866.223/0001-24"/>
        <s v="GASTROCLINICA - FORTALEZA - CE - PRIVADO - 07.272.404/0001-83"/>
        <s v="CEMED CARE EMPRESA DE ATENDIMENTO CLINICO GERAL LTDA - BRASILIA - DF - PRIVADO - 07.794.623/0051-91"/>
        <s v="HOSPITAL UNIMED - NATAL - RN - PRIVADO - 08.380.701/0006-10"/>
        <s v="ALIANCA INSTITUTO DE ONCOLOGIA S.A."/>
        <s v="HOSPITAL DA RESTAURACAO - RECIFE - PE - PUBLICO - 10.572.048/0002-09"/>
        <s v="HOSPITAL RODOLFO FERNANDES - MOSSORO - RN - PRIVADO - 12.361.267/0091-40"/>
        <s v="INTEGRARE TERAPEUTICA - FORTALEZA - CE - PRIVADO - 12.568.570/0001-61"/>
        <s v="IBR INSTITUTO BRANDAO DE REABILITACAO LTDA - EPP - VITORIA DA CONQUISTA - BA - PRIVADO - 13.284.872/0001-70"/>
        <s v="HOSPITAL UNIMED - ARACAJU - SE - PRIVADO - 15.592.785/0001-06"/>
        <s v="PRONTO ATENDIMENTO UNIMED RONDONOPOLIS - RONDONOPOLIS - MT - PRIVADO - 24.676.884/0007-52"/>
        <s v="SOCIEDADE BENEFICENTE DE SENHORAS - HOSPITAL SIRIO LIBANES"/>
        <s v="HOSPITAL MED IMAGEM LTDA"/>
        <s v="HOSPITAL ADVENTISTA DE BELEM - BELEM - PA - PRIVADO - 83.367.342/0002-52"/>
        <s v="CLINICA SAO MARCOS - SAO LUIS - MA - PRIVADO - 07.750.144/0001-04"/>
        <s v="HOSPITAL UNIVERSITARIO DA UFGD - DOURADOS - MS - PUBLICO - 07.775.847/0002-78"/>
        <s v="FUNDO MUNICIPAL DE SAUDE DE TERESINA - TERESINA - PI - PUBLICO - 11.273.170/0001-66"/>
        <s v="CLINICA SANTA HELENA - ARACAJU - SE - PRIVADO - 13.086.053/0001-19"/>
        <s v="UNIMED SUL DO PARA - MARABA - PA - PRIVADO - 14.112.023/0001-00"/>
        <s v="EBSERH HOSPITAL UNIVERSITARIO DE BRASILIA - BRASILIA - DF - PRIVADO - 15.126.437/0003-05"/>
        <s v="HOSPITAL MULTI ESPECIALIDADES LTDA EPP - PRIVADO - 21.155.621/0001-14"/>
        <s v="CLINICA DE NEUROLOGIA E NEUROINFUSAO DE BRASILIA - BRASILIA - DF - PRIVADO - 30.135.335/0001-88"/>
        <s v="PETROBRAS - SENADOR CANEDO - GO - PRIVADO - 33.000.167/0021-55"/>
        <s v="INSTITUTO ORTOPEDICO DE GOIANIA LTDA - GOIANIA - GO - PRIVADO - 01.570.589/0001-26"/>
        <s v="HOSPITAL SANTA HELENA - GOIANIA - GO - PRIVADO - 01.656.123/0001-48"/>
        <s v="HOSPITAL MEMORIAL ARTHUR RAMOS - MACEIO - AL - PRIVADO - 01.722.424/0001-22"/>
        <s v="HOSPITAL UNIVERSITARIO ALCIDES CARNEIRO/UFCG - CAMPINA GRANDE - PB - PUBLICO - 05.055.128/0002-57"/>
        <s v="HOSPITAL AMPARO - GOIANIA - GO - PRIVADO - 05.919.720/0001-79"/>
        <s v="HONCORD - GOIANIA - GO - PRIVADO - 06.337.035/0001-05"/>
        <s v="HOSPITAL SAO LUIS - HSLZ LTDA. - SAO JOSE DE RIBAMAR - MA - PRIVADO - 09.192.098/0001-09"/>
        <s v="EMPRESA BRASILEIRA DE SERVICOS HOSPITALARES - EBSERH"/>
        <s v="HOSPITAL DAS FORCAS ARMADAS - BRASILIA - DF - PUBLICO - 03.568.867/0001-36"/>
        <s v="ONCOMED CENTRO PREV E TRAT DE DOENCAS NEOPLASICAS LTDA"/>
        <s v="ONCOLOGIA CLINICA NITEROI S/S - NITEROI - RJ - PRIVADO - 00.521.197/0001-04"/>
        <s v="HOSPITAL ECOVILLE - CURITIBA - PR - PRIVADO - 00.942.063/0001-67"/>
        <s v="CEOF - FLORIANOPOLIS - SC - PRIVADO - 01.125.832/0001-05"/>
        <s v="CLINICA PERINATAL VITORIA LTDA - SERRA - ES - PRIVADO - 01.396.804/0001-14"/>
        <s v="SERVICOS DE QUIMIOTERAPIA UNIMED BRUSQUE - BRUSQUE - SC - PRIVADO - 01.554.266/0003-00"/>
        <s v="NUCLEO DE HEMATOLOGIA E ONCOLOGIA - BELO HORIZONTE - MG - PRIVADO - 02.623.693/0001-02"/>
        <s v="NOSSA SAUDE OPERADORA DE PLANOS PRIVADOS DE ASSISTENCIA A SAUDE LTDA. - CURITIBA - PR - PRIVADO - 02.862.447/0002-86"/>
        <s v="ICTR - INSTITUTO DO CANCER E TRANSPLANTE S/C - CURITIBA - PR - PRIVADO - 03.824.198/0001-16"/>
        <s v="INSTITUTO DE HEMATOLOGIA E ONCOLOGIA CURITIBA - CURITIBA - PR - PRIVADO - 03.850.913/0001-95"/>
        <s v="HOSPITAL SANTA CATARINA - BLUMENAU - SC - PRIVADO - 01.880.344/0001-03"/>
        <s v="VIVER CLINICA MEDICA LTDA - FLORIANOPOLIS - SC - PRIVADO - 04.670.913/0001-76"/>
        <s v="SAO BERNARDO APART - COLATINA - ES - PRIVADO - 07.039.651/0001-34"/>
        <s v="HOSPITAL ANGELINA CARON - CAMPINA GRANDE DO SUL - PR - PRIVADO - 07.088.017/0001-91"/>
        <s v="CRUZ VERMELHA BRASILEIRA - FILIAL DO ESTADO DO PARANA - CURITIBA - PR - PRIVADO - 07.404.052/0001-72"/>
        <s v="CEMED CARE - EMPRESA DE ATENDIMENTO CLINICO GERAL LTDA - SAO JOSE DOS PINHAIS - PR - PRIVADO - 07.794.623/0022-57"/>
        <s v="COMANDO DA ARTILHARIA DIVIS DA TERC DIVISAO DE EXERCITO - CRUZ ALTA - RS - PUBLICO - 09.572.216/0002-87"/>
        <s v="HOSPITAL DE GUARNICAO DE SANTA MARIA - SANTA MARIA - RS - PUBLICO - 09.605.231/0002-84"/>
        <s v="CERUB - CENTRO REUMATOLOGICO DE UBERLNDIA"/>
        <s v="FUNDACAO HOSPITALAR SAO LUCAS - CASCAVEL - PR - PRIVADO - 21.998.635/0001-08"/>
        <s v="SANTA CASA - PASSOS - MG - PRIVADO - 23.278.898/0001-60"/>
        <s v="HOSPITAL DE CLINICAS DA UFU - UBERLANDIA - MG - PUBLICO - 25.648.387/0002-07"/>
        <s v="HOSPITAL DOUTOR DORIO SILVA - SERRA - ES - PUBLICO - 27.080.605/0015-91"/>
        <s v="HOSPITAL SANTA RITA DE CASSIA - VITORIA - ES - PRIVADO - 28.137.925/0001-06"/>
        <s v="UNIMED DE NOVA FRIBURGO - NOVA FRIBURGO - RJ - PRIVADO - 29.135.795/0002-08"/>
        <s v="HOSPITAL VITORIA - CURITIBA - PR - PRIVADO - 29.435.005/0056-00"/>
        <s v="ONIX MATEUS LEME - CURITIBA - PR - PRIVADO - 30.117.769/0001-55"/>
        <s v="IMUNOMED ESPECIALIDADES E CLINICA DE INFUSAO - PRIVADO - 39.387.477/0001-07"/>
        <s v="HOSPITAL UNIMED - PRONTO ATENDIMENTO - POCOS DE CALDAS - MG - PRIVADO - 41.781.949/0002-34"/>
        <s v="PRO-ONCO CENTRO DE TRATAMENTO ONCOLOGICO SS LTDA - LONDRINA - PR - PRIVADO - 73.863.342/0001-09"/>
        <s v="PRONTO ATENDIMENTO UNIMED LONDRINA - PRIVADO - 75.222.224/0018-95"/>
        <s v="HOSPITAL NOSSA SENHORA DAS GRACAS - CURITIBA - PR - PRIVADO - 76.562.198/0001-69"/>
        <s v="HOSPITAL MARCELINO CHAMPAGNAT - CURITIBA - PR - PRIVADO - 76.659.820/0023-67"/>
        <s v="HOSPITAL PARANA - MARINGA - PR - PRIVADO - 77.265.361/0001-94"/>
        <s v="CLINICA PRO-VIDA LTDA - TUBARAO - SC - PRIVADO - 80.490.618/0001-16"/>
        <s v="HOSPITAL UNIMED BLUMENAU - UNIDADE VILA NOVA - BLUMENAU - SC - PRIVADO - 82.624.776/0006-51"/>
        <s v="IMPERIAL HOSPITAL DE CARIDADE - FLORIANOPOLIS - SC - PRIVADO - 83.884.999/0001-06"/>
        <s v="UNIMED PLANALTO MEDIO - COOPERATIVA DE SERVICOS MEDICOS - PASSO FUNDO - RS - PRIVADO - 87.607.149/0006-26"/>
        <s v="INSTITUTO DE ONCOLOGIA KAPLAN - PORTO ALEGRE - RS - PRIVADO - 94.831.294/0001-47"/>
        <s v="HOSPITAL DO CORACAO DE LONDRINA LTDA - LONDRINA - PR - PRIVADO - 04.762.301/0001-03"/>
        <s v="HOSPITAL GERAL DE CURITIBA - CURITIBA - PR - PUBLICO - 09.579.964/0002-91"/>
        <s v="FUNDACAO DE SAUDE PUBLICA DE NOVO HAMBURGO - FSNH - NOVO HAMBURGO - RS - PUBLICO - 11.055.682/0001-56"/>
        <s v="TITULO DO ESTABELECIMENTO (NOME DE FANTASIA)  HOSPITAL GERAL JOINVILLE - JOINVILLE - SC - PRIVADO - 12.361.267/0042-61"/>
        <s v="CLINICA DE ONCOLOGIA VIVER - SANTA MARIA - RS - PRIVADO - 12.508.728/0001-08"/>
        <s v="UNIMED UBERABA COOPERATIVA DE TRABALHO MEDICO LTDA"/>
        <s v="CASA DE CARIDADE DE CARANGOLA - CARANGOLA - MG - PRIVADO - 19.274.091/0001-81"/>
        <s v="HOSPITAL DR. ROBERTO ARNIZAUT SILVARES - SAO MATEUS - ES - PUBLICO - 27.080.605/0003-58"/>
        <s v="HOSPITAL SAO LUCAS - NOVA FRIBURGO - RJ - PRIVADO - 30.537.740/0001-22"/>
        <s v="HOSPITAL NOSSA SENHORA DO PILAR LTDA - CURITIBA - PR - PRIVADO - 76.498.013/0001-02"/>
        <s v="HOSPITAL DO CANCER DE LONDRINA - LONDRINA - PR - PRIVADO - 78.633.088/0001-76"/>
        <s v="HOSPITAL E MATERNIDADE MARIA AUXILIADORA - MARINGA - PR - PRIVADO - 79.115.762/0001-93"/>
        <s v="CENTRO DE ONCOLOGIA UNIMED PORTO ALEGRE - PORTO ALEGRE - RS - PRIVADO - 87.096.616/0031-01"/>
        <s v="UNICLINICA - ERECHIM - RS - PRIVADO - 87.638.334/0005-05"/>
        <s v="MUNICIPIO DE CAXIAS DO SUL - CAXIAS DO SUL - RS - PUBLICO - 88.830.609/0001-39"/>
        <s v="UNIMED DE BRUSQUE - BRUSQUE - SC - PRIVADO - 01.554.266/0001-49"/>
        <s v="GLN HOSPITALAR - VOLTA REDONDA - RJ - PRIVADO - 10.562.003/0001-72"/>
        <s v="UNIMED ARAXA COOPERATIVA DE TRABALHO MEDICO LTDA  - ARAXA - MG - PRIVADO - 25.910.449/0004-60"/>
        <s v="HOSPITAL UNIVERSITARIO ANTONIO PEDRO - NITEROI - RJ - PUBLICO - 28.523.215/0003-78"/>
        <s v="C.T.O. - PETROPOLIS - RJ - PRIVADO - 30.638.381/0001-08"/>
        <s v="HOSPITAL UNIMED - UNIDADE CENTRO - CAMPO MOURAO - PR - PRIVADO - 81.715.716/0004-10"/>
        <s v="HOSPITAL STO ANTONIO - BLUMENAU - SC - PRIVADO - 82.654.088/0001-20"/>
        <s v="CENTRO MEDICO UNIMED - TUBARAO - SC - PRIVADO - 85.241.339/0008-09"/>
        <s v="UNIMED-RIO EMPREENDIMENTOS MEDICOS E HOSPITALARES LTDA - RIO DE JANEIRO - RJ - PRIVADO - 09.219.138/0005-84"/>
        <s v="HOMEBABY HOMECARE DA CRIANCA ATENDIMENTO MEDICO DOMICILIAR LIMITADA - RIO DE JANEIRO - RJ - PRIVADO - 21.265.360/0001-95"/>
        <s v="HOSPITAL RIOS DOR - RIO DE JANEIRO - RJ - PRIVADO - 29.259.736/0004-03"/>
        <s v="HOSPITAL PRO-CARDIACO - RIO DE JANEIRO - RJ - PRIVADO - 29.435.005/0051-98"/>
        <s v="HOSPITAL PASTEUR - RIO DE JANEIRO - RJ - PRIVADO - 29.435.005/0057-83"/>
        <s v="PETROBRAS - RIO DE JANEIRO - RJ - PRIVADO - 33.000.167/0001-01"/>
        <s v="LARANJEIRAS CLINICA PERINATAL - RIO DE JANEIRO - RJ - PRIVADO - 33.419.482/0002-59"/>
        <s v="HOSPITAL BALBINO - RIO DE JANEIRO - RJ - PRIVADO - 42.297.507/0001-07"/>
        <s v="HOSPITAL SAO LUCAS - RIO DE JANEIRO - RJ - PRIVADO - 60.884.855/0016-30"/>
        <s v="MARIA BEATRIZ DE SOUZA MOREIRA - RIO DE JANEIRO - RJ - PESSOA FISICA - 111.149.877-60"/>
        <s v="HOSPITAL GERAL DE BONSUCESSO/RJ - RIO DE JANEIRO - RJ - PUBLICO - 00.394.544/0202-91"/>
        <s v="HOSPITAL FEDERAL CARDOSO FONTES - RIO DE JANEIRO - RJ - PUBLICO - 00.394.544/0203-72"/>
        <s v="HOSPITAL DA LAGOA/RJ - RIO DE JANEIRO - RJ - PUBLICO - 00.394.544/0204-53"/>
        <s v="HOSPITAL GERAL DE IPANEMA/RJ - RIO DE JANEIRO - RJ - PUBLICO - 00.394.544/0210-00"/>
        <s v="INSTITUTO NACIONAL DE CARDIOLOGIA - RIO DE JANEIRO - RJ - PUBLICO - 00.394.544/0213-44"/>
        <s v="HOSPITAL NAVAL MARCILIO DIAS - RIO DE JANEIRO - RJ - PUBLICO - 00.394.502/0148-70"/>
        <s v="INSTITUTO NACIONAL DE CANCER - RIO DE JANEIRO - RJ - PUBLICO - 00.394.544/0171-50"/>
        <s v="HOSPITAL BARRA DOR - RIO DE JANEIRO - RJ - PRIVADO - 02.284.062/0005-21"/>
        <s v="CENTRON - CENTRO DE TRATAMENTO ONCOLOGICO LTDA - RIO DE JANEIRO - RJ - PRIVADO - 02.864.097/0001-06"/>
        <s v="HOSPITAL COPA DOR - RIO DE JANEIRO - RJ - PRIVADO - 06.047.087/0009-96"/>
        <s v="HOSPITAL QUINTA DOR - RIO DE JANEIRO - RJ - PRIVADO - 06.047.087/0010-20"/>
        <s v="HOSPITAL COPA DOR STAR - PRIVADO - 06.047.087/0026-97"/>
        <s v="HOSPITAL OESTE DOR - RIO DE JANEIRO - RJ - PRIVADO - 06.047.087/0033-16"/>
        <s v="CEMED CARE - EMPRESA DE ATENDIMENTO CLINICO GERAL LTDA - RIO DE JANEIRO - RJ - PRIVADO - 07.794.623/0048-96"/>
        <s v="HOSPITAL SAMARITANO - RIO DE JANEIRO - RJ - PRIVADO - 08.100.676/0021-02"/>
        <s v="INSTITUTO DOR DE GESTAO DE SAUDE PUBLICA - RIO DE JANEIRO - RJ - PRIVADO - 08.850.962/0002-22"/>
        <s v="HOSPITAL NORTE DOR DE CASCADURA S.A - RIO DE JANEIRO - RJ - PRIVADO - 09.578.217/0001-58"/>
        <s v="HOSPITAL CENTRALDO EXERCITO - RIO DE JANEIRO - RJ - PUBLICO - 09.609.235/0002-30"/>
        <s v="HOSPITAL CASA DE PORTUGAL - RIO DE JANEIRO - RJ - PRIVADO - 11.279.865/0001-55"/>
        <s v="HOSPITAL SAO VICENTE DE PAULO - RIO DE JANEIRO - RJ - PRIVADO - 18.010.750/0001-00"/>
        <s v="BRASIF S/A ADMINISTRACAO E PARTICIPACOES - 21.109.731/0001-40"/>
        <s v="HOSPITAL CASA ARRENDATARIA SERVICOS MEDICOS HOSPITALARES E INVESTIMENTOS LTDA - RIO DE JANEIRO - RJ - PRIVADO - 24.217.779/0001-60"/>
        <s v="HOSPITAL DR BADIM - RIO DE JANEIRO - RJ - PRIVADO - 27.901.222/0001-31"/>
        <s v="ONCOLOGIA REDE DOR S.A. - RIO DE JANEIRO - RJ - PRIVADO - 28.000.107/0001-59"/>
        <s v="URGIL - RIO DE JANEIRO - RJ - PRIVADO - 28.602.407/0001-08"/>
        <s v="HOSPITAL SAMARITANO - RIO DE JANEIRO - RJ - PRIVADO - 29.435.005/0061-60"/>
        <s v="CLINICA SAO VICENTE - RIO DE JANEIRO - RJ - PRIVADO - 31.635.857/0001-01"/>
        <s v="HOSPITAIS INTEGRADOS DA GAVEA S/A - RIO DE JANEIRO - RJ - PRIVADO - 31.635.857/0002-92"/>
        <s v="HOSPITAL DE CLINICAS RIO MAR BARRA LTDA - RIO DE JANEIRO - RJ - PRIVADO - 32.154.700/0001-27"/>
        <s v="INSTITUTO DE PUERICULTURA E PEDIATRIA MARTAGAO GESTEIR - RIO DE JANEIRO - RJ - PUBLICO - 33.663.683/0026-74"/>
        <s v="HOSPITAL UNIVERSITARIO - RIO DE JANEIRO - RJ - PUBLICO - 33.663.683/0053-47"/>
        <s v="INSTITUTO FERNANDES FIGUEIRA - RIO DE JANEIRO - RJ - PUBLICO - 33.781.055/0002-16"/>
        <s v="CENTRO DE ESTUDOS E PESQUISAS 28 - RIO DE JANEIRO - RJ - PRIVADO - 33.927.377/0001-40"/>
        <s v="COI CLINICAS ONCOLOGICAS INTEGRADAS SA - RIO DE JANEIRO - RJ - PRIVADO - 39.086.160/0001-30"/>
        <s v="HOSPITAL SAO FRANCISCO NA PROVIDENCIA DE DEUS - RIO DE JANEIRO - RJ - PRIVADO - 53.221.255/0049-95"/>
        <s v="CASA DE SAUDE SAO JOSE - RIO DE JANEIRO - RJ - PRIVADO - 60.922.168/0003-48"/>
        <s v="ONCOCLINICA - CENTRO DE TRATAMENTO ONCOLOGICO S.A. - PRIVADO - 72.101.124/0005-06"/>
        <s v="HOSPITAL ADVENTISTA SILVESTRE - RIO DE JANEIRO - RJ - PRIVADO - 73.696.718/0002-19"/>
        <s v="CLINICA CIRURGICA E ONCOLOGICA DA PENHA LTDA - RIO DE JANEIRO - RJ - PRIVADO - 22.400.856/0001-97"/>
        <s v="CASA DE SAUDE SANTA LUCIA - RIO DE JANEIRO - RJ - PRIVADO - 29.435.005/0052-79"/>
        <s v="HOSPITAL DE CLINICAS DE JACAREPAGUA LTDA - RIO DE JANEIRO - RJ - PRIVADO - 34.058.123/0001-03"/>
        <s v="CLIMES CLINICA MEDICA ESPECIALIZADA LTDA - RIO DE JANEIRO - RJ - PRIVADO - 40.320.103/0001-53"/>
        <s v="MAIARA ALMEIDA DA SILVA - RIO DE JANEIRO - RJ - PESSOA FISICA - 003.204.650-20"/>
        <s v="REJANE CELESTE DOS ANJOS BECKER - RIO DE JANEIRO - RJ - PESSOA FISICA - 053.719.447-96"/>
        <s v="UNIMED-RIO EMPREENDIMENTOS MEDICOS E HOSPITALARES LTDA - RIO DE JANEIRO - RJ - PRIVADO - 09.219.138/0004-01"/>
        <s v="FUNDACAO ARY FRAUZINO PARA PESQUISA E CONTROL DO CANCER - PRIVADO - 40.226.946/0002-76"/>
      </sharedItems>
    </cacheField>
    <cacheField name="Cidade" numFmtId="0">
      <sharedItems/>
    </cacheField>
    <cacheField name="UF" numFmtId="0">
      <sharedItems/>
    </cacheField>
    <cacheField name="#FK-Email-Gerente" numFmtId="0">
      <sharedItems containsBlank="1" count="4">
        <s v="claudia.bueno@cslbehring.com"/>
        <s v="fernando.leony@cslbehring.com"/>
        <s v="rafael.esteves@cslbehring.com"/>
        <m/>
      </sharedItems>
    </cacheField>
    <cacheField name="Gerente" numFmtId="0">
      <sharedItems containsBlank="1"/>
    </cacheField>
    <cacheField name="Cod-Linha" numFmtId="0">
      <sharedItems containsSemiMixedTypes="0" containsString="0" containsNumber="1" containsInteger="1" minValue="62" maxValue="73"/>
    </cacheField>
    <cacheField name="Linha" numFmtId="0">
      <sharedItems count="5">
        <s v="PRIVIGEN"/>
        <s v="BERIPLEX"/>
        <s v="HIZENTRA"/>
        <s v="HAEMOCOMPLETTAN"/>
        <s v="BERINERT"/>
      </sharedItems>
    </cacheField>
    <cacheField name="EQ" numFmtId="3">
      <sharedItems containsSemiMixedTypes="0" containsString="0" containsNumber="1" minValue="-15" maxValue="20285"/>
    </cacheField>
  </cacheFields>
  <extLst>
    <ext xmlns:x14="http://schemas.microsoft.com/office/spreadsheetml/2009/9/main" uri="{725AE2AE-9491-48be-B2B4-4EB974FC3084}">
      <x14:pivotCacheDefinition pivotCacheId="1494696249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aldomiro Barbosa" refreshedDate="43760.487587037038" createdVersion="6" refreshedVersion="6" minRefreshableVersion="3" recordCount="428" xr:uid="{818CECD9-7053-4A35-A6A3-D9A3ABCA4B4D}">
  <cacheSource type="worksheet">
    <worksheetSource name="VIEW_IV_2019_VENDA_DETALHADA"/>
  </cacheSource>
  <cacheFields count="7">
    <cacheField name="Ano-Fiscal" numFmtId="0">
      <sharedItems count="1">
        <s v="2019/2020"/>
      </sharedItems>
    </cacheField>
    <cacheField name="Mes-Fiscal" numFmtId="0">
      <sharedItems count="4">
        <s v="01-Jul"/>
        <s v="02-Ago"/>
        <s v="03-Set"/>
        <s v="04-Out"/>
      </sharedItems>
    </cacheField>
    <cacheField name="Tri-Fiscal" numFmtId="0">
      <sharedItems count="2">
        <s v="01-Tri"/>
        <s v="02-Tri"/>
      </sharedItems>
    </cacheField>
    <cacheField name="CNPJ" numFmtId="1">
      <sharedItems containsSemiMixedTypes="0" containsString="0" containsNumber="1" containsInteger="1" minValue="88317000121" maxValue="94516671000234"/>
    </cacheField>
    <cacheField name="Estabelecimento-Venda" numFmtId="0">
      <sharedItems count="118">
        <s v="VICTORIA"/>
        <s v="HOSPITAL GERAL DO ANDARAI/RJ - RIO DE JANEIRO - RJ"/>
        <s v="HOSPITAL GERAL DE BONSUCESSO/RJ - RIO DE JANEIRO - RJ"/>
        <s v="HOSPITAL FEDERAL CARDOSO FONTES - RIO DE JANEIRO - RJ"/>
        <s v="HOSPITAL DA LAGOA/RJ - RIO DE JANEIRO - RJ"/>
        <s v="HOSPITAL GERAL DE IPANEMA/RJ - RIO DE JANEIRO - RJ"/>
        <s v="HOSPITAL SERVIDORES DO ESTADO/RJ - RIO DE JANEIRO - RJ"/>
        <s v="INSTITUTO NACIONAL DE CARDIOLOGIA - RIO DE JANEIRO - RJ"/>
        <s v="RAGI MEDICAL "/>
        <s v="ALMINHANA (PHD)"/>
        <s v="DUPATRI"/>
        <s v="ONCO PROD"/>
        <s v="PROHOSP PR"/>
        <s v="BRASIL PHARMA"/>
        <s v="FES/BA - SALVADOR - BA"/>
        <s v="EXPRESSA"/>
        <s v="NAZARIA (JORGE BATISTA)"/>
        <s v="HOSPITAL UNIVERSITARIO WALTER CANTIDIO - FORTALEZA - CE"/>
        <s v="UNI HOSPITALAR"/>
        <s v="CIONC - CENTRO INTEGRADO DE ONCOLOGIA DE CURITIBA S/S - CURITIBA - PR"/>
        <s v="CDM"/>
        <s v="MAXIMUS"/>
        <s v="FUNDO ESTADUAL DE SAUDE DO PARANA - FUNSAUDE - CURITIBA - PR"/>
        <s v="MEDICAMENTAL"/>
        <s v="ELFA"/>
        <s v="MAJELA"/>
        <s v="S3"/>
        <s v="HOSPITAL DA RESTAURACAO - RECIFE - PE"/>
        <s v="MEDCOMERCE"/>
        <s v="GLOBAL"/>
        <s v="CM HOSPITALAR"/>
        <s v="HCFMB - BOTUCATU - SP"/>
        <s v="MAIS SAUDE"/>
        <s v="EMPRESA BRASILEIRA DE SERVICOS HOSPITALARES - EBSERH - NATAL - RN"/>
        <s v="EBSERH - HOSPITAL UNIVERSITARIO DE SANTA MARIA - SANTA MARIA - RS"/>
        <s v="HOSPITAL UNIVERST DA UFSCAR PROF DR HORACIO C PANEPUCCI - SAO CARLOS - SP"/>
        <s v="RIO BAHIA"/>
        <s v="MCO - SALVADOR - BA"/>
        <s v="FUTURA"/>
        <s v="BIOHOSP"/>
        <s v="HOSPITAL DE CLINICAS DA UFTM - UBERABA - MG"/>
        <s v="HOSPITAL DE CLINICAS DA UFU - UBERLANDIA - MG"/>
        <s v="HOSPITAL DOUTOR DORIO SILVA - SERRA - ES"/>
        <s v="SIGEL"/>
        <s v="INSTITUTO DE PUERICULTURA E PEDIATRIA MARTAGAO GESTEIR - RIO DE JANEIRO - RJ"/>
        <s v="HOSPITAL UNIVERSITARIO - RIO DE JANEIRO - RJ"/>
        <s v="INSTITUTO FERNANDES FIGUEIRA - RIO DE JANEIRO - RJ"/>
        <s v="J NERVAL"/>
        <s v="JUNDIAI GABINETE PREFEITO - JUNDIAI - SP"/>
        <s v="UNIVERSIDADE ESTADUAL DE CAMPINAS - CAMPINAS - SP"/>
        <s v="HOSPITAL GUILHERME ALVARO - SANTOS - SP"/>
        <s v="DEPARTAM. REGIONAL DE SAUDE DE RIB. PRETO - DRS XIII"/>
        <s v="HOSPITAL GERAL DE TAIPAS - SAO PAULO - SP"/>
        <s v="HOSPITAL REGIONAL SUL - SAO PAULO - SP"/>
        <s v="HOSPITAL GERAL DE VILA PENTEADO - SAO PAULO - SP"/>
        <s v="SECRETARIA DA SAUDE UNIDADE DE GESTAO ASSISTENCIAL IV - SAO PAULO - SP"/>
        <s v="HOSPITAL ESTADUAL DE PRESIDENTE PRUDENTE - PRESIDENTE PRUDENTE - SP"/>
        <s v="HOSPITAL DO SERVIDOR PUBLICO MUNICIPAL - SAO PAULO - SP"/>
        <s v="PREFEITURA MUNICIPAL DE GUARARAPES - GUARARAPES - SP"/>
        <s v="PREFEITURA MUNICIPAL DE CAMPINAS - CAMPINAS - SP"/>
        <s v="INSTITUTO DO CANCER DO ESTADO DE SAO PAULO - SAO PAULO - SP"/>
        <s v="CENTRO DE REFERENCIA DA SAUDE DA MULHER - MATER - RIBEIRAO PRETO - SP"/>
        <s v="HOSPITAL DE BASE - SAO JOSE DO RIO PRETO - SP"/>
        <s v="HOSPITAL DAS CLINICAS DA FACULDADE DE MEDICINA DA U S P - SAO PAULO - SP"/>
        <s v="IAMSPE - SAO PAULO - SP"/>
        <s v="SOC BENEFICIENTE DE SENHORAS HOSPITAL SIRIO LIBANES - SAO PAULO - SP"/>
        <s v="SOCIEDADE BENEFICENTE DE SENHORAS - HOSPITAL SIRIO LIBANES"/>
        <s v="REAL E BENEMERITA ASSOCIACAO PORTUGUESA DE BENEFICENCIA - SAO PAULO - SP"/>
        <s v="PROFARMA"/>
        <s v="GENESIO A MENDES BR"/>
        <s v="HOSPITAL DE CLINICAS - PORTO ALEGRE - RS"/>
        <s v="HOSPITAL CRISTO REDENTOR - PORTO ALEGRE - RS"/>
        <s v="SANTA CRUZ"/>
        <s v="DEPARTAMENTO DE LOGISTICA - BRASILIA - DF"/>
        <s v="INSTITUTO NACIONAL DE CANCER - RIO DE JANEIRO - RJ"/>
        <s v="MED-SURGERY"/>
        <s v="MEDRADIUS - MACEIO - AL"/>
        <s v="HOSPITAL GERAL DE CURITIBA - CURITIBA - PR"/>
        <s v="ICIPE - BRASILIA - DF"/>
        <s v="PRONTO S.CARDIOLOGICO DE PE.PROF.LUIZ TAVARES-PROCAPE - RECIFE - PE"/>
        <s v="MACROMED/SUPERMED"/>
        <s v="FUNDO MUNICIPAL DE SAUDE DE TERESINA - TERESINA - PI"/>
        <s v="REPRESENTA"/>
        <s v="EBSERH HOSPITAL UNIVERSITARIO DE BRASILIA - BRASILIA - DF"/>
        <s v="EBSERH - COMPLEXO HOSPITALAR DO CEARA (HUWC E MEAC) - FORTALEZA - CE"/>
        <s v="HCFAMEMA"/>
        <s v="HOSPITAL DR. ROBERTO ARNIZAUT SILVARES - SAO MATEUS - ES"/>
        <s v="UNIVERSIDADE FEDERAL DO ESTADO DO RIO DE JANEIRO - RIO DE JANEIRO - RJ"/>
        <s v="UNID INT SAUDE DR OSWALDO B FARIA DE MIRANDOPOLIS - MIRANDOPOLIS - SP"/>
        <s v="DEPARTAMENTO REGIONAL DE SAUDE - DRS II - ARACATUBA - ARACATUBA - SP"/>
        <s v="DEPARTAMENTO REGIONAL DE SAUDE DE PIRACICABA - DRS X - PIRACICABA - SP"/>
        <s v="COORDENADORIA DE ASSISTENCIA FARMACEUTICA"/>
        <s v="SANTA RITA"/>
        <s v="HOSPITAL ISRAELITA ALBERTEINSTEIN - SAO PAULO - SP"/>
        <s v="HOSPITAL SAO PAULO - SAO PAULO - SP"/>
        <s v="FUNDES - FORTALEZA - CE"/>
        <s v="COORDENACAO DE ARMAZENAGEM E DISTRIBUICAO LOGISTICA - GUARULHOS - SP"/>
        <s v="ESCRITORIO DE REPRESENTACAO DO MS/SAO PAULO - SAO PAULO - SP"/>
        <s v="F CARDOSO"/>
        <s v="HOSPITAL UNIVERSITARIO ALCIDES CARNEIRO/UFCG - CAMPINA GRANDE - PB"/>
        <s v="MAUES E LOBATO"/>
        <s v="ONCOVIT DISTRIBUIDORA DE MEDICAMENTOS LTDA - VITORIA - ES"/>
        <s v="EBSERH HOSPITAL UNIVERSITARIO DE SAO LUIS - SAO LUIS - MA"/>
        <s v="UNIVERSIDADE FEDERAL DA BAHIA - SALVADOR - BA"/>
        <s v="SECRETARIA DA SAUDE - PALMAS - TO"/>
        <s v="HOSPITAL UNIVERSITARIO ANTONIO PEDRO - NITEROI - RJ"/>
        <s v="RIO DE JANEIRO GABINETE DO PREFEITO - RIO DE JANEIRO - RJ"/>
        <s v="COMPLEXO HOSPITALAR DO JUQUERY - FRANCO DA ROCHA - SP"/>
        <s v="CONJUNTO HOSPITALAR DO MANDAQUI - SAO PAULO - SP"/>
        <s v="DEPARTAMENTO REGIONAL DE SAUDE DE ARARAQUARA - DRS III - ARARAQUARA - SP"/>
        <s v="HOSPITAL GERAL DE VILA NOVA CACHOEIRINHA - SAO PAULO - SP"/>
        <s v="HOSPITAL REGIONAL DE ASSIS - ASSIS - SP"/>
        <s v="HOSPITAL MATERNID INTERLAGOS WALDEMAR SEYSSEL - ARRELIA - SAO PAULO - SP"/>
        <s v="SAO JOSE DOS CAMPOS GABINETE DO PREFEITO - SAO JOSE DOS CAMPOS - SP"/>
        <s v="FUNDACAO FACULDADE DE MEDICINA - SAO PAULO - SP"/>
        <s v="HOSPITAL DAS FORCAS ARMADAS - BRASILIA - DF"/>
        <s v="MEDICAL LIFE"/>
        <s v="FUNDARJ - RIO DE JANEIRO - RJ"/>
      </sharedItems>
    </cacheField>
    <cacheField name="Grupo-Linha-IV-REP" numFmtId="0">
      <sharedItems count="3">
        <s v="OUTROS PRODUTOS"/>
        <s v="RHOPHYLAC"/>
        <s v="ALBUREX"/>
      </sharedItems>
    </cacheField>
    <cacheField name="BRL" numFmtId="165">
      <sharedItems containsSemiMixedTypes="0" containsString="0" containsNumber="1" minValue="-1912472" maxValue="4544471.97"/>
    </cacheField>
  </cacheFields>
  <extLst>
    <ext xmlns:x14="http://schemas.microsoft.com/office/spreadsheetml/2009/9/main" uri="{725AE2AE-9491-48be-B2B4-4EB974FC3084}">
      <x14:pivotCacheDefinition pivotCacheId="1167195518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aldomiro Barbosa" refreshedDate="43760.488920254633" createdVersion="6" refreshedVersion="6" minRefreshableVersion="3" recordCount="2166" xr:uid="{2AEE906F-9655-4631-A5CC-C417B59DA65F}">
  <cacheSource type="worksheet">
    <worksheetSource name="VIEW_IV_2019_DEMANDA_SETORIZADA_REP"/>
  </cacheSource>
  <cacheFields count="19">
    <cacheField name="Ano-Fiscal" numFmtId="0">
      <sharedItems count="1">
        <s v="2019/2020"/>
      </sharedItems>
    </cacheField>
    <cacheField name="Mes-Fiscal" numFmtId="0">
      <sharedItems count="4">
        <s v="01-Jul"/>
        <s v="02-Ago"/>
        <s v="03-Set"/>
        <s v="04-Out"/>
      </sharedItems>
    </cacheField>
    <cacheField name="Tri-Fiscal" numFmtId="0">
      <sharedItems count="2">
        <s v="01-Tri"/>
        <s v="02-Tri"/>
      </sharedItems>
    </cacheField>
    <cacheField name="#FK-CNPJ" numFmtId="0">
      <sharedItems containsSemiMixedTypes="0" containsString="0" containsNumber="1" containsInteger="1" minValue="320465020" maxValue="97397848000138"/>
    </cacheField>
    <cacheField name="Estabelecimento" numFmtId="0">
      <sharedItems count="524">
        <s v="HOSPITAL DO CORACAO DE ALAGOAS - MACEIO - AL - PRIVADO - 01.454.407/0001-51"/>
        <s v="HOSPITAL UNIMED - MACEIO - AL - PRIVADO - 12.442.737/0004-96"/>
        <s v="HUPAA - MACEIO - AL - PUBLICO - 24.464.109/0002-29"/>
        <s v="HOSPITAL SAO LUCAS - MANAUS - AM - PRIVADO - 12.361.267/0116-32"/>
        <s v="INSTITUTO DE ONCOLOGIA DE MACAPA EIRELI"/>
        <s v="EMEC - FEIRA DE SANTANA - BA - PRIVADO - 14.074.546/0001-00"/>
        <s v="LABCMI GESTAO HOSPITALAR - HEC - FEIRA DE SANTANA - BA - PRIVADO - 15.170.723/0005-30"/>
        <s v="HOSPITAL AEROPORTO - LAURO DE FREITAS - BA - PRIVADO - 04.602.792/0001-25"/>
        <s v="CARDIO PULMONAR DA BAHIA S.A - SALVADOR - BA - PRIVADO - 13.952.064/0001-34"/>
        <s v="FES/BA - SALVADOR - BA - PUBLICO - 05.816.630/0001-52"/>
        <s v="FUNDACAO JOSE SILVEIRA - SALVADOR - BA - PRIVADO - 15.194.004/0001-25"/>
        <s v="HBA - SALVADOR - BA - PRIVADO - 05.469.172/0001-22"/>
        <s v="HOSPITAL ALIANCA - SALVADOR - BA - PRIVADO - 13.016.092/0001-40"/>
        <s v="HOSPITAL MUNICIPAL DE SALVADOR  - SALVADOR - BA - PRIVADO - 15.153.745/0027-05"/>
        <s v="HOSPITAL PORTUGUES - SALVADOR - BA - PRIVADO - 15.166.416/0001-51"/>
        <s v="HOSPITAL SANTA IZABEL - SALVADOR - BA - PRIVADO - 15.153.745/0002-49"/>
        <s v="HOSPITAL SAO RAFAEL S.A - SALVADOR - BA - PRIVADO - 27.372.066/0001-69"/>
        <s v="HOSPITAL TEREZA DE LISIEUX - SALVADOR - BA - PRIVADO - 12.361.267/0103-18"/>
        <s v="LIGA ALVARO BAHIA CONTRA A MORTALIDADE INFANTIL - SALVADOR - BA - PRIVADO - 15.170.723/0001-06"/>
        <s v="MCO - SALVADOR - BA - PUBLICO - 15.180.714/0003-68"/>
        <s v="NOVACLIN - SALVADOR - BA - PRIVADO - 15.242.761/0001-27"/>
        <s v="UNIVERSIDADE FEDERAL DA BAHIA - SALVADOR - BA - PUBLICO - 15.180.714/0005-20"/>
        <s v="IBR INSTITUTO BRANDAO DE REABILITACAO LTDA - EPP - VITORIA DA CONQUISTA - BA - PRIVADO - 13.284.872/0001-70"/>
        <s v="DEPOSITO - ARMAZEM FORTALEZA/CE - FORTALEZA - CE - PRIVADO - 12.361.267/0118-02"/>
        <s v="FUNDES - FORTALEZA - CE - PUBLICO - 74.031.865/0001-51"/>
        <s v="GASTROCLINICA - FORTALEZA - CE - PRIVADO - 07.272.404/0001-83"/>
        <s v="H A P - FORTALEZA - CE - PRIVADO - 05.874.946/0001-09"/>
        <s v="HOSPITAL CURA DARS - FORTALEZA - CE - PRIVADO - 60.975.737/0035-09"/>
        <s v="HOSPITAL REGIONAL UNIMED - FORTALEZA - CE - PRIVADO - 05.868.278/0002-80"/>
        <s v="HOSPITAL UNIVERSITARIO WALTER CANTIDIO - FORTALEZA - CE - PUBLICO - 07.272.636/0002-12"/>
        <s v="INSTITUTO DR JOSE FROTA - FORTALEZA - CE - PUBLICO - 07.835.044/0001-80"/>
        <s v="INTEGRARE TERAPEUTICA - FORTALEZA - CE - PRIVADO - 12.568.570/0001-61"/>
        <s v="UNICLINIC - FORTALEZA - CE - PRIVADO - 05.867.015/0001-75"/>
        <s v="HOSPITAL MONTE KLINIKUM - PRIVADO - 29.435.005/0074-84"/>
        <s v="ALIANCA INSTITUTO DE ONCOLOGIA S.A."/>
        <s v="CEMED CARE EMPRESA DE ATENDIMENTO CLINICO GERAL LTDA - BRASILIA - DF - PRIVADO - 07.794.623/0051-91"/>
        <s v="CETTRO - CENTRO DE CANCER DE BRASILIA - BRASILIA - DF - PRIVADO - 00.520.237/0001-01"/>
        <s v="GRUPO ACREDITAR - BRASILIA - DF - PRIVADO - 03.989.821/0001-90"/>
        <s v="HOME - BRASILIA - DF - PRIVADO - 37.108.388/0001-59"/>
        <s v="HOSPITAL ALVORADA DE BRASILIA - BRASILIA - DF - PRIVADO - 29.435.005/0046-20"/>
        <s v="HOSPITAL ANCHIETA LTDA - BRASILIA - DF - PRIVADO - 02.560.878/0001-07"/>
        <s v="HOSPITAL BRASILIA - BRASILIA - DF - PRIVADO - 60.884.855/0022-89"/>
        <s v="HOSPITAL DO CORACAO DO BRASIL - BRASILIA - DF - PRIVADO - 06.047.087/0042-07"/>
        <s v="HOSPITAL MARIA AUXILIADORA - BRASILIA - DF - PRIVADO - 38.000.485/0001-96"/>
        <s v="HOSPITAL SANTA LUZIA - BRASILIA - DF - PRIVADO - 06.047.087/0041-26"/>
        <s v="HOSPITAL SANTA MARTA LTDA - BRASILIA - DF - PRIVADO - 00.610.980/0001-44"/>
        <s v="HSL UNIDADE BRASILIA - BRASILIA - DF - PRIVADO - 61.590.410/0005-58"/>
        <s v="IHBDF - BRASILIA - DF - PRIVADO - 28.481.233/0001-72"/>
        <s v="INSTITUTO DE CANCER DE BRASILIA LTDA - BRASILIA - DF - PRIVADO - 11.859.927/0001-06"/>
        <s v="INSTITUTO DE CARDIOLOGIA DO DISTRITO FEDERAL - BRASILIA - DF - PRIVADO - 92.898.550/0006-00"/>
        <s v="ONCO VIDA - BRASILIA - DF - PRIVADO - 01.682.668/0001-29"/>
        <s v="PRIME HOME CARE - BRASILIA - DF - PRIVADO - 16.739.984/0001-67"/>
        <s v="PRONTONORTE - BRASILIA - DF - PRIVADO - 00.511.816/0001-80"/>
        <s v="SANTA HELENA - BRASILIA - DF - PRIVADO - 00.049.791/0001-44"/>
        <s v="SOCIEDADE BENEFICENTE DE SENHORAS - HOSPITAL SIRIO LIBANES"/>
        <s v="SAO BERNARDO APART - COLATINA - ES - PRIVADO - 07.039.651/0001-34"/>
        <s v="CLINICA PERINATAL VITORIA LTDA - SERRA - ES - PRIVADO - 01.396.804/0001-14"/>
        <s v="HOSPITAL DOUTOR DORIO SILVA - SERRA - ES - PUBLICO - 27.080.605/0015-91"/>
        <s v="HOSPITAL SANTA RITA DE CASSIA - VITORIA - ES - PRIVADO - 28.137.925/0001-06"/>
        <s v="IMUNOMED ESPECIALIDADES E CLINICA DE INFUSAO - PRIVADO - 39.387.477/0001-07"/>
        <s v="HOSPITAL E MATERNIDADE SAO NICOLAU - CATALAO - GO - PRIVADO - 01.326.206/0001-79"/>
        <s v="CENTRO CLINICO UNIMED - PRIVADO - 02.476.067/0003-94"/>
        <s v="HEMOLABOR - GOIANIA - GO - PRIVADO - 00.418.954/0001-19"/>
        <s v="INSTITUTO DE NEUROLOGIA - GOIANIA - GO - PRIVADO - 01.011.865/0001-16"/>
        <s v="SERVICO DE ATENDIMENTO UNIMED - GOIANIA - GO - PRIVADO - 02.476.067/0002-03"/>
        <s v="UNIMED GOIANIA - GOIANIA - GO - PRIVADO - 02.476.067/0001-22"/>
        <s v="FUNDO MUNICIPAL DE SAUDE DE RIO VERDE - GO - RIO VERDE - GO - PUBLICO - 06.190.522/0001-80"/>
        <s v="UDI HOSPITAL - JARACATY - MA - PRIVADO - 02.284.062/0011-70"/>
        <s v="EBSERH HOSPITAL UNIVERSITARIO DE SAO LUIS - SAO LUIS - MA - PRIVADO - 15.126.437/0004-96"/>
        <s v="HOSPITAL SAO DOMINGOS LTDA. - SAO LUIS - MA - PRIVADO - 11.006.293/0001-30"/>
        <s v="FUNDACAO FELICE ROSSO - BELO HORIZONTE - MG - PRIVADO - 17.214.149/0001-76"/>
        <s v="HEMATOLOGICA - CLINICA DE HEMATOLOGIA LTDA - BELO HORIZONTE - MG - PRIVADO - 00.410.960/0001-20"/>
        <s v="HOSPITAL MATER DEI SA - BELO HORIZONTE - MG - PRIVADO - 16.676.520/0001-59"/>
        <s v="NUCLEO DE HEMATOLOGIA E ONCOLOGIA - BELO HORIZONTE - MG - PRIVADO - 02.623.693/0001-02"/>
        <s v="ONCOMED CENTRO PREV E TRAT DE DOENCAS NEOPLASICAS LTDA"/>
        <s v="GUSTAVO PRIETO BORGES MOREIRA - CONSELHEIRO LAFAIETE - MG - PESSOA FISICA - 173.769.686-01"/>
        <s v="HOSPITAL MARCIO CUNHA - IPATINGA - MG - PRIVADO - 19.878.404/0001-00"/>
        <s v="AISI FMIT HE - ITAJUBA - MG - PRIVADO - 21.040.696/0003-11"/>
        <s v="UNIMED JUIZ DE FORA COOP DE TRABALHO MEDICO LTDA - JUIZ DE FORA - MG - PRIVADO - 17.689.407/0009-28"/>
        <s v="SANTA CASA - PASSOS - MG - PRIVADO - 23.278.898/0001-60"/>
        <s v="CASA DE SAUDE E MATERNIDADE NOSSA SENHORA DE FATIMA S A - PATOS DE MINAS - MG - PRIVADO - 23.338.387/0001-96"/>
        <s v="HOSPITAL UNIMED - PRONTO ATENDIMENTO - POCOS DE CALDAS - MG - PRIVADO - 41.781.949/0002-34"/>
        <s v="CERUB - CENTRO REUMATOLOGICO DE UBERLNDIA"/>
        <s v="HOSPITAL DE CLINICAS DA UFU - UBERLANDIA - MG - PUBLICO - 25.648.387/0002-07"/>
        <s v="HOSPITAL E MATERNIDADE MADRECOR - UBERLANDIA - MG - PRIVADO - 20.150.900/0001-22"/>
        <s v="HOSPITAL SANTA GENOVEVA LTDA - UBERLANDIA - MG - PRIVADO - 18.484.378/0001-73"/>
        <s v="UBERLANDIA MEDICAL CENTER - UBERLANDIA - MG - PRIVADO - 17.087.591/0001-89"/>
        <s v="PLAMHUV - VICOSA - MG - PRIVADO - 14.408.631/0001-59"/>
        <s v="CLINICA DE CAMPO GRANDE S/A - CAMPO GRANDE - MS - PRIVADO - 00.860.841/0001-79"/>
        <s v="CENTRO DE ESPECIALIDADES MEDICAS UNIMED FACIL - CUIABA - MT - PRIVADO - 03.533.726/0015-83"/>
        <s v="CLINICA SOUZA BRITO - CUIABA - MT - PRIVADO - 15.016.827/0001-60"/>
        <s v="COMPLEXO HOSPITALAR JARDIM CUIABA - CUIABA - MT - PRIVADO - 01.757.351/0001-04"/>
        <s v="HOSPITAL AMECOR - CUIABA - MT - PRIVADO - 03.925.419/0001-42"/>
        <s v="UNIMED CUIABA DISTRIBUIDORA DE MEDICAMENTOS - CUIABA - MT - PRIVADO - 03.533.726/0007-73"/>
        <s v="HOSPITAL DAS CLINICAS PRIMAVERA - PRIMAVERA DO LESTE - MT - PRIVADO - 01.383.835/0001-30"/>
        <s v="PRONTO ATENDIMENTO UNIMED RONDONOPOLIS - RONDONOPOLIS - MT - PRIVADO - 24.676.884/0007-52"/>
        <s v="BENEFICENCIA NIPO BRASILEIRA DA AMAZONIA - BELEM - PA - PRIVADO - 04.966.545/0003-70"/>
        <s v="HOSPITAL ADVENTISTA DE BELEM - BELEM - PA - PRIVADO - 83.367.342/0002-52"/>
        <s v="LARISSA HELENA AMARAL CASTRO - BELEM - PA - PESSOA FISICA - 917.771.862-34"/>
        <s v="PEDRO FLÁVIO - PESSOA FÍSICA - 123.710.092-53"/>
        <s v="UNIMED DE BELEM COOPERATIVA DE TRABALHO MEDICO - BELEM - PA - PRIVADO - 04.201.372/0010-28"/>
        <s v="HOSPITAL REGIONAL DO BAIXO AM DO PARA DR WALDEMAR PENNA - SANTAREM - PA - PRIVADO - 24.232.886/0083-03"/>
        <s v="ROBERTO MOURA GRISI - PESSOA FÍSICA - 839.256.944-04"/>
        <s v="UNIMED JOAO PESSOA COOPERATIVA DO TRABALHO MEDICO - JOAO PESSOA - PB - PRIVADO - 08.680.639/0006-81"/>
        <s v="HOSPITAL MONTE SINAI LTDA - GARANHUNS - PE - PRIVADO - 03.858.924/0001-11"/>
        <s v="HOSPITAL DA RESTAURACAO - RECIFE - PE - PUBLICO - 10.572.048/0002-09"/>
        <s v="HOSPITAL JAYME DA FONTE - RECIFE - PE - PRIVADO - 11.452.240/0001-43"/>
        <s v="HOSPITAL MEMORIAL SAO JOSE - Recife - PE - PRIVADO - 06.047.087/0092-76"/>
        <s v="HOSPITAL PORTUGUES - RECIFE - PE - PRIVADO - 10.892.164/0001-24"/>
        <s v="HOSPITAL SAO MARCOS - RECIFE - PE - PRIVADO - 02.284.062/0004-40"/>
        <s v="IMIP - RECIFE - PE - PRIVADO - 10.988.301/0001-29"/>
        <s v="SANTA JOANA - RECIFE - PE - PRIVADO - 10.839.561/0001-32"/>
        <s v="EBSERH - HOSPITAL UNIVERSITARIO DO PIAUI - TERESINA - PI - PRIVADO - 15.126.437/0002-24"/>
        <s v="HOSPITAL MED IMAGEM LTDA"/>
        <s v="HOSPITAL UNIMED PRIMAVERA - PRIVADO - 06.555.031/0002-76"/>
        <s v="HOSPITAL ANGELINA CARON - CAMPINA GRANDE DO SUL - PR - PRIVADO - 07.088.017/0001-91"/>
        <s v="FUNDACAO HOSPITALAR SAO LUCAS - CASCAVEL - PR - PRIVADO - 21.998.635/0001-08"/>
        <s v="CIONC - CENTRO INTEGRADO DE ONCOLOGIA DE CURITIBA S/S - CURITIBA - PR - PRIVADO - 07.734.165/0001-36"/>
        <s v="CRUZ VERMELHA BRASILEIRA - FILIAL DO ESTADO DO PARANA - CURITIBA - PR - PRIVADO - 07.404.052/0001-72"/>
        <s v="FUNDO ESTADUAL DE SAUDE DO PARANA - FUNSAUDE - CURITIBA - PR - PUBLICO - 08.597.121/0001-74"/>
        <s v="HOSPITAL ECOVILLE - CURITIBA - PR - PRIVADO - 00.942.063/0001-67"/>
        <s v="HOSPITAL INFANTIL PEQUENO PRINCIPE - CURITIBA - PR - PRIVADO - 76.591.569/0001-30"/>
        <s v="HOSPITAL MARCELINO CHAMPAGNAT - CURITIBA - PR - PRIVADO - 76.659.820/0023-67"/>
        <s v="HOSPITAL NOSSA SENHORA DAS GRACAS - CURITIBA - PR - PRIVADO - 76.562.198/0001-69"/>
        <s v="HOSPITAL SANTA CRUZ SOCIEDADE ANONIMA - CURITIBA - PR - PRIVADO - 76.555.069/0001-43"/>
        <s v="HOSPITAL VITORIA - CURITIBA - PR - PRIVADO - 29.435.005/0056-00"/>
        <s v="ICTR - INSTITUTO DO CANCER E TRANSPLANTE S/C - CURITIBA - PR - PRIVADO - 03.824.198/0001-16"/>
        <s v="INSTITUTO DE HEMATOLOGIA E ONCOLOGIA CURITIBA - CURITIBA - PR - PRIVADO - 03.850.913/0001-95"/>
        <s v="NOSSA SAUDE OPERADORA DE PLANOS PRIVADOS DE ASSISTENCIA A SAUDE LTDA. - CURITIBA - PR - PRIVADO - 02.862.447/0002-86"/>
        <s v="ONIX MATEUS LEME - CURITIBA - PR - PRIVADO - 30.117.769/0001-55"/>
        <s v="HOSPITAL MINISTRO COSTA CAVALCANTI - FOZ DO IGUACU - PR - PRIVADO - 00.304.148/0001-10"/>
        <s v="PRO-ONCO CENTRO DE TRATAMENTO ONCOLOGICO SS LTDA - LONDRINA - PR - PRIVADO - 73.863.342/0001-09"/>
        <s v="PRONTO ATENDIMENTO UNIMED LONDRINA - PRIVADO - 75.222.224/0018-95"/>
        <s v="HOSPITAL PARANA - MARINGA - PR - PRIVADO - 77.265.361/0001-94"/>
        <s v="CEMED CARE - EMPRESA DE ATENDIMENTO CLINICO GERAL LTDA - SAO JOSE DOS PINHAIS - PR - PRIVADO - 07.794.623/0022-57"/>
        <s v="HOSPITAL CAXIAS DOR - DUQUE DE CAXIAS - RJ - PRIVADO - 06.047.087/0013-72"/>
        <s v="UNIMED COSTA DO SOL - HOSPITAL - MACAE - RJ - PRIVADO - 35.830.868/0004-46"/>
        <s v="CON-CENTRO ONCOLOGICO DE NITEROI LTDA - NITEROI - RJ - PRIVADO - 00.437.007/0001-75"/>
        <s v="HOSPITAL HCN - NITEROI - RJ - PRIVADO - 60.884.855/0012-07"/>
        <s v="ONCOLOGIA CLINICA NITEROI S/S - NITEROI - RJ - PRIVADO - 00.521.197/0001-04"/>
        <s v="UNIMED DE NOVA FRIBURGO - NOVA FRIBURGO - RJ - PRIVADO - 29.135.795/0002-08"/>
        <s v="CEMED CARE - EMPRESA DE ATENDIMENTO CLINICO GERAL LTDA - NOVA IGUACU - RJ - PRIVADO - 07.794.623/0015-28"/>
        <s v="HOSPITAL UNIMED - PETROPOLIS - RJ - PRIVADO - 28.806.545/0005-32"/>
        <s v="HOSPITAL UNIMED RESENDE - RESENDE - RJ - PRIVADO - 68.709.211/0002-12"/>
        <s v="SAMER HOSPITAL - RESENDE - RJ - PRIVADO - 29.072.642/0001-88"/>
        <s v="BRASIF S/A ADMINISTRACAO E PARTICIPACOES - 21.109.731/0001-40"/>
        <s v="CASA DE SAUDE SAO JOSE - RIO DE JANEIRO - RJ - PRIVADO - 60.922.168/0003-48"/>
        <s v="CEMED CARE - EMPRESA DE ATENDIMENTO CLINICO GERAL LTDA - RIO DE JANEIRO - RJ - PRIVADO - 07.794.623/0048-96"/>
        <s v="CENTRO DE ESTUDOS E PESQUISAS 28 - RIO DE JANEIRO - RJ - PRIVADO - 33.927.377/0001-40"/>
        <s v="CENTRON - CENTRO DE TRATAMENTO ONCOLOGICO LTDA - RIO DE JANEIRO - RJ - PRIVADO - 02.864.097/0001-06"/>
        <s v="CLINICA SAO VICENTE - RIO DE JANEIRO - RJ - PRIVADO - 31.635.857/0001-01"/>
        <s v="COI CLINICAS ONCOLOGICAS INTEGRADAS SA - RIO DE JANEIRO - RJ - PRIVADO - 39.086.160/0001-30"/>
        <s v="HOMEBABY HOMECARE DA CRIANCA ATENDIMENTO MEDICO DOMICILIAR LIMITADA - RIO DE JANEIRO - RJ - PRIVADO - 21.265.360/0001-95"/>
        <s v="HOSPITAIS INTEGRADOS DA GAVEA S/A - RIO DE JANEIRO - RJ - PRIVADO - 31.635.857/0002-92"/>
        <s v="HOSPITAL ADVENTISTA SILVESTRE - RIO DE JANEIRO - RJ - PRIVADO - 73.696.718/0002-19"/>
        <s v="HOSPITAL BARRA DOR - RIO DE JANEIRO - RJ - PRIVADO - 02.284.062/0005-21"/>
        <s v="HOSPITAL CASA ARRENDATARIA SERVICOS MEDICOS HOSPITALARES E INVESTIMENTOS LTDA - RIO DE JANEIRO - RJ - PRIVADO - 24.217.779/0001-60"/>
        <s v="HOSPITAL CASA DE PORTUGAL - RIO DE JANEIRO - RJ - PRIVADO - 11.279.865/0001-55"/>
        <s v="HOSPITAL CENTRALDO EXERCITO - RIO DE JANEIRO - RJ - PUBLICO - 09.609.235/0002-30"/>
        <s v="HOSPITAL COPA DOR - RIO DE JANEIRO - RJ - PRIVADO - 06.047.087/0009-96"/>
        <s v="HOSPITAL COPA DOR STAR - PRIVADO - 06.047.087/0026-97"/>
        <s v="HOSPITAL DA LAGOA/RJ - RIO DE JANEIRO - RJ - PUBLICO - 00.394.544/0204-53"/>
        <s v="HOSPITAL DE CLINICAS RIO MAR BARRA LTDA - RIO DE JANEIRO - RJ - PRIVADO - 32.154.700/0001-27"/>
        <s v="HOSPITAL DR BADIM - RIO DE JANEIRO - RJ - PRIVADO - 27.901.222/0001-31"/>
        <s v="HOSPITAL FEDERAL CARDOSO FONTES - RIO DE JANEIRO - RJ - PUBLICO - 00.394.544/0203-72"/>
        <s v="HOSPITAL GERAL DE BONSUCESSO/RJ - RIO DE JANEIRO - RJ - PUBLICO - 00.394.544/0202-91"/>
        <s v="HOSPITAL GERAL DE IPANEMA/RJ - RIO DE JANEIRO - RJ - PUBLICO - 00.394.544/0210-00"/>
        <s v="HOSPITAL NORTE DOR DE CASCADURA S.A - RIO DE JANEIRO - RJ - PRIVADO - 09.578.217/0001-58"/>
        <s v="HOSPITAL OESTE DOR - RIO DE JANEIRO - RJ - PRIVADO - 06.047.087/0033-16"/>
        <s v="HOSPITAL PASTEUR - RIO DE JANEIRO - RJ - PRIVADO - 29.435.005/0057-83"/>
        <s v="HOSPITAL PRO-CARDIACO - RIO DE JANEIRO - RJ - PRIVADO - 29.435.005/0051-98"/>
        <s v="HOSPITAL QUINTA DOR - RIO DE JANEIRO - RJ - PRIVADO - 06.047.087/0010-20"/>
        <s v="HOSPITAL RIOS DOR - RIO DE JANEIRO - RJ - PRIVADO - 29.259.736/0004-03"/>
        <s v="HOSPITAL SAMARITANO - RIO DE JANEIRO - RJ - PRIVADO - 08.100.676/0021-02"/>
        <s v="HOSPITAL SAMARITANO - RIO DE JANEIRO - RJ - PRIVADO - 29.435.005/0061-60"/>
        <s v="HOSPITAL SAO FRANCISCO NA PROVIDENCIA DE DEUS - RIO DE JANEIRO - RJ - PRIVADO - 53.221.255/0049-95"/>
        <s v="HOSPITAL SAO LUCAS - RIO DE JANEIRO - RJ - PRIVADO - 60.884.855/0016-30"/>
        <s v="HOSPITAL SAO VICENTE DE PAULO - RIO DE JANEIRO - RJ - PRIVADO - 18.010.750/0001-00"/>
        <s v="HOSPITAL UNIVERSITARIO - RIO DE JANEIRO - RJ - PUBLICO - 33.663.683/0053-47"/>
        <s v="INSTITUTO DE PUERICULTURA E PEDIATRIA MARTAGAO GESTEIR - RIO DE JANEIRO - RJ - PUBLICO - 33.663.683/0026-74"/>
        <s v="INSTITUTO DOR DE GESTAO DE SAUDE PUBLICA - RIO DE JANEIRO - RJ - PRIVADO - 08.850.962/0002-22"/>
        <s v="INSTITUTO FERNANDES FIGUEIRA - RIO DE JANEIRO - RJ - PUBLICO - 33.781.055/0002-16"/>
        <s v="INSTITUTO NACIONAL DE CARDIOLOGIA - RIO DE JANEIRO - RJ - PUBLICO - 00.394.544/0213-44"/>
        <s v="LARANJEIRAS CLINICA PERINATAL - RIO DE JANEIRO - RJ - PRIVADO - 33.419.482/0002-59"/>
        <s v="MARIA BEATRIZ DE SOUZA MOREIRA - RIO DE JANEIRO - RJ - PESSOA FISICA - 111.149.877-60"/>
        <s v="ONCOCLINICA - CENTRO DE TRATAMENTO ONCOLOGICO S.A. - PRIVADO - 72.101.124/0005-06"/>
        <s v="ONCOLOGIA REDE DOR S.A. - RIO DE JANEIRO - RJ - PRIVADO - 28.000.107/0001-59"/>
        <s v="PETROBRAS - RIO DE JANEIRO - RJ - PRIVADO - 33.000.167/0001-01"/>
        <s v="UNIMED-RIO EMPREENDIMENTOS MEDICOS E HOSPITALARES LTDA - RIO DE JANEIRO - RJ - PRIVADO - 09.219.138/0005-84"/>
        <s v="URGIL - RIO DE JANEIRO - RJ - PRIVADO - 28.602.407/0001-08"/>
        <s v="HOSPITAL RODOLFO FERNANDES - MOSSORO - RN - PRIVADO - 12.361.267/0091-40"/>
        <s v="CASA DE SAUDE SAO LUCAS S/A - NATAL - RN - PRIVADO - 08.319.329/0001-21"/>
        <s v="EMPRESA BRASILEIRA DE SERVICOS HOSPITALARES - EBSERH - NATAL - RN - PRIVADO - 15.126.437/0007-39"/>
        <s v="ESHO EMPRESA DE SERVICOS HOSPITALARES S.A. - NATAL - RN - PRIVADO - 29.435.005/0098-51"/>
        <s v="HOSP INF VAR SANT - NATAL - RN - PRIVADO - 08.337.586/0001-96"/>
        <s v="HOSPITAL DO CORACAO DE NATAL LTDA - NATAL - RN - PRIVADO - 00.820.737/0001-50"/>
        <s v="HOSPITAL UNIMED - NATAL - RN - PRIVADO - 08.380.701/0006-10"/>
        <s v="INCOR NATAL - NATAL - RN - PRIVADO - 01.507.901/0001-37"/>
        <s v="ASSOCIACAO DR BARTHOLOMEU TACCHINI - BENTO GONCALVES - RS - PRIVADO - 87.547.444/0001-20"/>
        <s v="HOSPITAL UNIMED CAXIAS DO SUL - CAXIAS DO SUL - RS - PRIVADO - 87.827.689/0024-05"/>
        <s v="INSTITUTO DEVITA - CAXIAS DO SUL - RS - PRIVADO - 01.140.803/0001-04"/>
        <s v="COMANDO DA ARTILHARIA DIVIS DA TERC DIVISAO DE EXERCITO - CRUZ ALTA - RS - PUBLICO - 09.572.216/0002-87"/>
        <s v="HOSPITAL SAO VICENTE DE PAULO - PASSO FUNDO - RS - PRIVADO - 92.021.062/0003-60"/>
        <s v="UNIMED PLANALTO MEDIO - COOPERATIVA DE SERVICOS MEDICOS - PASSO FUNDO - RS - PRIVADO - 87.607.149/0006-26"/>
        <s v="ASSOCIACAO HOSPITALAR MOINHOS DE VENTO - PORTO ALEGRE - RS - PRIVADO - 92.685.833/0001-51"/>
        <s v="FUNDACAO UNIVERSITARIA DE CARDIOLOGIA - PORTO ALEGRE - RS - PRIVADO - 92.898.550/0001-98"/>
        <s v="HOSPITAL BDW - PORTO ALEGRE - RS - PRIVADO - 26.947.257/0001-49"/>
        <s v="HOSPITAL CRISTO REDENTOR - PORTO ALEGRE - RS - PRIVADO - 92.787.118/0003-91"/>
        <s v="HOSPITAL DE CLINICAS - PORTO ALEGRE - RS - PRIVADO - 87.020.517/0001-20"/>
        <s v="HOSPITAL DIVINA PROVIDENCIA - PORTO ALEGRE - RS - PRIVADO - 87.317.764/0010-84"/>
        <s v="HOSPITAL ERNESTO DORNELLES - PORTO ALEGRE - RS - PRIVADO - 92.741.016/0002-54"/>
        <s v="HOSPITAL MAE DE DEUS - PORTO ALEGRE - RS - PRIVADO - 88.625.686/0024-43"/>
        <s v="HOSPITAL SAO LUCAS DA PUCRS - PORTO ALEGRE - RS - PRIVADO - 88.630.413/0007-96"/>
        <s v="INSTITUTO DE ONCOLOGIA KAPLAN - PORTO ALEGRE - RS - PRIVADO - 94.831.294/0001-47"/>
        <s v="IRMANDADE DA SANTA CASA DE MISERICORDIA DE PORTO ALEGRE - PORTO ALEGRE - RS - PRIVADO - 92.815.000/0001-68"/>
        <s v="RS SSA GABINETE DO SECRETARIO - PORTO ALEGRE - RS - PUBLICO - 87.958.625/0001-49"/>
        <s v="VIP HOME CARE ATENDIMENTO DOMICILIAR LTDA"/>
        <s v="EBSERH - HOSPITAL UNIVERSITARIO DE SANTA MARIA - SANTA MARIA - RS - PRIVADO - 15.126.437/0019-72"/>
        <s v="HOSPITAL DE CARIDADE DR ASTROGILDO DE AZEVEDO - SANTA MARIA - RS - PRIVADO - 95.610.887/0001-46"/>
        <s v="HOSPITAL DE GUARNICAO DE SANTA MARIA - SANTA MARIA - RS - PUBLICO - 09.605.231/0002-84"/>
        <s v="HOSPITAL DO CORACAO DE BALNEARIO CAMBORIU LTDA - BALNEARIO CAMBORIU - SC - PRIVADO - 01.517.626/0001-32"/>
        <s v="HOSPITAL UNIMED LITORAL - BALNEARIO CAMBORIU - SC - PRIVADO - 85.377.174/0003-92"/>
        <s v="HOSPITAL SANTA ISABEL - BLUMENAU - SC - PRIVADO - 60.922.168/0052-26"/>
        <s v="HOSPITAL UNIMED BLUMENAU - UNIDADE VILA NOVA - BLUMENAU - SC - PRIVADO - 82.624.776/0006-51"/>
        <s v="SERVICOS DE QUIMIOTERAPIA UNIMED BRUSQUE - BRUSQUE - SC - PRIVADO - 01.554.266/0003-00"/>
        <s v="CEOF - FLORIANOPOLIS - SC - PRIVADO - 01.125.832/0001-05"/>
        <s v="FES - FLORIANOPOLIS - SC - PUBLICO - 80.673.411/0001-87"/>
        <s v="HU - UFSC - FLORIANOPOLIS - SC - PUBLICO - 83.899.526/0004-25"/>
        <s v="IMPERIAL HOSPITAL DE CARIDADE - FLORIANOPOLIS - SC - PRIVADO - 83.884.999/0001-06"/>
        <s v="VIVER CLINICA MEDICA LTDA - FLORIANOPOLIS - SC - PRIVADO - 04.670.913/0001-76"/>
        <s v="HOSPITAL UNIMED - SAO JOSE - SC - PRIVADO - 17.034.086/0001-76"/>
        <s v="UNIMED GRANDE FLORIANOPOLIS - COOPERATIVA DE TRABALHO MEDICO - SAO JOSE - SC - PRIVADO - 77.858.611/0014-14"/>
        <s v="CLINICA PRO-VIDA LTDA - TUBARAO - SC - PRIVADO - 80.490.618/0001-16"/>
        <s v="CENTRO MEDICO GABRIEL SOARES - ARACAJU - SE - PRIVADO - 12.361.267/0005-17"/>
        <s v="HOSPITAL DE CIRURGIA - ARACAJU - SE - PRIVADO - 13.016.332/0001-06"/>
        <s v="HOSPITAL SAO LUCAS - ARACAJU - SE - PRIVADO - 13.131.370/0001-00"/>
        <s v="HOSPITAL UNIMED - ARACAJU - SE - PRIVADO - 15.592.785/0001-06"/>
        <s v="REDE PRIMAVERA - HOSPITAL PRIMAVERA - ARACAJU - SE - PRIVADO - 13.356.779/0001-24"/>
        <s v="INSTITUTO DO CANCER DE ANDRADINA - PRIVADO - 25.026.561/0001-90"/>
        <s v="JHOSPITAL UNIMED DE ARARAS - ARARAS - SP - PRIVADO - 54.012.406/0003-85"/>
        <s v="ALBERT SABIN HOSPITAL E MATERNIDADE - ATIBAIA - SP - PRIVADO - 04.275.687/0001-29"/>
        <s v="HOSPITAL UNIMED - BAURU - SP - PRIVADO - 44.456.036/0003-11"/>
        <s v="HOSPITAL E MATERNIDADE CELSO PIERRO - CAMPINAS - SP - PRIVADO - 46.020.301/0002-69"/>
        <s v="HOSPITAL VERA CRUZ S A - CAMPINAS - SP - PRIVADO - 46.009.718/0001-40"/>
        <s v="INSTITUTO DO RADIUM - CAMPINAS - SP - PRIVADO - 51.877.926/0001-09"/>
        <s v="INTERMEDICA SISTEMA DE SAUDE S A - CAMPINAS - SP - PRIVADO - 44.649.812/0192-38"/>
        <s v="PREFEITURA MUNICIPAL DE CAMPINAS - CAMPINAS - SP - PUBLICO - 51.885.242/0001-40"/>
        <s v="UNIDADE HOSP GERAL E MATERNIDADE MADRE MARIA THEODORA  - CAMPINAS - SP - PRIVADO - 29.435.005/0084-56"/>
        <s v="UNIMED CAMPINAS COOPERATIVA DE TRABALHO MEDICO - CAMPINAS - SP - PRIVADO - 46.124.624/0001-11"/>
        <s v="ALERGO LOGICA DIAGNOSTICO EM ALERGIA LTDA ME - PRIVADO - 10.447.300/0001-77"/>
        <s v="HOSPITAL PADRE ALBINO - CATANDUVA - SP - PRIVADO - 47.074.851/0008-19"/>
        <s v="UNIMED HOSPITAL SAO DOMINGOS - CATANDUVA - SP - PRIVADO - 45.118.429/0012-79"/>
        <s v="HOSPITAL SAO JOAQUIM - FRANCA - SP - PRIVADO - 50.486.026/0001-60"/>
        <s v="PREFEITURA MUNICIPAL DE GUARARAPES - GUARARAPES - SP - PUBLICO - 48.468.284/0001-71"/>
        <s v="ESHO EMPRESA DE SERVICOS HOSPITALARES S.A. - PRIVADO - 29.435.005/0082-94"/>
        <s v="ASSOCIACAO BENEFICENTE SAMARITANO - HORTOLANDIA - SP - PRIVADO - 06.209.132/0001-04"/>
        <s v="JUNDIAI GABINETE PREFEITO - JUNDIAI - SP - PUBLICO - 45.780.103/0001-50"/>
        <s v="PREFEITURA DE LINS - LINS - SP - PUBLICO - 44.531.788/0001-38"/>
        <s v="HOSPITAL SINO BRASILEIRO - OSASCO - SP - PRIVADO - 06.047.087/0076-56"/>
        <s v="UNIMED DE PIRACICABA SOC COOP DE SERVICOS MEDICOS - PIRACICABA - SP - PRIVADO - 44.803.922/0002-93"/>
        <s v="UNIMED DE PIRASSUNUNGA COOPERATIVA DE TRABALHO MEDICO - SP - SAO PAULO - 00.840.048/0004-50"/>
        <s v="CENTRO DE REFERENCIA DA SAUDE DA MULHER - MATER - RIBEIRAO PRETO - SP - PRIVADO - 57.722.118/0003-02"/>
        <s v="DEPARTAM. REGIONAL DE SAUDE DE RIB. PRETO - DRS XIII - PUBLICO - 46.374.500/0035-33"/>
        <s v="HOSPITAL SAO FRANCISCO DE RIBEIRAO PRETO SP - PRIVADO - 01.613.433/0068-92"/>
        <s v="HOSPITAL SAO LUCAS - RIBEIRAO PRETO - SP - PRIVADO - 55.980.148/0001-21"/>
        <s v="UNIMED DE RIBEIRAO PRETO COOPERATIVA DE TRABALHO MEDICO - RIBEIRAO PRETO - SP - PRIVADO - 45.232.246/0005-50"/>
        <s v="HOSPITAL E MATERNIDADE UNIMED - RIO CLARO - SP - PRIVADO - 44.663.631/0005-90"/>
        <s v="HOSPITAL ACACIAS - SANTO ANDRE - SP - PRIVADO - 13.718.999/0010-41"/>
        <s v="HSH - SANTO ANDRE - SP - PRIVADO - 06.033.403/0001-13"/>
        <s v="UNIDADE HOSPITAL VITORIA SANTOS - PRIVADO - 29.435.005/0080-22"/>
        <s v="UNIMED DE SANTOS COOPERATIVA DE TRABALHO MEDICO - SANTOS - SP - PRIVADO - 58.229.691/0010-70"/>
        <s v="SANTA HELENA ASSISTENCIA MEDICA S/A - SAO BERNARDO DO CAMPO - SP - PRIVADO - 43.293.604/0021-20"/>
        <s v="HOSPITAL UNIMED SAO CARLOS - SAO CARLOS - SP - PRIVADO - 45.359.213/0005-76"/>
        <s v="CASA DE SAUDE SANTA HELENA - SAO JOSE DO RIO PRETO - SP - PRIVADO - 59.970.947/0001-78"/>
        <s v="HOME CARE CENE - SAO JOSE DO RIO PRETO - SP - PRIVADO - 02.643.405/0001-73"/>
        <s v="HOSPITAL DE BASE - SAO JOSE DO RIO PRETO - SP - PRIVADO - 60.003.761/0001-29"/>
        <s v="HOSPITAL INFANTE DOM HENRIQUE - SAO JOSE DO RIO PRETO - SP - PRIVADO - 59.972.307/0001-05"/>
        <s v="HOSPITAL POLICLIN - SAO JOSE DOS CAMPOS - SP - PRIVADO - 45.184.066/0001-17"/>
        <s v="HOSPITAL SANTOS DUMONT - SAO JOSE DOS CAMPOS - SP - PRIVADO - 60.214.517/0016-91"/>
        <s v="HOSPITAL VIVALLE - SAO JOSE DOS CAMPOS - SP - PRIVADO - 06.047.087/0030-73"/>
        <s v="UNIMED SAO JOSE DOS CAMPOS - COOPERATIVA DE TRABALHO MEDICO - SAO JOSE DOS CAMPOS - SP - PRIVADO - 60.214.517/0009-62"/>
        <s v="SANTA CASA SAUDE - PRIVADO - 18.321.477/0001-34"/>
        <s v="A.C.CAMARGO CANCER CENTER - SAO PAULO - SP - PRIVADO - 60.961.968/0001-06"/>
        <s v="AMICO SAUDE LTDA  - SAO PAULO  - SP - PRIVADO - 51.722.957/0102-26"/>
        <s v="ASSOCIACAO HOSPITALAR FILHAS DE NOSSA SENHORA DO MONTE CALVARIO - SAO PAULO - SP - PRIVADO - 18.180.008/0001-42"/>
        <s v="CENTRAL CLINIC - SAO PAULO - SP - PRIVADO - 02.383.508/0004-94"/>
        <s v="CENTRO INFUSIONAL E REFERENCIA MEDICA - FESP - SAO PAULO - SP - PRIVADO - 43.643.139/0004-09"/>
        <s v="CIP - CENTRO DE INFUSOES PACAEMBU LTDA - SAO PAULO - SP - PRIVADO - 08.871.521/0001-26"/>
        <s v="CLINICA DE ONCOLOGIA MEDICA SOCIEDADE SIMPLES LTDA - SAO PAULO - SP - PRIVADO - 59.481.028/0001-30"/>
        <s v="CRETA - CENTRO REUMATOLOGICO DE TERAPIA AVANCADA LTDA - SAO PAULO - SP - PRIVADO - 10.468.341/0002-20"/>
        <s v="CRETA - CENTRO REUMATOLOGICO DE TERAPIA AVANCADA LTDA. - ME - SAO PAULO - SP - PRIVADO - 10.468.341/0001-40"/>
        <s v="ESHO EMPRESA DE SERVICOS HOSPITALARES S.A - SAO PAULO - SP - PRIVADO - 29.435.005/0099-32"/>
        <s v="EV CITI - SAO PAULO - SP - PRIVADO - 10.323.381/0001-01"/>
        <s v="FARMACIA ONCO STAR - SAO PAULO - SP - PRIVADO - 28.290.788/0003-07"/>
        <s v="GLOBAL CARE ASSISTENCIA DOMICILIAR LTDA - SAO PAULO - SP - PRIVADO - 03.872.790/0001-93"/>
        <s v="GREEN LINE SISTEMA DE SAUDE S/A - SAO PAULO - SP - PRIVADO - 61.849.980/0010-87"/>
        <s v="H. METROPOLITANO - UNIDADE BUTANTA - SAO PAULO - SP - PRIVADO - 08.100.676/0008-35"/>
        <s v="HEMOMED - SAO PAULO - SP - PRIVADO - 10.475.230/0001-60"/>
        <s v="HOME LIFE ASSISTENCIA DOMICILIAR EM SAUDE - PRIVADO - 08.438.844/0003-92"/>
        <s v="HOSP SAO LUIZ ANALIA FRANCO - SAO PAULO - SP - PRIVADO - 06.047.087/0001-39"/>
        <s v="HOSPITAL 9 DE JULHO - SAO PAULO - SP - PRIVADO - 60.884.855/0003-16"/>
        <s v="HOSPITAL ALEMAO OSWALDO CRUZ - SAO PAULO - SP - PRIVADO - 60.726.502/0001-26"/>
        <s v="HOSPITAL ALEMAO OSWALDO CRUZ - SAO PAULO - SP - PRIVADO - 60.726.502/0007-11"/>
        <s v="HOSPITAL ALVORADA MOEMA - SAO PAULO - SP - PRIVADO - 08.100.676/0005-92"/>
        <s v="HOSPITAL ALVORADA TAGUATINGA LTDA - SAO PAULO - SP - PRIVADO - 08.100.676/0024-55"/>
        <s v="HOSPITAL AMPARO MATERNAL - SAO PAULO - SP - PRIVADO - 60.922.168/0043-35"/>
        <s v="HOSPITAL BANDEIRANTES LTDA  - SAO PAULO - SP - PRIVADO - 21.371.777/0001-32"/>
        <s v="HOSPITAL DAS CLINICAS DA FACULDADE DE MEDICINA DA U S P - SAO PAULO - SP - PUBLICO - 60.448.040/0001-22"/>
        <s v="HOSPITAL DO CORACAO - SAO PAULO - SP - PRIVADO - 60.453.024/0003-90"/>
        <s v="HOSPITAL E MATERNIDADE METROPOLITANO - SAO PAULO - SP - PRIVADO - 51.722.957/0125-12"/>
        <s v="HOSPITAL E MATERNIDADE SANTA JOANA S/A - SAO PAULO - SP - PRIVADO - 60.678.604/0001-13"/>
        <s v="HOSPITAL E MATERNIDADE SANTA MARIA - SAO PAULO - SP - PRIVADO - 62.106.505/0001-92"/>
        <s v="HOSPITAL E MATERNIDADE SAO CRISTOVAO - SAO PAULO - SP - PRIVADO - 60.975.174/0003-63"/>
        <s v="HOSPITAL E MATERNIDADE VITORIA - SAO PAULO - SP - PRIVADO - 29.435.005/0045-40"/>
        <s v="HOSPITAL INFANTIL SABARA - SAO PAULO - SP - PRIVADO - 61.213.674/0002-40"/>
        <s v="HOSPITAL LEFORTE LTDA  - SAO PAULO  - SP - PRIVADO - 19.803.199/0001-14"/>
        <s v="HOSPITAL PAULISTANO - SAO PAULO - SP - PRIVADO - 29.435.005/0026-87"/>
        <s v="HOSPITAL SANCTA MAGGIORE ITAIM - SAO PAULO - SP - PRIVADO - 00.461.479/0019-92"/>
        <s v="HOSPITAL SANTA CATARINA - SAO PAULO - SP - PRIVADO - 60.922.168/0007-71"/>
        <s v="HOSPITAL SANTA CRUZ - SAO PAULO - SP - PRIVADO - 60.552.098/0001-11"/>
        <s v="HOSPITAL SANTA PAULA LTDA - SAO PAULO - SP - PRIVADO - 60.777.901/0001-16"/>
        <s v="HOSPITAL SAO CAMILO - SANTANA - SAO PAULO - SP - PRIVADO - 60.975.737/0012-04"/>
        <s v="HOSPITAL SAO LUIZ JABAQUARA - SAO PAULO - SP - PRIVADO - 06.047.087/0038-20"/>
        <s v="HOSPITAL VILA NOVA STAR - SAO PAULO - SP - PRIVADO - 28.290.788/0001-37"/>
        <s v="INSTITUTO DE IMUNOLOGIA E ONCOLOGIA S/S LTDA - SAO PAULO - SP - PRIVADO - 05.831.510/0001-24"/>
        <s v="INSTITUTO DE ONCOLOGIA PREVENT SENIOR - SAO PAULO - SP - PRIVADO - 00.461.479/0045-84"/>
        <s v="INSTITUTO DO CANCER DO ESTADO DE SAO PAULO - SAO PAULO - SP - PRIVADO - 56.577.059/0006-06"/>
        <s v="INTERMEDICA SISTEMA DE SAUDE - SAO PAULO - SP - PRIVADO - 44.649.812/0055-20"/>
        <s v="IRMANDADE DA SANTA CASA DE MISERICORDIA DE SAO PAULO - SAO PAULO - SP - PRIVADO - 62.779.145/0001-90"/>
        <s v="NOVO SANTO EXPEDITO - SAO PAULO - SP - PRIVADO - 13.718.999/0001-50"/>
        <s v="ONCOCENTER SERVICOS MEDICOS LTDA. - SAO PAULO - SP - PRIVADO - 04.036.348/0001-90"/>
        <s v="PEDIATRICS HOME CARE - INTERNACAO MEDICA DOMICILIAR LTDA"/>
        <s v="PRONEP SAO PAULO - SAO PAULO - SP - PRIVADO - 02.837.922/0001-83"/>
        <s v="REAL E BENEMERITA ASSOCIACAO PORTUGUESA DE BENEFICENCIA - SAO PAULO - SP - PRIVADO - 61.599.908/0001-58"/>
        <s v="SAHA SERVICOS MEDICOS E HOSPITALARES LTDA. - SAO PAULO - SP - PRIVADO - 07.045.325/0001-30"/>
        <s v="SAO LUIZ  UNIDADE ITAIM - SAO PAULO - SP - PRIVADO - 06.047.087/0002-10"/>
        <s v="SEPACO - SAO PAULO - SP - PRIVADO - 60.961.422/0001-55"/>
        <s v="SOC BENEFICIENTE DE SENHORAS HOSPITAL SIRIO LIBANES - SAO PAULO - SP - PRIVADO - 61.590.410/0001-24"/>
        <s v="SR CARE ASSISTENCIA DOMICILIAR LTDA - PRIVADO - 20.812.223/0002-41"/>
        <s v="UNIDADE DE ONCOLOGIA CLINICA E PEDIATRICA LTDA. - EPP - SAO PAULO - SP - PRIVADO - 57.394.710/0001-60"/>
        <s v="UNIMED - SOROCABA - SP - PRIVADO - 45.399.961/0002-30"/>
        <s v="UNIMED CAMPINAS COOPERATIVA DE TRABALHO MEDICO - SUMARE - SP - PRIVADO - 46.124.624/0025-99"/>
        <s v="JEAN STANISLAS MARIE BRUNET-LECOMTE - PESSOA FÍSICA - 239.415.938-38"/>
        <s v="MEDRADIUS - MACEIO - AL - PRIVADO - 03.866.223/0001-24"/>
        <s v="HOSPITAL FRANCISCA DE SANDE - FEIRA DE SANTANA - BA - PRIVADO - 12.361.267/0104-07"/>
        <s v="FBC - SALVADOR - BA - PRIVADO - 16.475.154/0002-50"/>
        <s v="HOSPITAL DA CIDADE - SALVADOR - BA - PRIVADO - 03.376.102/0001-02"/>
        <s v="PRODAL SAUDE S/A - SALVADOR - BA - PRIVADO - 11.943.553/0001-02"/>
        <s v="SEMEC - SALVADOR - BA - PRIVADO - 15.140.254/0001-82"/>
        <s v="HOSPITAL INCAR - SANTO ANTONIO DE JESUS - BA - PRIVADO - 05.652.543/0001-07"/>
        <s v="CASA DE SAUDE E MATERNIDADE SAO RAIMUNDO SA - FORTALEZA - CE - PRIVADO - 07.245.269/0001-87"/>
        <s v="DEPOSITO-ARMAZEM DE FORTALEZA - FORTALEZA - CE - PRIVADO - 05.874.946/0002-81"/>
        <s v="EBSERH - COMPLEXO HOSPITALAR DO CEARA (HUWC E MEAC) - FORTALEZA - CE - PRIVADO - 15.126.437/0014-68"/>
        <s v="HOSPITAL SAO CARLOS LTDA - FORTALEZA - CE - PRIVADO - 11.794.674/0001-21"/>
        <s v="HOSPITAL SAO MATEUS LTDA. - FORTALEZA - CE - PRIVADO - 41.580.077/0001-65"/>
        <s v="CLINICA DE DOENCAS RENAIS DE BRASILIA LTDA - PRIVADO - 01.602.408/0001-04"/>
        <s v="CLINICA DE NEUROLOGIA E NEUROINFUSAO DE BRASILIA - BRASILIA - DF - PRIVADO - 30.135.335/0001-88"/>
        <s v="DEPARTAMENTO DE LOGISTICA - BRASILIA - DF - PUBLICO - 00.394.544/0008-51"/>
        <s v="EBSERH HOSPITAL UNIVERSITARIO DE BRASILIA - BRASILIA - DF - PRIVADO - 15.126.437/0003-05"/>
        <s v="ICIPE - BRASILIA - DF - PRIVADO - 10.942.995/0001-63"/>
        <s v="SANTA LUCIA - BRASILIA - DF - PRIVADO - 00.025.841/0001-53"/>
        <s v="HOSPITAL DR. ROBERTO ARNIZAUT SILVARES - SAO MATEUS - ES - PUBLICO - 27.080.605/0003-58"/>
        <s v="NEON - NUCLEO ESPECIALIZADO EM ONCOLOGIA - SERRA - ES - PRIVADO - 04.786.490/0001-54"/>
        <s v="CIAS UNIMED VITORIA - CENTRO INTEGRADO ATENCAO A SAUDE - VITORIA - ES - PRIVADO - 27.578.434/0015-25"/>
        <s v="HOSPITAL MULTI ESPECIALIDADES LTDA EPP - PRIVADO - 21.155.621/0001-14"/>
        <s v="MATERNIDADE FEMINA - GOIANIA - GO - PRIVADO - 00.053.629/0001-08"/>
        <s v="PETROBRAS - SENADOR CANEDO - GO - PRIVADO - 33.000.167/0021-55"/>
        <s v="FARMA REGIA - SANTA HELENA - MA - PRIVADO - 03.210.872/0001-72"/>
        <s v="CLINICA SAO MARCOS - SAO LUIS - MA - PRIVADO - 07.750.144/0001-04"/>
        <s v="UNIMED ARAGUARI - ARAGUARI - MG - PRIVADO - 20.909.271/0001-71"/>
        <s v="CASA DE CARIDADE DE CARANGOLA - CARANGOLA - MG - PRIVADO - 19.274.091/0001-81"/>
        <s v="FUNDACAO OURO BRANCO - OURO BRANCO - MG - PRIVADO - 21.299.615/0001-30"/>
        <s v="SANTA CASA DE MISERICORDIA NOSSA SENHORA DO PATROCINIO - PATROCINIO - MG - PRIVADO - 23.406.564/0001-24"/>
        <s v="GUILHERME MOURA DA SILVA - RIBEIRAO DAS NEVES - MG - PESSOA FISICA - 703.064.536-73"/>
        <s v="UNIMED UBERABA COOPERATIVA DE TRABALHO MEDICO LTDA"/>
        <s v="HOSPITAL E MATERNIDADE SANTA CLARA LTDA - UBERLANDIA - MG - PRIVADO - 25.761.040/0001-87"/>
        <s v="HOSPITAL UNIVERSITARIO DA UFGD - DOURADOS - MS - PUBLICO - 07.775.847/0002-78"/>
        <s v="HOSPITAL LAYR MAIA - BELEM - PA - PRIVADO - 12.361.267/0002-74"/>
        <s v="PA SSA GABINETE DO SECRETARIO - BELEM - PA - PUBLICO - 05.054.929/0001-17"/>
        <s v="UNIMED SUL DO PARA - MARABA - PA - PRIVADO - 14.112.023/0001-00"/>
        <s v="IMIP HOSPITALAR - HMA - PAULISTA - PE - PRIVADO - 09.039.744/0002-75"/>
        <s v="HOSPITAL ESPERANCA - RECIFE - PE - PRIVADO - 02.284.062/0001-06"/>
        <s v="HOSPITAL ESPINHEIRO - 2611606 - PE - PRIVADO - 12.361.267/0072-87"/>
        <s v="HOSPITAL UNIMED RECIFE - RECIFE - PE - PRIVADO - 11.214.624/0004-70"/>
        <s v="PRONTO S.CARDIOLOGICO DE PE.PROF.LUIZ TAVARES-PROCAPE - RECIFE - PE - PUBLICO - 11.022.597/0015-97"/>
        <s v="FUNDO MUNICIPAL DE SAUDE DE TERESINA - TERESINA - PI - PUBLICO - 11.273.170/0001-66"/>
        <s v="HOSPITAL GERAL DE CURITIBA - CURITIBA - PR - PUBLICO - 09.579.964/0002-91"/>
        <s v="HOSPITAL NOSSA SENHORA DO PILAR LTDA - CURITIBA - PR - PRIVADO - 76.498.013/0001-02"/>
        <s v="HOSPITAL DO CANCER DE LONDRINA - LONDRINA - PR - PRIVADO - 78.633.088/0001-76"/>
        <s v="HOSPITAL DO CORACAO DE LONDRINA LTDA - LONDRINA - PR - PRIVADO - 04.762.301/0001-03"/>
        <s v="HOSPITAL E MATERNIDADE MARIA AUXILIADORA - MARINGA - PR - PRIVADO - 79.115.762/0001-93"/>
        <s v="H S COR - DUQUE DE CAXIAS - RJ - PRIVADO - 08.562.523/0001-33"/>
        <s v="HOSPITAL MARIO LIONI - DUQUE DE CAXIAS - RJ - PRIVADO - 29.435.005/0034-97"/>
        <s v="HOSPITAL SAO JOSE DO AVAI - ITAPERUNA - RJ - PRIVADO - 29.640.612/0001-20"/>
        <s v="CASA DE SAUDE E MATERNIDADE SANTA MARTHA SA - NITEROI - RJ - PRIVADO - 30.079.461/0001-62"/>
        <s v="HOSPITAL SAO LUCAS - NOVA FRIBURGO - RJ - PRIVADO - 30.537.740/0001-22"/>
        <s v="CASA DE SAUDE SANTA LUCIA - RIO DE JANEIRO - RJ - PRIVADO - 29.435.005/0052-79"/>
        <s v="CLIMES CLINICA MEDICA ESPECIALIZADA LTDA - RIO DE JANEIRO - RJ - PRIVADO - 40.320.103/0001-53"/>
        <s v="CLINICA CIRURGICA E ONCOLOGICA DA PENHA LTDA - RIO DE JANEIRO - RJ - PRIVADO - 22.400.856/0001-97"/>
        <s v="HOSPITAL BALBINO - RIO DE JANEIRO - RJ - PRIVADO - 42.297.507/0001-07"/>
        <s v="HOSPITAL DE CLINICAS DE JACAREPAGUA LTDA - RIO DE JANEIRO - RJ - PRIVADO - 34.058.123/0001-03"/>
        <s v="HOSPITAL NAVAL MARCILIO DIAS - RIO DE JANEIRO - RJ - PUBLICO - 00.394.502/0148-70"/>
        <s v="INSTITUTO NACIONAL DE CANCER - RIO DE JANEIRO - RJ - PUBLICO - 00.394.544/0171-50"/>
        <s v="MEDCLINICA DO CENTRO DE TERESOPOLIS - TERESOPOLIS - RJ - PRIVADO - 36.238.913/0001-98"/>
        <s v="HOSPITAL UNIMED - VOLTA REDONDA - RJ - PRIVADO - 35.917.970/0007-26"/>
        <s v="CDDS SERVICOS MEDICOS LTDA - NATAL - RN - PRIVADO - 13.262.578/0001-68"/>
        <s v="HOSPITAL ANTONIO PRUDENTE DE NATAL - NATAL - RN - PRIVADO - 12.361.267/0096-54"/>
        <s v="NATAL HOSPITAL CENTER S.A. - NATAL - RN - PRIVADO - 02.109.397/0001-80"/>
        <s v="UNIMED NATAL SOCIEDADE COOPERATIVA DE TRABALHO MEDICO - NATAL - RN - PRIVADO - 08.380.701/0017-72"/>
        <s v="GAMP - PRIVADO - 09.549.061/0002-68"/>
        <s v="HOSPITAL DO CIRCULO - CAXIAS DO SUL - RS - PRIVADO - 88.645.403/0013-72"/>
        <s v="MUNICIPIO DE CAXIAS DO SUL - CAXIAS DO SUL - RS - PUBLICO - 88.830.609/0001-39"/>
        <s v="UNICLINICA - ERECHIM - RS - PRIVADO - 87.638.334/0005-05"/>
        <s v="HOSPITAL DIVINA PROVIDENCIA - FREDERICO WESTPHALEN - RS - PRIVADO - 92.404.789/0001-64"/>
        <s v="LEONARDO VIERO SILVEIRA - JAGUARI - RS - PRIVADO - 29.908.956/0001-78"/>
        <s v="FUNDACAO DE SAUDE PUBLICA DE NOVO HAMBURGO - FSNH - NOVO HAMBURGO - RS - PUBLICO - 11.055.682/0001-56"/>
        <s v="CENTRO DE ONCOLOGIA UNIMED PORTO ALEGRE - PORTO ALEGRE - RS - PRIVADO - 87.096.616/0031-01"/>
        <s v="HENRIQUE WALCHER NOGUEIRA - PESSOA FÍSICA - 828.542.460-04"/>
        <s v="PMPA - PORTO ALEGRE - RS - PUBLICO - 92.963.560/0001-60"/>
        <s v="CLINICA DE ONCOLOGIA VIVER - SANTA MARIA - RS - PRIVADO - 12.508.728/0001-08"/>
        <s v="HOSPITAL SANTA CATARINA - BLUMENAU - SC - PRIVADO - 01.880.344/0001-03"/>
        <s v="TITULO DO ESTABELECIMENTO (NOME DE FANTASIA)  HOSPITAL GERAL JOINVILLE - JOINVILLE - SC - PRIVADO - 12.361.267/0042-61"/>
        <s v="CLINICA SANTA HELENA - ARACAJU - SE - PRIVADO - 13.086.053/0001-19"/>
        <s v="ONCO HEMATOS S/S LTDA - ME - ARACAJU - SE - PRIVADO - 03.091.003/0001-76"/>
        <s v="S O S VIDA SOLUCOES EM SAUDE - ARACAJU - SE - PRIVADO - 16.064.313/0005-77"/>
        <s v="MARIA LEDA FEITOSA FARIAS - MARIA LEDA FEITOSA FARIAS - NOSSA SENHORA DA GLORIA - SE - PESSOA FISICA - 007.003.865-13"/>
        <s v="DEPARTAMENTO REGIONAL DE SAUDE - DRS II - ARACATUBA - ARACATUBA - SP - PUBLICO - 46.374.500/0038-86"/>
        <s v="HOSPITAL DE REABILITACAO DE ANOMALIAS CRANIOFACIAIS - BAURU - SP - PUBLICO - 63.025.530/0082-70"/>
        <s v="UNIVERSIDADE ESTADUAL DE CAMPINAS - CAMPINAS - SP - PUBLICO - 46.068.425/0001-33"/>
        <s v="UNIMED DE DRACENA COOPERATIVA DE TRABALHO MEDICO - PRIVADO - 68.204.486/0001-13"/>
        <s v="HCFAMEMA - PUBLICO - 24.082.016/0001-59"/>
        <s v="DEPARTAMENTO REGIONAL DE SAUDE DE PIRACICABA - DRS X - PIRACICABA - SP - PUBLICO - 46.374.500/0090-60"/>
        <s v="FAEPA - RIBEIRAO PRETO - SP - PRIVADO - 57.722.118/0001-40"/>
        <s v="HOSPITAL BARTIRA - SANTO ANDRE - SP - PRIVADO - 06.047.087/0079-07"/>
        <s v="ASSOCIACAO HOSPITALAR CASA DE SAUDE DE SANTOS - SANTOS - SP - PRIVADO - 18.290.268/0001-70"/>
        <s v="BIO IMUNE - CENTRO DE APLICACOES E VACINAS  CONSULTORIA E PROCEDIMENTOS MEDICOS LTDA - ME - SANTOS - SP - PRIVADO - 10.868.295/0001-76"/>
        <s v="CENTRO MEDICO RIO PRETO LTDA - SAO JOSE DO RIO PRETO - SP - PRIVADO - 48.310.098/0001-00"/>
        <s v="CORP - SAO JOSE DO RIO PRETO - SP - PRIVADO - 10.576.443/0001-89"/>
        <s v="AMICO SAUDE LTDA - SAO PAULO - SP - PRIVADO - 51.722.957/0005-06"/>
        <s v="COORDENADORIA DE ASSISTENCIA FARMACEUTICA - PUBLICO - 46.374.500/0262-31"/>
        <s v="HOSPITAL A.C.CAMARGO - TAMANDARE - SAO PAULO - SP - PRIVADO - 60.961.968/0004-59"/>
        <s v="HOSPITAL ISRAELITA ALBERTEINSTEIN - SAO PAULO - SP - PRIVADO - 60.765.823/0001-30"/>
        <s v="HOSPITAL MORIAH - SAO PAULO - SP - PRIVADO - 19.056.055/0001-41"/>
        <s v="HOSPITAL SAO CAMILO - IPIRANGA - SAO PAULO - SP - PRIVADO - 60.975.737/0051-10"/>
        <s v="HOSPITAL SAO CAMILO - POMPEIA - SAO PAULO - SP - PRIVADO - 60.975.737/0002-32"/>
        <s v="INSTITUTO DE ONCOLOGIA PEDIATRICA - IOP - SAO PAULO - SP - PRIVADO - 67.185.694/0001-50"/>
        <s v="SARE DROGARIAS - SAO PAULO - SP - PRIVADO - 08.677.327/0001-04"/>
        <s v="ANA ANGELICA TORRES - MACEIO - AL - PESSOA FISICA - 444.822.994-72"/>
        <s v="HOSPITAL MACEIO - MACEIO - AL - PRIVADO - 12.361.267/0008-60"/>
        <s v="HOSPITAL MEMORIAL ARTHUR RAMOS - MACEIO - AL - PRIVADO - 01.722.424/0001-22"/>
        <s v="CEHON - CENTRO DE HEMATOLOGIA E ONCOLOGIA DA BAHIA LTDA - SALVADOR - BA - PRIVADO - 01.837.492/0001-37"/>
        <s v="EDUARDO SEIBERT TEIXEIRA - SALVADOR - BA - PESSOA FISICA - 093.243.225-59"/>
        <s v="HOSPITAL JAAR ANDRADE LTDA - SALVADOR - BA - PRIVADO - 97.397.848/0001-38"/>
        <s v="HOSPITAL ANA LIMA - MARACANAU - CE - PRIVADO - 12.361.267/0084-10"/>
        <s v="HOSPITAL DAHER LAGO SUL S/A - BRASILIA - DF - PRIVADO - 00.382.069/0001-27"/>
        <s v="MATERNIDADE BRASILIA - BRASILIA - DF - PRIVADO - 60.884.855/0019-83"/>
        <s v="NUBIA SOARES SALES DE MORAES - BRASILIA - DF - PESSOA FISICA - 854.655.261-49"/>
        <s v="ONCOVIT DISTRIBUIDORA DE MEDICAMENTOS LTDA - VITORIA - ES - PRIVADO - 10.586.940/0001-68"/>
        <s v="HEMOLABOR UNIDADE ONCO-HEMATOLOGICA - GOIANIA - GO - PRIVADO - 00.418.954/0007-04"/>
        <s v="HONCORD - GOIANIA - GO - PRIVADO - 06.337.035/0001-05"/>
        <s v="HOSPITAL AMPARO - GOIANIA - GO - PRIVADO - 05.919.720/0001-79"/>
        <s v="HOSPITAL SANTA HELENA - GOIANIA - GO - PRIVADO - 01.656.123/0001-48"/>
        <s v="INGOH - INSTITUTO GOIANO DE ONCOLOGIA E HEMATOLOGIA - GOIANIA - GO - PRIVADO - 01.277.573/0001-20"/>
        <s v="INSTITUTO ORTOPEDICO DE GOIANIA LTDA - GOIANIA - GO - PRIVADO - 01.570.589/0001-26"/>
        <s v="HOSPITAL SAO LUIS - HSLZ LTDA. - SAO JOSE DE RIBAMAR - MA - PRIVADO - 09.192.098/0001-09"/>
        <s v="HOSPITAL GUARAS - SAO LUIS - MA - PRIVADO - 12.361.267/0007-89"/>
        <s v="UNIMED ARAXA COOPERATIVA DE TRABALHO MEDICO LTDA  - ARAXA - MG - PRIVADO - 25.910.449/0004-60"/>
        <s v="RAUL SOARES GABINETE DO PREFEITO - RAUL SOARES - MG - PUBLICO - 18.836.965/0001-84"/>
        <s v="EMPRESA BRASILEIRA DE SERVICOS HOSPITALARES - EBSERH"/>
        <s v="TAIANA ANGELICA LUZ _x000d__x000a_- PESSOA FÍSICA - 933.266.452-87_x000d__x000a_"/>
        <s v="HOSPITAL UNIVERSITARIO ALCIDES CARNEIRO/UFCG - CAMPINA GRANDE - PB - PUBLICO - 05.055.128/0002-57"/>
        <s v="HOSPITAL GERAL DA PARAIBA - JOAO PESSOA - PB - PRIVADO - 12.361.267/0088-44"/>
        <s v="FUNDO MUNICIPAL DE SAUDE DO JABOATAO DOS GUARARAPES - PUBLICO - 03.904.395/0001-45"/>
        <s v="HOSPITAL ESPERANCA OLINDA - PE - PRIVADO - 06.047.087/0012-91"/>
        <s v="HOSPITAL UNIMED RECIFE III - RECIFE - PE - PRIVADO - 11.214.624/0019-57"/>
        <s v="HOSPITAL RIO POTY - TERESINA - PI - PRIVADO - 12.361.267/0040-08"/>
        <s v="HOSPITAL UNIMED - UNIDADE CENTRO - CAMPO MOURAO - PR - PRIVADO - 81.715.716/0004-10"/>
        <s v="UOPECCAN - CASCAVEL - PR - PRIVADO - 81.270.548/0001-53"/>
        <s v="DROGARIA DA PRACA - MANGARATIBA - RJ - PRIVADO - 10.558.548/0001-05"/>
        <s v="LIFE HOME CARE - NILOPOLIS - RJ - PRIVADO - 25.308.058/0001-28"/>
        <s v="HOSPITAL UNIVERSITARIO ANTONIO PEDRO - NITEROI - RJ - PUBLICO - 28.523.215/0003-78"/>
        <s v="C.T.O. - PETROPOLIS - RJ - PRIVADO - 30.638.381/0001-08"/>
        <s v="FUNDACAO ARY FRAUZINO PARA PESQUISA E CONTROL DO CANCER - PRIVADO - 40.226.946/0002-76"/>
        <s v="MAIARA ALMEIDA DA SILVA - RIO DE JANEIRO - RJ - PESSOA FISICA - 003.204.650-20"/>
        <s v="REJANE CELESTE DOS ANJOS BECKER - RIO DE JANEIRO - RJ - PESSOA FISICA - 053.719.447-96"/>
        <s v="UNIMED-RIO EMPREENDIMENTOS MEDICOS E HOSPITALARES LTDA - RIO DE JANEIRO - RJ - PRIVADO - 09.219.138/0004-01"/>
        <s v="GLN HOSPITALAR - VOLTA REDONDA - RJ - PRIVADO - 10.562.003/0001-72"/>
        <s v="HOSPITAL STO ANTONIO - BLUMENAU - SC - PRIVADO - 82.654.088/0001-20"/>
        <s v="UNIMED DE BRUSQUE - BRUSQUE - SC - PRIVADO - 01.554.266/0001-49"/>
        <s v="MARCELO CESAR AVILA - FLORIANOPOLIS - SC - PESSOA FISICA - 480.639.839-04"/>
        <s v="CENTRO MEDICO UNIMED - TUBARAO - SC - PRIVADO - 85.241.339/0008-09"/>
        <s v="HOSPITAL DO CORACAO - ARACAJU - SE - PRIVADO - 03.222.051/0001-56"/>
        <s v="HOSPITAL UNIMED DE ARACATUBA - ARACATUBA - SP - PRIVADO - 51.093.193/0004-56"/>
        <s v="DEPARTAMENTO REGIONAL DE SAUDE DE ARARAQUARA - DRS III - ARARAQUARA - SP - PUBLICO - 46.374.500/0092-21"/>
        <s v="ESHO EMPRESA DE SERVICOS HOSPITALARES S.A. - PRIVADO - 29.435.005/0081-03"/>
        <s v="HCFMB - BOTUCATU - SP - PUBLICO - 12.474.705/0001-20"/>
        <s v="PRONTO ATENDIMENTO JACAREI - JACAREI - SP - PRIVADO - 60.214.517/0011-87"/>
        <s v="HOSPITAL DE CARIDADE SAO VICENTE DE PAULO - JUNDIAI - SP - PRIVADO - 50.944.198/0001-30"/>
        <s v="HOSPITAL PAULO SACRAMENTO - JUNDIAI - SP - PRIVADO - 44.649.812/0016-14"/>
        <s v="HOSPITAL UNIVERSITARIO DE MARILIA - MARILIA - SP - PRIVADO - 09.528.436/0001-22"/>
        <s v="IRMANDADE DE MISERICORDIA DO HOSPITAL DA SANTA CASA DE MONTE ALTO - MONTE ALTO - SP - PRIVADO - 52.852.100/0001-40"/>
        <s v="HOSPITAL BENEFICENTE SANTO ANTONIO - ORLANDIA - SP - PRIVADO - 53.311.999/0001-56"/>
        <s v="HOSPITAL 10 JULHO - PINDAMONHANGABA  - SP - PRIVADO - 47.565.155/0009-96"/>
        <s v="HOSPITAL E MATERNIDADE BRASIL - SANTO ANDRE - SP - PRIVADO - 06.047.087/0007-24"/>
        <s v="SAO JOSE DOS CAMPOS GABINETE DO PREFEITO - SAO JOSE DOS CAMPOS - SP - PUBLICO - 46.643.466/0001-06"/>
        <s v="BENEFICENCIA NIPO BRASILEIRA DE SAO PAULO - SAO PAULO - SP - PRIVADO - 60.992.427/0006-50"/>
        <s v="CONJUNTO HOSPITALAR DO MANDAQUI - SAO PAULO - SP - PUBLICO - 46.374.500/0088-45"/>
        <s v="FUNDACAO FACULDADE DE MEDICINA - SAO PAULO - SP - PRIVADO - 56.577.059/0001-00"/>
        <s v="HOSPITAL AVICCENA S/A - SAO PAULO - SP - PRIVADO - 72.775.745/0001-33"/>
        <s v="HOSPITAL GERAL DE VILA NOVA CACHOEIRINHA - SAO PAULO - SP - PUBLICO - 46.374.500/0108-23"/>
        <s v="HOSPITAL PROFESSOR EDMUNDO VASCONCELOS - SAO PAULO - SP - PRIVADO - 61.062.212/0001-98"/>
        <s v="HOSPITAL NETTO CAMPELLO DE SERTAOZINHO - SP - PRIVADO - 01.613.433/0080-89"/>
        <s v="CLIOM - MACEIO - AL - PRIVADO - 05.612.725/0001-54"/>
        <s v="SAMEL - MANAUS - AM - PRIVADO - 04.159.778/0001-07"/>
        <s v="DEPOSITO-ARMAZEM SALVADOR/BA - SALVADOR - BA - PRIVADO - 12.361.267/0147-39"/>
        <s v="HOSPITAL DAS FORCAS ARMADAS - BRASILIA - DF - PUBLICO - 03.568.867/0001-36"/>
        <s v="INSTITUTO MINEIRO ESPECIALIZADO EM GASTROENTEROLOGIA - BELO HORIZONTE - MG - PRIVADO - 01.444.455/0001-69"/>
        <s v="HOSPITAL SANTA ROSA - CUIABA - MT - PRIVADO - 70.524.145/0001-77"/>
        <s v="HOSPITAL DE CLINICAS - CURITIBA - PR - PUBLICO - 75.095.679/0002-20"/>
        <s v="HOSPITAL ISRAELITA ALBERT SABIN - RIO DE JANEIRO - RJ - PRIVADO - 33.722.224/0001-66"/>
        <s v="SAO FRANCISCO SISTEMAS DE SAUDE SOCIEDADE EMPRESARIA LIMITADA - ARARAQUARA - SP - PRIVADO - 01.613.433/0108-14"/>
        <s v="AMICO SAUDE LTDA - MOGI DAS CRUZES - SP - PRIVADO - 51.722.957/0143-02"/>
        <s v="INSTITUTO ONCOLOGICO DE RIBEIRAO PRETO LTDA - RIBEIRAO PRETO - SP - PRIVADO - 57.723.280/0001-83"/>
        <s v="HOME HEALTH CARE DOCTOR SERVICOS MEDICOS DOMICILIARES S/S LTDA - SAO PAULO - SP - PRIVADO - 00.603.226/0001-87"/>
      </sharedItems>
    </cacheField>
    <cacheField name="Cidade" numFmtId="0">
      <sharedItems/>
    </cacheField>
    <cacheField name="UF" numFmtId="0">
      <sharedItems/>
    </cacheField>
    <cacheField name="Status" numFmtId="0">
      <sharedItems/>
    </cacheField>
    <cacheField name="Qtd_REPS" numFmtId="0">
      <sharedItems containsSemiMixedTypes="0" containsString="0" containsNumber="1" containsInteger="1" minValue="0" maxValue="2"/>
    </cacheField>
    <cacheField name="Email-Representante" numFmtId="0">
      <sharedItems containsBlank="1" count="23">
        <s v="valeria.braga@cslbehring.com"/>
        <s v="lais.magalhaes@cslbehring.com"/>
        <s v="wladimir.campelo@cslbehring.com"/>
        <s v="kleber.silva@cslbehring.com"/>
        <s v="karen.rosa@cslbehring.com"/>
        <s v="iwens.silva@cslbehring.com"/>
        <s v="vago.ESP.NO@vago.com"/>
        <s v="lenilson.silva@cslbehring.com"/>
        <s v="michele.moraes@cslbehring.com"/>
        <s v="fernanda.bornhausen@cslbehring.com"/>
        <s v="eveline.goulart@cslbehring.com"/>
        <s v="romeu.soares@cslbehring.com"/>
        <s v="marcus.bastos@cslbehring.com"/>
        <s v="aline.fonseca@cslbehring.com"/>
        <s v="bruna.claro@cslbehring.com"/>
        <s v="artur.junior@cslbehring.com"/>
        <s v="janaina.palmiro@cslbehring.com"/>
        <s v="antonio.tunes@cslbehring.com"/>
        <s v="vago.ESP.SPC@vago.com"/>
        <s v="tathiana.ponce@cslbehring.com"/>
        <s v="nelson.martins@cslbehring.com"/>
        <s v="vago.HSP.NO@vago.com"/>
        <m/>
      </sharedItems>
    </cacheField>
    <cacheField name="Representante" numFmtId="0">
      <sharedItems containsBlank="1"/>
    </cacheField>
    <cacheField name="Equipe" numFmtId="0">
      <sharedItems containsBlank="1"/>
    </cacheField>
    <cacheField name="#FK-Email-Gerente" numFmtId="0">
      <sharedItems containsBlank="1"/>
    </cacheField>
    <cacheField name="Gerente" numFmtId="0">
      <sharedItems containsBlank="1"/>
    </cacheField>
    <cacheField name="Demanda.BERINERT" numFmtId="0">
      <sharedItems containsSemiMixedTypes="0" containsString="0" containsNumber="1" containsInteger="1" minValue="0" maxValue="192"/>
    </cacheField>
    <cacheField name="Demanda.BERIPLEX" numFmtId="0">
      <sharedItems containsSemiMixedTypes="0" containsString="0" containsNumber="1" containsInteger="1" minValue="-2" maxValue="800"/>
    </cacheField>
    <cacheField name="Demanda.HAEMO" numFmtId="0">
      <sharedItems containsSemiMixedTypes="0" containsString="0" containsNumber="1" containsInteger="1" minValue="0" maxValue="1050"/>
    </cacheField>
    <cacheField name="Demanda.HIZENTRA" numFmtId="0">
      <sharedItems containsSemiMixedTypes="0" containsString="0" containsNumber="1" containsInteger="1" minValue="0" maxValue="358"/>
    </cacheField>
    <cacheField name="Demanda.PRIVIGEN" numFmtId="0">
      <sharedItems containsSemiMixedTypes="0" containsString="0" containsNumber="1" containsInteger="1" minValue="-15" maxValue="20285"/>
    </cacheField>
  </cacheFields>
  <extLst>
    <ext xmlns:x14="http://schemas.microsoft.com/office/spreadsheetml/2009/9/main" uri="{725AE2AE-9491-48be-B2B4-4EB974FC3084}">
      <x14:pivotCacheDefinition pivotCacheId="1805376015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05">
  <r>
    <x v="0"/>
    <x v="0"/>
    <x v="0"/>
    <n v="461479004584"/>
    <x v="0"/>
    <s v="SAO PAULO"/>
    <s v="SP"/>
    <x v="0"/>
    <s v="CLAUDIA BUENO (SPC/SPI)"/>
    <n v="70"/>
    <x v="0"/>
    <n v="225"/>
  </r>
  <r>
    <x v="0"/>
    <x v="1"/>
    <x v="0"/>
    <n v="2383508000494"/>
    <x v="1"/>
    <s v="SAO PAULO"/>
    <s v="SP"/>
    <x v="0"/>
    <s v="CLAUDIA BUENO (SPC/SPI)"/>
    <n v="70"/>
    <x v="0"/>
    <n v="280"/>
  </r>
  <r>
    <x v="0"/>
    <x v="0"/>
    <x v="0"/>
    <n v="4036348000190"/>
    <x v="2"/>
    <s v="SAO PAULO"/>
    <s v="SP"/>
    <x v="0"/>
    <s v="CLAUDIA BUENO (SPC/SPI)"/>
    <n v="70"/>
    <x v="0"/>
    <n v="515"/>
  </r>
  <r>
    <x v="0"/>
    <x v="1"/>
    <x v="0"/>
    <n v="4036348000190"/>
    <x v="2"/>
    <s v="SAO PAULO"/>
    <s v="SP"/>
    <x v="0"/>
    <s v="CLAUDIA BUENO (SPC/SPI)"/>
    <n v="70"/>
    <x v="0"/>
    <n v="320"/>
  </r>
  <r>
    <x v="0"/>
    <x v="0"/>
    <x v="0"/>
    <n v="5831510000124"/>
    <x v="3"/>
    <s v="SAO PAULO"/>
    <s v="SP"/>
    <x v="0"/>
    <s v="CLAUDIA BUENO (SPC/SPI)"/>
    <n v="70"/>
    <x v="0"/>
    <n v="195"/>
  </r>
  <r>
    <x v="0"/>
    <x v="0"/>
    <x v="0"/>
    <n v="8100676000592"/>
    <x v="4"/>
    <s v="SAO PAULO"/>
    <s v="SP"/>
    <x v="0"/>
    <s v="CLAUDIA BUENO (SPC/SPI)"/>
    <n v="70"/>
    <x v="0"/>
    <n v="130"/>
  </r>
  <r>
    <x v="0"/>
    <x v="0"/>
    <x v="0"/>
    <n v="8100676000835"/>
    <x v="5"/>
    <s v="SAO PAULO"/>
    <s v="SP"/>
    <x v="0"/>
    <s v="CLAUDIA BUENO (SPC/SPI)"/>
    <n v="70"/>
    <x v="0"/>
    <n v="25"/>
  </r>
  <r>
    <x v="0"/>
    <x v="0"/>
    <x v="0"/>
    <n v="8100676002455"/>
    <x v="6"/>
    <s v="SAO PAULO"/>
    <s v="SP"/>
    <x v="0"/>
    <s v="CLAUDIA BUENO (SPC/SPI)"/>
    <n v="70"/>
    <x v="0"/>
    <n v="340"/>
  </r>
  <r>
    <x v="0"/>
    <x v="0"/>
    <x v="0"/>
    <n v="8871521000126"/>
    <x v="7"/>
    <s v="SAO PAULO"/>
    <s v="SP"/>
    <x v="0"/>
    <s v="CLAUDIA BUENO (SPC/SPI)"/>
    <n v="70"/>
    <x v="0"/>
    <n v="60"/>
  </r>
  <r>
    <x v="0"/>
    <x v="0"/>
    <x v="0"/>
    <n v="10468341000140"/>
    <x v="8"/>
    <s v="SAO PAULO"/>
    <s v="SP"/>
    <x v="0"/>
    <s v="CLAUDIA BUENO (SPC/SPI)"/>
    <n v="70"/>
    <x v="0"/>
    <n v="2065"/>
  </r>
  <r>
    <x v="0"/>
    <x v="0"/>
    <x v="0"/>
    <n v="10468341000220"/>
    <x v="9"/>
    <s v="SAO PAULO"/>
    <s v="SP"/>
    <x v="0"/>
    <s v="CLAUDIA BUENO (SPC/SPI)"/>
    <n v="70"/>
    <x v="0"/>
    <n v="635"/>
  </r>
  <r>
    <x v="0"/>
    <x v="0"/>
    <x v="0"/>
    <n v="10475230000160"/>
    <x v="10"/>
    <s v="SAO PAULO"/>
    <s v="SP"/>
    <x v="0"/>
    <s v="CLAUDIA BUENO (SPC/SPI)"/>
    <n v="70"/>
    <x v="0"/>
    <n v="45"/>
  </r>
  <r>
    <x v="0"/>
    <x v="0"/>
    <x v="0"/>
    <n v="19803199000114"/>
    <x v="11"/>
    <s v="SAO PAULO"/>
    <s v="SP"/>
    <x v="0"/>
    <s v="CLAUDIA BUENO (SPC/SPI)"/>
    <n v="70"/>
    <x v="0"/>
    <n v="50"/>
  </r>
  <r>
    <x v="0"/>
    <x v="0"/>
    <x v="0"/>
    <n v="21371777000132"/>
    <x v="12"/>
    <s v="SAO PAULO"/>
    <s v="SP"/>
    <x v="0"/>
    <s v="CLAUDIA BUENO (SPC/SPI)"/>
    <n v="70"/>
    <x v="0"/>
    <n v="175"/>
  </r>
  <r>
    <x v="0"/>
    <x v="0"/>
    <x v="0"/>
    <n v="29435005002687"/>
    <x v="13"/>
    <s v="SAO PAULO"/>
    <s v="SP"/>
    <x v="0"/>
    <s v="CLAUDIA BUENO (SPC/SPI)"/>
    <n v="70"/>
    <x v="0"/>
    <n v="500"/>
  </r>
  <r>
    <x v="0"/>
    <x v="0"/>
    <x v="0"/>
    <n v="29435005004540"/>
    <x v="14"/>
    <s v="SAO PAULO"/>
    <s v="SP"/>
    <x v="0"/>
    <s v="CLAUDIA BUENO (SPC/SPI)"/>
    <n v="70"/>
    <x v="0"/>
    <n v="500"/>
  </r>
  <r>
    <x v="0"/>
    <x v="0"/>
    <x v="0"/>
    <n v="29435005009932"/>
    <x v="15"/>
    <s v="SAO PAULO"/>
    <s v="SP"/>
    <x v="0"/>
    <s v="CLAUDIA BUENO (SPC/SPI)"/>
    <n v="70"/>
    <x v="0"/>
    <n v="350"/>
  </r>
  <r>
    <x v="0"/>
    <x v="0"/>
    <x v="0"/>
    <n v="43643139000409"/>
    <x v="16"/>
    <s v="SAO PAULO"/>
    <s v="SP"/>
    <x v="0"/>
    <s v="CLAUDIA BUENO (SPC/SPI)"/>
    <n v="70"/>
    <x v="0"/>
    <n v="160"/>
  </r>
  <r>
    <x v="0"/>
    <x v="0"/>
    <x v="0"/>
    <n v="44649812005520"/>
    <x v="17"/>
    <s v="SAO PAULO"/>
    <s v="SP"/>
    <x v="0"/>
    <s v="CLAUDIA BUENO (SPC/SPI)"/>
    <n v="70"/>
    <x v="0"/>
    <n v="10"/>
  </r>
  <r>
    <x v="0"/>
    <x v="0"/>
    <x v="0"/>
    <n v="51722957010226"/>
    <x v="18"/>
    <s v="SAO PAULO"/>
    <s v="SP"/>
    <x v="0"/>
    <s v="CLAUDIA BUENO (SPC/SPI)"/>
    <n v="70"/>
    <x v="0"/>
    <n v="535"/>
  </r>
  <r>
    <x v="0"/>
    <x v="0"/>
    <x v="0"/>
    <n v="51722957012512"/>
    <x v="19"/>
    <s v="SAO PAULO"/>
    <s v="SP"/>
    <x v="0"/>
    <s v="CLAUDIA BUENO (SPC/SPI)"/>
    <n v="70"/>
    <x v="0"/>
    <n v="65"/>
  </r>
  <r>
    <x v="0"/>
    <x v="0"/>
    <x v="0"/>
    <n v="57394710000160"/>
    <x v="20"/>
    <s v="SAO PAULO"/>
    <s v="SP"/>
    <x v="0"/>
    <s v="CLAUDIA BUENO (SPC/SPI)"/>
    <n v="70"/>
    <x v="0"/>
    <n v="25"/>
  </r>
  <r>
    <x v="0"/>
    <x v="0"/>
    <x v="0"/>
    <n v="59481028000130"/>
    <x v="21"/>
    <s v="SAO PAULO"/>
    <s v="SP"/>
    <x v="0"/>
    <s v="CLAUDIA BUENO (SPC/SPI)"/>
    <n v="70"/>
    <x v="0"/>
    <n v="10"/>
  </r>
  <r>
    <x v="0"/>
    <x v="0"/>
    <x v="0"/>
    <n v="60552098000111"/>
    <x v="22"/>
    <s v="SAO PAULO"/>
    <s v="SP"/>
    <x v="0"/>
    <s v="CLAUDIA BUENO (SPC/SPI)"/>
    <n v="70"/>
    <x v="0"/>
    <n v="225"/>
  </r>
  <r>
    <x v="0"/>
    <x v="0"/>
    <x v="0"/>
    <n v="60726502000126"/>
    <x v="23"/>
    <s v="SAO PAULO"/>
    <s v="SP"/>
    <x v="0"/>
    <s v="CLAUDIA BUENO (SPC/SPI)"/>
    <n v="70"/>
    <x v="0"/>
    <n v="390"/>
  </r>
  <r>
    <x v="0"/>
    <x v="0"/>
    <x v="0"/>
    <n v="60777901000116"/>
    <x v="24"/>
    <s v="SAO PAULO"/>
    <s v="SP"/>
    <x v="0"/>
    <s v="CLAUDIA BUENO (SPC/SPI)"/>
    <n v="70"/>
    <x v="0"/>
    <n v="1650"/>
  </r>
  <r>
    <x v="0"/>
    <x v="0"/>
    <x v="0"/>
    <n v="60884855000316"/>
    <x v="25"/>
    <s v="SAO PAULO"/>
    <s v="SP"/>
    <x v="0"/>
    <s v="CLAUDIA BUENO (SPC/SPI)"/>
    <n v="70"/>
    <x v="0"/>
    <n v="1930"/>
  </r>
  <r>
    <x v="0"/>
    <x v="0"/>
    <x v="0"/>
    <n v="60922168000771"/>
    <x v="26"/>
    <s v="SAO PAULO"/>
    <s v="SP"/>
    <x v="0"/>
    <s v="CLAUDIA BUENO (SPC/SPI)"/>
    <n v="70"/>
    <x v="0"/>
    <n v="350"/>
  </r>
  <r>
    <x v="0"/>
    <x v="0"/>
    <x v="0"/>
    <n v="60922168004335"/>
    <x v="27"/>
    <s v="SAO PAULO"/>
    <s v="SP"/>
    <x v="0"/>
    <s v="CLAUDIA BUENO (SPC/SPI)"/>
    <n v="70"/>
    <x v="0"/>
    <n v="5"/>
  </r>
  <r>
    <x v="0"/>
    <x v="0"/>
    <x v="0"/>
    <n v="60961422000155"/>
    <x v="28"/>
    <s v="SAO PAULO"/>
    <s v="SP"/>
    <x v="0"/>
    <s v="CLAUDIA BUENO (SPC/SPI)"/>
    <n v="70"/>
    <x v="0"/>
    <n v="20"/>
  </r>
  <r>
    <x v="0"/>
    <x v="0"/>
    <x v="0"/>
    <n v="60961968000106"/>
    <x v="29"/>
    <s v="SAO PAULO"/>
    <s v="SP"/>
    <x v="0"/>
    <s v="CLAUDIA BUENO (SPC/SPI)"/>
    <n v="70"/>
    <x v="0"/>
    <n v="1825"/>
  </r>
  <r>
    <x v="0"/>
    <x v="0"/>
    <x v="0"/>
    <n v="60975174000363"/>
    <x v="30"/>
    <s v="SAO PAULO"/>
    <s v="SP"/>
    <x v="0"/>
    <s v="CLAUDIA BUENO (SPC/SPI)"/>
    <n v="70"/>
    <x v="0"/>
    <n v="150"/>
  </r>
  <r>
    <x v="0"/>
    <x v="0"/>
    <x v="0"/>
    <n v="61213674000240"/>
    <x v="31"/>
    <s v="SAO PAULO"/>
    <s v="SP"/>
    <x v="0"/>
    <s v="CLAUDIA BUENO (SPC/SPI)"/>
    <n v="70"/>
    <x v="0"/>
    <n v="5"/>
  </r>
  <r>
    <x v="0"/>
    <x v="0"/>
    <x v="0"/>
    <n v="61590410000124"/>
    <x v="32"/>
    <s v="SAO PAULO"/>
    <s v="SP"/>
    <x v="0"/>
    <s v="CLAUDIA BUENO (SPC/SPI)"/>
    <n v="70"/>
    <x v="0"/>
    <n v="2360"/>
  </r>
  <r>
    <x v="0"/>
    <x v="0"/>
    <x v="0"/>
    <n v="61849980001087"/>
    <x v="33"/>
    <s v="SAO PAULO"/>
    <s v="SP"/>
    <x v="0"/>
    <s v="CLAUDIA BUENO (SPC/SPI)"/>
    <n v="70"/>
    <x v="0"/>
    <n v="40"/>
  </r>
  <r>
    <x v="0"/>
    <x v="1"/>
    <x v="0"/>
    <n v="5831510000124"/>
    <x v="3"/>
    <s v="SAO PAULO"/>
    <s v="SP"/>
    <x v="0"/>
    <s v="CLAUDIA BUENO (SPC/SPI)"/>
    <n v="70"/>
    <x v="0"/>
    <n v="140"/>
  </r>
  <r>
    <x v="0"/>
    <x v="1"/>
    <x v="0"/>
    <n v="7045325000130"/>
    <x v="34"/>
    <s v="SAO PAULO"/>
    <s v="SP"/>
    <x v="0"/>
    <s v="CLAUDIA BUENO (SPC/SPI)"/>
    <n v="70"/>
    <x v="0"/>
    <n v="200"/>
  </r>
  <r>
    <x v="0"/>
    <x v="1"/>
    <x v="0"/>
    <n v="8100676000592"/>
    <x v="4"/>
    <s v="SAO PAULO"/>
    <s v="SP"/>
    <x v="0"/>
    <s v="CLAUDIA BUENO (SPC/SPI)"/>
    <n v="70"/>
    <x v="0"/>
    <n v="220"/>
  </r>
  <r>
    <x v="0"/>
    <x v="1"/>
    <x v="0"/>
    <n v="8100676002455"/>
    <x v="6"/>
    <s v="SAO PAULO"/>
    <s v="SP"/>
    <x v="0"/>
    <s v="CLAUDIA BUENO (SPC/SPI)"/>
    <n v="70"/>
    <x v="0"/>
    <n v="525"/>
  </r>
  <r>
    <x v="0"/>
    <x v="1"/>
    <x v="0"/>
    <n v="8871521000126"/>
    <x v="7"/>
    <s v="SAO PAULO"/>
    <s v="SP"/>
    <x v="0"/>
    <s v="CLAUDIA BUENO (SPC/SPI)"/>
    <n v="70"/>
    <x v="0"/>
    <n v="397.5"/>
  </r>
  <r>
    <x v="0"/>
    <x v="1"/>
    <x v="0"/>
    <n v="10468341000140"/>
    <x v="8"/>
    <s v="SAO PAULO"/>
    <s v="SP"/>
    <x v="0"/>
    <s v="CLAUDIA BUENO (SPC/SPI)"/>
    <n v="70"/>
    <x v="0"/>
    <n v="805"/>
  </r>
  <r>
    <x v="0"/>
    <x v="1"/>
    <x v="0"/>
    <n v="10468341000220"/>
    <x v="9"/>
    <s v="SAO PAULO"/>
    <s v="SP"/>
    <x v="0"/>
    <s v="CLAUDIA BUENO (SPC/SPI)"/>
    <n v="70"/>
    <x v="0"/>
    <n v="550"/>
  </r>
  <r>
    <x v="0"/>
    <x v="1"/>
    <x v="0"/>
    <n v="10475230000160"/>
    <x v="10"/>
    <s v="SAO PAULO"/>
    <s v="SP"/>
    <x v="0"/>
    <s v="CLAUDIA BUENO (SPC/SPI)"/>
    <n v="70"/>
    <x v="0"/>
    <n v="45"/>
  </r>
  <r>
    <x v="0"/>
    <x v="1"/>
    <x v="0"/>
    <n v="19803199000114"/>
    <x v="11"/>
    <s v="SAO PAULO"/>
    <s v="SP"/>
    <x v="0"/>
    <s v="CLAUDIA BUENO (SPC/SPI)"/>
    <n v="70"/>
    <x v="0"/>
    <n v="175"/>
  </r>
  <r>
    <x v="0"/>
    <x v="1"/>
    <x v="0"/>
    <n v="21371777000132"/>
    <x v="12"/>
    <s v="SAO PAULO"/>
    <s v="SP"/>
    <x v="0"/>
    <s v="CLAUDIA BUENO (SPC/SPI)"/>
    <n v="70"/>
    <x v="0"/>
    <n v="600"/>
  </r>
  <r>
    <x v="0"/>
    <x v="1"/>
    <x v="0"/>
    <n v="29435005002687"/>
    <x v="13"/>
    <s v="SAO PAULO"/>
    <s v="SP"/>
    <x v="0"/>
    <s v="CLAUDIA BUENO (SPC/SPI)"/>
    <n v="70"/>
    <x v="0"/>
    <n v="1350"/>
  </r>
  <r>
    <x v="0"/>
    <x v="1"/>
    <x v="0"/>
    <n v="29435005009932"/>
    <x v="15"/>
    <s v="SAO PAULO"/>
    <s v="SP"/>
    <x v="0"/>
    <s v="CLAUDIA BUENO (SPC/SPI)"/>
    <n v="70"/>
    <x v="0"/>
    <n v="1700"/>
  </r>
  <r>
    <x v="0"/>
    <x v="1"/>
    <x v="0"/>
    <n v="43643139000409"/>
    <x v="16"/>
    <s v="SAO PAULO"/>
    <s v="SP"/>
    <x v="0"/>
    <s v="CLAUDIA BUENO (SPC/SPI)"/>
    <n v="70"/>
    <x v="0"/>
    <n v="160"/>
  </r>
  <r>
    <x v="0"/>
    <x v="1"/>
    <x v="0"/>
    <n v="44649812005520"/>
    <x v="17"/>
    <s v="SAO PAULO"/>
    <s v="SP"/>
    <x v="0"/>
    <s v="CLAUDIA BUENO (SPC/SPI)"/>
    <n v="70"/>
    <x v="0"/>
    <n v="150"/>
  </r>
  <r>
    <x v="0"/>
    <x v="1"/>
    <x v="0"/>
    <n v="46374500026231"/>
    <x v="35"/>
    <s v="SAO PAULO"/>
    <s v="SP"/>
    <x v="0"/>
    <s v="CLAUDIA BUENO (SPC/SPI)"/>
    <n v="70"/>
    <x v="0"/>
    <n v="20285"/>
  </r>
  <r>
    <x v="0"/>
    <x v="1"/>
    <x v="0"/>
    <n v="51722957000506"/>
    <x v="36"/>
    <s v="SAO PAULO"/>
    <s v="SP"/>
    <x v="0"/>
    <s v="CLAUDIA BUENO (SPC/SPI)"/>
    <n v="70"/>
    <x v="0"/>
    <n v="400"/>
  </r>
  <r>
    <x v="0"/>
    <x v="1"/>
    <x v="0"/>
    <n v="51722957010226"/>
    <x v="18"/>
    <s v="SAO PAULO"/>
    <s v="SP"/>
    <x v="0"/>
    <s v="CLAUDIA BUENO (SPC/SPI)"/>
    <n v="70"/>
    <x v="0"/>
    <n v="950"/>
  </r>
  <r>
    <x v="0"/>
    <x v="1"/>
    <x v="0"/>
    <n v="51722957012512"/>
    <x v="19"/>
    <s v="SAO PAULO"/>
    <s v="SP"/>
    <x v="0"/>
    <s v="CLAUDIA BUENO (SPC/SPI)"/>
    <n v="70"/>
    <x v="0"/>
    <n v="265"/>
  </r>
  <r>
    <x v="0"/>
    <x v="1"/>
    <x v="0"/>
    <n v="59481028000130"/>
    <x v="21"/>
    <s v="SAO PAULO"/>
    <s v="SP"/>
    <x v="0"/>
    <s v="CLAUDIA BUENO (SPC/SPI)"/>
    <n v="70"/>
    <x v="0"/>
    <n v="30"/>
  </r>
  <r>
    <x v="0"/>
    <x v="1"/>
    <x v="0"/>
    <n v="60552098000111"/>
    <x v="22"/>
    <s v="SAO PAULO"/>
    <s v="SP"/>
    <x v="0"/>
    <s v="CLAUDIA BUENO (SPC/SPI)"/>
    <n v="70"/>
    <x v="0"/>
    <n v="405"/>
  </r>
  <r>
    <x v="0"/>
    <x v="1"/>
    <x v="0"/>
    <n v="60726502000126"/>
    <x v="23"/>
    <s v="SAO PAULO"/>
    <s v="SP"/>
    <x v="0"/>
    <s v="CLAUDIA BUENO (SPC/SPI)"/>
    <n v="70"/>
    <x v="0"/>
    <n v="830"/>
  </r>
  <r>
    <x v="0"/>
    <x v="1"/>
    <x v="0"/>
    <n v="60777901000116"/>
    <x v="24"/>
    <s v="SAO PAULO"/>
    <s v="SP"/>
    <x v="0"/>
    <s v="CLAUDIA BUENO (SPC/SPI)"/>
    <n v="70"/>
    <x v="0"/>
    <n v="1000"/>
  </r>
  <r>
    <x v="0"/>
    <x v="1"/>
    <x v="0"/>
    <n v="60884855000316"/>
    <x v="25"/>
    <s v="SAO PAULO"/>
    <s v="SP"/>
    <x v="0"/>
    <s v="CLAUDIA BUENO (SPC/SPI)"/>
    <n v="70"/>
    <x v="0"/>
    <n v="875"/>
  </r>
  <r>
    <x v="0"/>
    <x v="1"/>
    <x v="0"/>
    <n v="60922168000771"/>
    <x v="26"/>
    <s v="SAO PAULO"/>
    <s v="SP"/>
    <x v="0"/>
    <s v="CLAUDIA BUENO (SPC/SPI)"/>
    <n v="70"/>
    <x v="0"/>
    <n v="105"/>
  </r>
  <r>
    <x v="0"/>
    <x v="1"/>
    <x v="0"/>
    <n v="60922168004335"/>
    <x v="27"/>
    <s v="SAO PAULO"/>
    <s v="SP"/>
    <x v="0"/>
    <s v="CLAUDIA BUENO (SPC/SPI)"/>
    <n v="70"/>
    <x v="0"/>
    <n v="60"/>
  </r>
  <r>
    <x v="0"/>
    <x v="1"/>
    <x v="0"/>
    <n v="60961422000155"/>
    <x v="28"/>
    <s v="SAO PAULO"/>
    <s v="SP"/>
    <x v="0"/>
    <s v="CLAUDIA BUENO (SPC/SPI)"/>
    <n v="70"/>
    <x v="0"/>
    <n v="20"/>
  </r>
  <r>
    <x v="0"/>
    <x v="1"/>
    <x v="0"/>
    <n v="60961968000106"/>
    <x v="29"/>
    <s v="SAO PAULO"/>
    <s v="SP"/>
    <x v="0"/>
    <s v="CLAUDIA BUENO (SPC/SPI)"/>
    <n v="70"/>
    <x v="0"/>
    <n v="1500"/>
  </r>
  <r>
    <x v="0"/>
    <x v="1"/>
    <x v="0"/>
    <n v="61590410000124"/>
    <x v="32"/>
    <s v="SAO PAULO"/>
    <s v="SP"/>
    <x v="0"/>
    <s v="CLAUDIA BUENO (SPC/SPI)"/>
    <n v="70"/>
    <x v="0"/>
    <n v="2670"/>
  </r>
  <r>
    <x v="0"/>
    <x v="2"/>
    <x v="0"/>
    <n v="2383508000494"/>
    <x v="1"/>
    <s v="SAO PAULO"/>
    <s v="SP"/>
    <x v="0"/>
    <s v="CLAUDIA BUENO (SPC/SPI)"/>
    <n v="70"/>
    <x v="0"/>
    <n v="280"/>
  </r>
  <r>
    <x v="0"/>
    <x v="2"/>
    <x v="0"/>
    <n v="4036348000190"/>
    <x v="2"/>
    <s v="SAO PAULO"/>
    <s v="SP"/>
    <x v="0"/>
    <s v="CLAUDIA BUENO (SPC/SPI)"/>
    <n v="70"/>
    <x v="0"/>
    <n v="365"/>
  </r>
  <r>
    <x v="0"/>
    <x v="2"/>
    <x v="0"/>
    <n v="5831510000124"/>
    <x v="3"/>
    <s v="SAO PAULO"/>
    <s v="SP"/>
    <x v="0"/>
    <s v="CLAUDIA BUENO (SPC/SPI)"/>
    <n v="70"/>
    <x v="0"/>
    <n v="140"/>
  </r>
  <r>
    <x v="0"/>
    <x v="2"/>
    <x v="0"/>
    <n v="8100676000592"/>
    <x v="4"/>
    <s v="SAO PAULO"/>
    <s v="SP"/>
    <x v="0"/>
    <s v="CLAUDIA BUENO (SPC/SPI)"/>
    <n v="70"/>
    <x v="0"/>
    <n v="490"/>
  </r>
  <r>
    <x v="0"/>
    <x v="2"/>
    <x v="0"/>
    <n v="8100676000835"/>
    <x v="5"/>
    <s v="SAO PAULO"/>
    <s v="SP"/>
    <x v="0"/>
    <s v="CLAUDIA BUENO (SPC/SPI)"/>
    <n v="70"/>
    <x v="0"/>
    <n v="240"/>
  </r>
  <r>
    <x v="0"/>
    <x v="2"/>
    <x v="0"/>
    <n v="8100676002455"/>
    <x v="6"/>
    <s v="SAO PAULO"/>
    <s v="SP"/>
    <x v="0"/>
    <s v="CLAUDIA BUENO (SPC/SPI)"/>
    <n v="70"/>
    <x v="0"/>
    <n v="825"/>
  </r>
  <r>
    <x v="0"/>
    <x v="2"/>
    <x v="0"/>
    <n v="8871521000126"/>
    <x v="7"/>
    <s v="SAO PAULO"/>
    <s v="SP"/>
    <x v="0"/>
    <s v="CLAUDIA BUENO (SPC/SPI)"/>
    <n v="70"/>
    <x v="0"/>
    <n v="45"/>
  </r>
  <r>
    <x v="0"/>
    <x v="2"/>
    <x v="0"/>
    <n v="10468341000140"/>
    <x v="8"/>
    <s v="SAO PAULO"/>
    <s v="SP"/>
    <x v="0"/>
    <s v="CLAUDIA BUENO (SPC/SPI)"/>
    <n v="70"/>
    <x v="0"/>
    <n v="305"/>
  </r>
  <r>
    <x v="0"/>
    <x v="2"/>
    <x v="0"/>
    <n v="10468341000220"/>
    <x v="9"/>
    <s v="SAO PAULO"/>
    <s v="SP"/>
    <x v="0"/>
    <s v="CLAUDIA BUENO (SPC/SPI)"/>
    <n v="70"/>
    <x v="0"/>
    <n v="805"/>
  </r>
  <r>
    <x v="0"/>
    <x v="2"/>
    <x v="0"/>
    <n v="10475230000160"/>
    <x v="10"/>
    <s v="SAO PAULO"/>
    <s v="SP"/>
    <x v="0"/>
    <s v="CLAUDIA BUENO (SPC/SPI)"/>
    <n v="70"/>
    <x v="0"/>
    <n v="45"/>
  </r>
  <r>
    <x v="0"/>
    <x v="2"/>
    <x v="0"/>
    <n v="19803199000114"/>
    <x v="11"/>
    <s v="SAO PAULO"/>
    <s v="SP"/>
    <x v="0"/>
    <s v="CLAUDIA BUENO (SPC/SPI)"/>
    <n v="70"/>
    <x v="0"/>
    <n v="125"/>
  </r>
  <r>
    <x v="0"/>
    <x v="2"/>
    <x v="0"/>
    <n v="29435005002687"/>
    <x v="13"/>
    <s v="SAO PAULO"/>
    <s v="SP"/>
    <x v="0"/>
    <s v="CLAUDIA BUENO (SPC/SPI)"/>
    <n v="70"/>
    <x v="0"/>
    <n v="1150"/>
  </r>
  <r>
    <x v="0"/>
    <x v="2"/>
    <x v="0"/>
    <n v="29435005004540"/>
    <x v="14"/>
    <s v="SAO PAULO"/>
    <s v="SP"/>
    <x v="0"/>
    <s v="CLAUDIA BUENO (SPC/SPI)"/>
    <n v="70"/>
    <x v="0"/>
    <n v="180"/>
  </r>
  <r>
    <x v="0"/>
    <x v="2"/>
    <x v="0"/>
    <n v="29435005009932"/>
    <x v="15"/>
    <s v="SAO PAULO"/>
    <s v="SP"/>
    <x v="0"/>
    <s v="CLAUDIA BUENO (SPC/SPI)"/>
    <n v="70"/>
    <x v="0"/>
    <n v="1050"/>
  </r>
  <r>
    <x v="0"/>
    <x v="2"/>
    <x v="0"/>
    <n v="46374500008845"/>
    <x v="37"/>
    <s v="SAO PAULO"/>
    <s v="SP"/>
    <x v="0"/>
    <s v="CLAUDIA BUENO (SPC/SPI)"/>
    <n v="70"/>
    <x v="0"/>
    <n v="200"/>
  </r>
  <r>
    <x v="0"/>
    <x v="2"/>
    <x v="0"/>
    <n v="46374500010823"/>
    <x v="38"/>
    <s v="SAO PAULO"/>
    <s v="SP"/>
    <x v="0"/>
    <s v="CLAUDIA BUENO (SPC/SPI)"/>
    <n v="70"/>
    <x v="0"/>
    <n v="150"/>
  </r>
  <r>
    <x v="0"/>
    <x v="2"/>
    <x v="0"/>
    <n v="51722957000506"/>
    <x v="36"/>
    <s v="SAO PAULO"/>
    <s v="SP"/>
    <x v="0"/>
    <s v="CLAUDIA BUENO (SPC/SPI)"/>
    <n v="70"/>
    <x v="0"/>
    <n v="1170"/>
  </r>
  <r>
    <x v="0"/>
    <x v="2"/>
    <x v="0"/>
    <n v="51722957010226"/>
    <x v="18"/>
    <s v="SAO PAULO"/>
    <s v="SP"/>
    <x v="0"/>
    <s v="CLAUDIA BUENO (SPC/SPI)"/>
    <n v="70"/>
    <x v="0"/>
    <n v="1125"/>
  </r>
  <r>
    <x v="0"/>
    <x v="2"/>
    <x v="0"/>
    <n v="51722957012512"/>
    <x v="19"/>
    <s v="SAO PAULO"/>
    <s v="SP"/>
    <x v="0"/>
    <s v="CLAUDIA BUENO (SPC/SPI)"/>
    <n v="70"/>
    <x v="0"/>
    <n v="90"/>
  </r>
  <r>
    <x v="0"/>
    <x v="2"/>
    <x v="0"/>
    <n v="56577059000100"/>
    <x v="39"/>
    <s v="SAO PAULO"/>
    <s v="SP"/>
    <x v="0"/>
    <s v="CLAUDIA BUENO (SPC/SPI)"/>
    <n v="70"/>
    <x v="0"/>
    <n v="135"/>
  </r>
  <r>
    <x v="0"/>
    <x v="2"/>
    <x v="0"/>
    <n v="59481028000130"/>
    <x v="21"/>
    <s v="SAO PAULO"/>
    <s v="SP"/>
    <x v="0"/>
    <s v="CLAUDIA BUENO (SPC/SPI)"/>
    <n v="70"/>
    <x v="0"/>
    <n v="30"/>
  </r>
  <r>
    <x v="0"/>
    <x v="2"/>
    <x v="0"/>
    <n v="60552098000111"/>
    <x v="22"/>
    <s v="SAO PAULO"/>
    <s v="SP"/>
    <x v="0"/>
    <s v="CLAUDIA BUENO (SPC/SPI)"/>
    <n v="70"/>
    <x v="0"/>
    <n v="75"/>
  </r>
  <r>
    <x v="0"/>
    <x v="2"/>
    <x v="0"/>
    <n v="60678604000113"/>
    <x v="40"/>
    <s v="SAO PAULO"/>
    <s v="SP"/>
    <x v="0"/>
    <s v="CLAUDIA BUENO (SPC/SPI)"/>
    <n v="70"/>
    <x v="0"/>
    <n v="200"/>
  </r>
  <r>
    <x v="0"/>
    <x v="2"/>
    <x v="0"/>
    <n v="60726502000126"/>
    <x v="23"/>
    <s v="SAO PAULO"/>
    <s v="SP"/>
    <x v="0"/>
    <s v="CLAUDIA BUENO (SPC/SPI)"/>
    <n v="70"/>
    <x v="0"/>
    <n v="535"/>
  </r>
  <r>
    <x v="0"/>
    <x v="2"/>
    <x v="0"/>
    <n v="60777901000116"/>
    <x v="24"/>
    <s v="SAO PAULO"/>
    <s v="SP"/>
    <x v="0"/>
    <s v="CLAUDIA BUENO (SPC/SPI)"/>
    <n v="70"/>
    <x v="0"/>
    <n v="1400"/>
  </r>
  <r>
    <x v="0"/>
    <x v="2"/>
    <x v="0"/>
    <n v="60884855000316"/>
    <x v="25"/>
    <s v="SAO PAULO"/>
    <s v="SP"/>
    <x v="0"/>
    <s v="CLAUDIA BUENO (SPC/SPI)"/>
    <n v="70"/>
    <x v="0"/>
    <n v="2130"/>
  </r>
  <r>
    <x v="0"/>
    <x v="2"/>
    <x v="0"/>
    <n v="60922168004335"/>
    <x v="27"/>
    <s v="SAO PAULO"/>
    <s v="SP"/>
    <x v="0"/>
    <s v="CLAUDIA BUENO (SPC/SPI)"/>
    <n v="70"/>
    <x v="0"/>
    <n v="10"/>
  </r>
  <r>
    <x v="0"/>
    <x v="2"/>
    <x v="0"/>
    <n v="60961422000155"/>
    <x v="28"/>
    <s v="SAO PAULO"/>
    <s v="SP"/>
    <x v="0"/>
    <s v="CLAUDIA BUENO (SPC/SPI)"/>
    <n v="70"/>
    <x v="0"/>
    <n v="20"/>
  </r>
  <r>
    <x v="0"/>
    <x v="2"/>
    <x v="0"/>
    <n v="61590410000124"/>
    <x v="32"/>
    <s v="SAO PAULO"/>
    <s v="SP"/>
    <x v="0"/>
    <s v="CLAUDIA BUENO (SPC/SPI)"/>
    <n v="70"/>
    <x v="0"/>
    <n v="1745"/>
  </r>
  <r>
    <x v="0"/>
    <x v="3"/>
    <x v="1"/>
    <n v="4036348000190"/>
    <x v="2"/>
    <s v="SAO PAULO"/>
    <s v="SP"/>
    <x v="0"/>
    <s v="CLAUDIA BUENO (SPC/SPI)"/>
    <n v="70"/>
    <x v="0"/>
    <n v="15"/>
  </r>
  <r>
    <x v="0"/>
    <x v="3"/>
    <x v="1"/>
    <n v="10468341000140"/>
    <x v="8"/>
    <s v="SAO PAULO"/>
    <s v="SP"/>
    <x v="0"/>
    <s v="CLAUDIA BUENO (SPC/SPI)"/>
    <n v="70"/>
    <x v="0"/>
    <n v="350"/>
  </r>
  <r>
    <x v="0"/>
    <x v="3"/>
    <x v="1"/>
    <n v="10468341000220"/>
    <x v="9"/>
    <s v="SAO PAULO"/>
    <s v="SP"/>
    <x v="0"/>
    <s v="CLAUDIA BUENO (SPC/SPI)"/>
    <n v="70"/>
    <x v="0"/>
    <n v="310"/>
  </r>
  <r>
    <x v="0"/>
    <x v="3"/>
    <x v="1"/>
    <n v="10475230000160"/>
    <x v="10"/>
    <s v="SAO PAULO"/>
    <s v="SP"/>
    <x v="0"/>
    <s v="CLAUDIA BUENO (SPC/SPI)"/>
    <n v="70"/>
    <x v="0"/>
    <n v="25"/>
  </r>
  <r>
    <x v="0"/>
    <x v="3"/>
    <x v="1"/>
    <n v="29435005004540"/>
    <x v="14"/>
    <s v="SAO PAULO"/>
    <s v="SP"/>
    <x v="0"/>
    <s v="CLAUDIA BUENO (SPC/SPI)"/>
    <n v="70"/>
    <x v="0"/>
    <n v="100"/>
  </r>
  <r>
    <x v="0"/>
    <x v="3"/>
    <x v="1"/>
    <n v="44649812005520"/>
    <x v="17"/>
    <s v="SAO PAULO"/>
    <s v="SP"/>
    <x v="0"/>
    <s v="CLAUDIA BUENO (SPC/SPI)"/>
    <n v="70"/>
    <x v="0"/>
    <n v="70"/>
  </r>
  <r>
    <x v="0"/>
    <x v="3"/>
    <x v="1"/>
    <n v="51722957012512"/>
    <x v="19"/>
    <s v="SAO PAULO"/>
    <s v="SP"/>
    <x v="0"/>
    <s v="CLAUDIA BUENO (SPC/SPI)"/>
    <n v="70"/>
    <x v="0"/>
    <n v="280"/>
  </r>
  <r>
    <x v="0"/>
    <x v="3"/>
    <x v="1"/>
    <n v="59481028000130"/>
    <x v="21"/>
    <s v="SAO PAULO"/>
    <s v="SP"/>
    <x v="0"/>
    <s v="CLAUDIA BUENO (SPC/SPI)"/>
    <n v="70"/>
    <x v="0"/>
    <n v="30"/>
  </r>
  <r>
    <x v="0"/>
    <x v="3"/>
    <x v="1"/>
    <n v="60777901000116"/>
    <x v="24"/>
    <s v="SAO PAULO"/>
    <s v="SP"/>
    <x v="0"/>
    <s v="CLAUDIA BUENO (SPC/SPI)"/>
    <n v="70"/>
    <x v="0"/>
    <n v="750"/>
  </r>
  <r>
    <x v="0"/>
    <x v="3"/>
    <x v="1"/>
    <n v="60884855000316"/>
    <x v="25"/>
    <s v="SAO PAULO"/>
    <s v="SP"/>
    <x v="0"/>
    <s v="CLAUDIA BUENO (SPC/SPI)"/>
    <n v="70"/>
    <x v="0"/>
    <n v="1220"/>
  </r>
  <r>
    <x v="0"/>
    <x v="0"/>
    <x v="0"/>
    <n v="461479001992"/>
    <x v="41"/>
    <s v="SAO PAULO"/>
    <s v="SP"/>
    <x v="0"/>
    <s v="CLAUDIA BUENO (SPC/SPI)"/>
    <n v="64"/>
    <x v="1"/>
    <n v="6"/>
  </r>
  <r>
    <x v="0"/>
    <x v="0"/>
    <x v="0"/>
    <n v="2383508000494"/>
    <x v="1"/>
    <s v="SAO PAULO"/>
    <s v="SP"/>
    <x v="0"/>
    <s v="CLAUDIA BUENO (SPC/SPI)"/>
    <n v="73"/>
    <x v="2"/>
    <n v="31"/>
  </r>
  <r>
    <x v="0"/>
    <x v="1"/>
    <x v="0"/>
    <n v="2383508000494"/>
    <x v="1"/>
    <s v="SAO PAULO"/>
    <s v="SP"/>
    <x v="0"/>
    <s v="CLAUDIA BUENO (SPC/SPI)"/>
    <n v="73"/>
    <x v="2"/>
    <n v="39"/>
  </r>
  <r>
    <x v="0"/>
    <x v="0"/>
    <x v="0"/>
    <n v="2837922000183"/>
    <x v="42"/>
    <s v="SAO PAULO"/>
    <s v="SP"/>
    <x v="0"/>
    <s v="CLAUDIA BUENO (SPC/SPI)"/>
    <n v="73"/>
    <x v="2"/>
    <n v="100"/>
  </r>
  <r>
    <x v="0"/>
    <x v="1"/>
    <x v="0"/>
    <n v="2837922000183"/>
    <x v="42"/>
    <s v="SAO PAULO"/>
    <s v="SP"/>
    <x v="0"/>
    <s v="CLAUDIA BUENO (SPC/SPI)"/>
    <n v="73"/>
    <x v="2"/>
    <n v="100"/>
  </r>
  <r>
    <x v="0"/>
    <x v="0"/>
    <x v="0"/>
    <n v="3872790000193"/>
    <x v="43"/>
    <s v="SAO PAULO"/>
    <s v="SP"/>
    <x v="0"/>
    <s v="CLAUDIA BUENO (SPC/SPI)"/>
    <n v="73"/>
    <x v="2"/>
    <n v="8"/>
  </r>
  <r>
    <x v="0"/>
    <x v="1"/>
    <x v="0"/>
    <n v="3872790000193"/>
    <x v="43"/>
    <s v="SAO PAULO"/>
    <s v="SP"/>
    <x v="0"/>
    <s v="CLAUDIA BUENO (SPC/SPI)"/>
    <n v="73"/>
    <x v="2"/>
    <n v="8"/>
  </r>
  <r>
    <x v="0"/>
    <x v="0"/>
    <x v="0"/>
    <n v="6047087000139"/>
    <x v="44"/>
    <s v="SAO PAULO"/>
    <s v="SP"/>
    <x v="0"/>
    <s v="CLAUDIA BUENO (SPC/SPI)"/>
    <n v="64"/>
    <x v="1"/>
    <n v="2"/>
  </r>
  <r>
    <x v="0"/>
    <x v="0"/>
    <x v="0"/>
    <n v="6047087000210"/>
    <x v="45"/>
    <s v="SAO PAULO"/>
    <s v="SP"/>
    <x v="0"/>
    <s v="CLAUDIA BUENO (SPC/SPI)"/>
    <n v="62"/>
    <x v="3"/>
    <n v="10"/>
  </r>
  <r>
    <x v="0"/>
    <x v="0"/>
    <x v="0"/>
    <n v="6047087000210"/>
    <x v="45"/>
    <s v="SAO PAULO"/>
    <s v="SP"/>
    <x v="0"/>
    <s v="CLAUDIA BUENO (SPC/SPI)"/>
    <n v="64"/>
    <x v="1"/>
    <n v="43"/>
  </r>
  <r>
    <x v="0"/>
    <x v="0"/>
    <x v="0"/>
    <n v="6047087003820"/>
    <x v="46"/>
    <s v="SAO PAULO"/>
    <s v="SP"/>
    <x v="0"/>
    <s v="CLAUDIA BUENO (SPC/SPI)"/>
    <n v="62"/>
    <x v="3"/>
    <n v="6"/>
  </r>
  <r>
    <x v="0"/>
    <x v="0"/>
    <x v="0"/>
    <n v="6047087003820"/>
    <x v="46"/>
    <s v="SAO PAULO"/>
    <s v="SP"/>
    <x v="0"/>
    <s v="CLAUDIA BUENO (SPC/SPI)"/>
    <n v="64"/>
    <x v="1"/>
    <n v="3"/>
  </r>
  <r>
    <x v="0"/>
    <x v="0"/>
    <x v="0"/>
    <n v="7045325000130"/>
    <x v="34"/>
    <s v="SAO PAULO"/>
    <s v="SP"/>
    <x v="0"/>
    <s v="CLAUDIA BUENO (SPC/SPI)"/>
    <n v="73"/>
    <x v="2"/>
    <n v="96"/>
  </r>
  <r>
    <x v="0"/>
    <x v="0"/>
    <x v="0"/>
    <n v="8100676002455"/>
    <x v="6"/>
    <s v="SAO PAULO"/>
    <s v="SP"/>
    <x v="0"/>
    <s v="CLAUDIA BUENO (SPC/SPI)"/>
    <n v="64"/>
    <x v="1"/>
    <n v="3"/>
  </r>
  <r>
    <x v="0"/>
    <x v="0"/>
    <x v="0"/>
    <n v="8438844000392"/>
    <x v="47"/>
    <s v="SAO PAULO"/>
    <s v="SP"/>
    <x v="0"/>
    <s v="CLAUDIA BUENO (SPC/SPI)"/>
    <n v="73"/>
    <x v="2"/>
    <n v="2"/>
  </r>
  <r>
    <x v="0"/>
    <x v="0"/>
    <x v="0"/>
    <n v="10211939000230"/>
    <x v="48"/>
    <s v="SAO PAULO"/>
    <s v="SP"/>
    <x v="0"/>
    <s v="CLAUDIA BUENO (SPC/SPI)"/>
    <n v="73"/>
    <x v="2"/>
    <n v="8"/>
  </r>
  <r>
    <x v="0"/>
    <x v="0"/>
    <x v="0"/>
    <n v="10323381000101"/>
    <x v="49"/>
    <s v="SAO PAULO"/>
    <s v="SP"/>
    <x v="0"/>
    <s v="CLAUDIA BUENO (SPC/SPI)"/>
    <n v="73"/>
    <x v="2"/>
    <n v="3"/>
  </r>
  <r>
    <x v="0"/>
    <x v="0"/>
    <x v="0"/>
    <n v="10468341000140"/>
    <x v="8"/>
    <s v="SAO PAULO"/>
    <s v="SP"/>
    <x v="0"/>
    <s v="CLAUDIA BUENO (SPC/SPI)"/>
    <n v="73"/>
    <x v="2"/>
    <n v="36"/>
  </r>
  <r>
    <x v="0"/>
    <x v="0"/>
    <x v="0"/>
    <n v="10468341000220"/>
    <x v="9"/>
    <s v="SAO PAULO"/>
    <s v="SP"/>
    <x v="0"/>
    <s v="CLAUDIA BUENO (SPC/SPI)"/>
    <n v="73"/>
    <x v="2"/>
    <n v="12"/>
  </r>
  <r>
    <x v="0"/>
    <x v="0"/>
    <x v="0"/>
    <n v="13718999000150"/>
    <x v="50"/>
    <s v="SAO PAULO"/>
    <s v="SP"/>
    <x v="0"/>
    <s v="CLAUDIA BUENO (SPC/SPI)"/>
    <n v="73"/>
    <x v="2"/>
    <n v="4"/>
  </r>
  <r>
    <x v="0"/>
    <x v="0"/>
    <x v="0"/>
    <n v="18180008000142"/>
    <x v="51"/>
    <s v="SAO PAULO"/>
    <s v="SP"/>
    <x v="0"/>
    <s v="CLAUDIA BUENO (SPC/SPI)"/>
    <n v="64"/>
    <x v="1"/>
    <n v="2"/>
  </r>
  <r>
    <x v="0"/>
    <x v="0"/>
    <x v="0"/>
    <n v="19803199000114"/>
    <x v="11"/>
    <s v="SAO PAULO"/>
    <s v="SP"/>
    <x v="0"/>
    <s v="CLAUDIA BUENO (SPC/SPI)"/>
    <n v="62"/>
    <x v="3"/>
    <n v="1"/>
  </r>
  <r>
    <x v="0"/>
    <x v="0"/>
    <x v="0"/>
    <n v="20812223000241"/>
    <x v="52"/>
    <s v="SAO PAULO"/>
    <s v="SP"/>
    <x v="0"/>
    <s v="CLAUDIA BUENO (SPC/SPI)"/>
    <n v="73"/>
    <x v="2"/>
    <n v="10"/>
  </r>
  <r>
    <x v="0"/>
    <x v="0"/>
    <x v="0"/>
    <n v="21371777000132"/>
    <x v="12"/>
    <s v="SAO PAULO"/>
    <s v="SP"/>
    <x v="0"/>
    <s v="CLAUDIA BUENO (SPC/SPI)"/>
    <n v="62"/>
    <x v="3"/>
    <n v="8"/>
  </r>
  <r>
    <x v="0"/>
    <x v="0"/>
    <x v="0"/>
    <n v="28290788000137"/>
    <x v="53"/>
    <s v="SAO PAULO"/>
    <s v="SP"/>
    <x v="0"/>
    <s v="CLAUDIA BUENO (SPC/SPI)"/>
    <n v="62"/>
    <x v="3"/>
    <n v="34"/>
  </r>
  <r>
    <x v="0"/>
    <x v="0"/>
    <x v="0"/>
    <n v="28290788000307"/>
    <x v="54"/>
    <s v="SAO PAULO"/>
    <s v="SP"/>
    <x v="0"/>
    <s v="CLAUDIA BUENO (SPC/SPI)"/>
    <n v="73"/>
    <x v="2"/>
    <n v="24"/>
  </r>
  <r>
    <x v="0"/>
    <x v="0"/>
    <x v="0"/>
    <n v="29435005009932"/>
    <x v="15"/>
    <s v="SAO PAULO"/>
    <s v="SP"/>
    <x v="0"/>
    <s v="CLAUDIA BUENO (SPC/SPI)"/>
    <n v="62"/>
    <x v="3"/>
    <n v="6"/>
  </r>
  <r>
    <x v="0"/>
    <x v="0"/>
    <x v="0"/>
    <n v="29435005009932"/>
    <x v="15"/>
    <s v="SAO PAULO"/>
    <s v="SP"/>
    <x v="0"/>
    <s v="CLAUDIA BUENO (SPC/SPI)"/>
    <n v="64"/>
    <x v="1"/>
    <n v="4"/>
  </r>
  <r>
    <x v="0"/>
    <x v="0"/>
    <x v="0"/>
    <n v="51722957010226"/>
    <x v="18"/>
    <s v="SAO PAULO"/>
    <s v="SP"/>
    <x v="0"/>
    <s v="CLAUDIA BUENO (SPC/SPI)"/>
    <n v="73"/>
    <x v="2"/>
    <n v="7"/>
  </r>
  <r>
    <x v="0"/>
    <x v="0"/>
    <x v="0"/>
    <n v="56577059000606"/>
    <x v="55"/>
    <s v="SAO PAULO"/>
    <s v="SP"/>
    <x v="0"/>
    <s v="CLAUDIA BUENO (SPC/SPI)"/>
    <n v="64"/>
    <x v="1"/>
    <n v="30"/>
  </r>
  <r>
    <x v="0"/>
    <x v="0"/>
    <x v="0"/>
    <n v="60448040000122"/>
    <x v="56"/>
    <s v="SAO PAULO"/>
    <s v="SP"/>
    <x v="0"/>
    <s v="CLAUDIA BUENO (SPC/SPI)"/>
    <n v="62"/>
    <x v="3"/>
    <n v="55"/>
  </r>
  <r>
    <x v="0"/>
    <x v="0"/>
    <x v="0"/>
    <n v="60448040000122"/>
    <x v="56"/>
    <s v="SAO PAULO"/>
    <s v="SP"/>
    <x v="0"/>
    <s v="CLAUDIA BUENO (SPC/SPI)"/>
    <n v="64"/>
    <x v="1"/>
    <n v="60"/>
  </r>
  <r>
    <x v="0"/>
    <x v="0"/>
    <x v="0"/>
    <n v="60453024000390"/>
    <x v="57"/>
    <s v="SAO PAULO"/>
    <s v="SP"/>
    <x v="0"/>
    <s v="CLAUDIA BUENO (SPC/SPI)"/>
    <n v="62"/>
    <x v="3"/>
    <n v="10"/>
  </r>
  <r>
    <x v="0"/>
    <x v="0"/>
    <x v="0"/>
    <n v="60453024000390"/>
    <x v="57"/>
    <s v="SAO PAULO"/>
    <s v="SP"/>
    <x v="0"/>
    <s v="CLAUDIA BUENO (SPC/SPI)"/>
    <n v="64"/>
    <x v="1"/>
    <n v="5"/>
  </r>
  <r>
    <x v="0"/>
    <x v="0"/>
    <x v="0"/>
    <n v="60678604000113"/>
    <x v="40"/>
    <s v="SAO PAULO"/>
    <s v="SP"/>
    <x v="0"/>
    <s v="CLAUDIA BUENO (SPC/SPI)"/>
    <n v="62"/>
    <x v="3"/>
    <n v="42"/>
  </r>
  <r>
    <x v="0"/>
    <x v="0"/>
    <x v="0"/>
    <n v="60678604000113"/>
    <x v="40"/>
    <s v="SAO PAULO"/>
    <s v="SP"/>
    <x v="0"/>
    <s v="CLAUDIA BUENO (SPC/SPI)"/>
    <n v="64"/>
    <x v="1"/>
    <n v="2"/>
  </r>
  <r>
    <x v="0"/>
    <x v="0"/>
    <x v="0"/>
    <n v="60726502000126"/>
    <x v="23"/>
    <s v="SAO PAULO"/>
    <s v="SP"/>
    <x v="0"/>
    <s v="CLAUDIA BUENO (SPC/SPI)"/>
    <n v="62"/>
    <x v="3"/>
    <n v="6"/>
  </r>
  <r>
    <x v="0"/>
    <x v="0"/>
    <x v="0"/>
    <n v="60726502000126"/>
    <x v="23"/>
    <s v="SAO PAULO"/>
    <s v="SP"/>
    <x v="0"/>
    <s v="CLAUDIA BUENO (SPC/SPI)"/>
    <n v="64"/>
    <x v="1"/>
    <n v="3"/>
  </r>
  <r>
    <x v="0"/>
    <x v="0"/>
    <x v="0"/>
    <n v="60726502000711"/>
    <x v="58"/>
    <s v="SAO PAULO"/>
    <s v="SP"/>
    <x v="0"/>
    <s v="CLAUDIA BUENO (SPC/SPI)"/>
    <n v="62"/>
    <x v="3"/>
    <n v="5"/>
  </r>
  <r>
    <x v="0"/>
    <x v="0"/>
    <x v="0"/>
    <n v="60884855000316"/>
    <x v="25"/>
    <s v="SAO PAULO"/>
    <s v="SP"/>
    <x v="0"/>
    <s v="CLAUDIA BUENO (SPC/SPI)"/>
    <n v="62"/>
    <x v="3"/>
    <n v="38"/>
  </r>
  <r>
    <x v="0"/>
    <x v="0"/>
    <x v="0"/>
    <n v="60884855000316"/>
    <x v="25"/>
    <s v="SAO PAULO"/>
    <s v="SP"/>
    <x v="0"/>
    <s v="CLAUDIA BUENO (SPC/SPI)"/>
    <n v="64"/>
    <x v="1"/>
    <n v="8"/>
  </r>
  <r>
    <x v="0"/>
    <x v="0"/>
    <x v="0"/>
    <n v="60922168000771"/>
    <x v="26"/>
    <s v="SAO PAULO"/>
    <s v="SP"/>
    <x v="0"/>
    <s v="CLAUDIA BUENO (SPC/SPI)"/>
    <n v="73"/>
    <x v="2"/>
    <n v="16"/>
  </r>
  <r>
    <x v="0"/>
    <x v="0"/>
    <x v="0"/>
    <n v="60961422000155"/>
    <x v="28"/>
    <s v="SAO PAULO"/>
    <s v="SP"/>
    <x v="0"/>
    <s v="CLAUDIA BUENO (SPC/SPI)"/>
    <n v="62"/>
    <x v="3"/>
    <n v="13"/>
  </r>
  <r>
    <x v="0"/>
    <x v="0"/>
    <x v="0"/>
    <n v="60961422000155"/>
    <x v="28"/>
    <s v="SAO PAULO"/>
    <s v="SP"/>
    <x v="0"/>
    <s v="CLAUDIA BUENO (SPC/SPI)"/>
    <n v="64"/>
    <x v="1"/>
    <n v="10"/>
  </r>
  <r>
    <x v="0"/>
    <x v="0"/>
    <x v="0"/>
    <n v="60975737001204"/>
    <x v="59"/>
    <s v="SAO PAULO"/>
    <s v="SP"/>
    <x v="0"/>
    <s v="CLAUDIA BUENO (SPC/SPI)"/>
    <n v="64"/>
    <x v="1"/>
    <n v="6"/>
  </r>
  <r>
    <x v="0"/>
    <x v="0"/>
    <x v="0"/>
    <n v="61213674000240"/>
    <x v="31"/>
    <s v="SAO PAULO"/>
    <s v="SP"/>
    <x v="0"/>
    <s v="CLAUDIA BUENO (SPC/SPI)"/>
    <n v="62"/>
    <x v="3"/>
    <n v="1"/>
  </r>
  <r>
    <x v="0"/>
    <x v="0"/>
    <x v="0"/>
    <n v="61213674000240"/>
    <x v="31"/>
    <s v="SAO PAULO"/>
    <s v="SP"/>
    <x v="0"/>
    <s v="CLAUDIA BUENO (SPC/SPI)"/>
    <n v="64"/>
    <x v="1"/>
    <n v="3"/>
  </r>
  <r>
    <x v="0"/>
    <x v="0"/>
    <x v="0"/>
    <n v="61213674000240"/>
    <x v="31"/>
    <s v="SAO PAULO"/>
    <s v="SP"/>
    <x v="0"/>
    <s v="CLAUDIA BUENO (SPC/SPI)"/>
    <n v="73"/>
    <x v="2"/>
    <n v="49"/>
  </r>
  <r>
    <x v="0"/>
    <x v="0"/>
    <x v="0"/>
    <n v="61599908000158"/>
    <x v="60"/>
    <s v="SAO PAULO"/>
    <s v="SP"/>
    <x v="0"/>
    <s v="CLAUDIA BUENO (SPC/SPI)"/>
    <n v="62"/>
    <x v="3"/>
    <n v="30"/>
  </r>
  <r>
    <x v="0"/>
    <x v="0"/>
    <x v="0"/>
    <n v="61599908000158"/>
    <x v="60"/>
    <s v="SAO PAULO"/>
    <s v="SP"/>
    <x v="0"/>
    <s v="CLAUDIA BUENO (SPC/SPI)"/>
    <n v="64"/>
    <x v="1"/>
    <n v="130"/>
  </r>
  <r>
    <x v="0"/>
    <x v="0"/>
    <x v="0"/>
    <n v="62106505000192"/>
    <x v="61"/>
    <s v="SAO PAULO"/>
    <s v="SP"/>
    <x v="0"/>
    <s v="CLAUDIA BUENO (SPC/SPI)"/>
    <n v="62"/>
    <x v="3"/>
    <n v="2"/>
  </r>
  <r>
    <x v="0"/>
    <x v="0"/>
    <x v="0"/>
    <n v="62779145000190"/>
    <x v="62"/>
    <s v="SAO PAULO"/>
    <s v="SP"/>
    <x v="0"/>
    <s v="CLAUDIA BUENO (SPC/SPI)"/>
    <n v="64"/>
    <x v="1"/>
    <n v="2"/>
  </r>
  <r>
    <x v="0"/>
    <x v="1"/>
    <x v="0"/>
    <n v="6047087000210"/>
    <x v="45"/>
    <s v="SAO PAULO"/>
    <s v="SP"/>
    <x v="0"/>
    <s v="CLAUDIA BUENO (SPC/SPI)"/>
    <n v="62"/>
    <x v="3"/>
    <n v="33"/>
  </r>
  <r>
    <x v="0"/>
    <x v="1"/>
    <x v="0"/>
    <n v="6047087000210"/>
    <x v="45"/>
    <s v="SAO PAULO"/>
    <s v="SP"/>
    <x v="0"/>
    <s v="CLAUDIA BUENO (SPC/SPI)"/>
    <n v="64"/>
    <x v="1"/>
    <n v="41"/>
  </r>
  <r>
    <x v="0"/>
    <x v="1"/>
    <x v="0"/>
    <n v="6047087003820"/>
    <x v="46"/>
    <s v="SAO PAULO"/>
    <s v="SP"/>
    <x v="0"/>
    <s v="CLAUDIA BUENO (SPC/SPI)"/>
    <n v="62"/>
    <x v="3"/>
    <n v="11"/>
  </r>
  <r>
    <x v="0"/>
    <x v="1"/>
    <x v="0"/>
    <n v="6047087003820"/>
    <x v="46"/>
    <s v="SAO PAULO"/>
    <s v="SP"/>
    <x v="0"/>
    <s v="CLAUDIA BUENO (SPC/SPI)"/>
    <n v="64"/>
    <x v="1"/>
    <n v="2"/>
  </r>
  <r>
    <x v="0"/>
    <x v="1"/>
    <x v="0"/>
    <n v="7045325000130"/>
    <x v="34"/>
    <s v="SAO PAULO"/>
    <s v="SP"/>
    <x v="0"/>
    <s v="CLAUDIA BUENO (SPC/SPI)"/>
    <n v="73"/>
    <x v="2"/>
    <n v="80"/>
  </r>
  <r>
    <x v="0"/>
    <x v="1"/>
    <x v="0"/>
    <n v="8100676002455"/>
    <x v="6"/>
    <s v="SAO PAULO"/>
    <s v="SP"/>
    <x v="0"/>
    <s v="CLAUDIA BUENO (SPC/SPI)"/>
    <n v="64"/>
    <x v="1"/>
    <n v="12"/>
  </r>
  <r>
    <x v="0"/>
    <x v="1"/>
    <x v="0"/>
    <n v="8677327000104"/>
    <x v="63"/>
    <s v="SAO PAULO"/>
    <s v="SP"/>
    <x v="0"/>
    <s v="CLAUDIA BUENO (SPC/SPI)"/>
    <n v="64"/>
    <x v="1"/>
    <n v="2"/>
  </r>
  <r>
    <x v="0"/>
    <x v="1"/>
    <x v="0"/>
    <n v="10211939000230"/>
    <x v="48"/>
    <s v="SAO PAULO"/>
    <s v="SP"/>
    <x v="0"/>
    <s v="CLAUDIA BUENO (SPC/SPI)"/>
    <n v="73"/>
    <x v="2"/>
    <n v="8"/>
  </r>
  <r>
    <x v="0"/>
    <x v="1"/>
    <x v="0"/>
    <n v="10323381000101"/>
    <x v="49"/>
    <s v="SAO PAULO"/>
    <s v="SP"/>
    <x v="0"/>
    <s v="CLAUDIA BUENO (SPC/SPI)"/>
    <n v="73"/>
    <x v="2"/>
    <n v="6"/>
  </r>
  <r>
    <x v="0"/>
    <x v="1"/>
    <x v="0"/>
    <n v="10468341000220"/>
    <x v="9"/>
    <s v="SAO PAULO"/>
    <s v="SP"/>
    <x v="0"/>
    <s v="CLAUDIA BUENO (SPC/SPI)"/>
    <n v="73"/>
    <x v="2"/>
    <n v="24"/>
  </r>
  <r>
    <x v="0"/>
    <x v="1"/>
    <x v="0"/>
    <n v="13718999000150"/>
    <x v="50"/>
    <s v="SAO PAULO"/>
    <s v="SP"/>
    <x v="0"/>
    <s v="CLAUDIA BUENO (SPC/SPI)"/>
    <n v="73"/>
    <x v="2"/>
    <n v="4"/>
  </r>
  <r>
    <x v="0"/>
    <x v="1"/>
    <x v="0"/>
    <n v="19056055000141"/>
    <x v="64"/>
    <s v="SAO PAULO"/>
    <s v="SP"/>
    <x v="0"/>
    <s v="CLAUDIA BUENO (SPC/SPI)"/>
    <n v="62"/>
    <x v="3"/>
    <n v="3"/>
  </r>
  <r>
    <x v="0"/>
    <x v="1"/>
    <x v="0"/>
    <n v="19803199000114"/>
    <x v="11"/>
    <s v="SAO PAULO"/>
    <s v="SP"/>
    <x v="0"/>
    <s v="CLAUDIA BUENO (SPC/SPI)"/>
    <n v="62"/>
    <x v="3"/>
    <n v="3"/>
  </r>
  <r>
    <x v="0"/>
    <x v="1"/>
    <x v="0"/>
    <n v="19803199000114"/>
    <x v="11"/>
    <s v="SAO PAULO"/>
    <s v="SP"/>
    <x v="0"/>
    <s v="CLAUDIA BUENO (SPC/SPI)"/>
    <n v="64"/>
    <x v="1"/>
    <n v="2"/>
  </r>
  <r>
    <x v="0"/>
    <x v="1"/>
    <x v="0"/>
    <n v="20812223000241"/>
    <x v="52"/>
    <s v="SAO PAULO"/>
    <s v="SP"/>
    <x v="0"/>
    <s v="CLAUDIA BUENO (SPC/SPI)"/>
    <n v="73"/>
    <x v="2"/>
    <n v="20"/>
  </r>
  <r>
    <x v="0"/>
    <x v="1"/>
    <x v="0"/>
    <n v="21371777000132"/>
    <x v="12"/>
    <s v="SAO PAULO"/>
    <s v="SP"/>
    <x v="0"/>
    <s v="CLAUDIA BUENO (SPC/SPI)"/>
    <n v="62"/>
    <x v="3"/>
    <n v="16"/>
  </r>
  <r>
    <x v="0"/>
    <x v="1"/>
    <x v="0"/>
    <n v="21371777000132"/>
    <x v="12"/>
    <s v="SAO PAULO"/>
    <s v="SP"/>
    <x v="0"/>
    <s v="CLAUDIA BUENO (SPC/SPI)"/>
    <n v="64"/>
    <x v="1"/>
    <n v="38"/>
  </r>
  <r>
    <x v="0"/>
    <x v="1"/>
    <x v="0"/>
    <n v="28290788000137"/>
    <x v="53"/>
    <s v="SAO PAULO"/>
    <s v="SP"/>
    <x v="0"/>
    <s v="CLAUDIA BUENO (SPC/SPI)"/>
    <n v="62"/>
    <x v="3"/>
    <n v="5"/>
  </r>
  <r>
    <x v="0"/>
    <x v="1"/>
    <x v="0"/>
    <n v="28290788000137"/>
    <x v="53"/>
    <s v="SAO PAULO"/>
    <s v="SP"/>
    <x v="0"/>
    <s v="CLAUDIA BUENO (SPC/SPI)"/>
    <n v="64"/>
    <x v="1"/>
    <n v="5"/>
  </r>
  <r>
    <x v="0"/>
    <x v="1"/>
    <x v="0"/>
    <n v="28290788000307"/>
    <x v="54"/>
    <s v="SAO PAULO"/>
    <s v="SP"/>
    <x v="0"/>
    <s v="CLAUDIA BUENO (SPC/SPI)"/>
    <n v="73"/>
    <x v="2"/>
    <n v="20"/>
  </r>
  <r>
    <x v="0"/>
    <x v="1"/>
    <x v="0"/>
    <n v="29435005009932"/>
    <x v="15"/>
    <s v="SAO PAULO"/>
    <s v="SP"/>
    <x v="0"/>
    <s v="CLAUDIA BUENO (SPC/SPI)"/>
    <n v="62"/>
    <x v="3"/>
    <n v="13"/>
  </r>
  <r>
    <x v="0"/>
    <x v="1"/>
    <x v="0"/>
    <n v="44649812005520"/>
    <x v="17"/>
    <s v="SAO PAULO"/>
    <s v="SP"/>
    <x v="0"/>
    <s v="CLAUDIA BUENO (SPC/SPI)"/>
    <n v="73"/>
    <x v="2"/>
    <n v="16"/>
  </r>
  <r>
    <x v="0"/>
    <x v="1"/>
    <x v="0"/>
    <n v="51722957010226"/>
    <x v="18"/>
    <s v="SAO PAULO"/>
    <s v="SP"/>
    <x v="0"/>
    <s v="CLAUDIA BUENO (SPC/SPI)"/>
    <n v="73"/>
    <x v="2"/>
    <n v="42"/>
  </r>
  <r>
    <x v="0"/>
    <x v="1"/>
    <x v="0"/>
    <n v="60448040000122"/>
    <x v="56"/>
    <s v="SAO PAULO"/>
    <s v="SP"/>
    <x v="0"/>
    <s v="CLAUDIA BUENO (SPC/SPI)"/>
    <n v="62"/>
    <x v="3"/>
    <n v="87"/>
  </r>
  <r>
    <x v="0"/>
    <x v="1"/>
    <x v="0"/>
    <n v="60448040000122"/>
    <x v="56"/>
    <s v="SAO PAULO"/>
    <s v="SP"/>
    <x v="0"/>
    <s v="CLAUDIA BUENO (SPC/SPI)"/>
    <n v="64"/>
    <x v="1"/>
    <n v="57"/>
  </r>
  <r>
    <x v="0"/>
    <x v="1"/>
    <x v="0"/>
    <n v="60453024000390"/>
    <x v="57"/>
    <s v="SAO PAULO"/>
    <s v="SP"/>
    <x v="0"/>
    <s v="CLAUDIA BUENO (SPC/SPI)"/>
    <n v="62"/>
    <x v="3"/>
    <n v="37"/>
  </r>
  <r>
    <x v="0"/>
    <x v="1"/>
    <x v="0"/>
    <n v="60453024000390"/>
    <x v="57"/>
    <s v="SAO PAULO"/>
    <s v="SP"/>
    <x v="0"/>
    <s v="CLAUDIA BUENO (SPC/SPI)"/>
    <n v="64"/>
    <x v="1"/>
    <n v="10"/>
  </r>
  <r>
    <x v="0"/>
    <x v="1"/>
    <x v="0"/>
    <n v="60678604000113"/>
    <x v="40"/>
    <s v="SAO PAULO"/>
    <s v="SP"/>
    <x v="0"/>
    <s v="CLAUDIA BUENO (SPC/SPI)"/>
    <n v="62"/>
    <x v="3"/>
    <n v="23"/>
  </r>
  <r>
    <x v="0"/>
    <x v="1"/>
    <x v="0"/>
    <n v="60726502000126"/>
    <x v="23"/>
    <s v="SAO PAULO"/>
    <s v="SP"/>
    <x v="0"/>
    <s v="CLAUDIA BUENO (SPC/SPI)"/>
    <n v="62"/>
    <x v="3"/>
    <n v="2"/>
  </r>
  <r>
    <x v="0"/>
    <x v="1"/>
    <x v="0"/>
    <n v="60726502000126"/>
    <x v="23"/>
    <s v="SAO PAULO"/>
    <s v="SP"/>
    <x v="0"/>
    <s v="CLAUDIA BUENO (SPC/SPI)"/>
    <n v="64"/>
    <x v="1"/>
    <n v="6"/>
  </r>
  <r>
    <x v="0"/>
    <x v="1"/>
    <x v="0"/>
    <n v="60726502000126"/>
    <x v="23"/>
    <s v="SAO PAULO"/>
    <s v="SP"/>
    <x v="0"/>
    <s v="CLAUDIA BUENO (SPC/SPI)"/>
    <n v="73"/>
    <x v="2"/>
    <n v="16"/>
  </r>
  <r>
    <x v="0"/>
    <x v="1"/>
    <x v="0"/>
    <n v="60765823000130"/>
    <x v="65"/>
    <s v="SAO PAULO"/>
    <s v="SP"/>
    <x v="0"/>
    <s v="CLAUDIA BUENO (SPC/SPI)"/>
    <n v="62"/>
    <x v="3"/>
    <n v="65"/>
  </r>
  <r>
    <x v="0"/>
    <x v="1"/>
    <x v="0"/>
    <n v="60777901000116"/>
    <x v="24"/>
    <s v="SAO PAULO"/>
    <s v="SP"/>
    <x v="0"/>
    <s v="CLAUDIA BUENO (SPC/SPI)"/>
    <n v="64"/>
    <x v="1"/>
    <n v="100"/>
  </r>
  <r>
    <x v="0"/>
    <x v="1"/>
    <x v="0"/>
    <n v="60884855000316"/>
    <x v="25"/>
    <s v="SAO PAULO"/>
    <s v="SP"/>
    <x v="0"/>
    <s v="CLAUDIA BUENO (SPC/SPI)"/>
    <n v="62"/>
    <x v="3"/>
    <n v="3"/>
  </r>
  <r>
    <x v="0"/>
    <x v="1"/>
    <x v="0"/>
    <n v="60884855000316"/>
    <x v="25"/>
    <s v="SAO PAULO"/>
    <s v="SP"/>
    <x v="0"/>
    <s v="CLAUDIA BUENO (SPC/SPI)"/>
    <n v="64"/>
    <x v="1"/>
    <n v="10"/>
  </r>
  <r>
    <x v="0"/>
    <x v="1"/>
    <x v="0"/>
    <n v="60884855000316"/>
    <x v="25"/>
    <s v="SAO PAULO"/>
    <s v="SP"/>
    <x v="0"/>
    <s v="CLAUDIA BUENO (SPC/SPI)"/>
    <n v="73"/>
    <x v="2"/>
    <n v="24"/>
  </r>
  <r>
    <x v="0"/>
    <x v="1"/>
    <x v="0"/>
    <n v="60922168000771"/>
    <x v="26"/>
    <s v="SAO PAULO"/>
    <s v="SP"/>
    <x v="0"/>
    <s v="CLAUDIA BUENO (SPC/SPI)"/>
    <n v="62"/>
    <x v="3"/>
    <n v="5"/>
  </r>
  <r>
    <x v="0"/>
    <x v="1"/>
    <x v="0"/>
    <n v="60922168000771"/>
    <x v="26"/>
    <s v="SAO PAULO"/>
    <s v="SP"/>
    <x v="0"/>
    <s v="CLAUDIA BUENO (SPC/SPI)"/>
    <n v="73"/>
    <x v="2"/>
    <n v="4"/>
  </r>
  <r>
    <x v="0"/>
    <x v="1"/>
    <x v="0"/>
    <n v="60961422000155"/>
    <x v="28"/>
    <s v="SAO PAULO"/>
    <s v="SP"/>
    <x v="0"/>
    <s v="CLAUDIA BUENO (SPC/SPI)"/>
    <n v="62"/>
    <x v="3"/>
    <n v="3"/>
  </r>
  <r>
    <x v="0"/>
    <x v="1"/>
    <x v="0"/>
    <n v="60961422000155"/>
    <x v="28"/>
    <s v="SAO PAULO"/>
    <s v="SP"/>
    <x v="0"/>
    <s v="CLAUDIA BUENO (SPC/SPI)"/>
    <n v="64"/>
    <x v="1"/>
    <n v="3"/>
  </r>
  <r>
    <x v="0"/>
    <x v="1"/>
    <x v="0"/>
    <n v="60961968000106"/>
    <x v="29"/>
    <s v="SAO PAULO"/>
    <s v="SP"/>
    <x v="0"/>
    <s v="CLAUDIA BUENO (SPC/SPI)"/>
    <n v="62"/>
    <x v="3"/>
    <n v="10"/>
  </r>
  <r>
    <x v="0"/>
    <x v="1"/>
    <x v="0"/>
    <n v="60961968000106"/>
    <x v="29"/>
    <s v="SAO PAULO"/>
    <s v="SP"/>
    <x v="0"/>
    <s v="CLAUDIA BUENO (SPC/SPI)"/>
    <n v="64"/>
    <x v="1"/>
    <n v="10"/>
  </r>
  <r>
    <x v="0"/>
    <x v="1"/>
    <x v="0"/>
    <n v="60961968000459"/>
    <x v="66"/>
    <s v="SAO PAULO"/>
    <s v="SP"/>
    <x v="0"/>
    <s v="CLAUDIA BUENO (SPC/SPI)"/>
    <n v="62"/>
    <x v="3"/>
    <n v="5"/>
  </r>
  <r>
    <x v="0"/>
    <x v="1"/>
    <x v="0"/>
    <n v="60961968000459"/>
    <x v="66"/>
    <s v="SAO PAULO"/>
    <s v="SP"/>
    <x v="0"/>
    <s v="CLAUDIA BUENO (SPC/SPI)"/>
    <n v="64"/>
    <x v="1"/>
    <n v="2"/>
  </r>
  <r>
    <x v="0"/>
    <x v="1"/>
    <x v="0"/>
    <n v="60975737000232"/>
    <x v="67"/>
    <s v="SAO PAULO"/>
    <s v="SP"/>
    <x v="0"/>
    <s v="CLAUDIA BUENO (SPC/SPI)"/>
    <n v="62"/>
    <x v="3"/>
    <n v="4"/>
  </r>
  <r>
    <x v="0"/>
    <x v="1"/>
    <x v="0"/>
    <n v="60975737000232"/>
    <x v="67"/>
    <s v="SAO PAULO"/>
    <s v="SP"/>
    <x v="0"/>
    <s v="CLAUDIA BUENO (SPC/SPI)"/>
    <n v="64"/>
    <x v="1"/>
    <n v="6"/>
  </r>
  <r>
    <x v="0"/>
    <x v="1"/>
    <x v="0"/>
    <n v="60975737001204"/>
    <x v="59"/>
    <s v="SAO PAULO"/>
    <s v="SP"/>
    <x v="0"/>
    <s v="CLAUDIA BUENO (SPC/SPI)"/>
    <n v="64"/>
    <x v="1"/>
    <n v="4"/>
  </r>
  <r>
    <x v="0"/>
    <x v="1"/>
    <x v="0"/>
    <n v="60975737005110"/>
    <x v="68"/>
    <s v="SAO PAULO"/>
    <s v="SP"/>
    <x v="0"/>
    <s v="CLAUDIA BUENO (SPC/SPI)"/>
    <n v="64"/>
    <x v="1"/>
    <n v="1"/>
  </r>
  <r>
    <x v="0"/>
    <x v="1"/>
    <x v="0"/>
    <n v="61213674000240"/>
    <x v="31"/>
    <s v="SAO PAULO"/>
    <s v="SP"/>
    <x v="0"/>
    <s v="CLAUDIA BUENO (SPC/SPI)"/>
    <n v="62"/>
    <x v="3"/>
    <n v="4"/>
  </r>
  <r>
    <x v="0"/>
    <x v="1"/>
    <x v="0"/>
    <n v="61213674000240"/>
    <x v="31"/>
    <s v="SAO PAULO"/>
    <s v="SP"/>
    <x v="0"/>
    <s v="CLAUDIA BUENO (SPC/SPI)"/>
    <n v="64"/>
    <x v="1"/>
    <n v="5"/>
  </r>
  <r>
    <x v="0"/>
    <x v="1"/>
    <x v="0"/>
    <n v="61213674000240"/>
    <x v="31"/>
    <s v="SAO PAULO"/>
    <s v="SP"/>
    <x v="0"/>
    <s v="CLAUDIA BUENO (SPC/SPI)"/>
    <n v="73"/>
    <x v="2"/>
    <n v="77"/>
  </r>
  <r>
    <x v="0"/>
    <x v="1"/>
    <x v="0"/>
    <n v="61590410000124"/>
    <x v="32"/>
    <s v="SAO PAULO"/>
    <s v="SP"/>
    <x v="0"/>
    <s v="CLAUDIA BUENO (SPC/SPI)"/>
    <n v="62"/>
    <x v="3"/>
    <n v="81"/>
  </r>
  <r>
    <x v="0"/>
    <x v="1"/>
    <x v="0"/>
    <n v="61599908000158"/>
    <x v="60"/>
    <s v="SAO PAULO"/>
    <s v="SP"/>
    <x v="0"/>
    <s v="CLAUDIA BUENO (SPC/SPI)"/>
    <n v="62"/>
    <x v="3"/>
    <n v="75"/>
  </r>
  <r>
    <x v="0"/>
    <x v="1"/>
    <x v="0"/>
    <n v="61599908000158"/>
    <x v="60"/>
    <s v="SAO PAULO"/>
    <s v="SP"/>
    <x v="0"/>
    <s v="CLAUDIA BUENO (SPC/SPI)"/>
    <n v="64"/>
    <x v="1"/>
    <n v="20"/>
  </r>
  <r>
    <x v="0"/>
    <x v="1"/>
    <x v="0"/>
    <n v="62779145000190"/>
    <x v="62"/>
    <s v="SAO PAULO"/>
    <s v="SP"/>
    <x v="0"/>
    <s v="CLAUDIA BUENO (SPC/SPI)"/>
    <n v="64"/>
    <x v="1"/>
    <n v="2"/>
  </r>
  <r>
    <x v="0"/>
    <x v="1"/>
    <x v="0"/>
    <n v="67185694000150"/>
    <x v="69"/>
    <s v="SAO PAULO"/>
    <s v="SP"/>
    <x v="0"/>
    <s v="CLAUDIA BUENO (SPC/SPI)"/>
    <n v="64"/>
    <x v="1"/>
    <n v="2"/>
  </r>
  <r>
    <x v="0"/>
    <x v="2"/>
    <x v="0"/>
    <n v="2383508000494"/>
    <x v="1"/>
    <s v="SAO PAULO"/>
    <s v="SP"/>
    <x v="0"/>
    <s v="CLAUDIA BUENO (SPC/SPI)"/>
    <n v="73"/>
    <x v="2"/>
    <n v="15"/>
  </r>
  <r>
    <x v="0"/>
    <x v="2"/>
    <x v="0"/>
    <n v="2837922000183"/>
    <x v="42"/>
    <s v="SAO PAULO"/>
    <s v="SP"/>
    <x v="0"/>
    <s v="CLAUDIA BUENO (SPC/SPI)"/>
    <n v="73"/>
    <x v="2"/>
    <n v="150"/>
  </r>
  <r>
    <x v="0"/>
    <x v="2"/>
    <x v="0"/>
    <n v="3872790000193"/>
    <x v="43"/>
    <s v="SAO PAULO"/>
    <s v="SP"/>
    <x v="0"/>
    <s v="CLAUDIA BUENO (SPC/SPI)"/>
    <n v="73"/>
    <x v="2"/>
    <n v="16"/>
  </r>
  <r>
    <x v="0"/>
    <x v="2"/>
    <x v="0"/>
    <n v="6047087000139"/>
    <x v="44"/>
    <s v="SAO PAULO"/>
    <s v="SP"/>
    <x v="0"/>
    <s v="CLAUDIA BUENO (SPC/SPI)"/>
    <n v="62"/>
    <x v="3"/>
    <n v="4"/>
  </r>
  <r>
    <x v="0"/>
    <x v="2"/>
    <x v="0"/>
    <n v="6047087000210"/>
    <x v="45"/>
    <s v="SAO PAULO"/>
    <s v="SP"/>
    <x v="0"/>
    <s v="CLAUDIA BUENO (SPC/SPI)"/>
    <n v="62"/>
    <x v="3"/>
    <n v="20"/>
  </r>
  <r>
    <x v="0"/>
    <x v="2"/>
    <x v="0"/>
    <n v="6047087000210"/>
    <x v="45"/>
    <s v="SAO PAULO"/>
    <s v="SP"/>
    <x v="0"/>
    <s v="CLAUDIA BUENO (SPC/SPI)"/>
    <n v="64"/>
    <x v="1"/>
    <n v="36"/>
  </r>
  <r>
    <x v="0"/>
    <x v="2"/>
    <x v="0"/>
    <n v="6047087003820"/>
    <x v="46"/>
    <s v="SAO PAULO"/>
    <s v="SP"/>
    <x v="0"/>
    <s v="CLAUDIA BUENO (SPC/SPI)"/>
    <n v="62"/>
    <x v="3"/>
    <n v="3"/>
  </r>
  <r>
    <x v="0"/>
    <x v="2"/>
    <x v="0"/>
    <n v="7045325000130"/>
    <x v="34"/>
    <s v="SAO PAULO"/>
    <s v="SP"/>
    <x v="0"/>
    <s v="CLAUDIA BUENO (SPC/SPI)"/>
    <n v="73"/>
    <x v="2"/>
    <n v="56"/>
  </r>
  <r>
    <x v="0"/>
    <x v="2"/>
    <x v="0"/>
    <n v="8100676002455"/>
    <x v="6"/>
    <s v="SAO PAULO"/>
    <s v="SP"/>
    <x v="0"/>
    <s v="CLAUDIA BUENO (SPC/SPI)"/>
    <n v="64"/>
    <x v="1"/>
    <n v="24"/>
  </r>
  <r>
    <x v="0"/>
    <x v="2"/>
    <x v="0"/>
    <n v="10323381000101"/>
    <x v="49"/>
    <s v="SAO PAULO"/>
    <s v="SP"/>
    <x v="0"/>
    <s v="CLAUDIA BUENO (SPC/SPI)"/>
    <n v="73"/>
    <x v="2"/>
    <n v="6"/>
  </r>
  <r>
    <x v="0"/>
    <x v="2"/>
    <x v="0"/>
    <n v="10468341000220"/>
    <x v="9"/>
    <s v="SAO PAULO"/>
    <s v="SP"/>
    <x v="0"/>
    <s v="CLAUDIA BUENO (SPC/SPI)"/>
    <n v="73"/>
    <x v="2"/>
    <n v="36"/>
  </r>
  <r>
    <x v="0"/>
    <x v="2"/>
    <x v="0"/>
    <n v="19803199000114"/>
    <x v="11"/>
    <s v="SAO PAULO"/>
    <s v="SP"/>
    <x v="0"/>
    <s v="CLAUDIA BUENO (SPC/SPI)"/>
    <n v="64"/>
    <x v="1"/>
    <n v="4"/>
  </r>
  <r>
    <x v="0"/>
    <x v="2"/>
    <x v="0"/>
    <n v="20812223000241"/>
    <x v="52"/>
    <s v="SAO PAULO"/>
    <s v="SP"/>
    <x v="0"/>
    <s v="CLAUDIA BUENO (SPC/SPI)"/>
    <n v="73"/>
    <x v="2"/>
    <n v="10"/>
  </r>
  <r>
    <x v="0"/>
    <x v="2"/>
    <x v="0"/>
    <n v="21371777000132"/>
    <x v="12"/>
    <s v="SAO PAULO"/>
    <s v="SP"/>
    <x v="0"/>
    <s v="CLAUDIA BUENO (SPC/SPI)"/>
    <n v="62"/>
    <x v="3"/>
    <n v="11"/>
  </r>
  <r>
    <x v="0"/>
    <x v="2"/>
    <x v="0"/>
    <n v="29435005002687"/>
    <x v="13"/>
    <s v="SAO PAULO"/>
    <s v="SP"/>
    <x v="0"/>
    <s v="CLAUDIA BUENO (SPC/SPI)"/>
    <n v="64"/>
    <x v="1"/>
    <n v="7"/>
  </r>
  <r>
    <x v="0"/>
    <x v="2"/>
    <x v="0"/>
    <n v="29435005009932"/>
    <x v="15"/>
    <s v="SAO PAULO"/>
    <s v="SP"/>
    <x v="0"/>
    <s v="CLAUDIA BUENO (SPC/SPI)"/>
    <n v="62"/>
    <x v="3"/>
    <n v="8"/>
  </r>
  <r>
    <x v="0"/>
    <x v="2"/>
    <x v="0"/>
    <n v="29435005009932"/>
    <x v="15"/>
    <s v="SAO PAULO"/>
    <s v="SP"/>
    <x v="0"/>
    <s v="CLAUDIA BUENO (SPC/SPI)"/>
    <n v="64"/>
    <x v="1"/>
    <n v="3"/>
  </r>
  <r>
    <x v="0"/>
    <x v="2"/>
    <x v="0"/>
    <n v="44649812005520"/>
    <x v="17"/>
    <s v="SAO PAULO"/>
    <s v="SP"/>
    <x v="0"/>
    <s v="CLAUDIA BUENO (SPC/SPI)"/>
    <n v="73"/>
    <x v="2"/>
    <n v="4"/>
  </r>
  <r>
    <x v="0"/>
    <x v="2"/>
    <x v="0"/>
    <n v="46374500026231"/>
    <x v="35"/>
    <s v="SAO PAULO"/>
    <s v="SP"/>
    <x v="0"/>
    <s v="CLAUDIA BUENO (SPC/SPI)"/>
    <n v="66"/>
    <x v="4"/>
    <n v="28"/>
  </r>
  <r>
    <x v="0"/>
    <x v="2"/>
    <x v="0"/>
    <n v="46374500026231"/>
    <x v="35"/>
    <s v="SAO PAULO"/>
    <s v="SP"/>
    <x v="0"/>
    <s v="CLAUDIA BUENO (SPC/SPI)"/>
    <n v="73"/>
    <x v="2"/>
    <n v="192"/>
  </r>
  <r>
    <x v="0"/>
    <x v="2"/>
    <x v="0"/>
    <n v="51722957000506"/>
    <x v="36"/>
    <s v="SAO PAULO"/>
    <s v="SP"/>
    <x v="0"/>
    <s v="CLAUDIA BUENO (SPC/SPI)"/>
    <n v="66"/>
    <x v="4"/>
    <n v="3"/>
  </r>
  <r>
    <x v="0"/>
    <x v="2"/>
    <x v="0"/>
    <n v="51722957010226"/>
    <x v="18"/>
    <s v="SAO PAULO"/>
    <s v="SP"/>
    <x v="0"/>
    <s v="CLAUDIA BUENO (SPC/SPI)"/>
    <n v="73"/>
    <x v="2"/>
    <n v="106"/>
  </r>
  <r>
    <x v="0"/>
    <x v="2"/>
    <x v="0"/>
    <n v="60448040000122"/>
    <x v="56"/>
    <s v="SAO PAULO"/>
    <s v="SP"/>
    <x v="0"/>
    <s v="CLAUDIA BUENO (SPC/SPI)"/>
    <n v="62"/>
    <x v="3"/>
    <n v="60"/>
  </r>
  <r>
    <x v="0"/>
    <x v="2"/>
    <x v="0"/>
    <n v="60448040000122"/>
    <x v="56"/>
    <s v="SAO PAULO"/>
    <s v="SP"/>
    <x v="0"/>
    <s v="CLAUDIA BUENO (SPC/SPI)"/>
    <n v="64"/>
    <x v="1"/>
    <n v="66"/>
  </r>
  <r>
    <x v="0"/>
    <x v="2"/>
    <x v="0"/>
    <n v="60448040000122"/>
    <x v="56"/>
    <s v="SAO PAULO"/>
    <s v="SP"/>
    <x v="0"/>
    <s v="CLAUDIA BUENO (SPC/SPI)"/>
    <n v="73"/>
    <x v="2"/>
    <n v="92"/>
  </r>
  <r>
    <x v="0"/>
    <x v="2"/>
    <x v="0"/>
    <n v="60453024000390"/>
    <x v="57"/>
    <s v="SAO PAULO"/>
    <s v="SP"/>
    <x v="0"/>
    <s v="CLAUDIA BUENO (SPC/SPI)"/>
    <n v="62"/>
    <x v="3"/>
    <n v="55"/>
  </r>
  <r>
    <x v="0"/>
    <x v="2"/>
    <x v="0"/>
    <n v="60453024000390"/>
    <x v="57"/>
    <s v="SAO PAULO"/>
    <s v="SP"/>
    <x v="0"/>
    <s v="CLAUDIA BUENO (SPC/SPI)"/>
    <n v="64"/>
    <x v="1"/>
    <n v="11"/>
  </r>
  <r>
    <x v="0"/>
    <x v="2"/>
    <x v="0"/>
    <n v="60678604000113"/>
    <x v="40"/>
    <s v="SAO PAULO"/>
    <s v="SP"/>
    <x v="0"/>
    <s v="CLAUDIA BUENO (SPC/SPI)"/>
    <n v="62"/>
    <x v="3"/>
    <n v="24"/>
  </r>
  <r>
    <x v="0"/>
    <x v="2"/>
    <x v="0"/>
    <n v="60726502000126"/>
    <x v="23"/>
    <s v="SAO PAULO"/>
    <s v="SP"/>
    <x v="0"/>
    <s v="CLAUDIA BUENO (SPC/SPI)"/>
    <n v="62"/>
    <x v="3"/>
    <n v="2"/>
  </r>
  <r>
    <x v="0"/>
    <x v="2"/>
    <x v="0"/>
    <n v="60726502000126"/>
    <x v="23"/>
    <s v="SAO PAULO"/>
    <s v="SP"/>
    <x v="0"/>
    <s v="CLAUDIA BUENO (SPC/SPI)"/>
    <n v="64"/>
    <x v="1"/>
    <n v="6"/>
  </r>
  <r>
    <x v="0"/>
    <x v="2"/>
    <x v="0"/>
    <n v="60726502000126"/>
    <x v="23"/>
    <s v="SAO PAULO"/>
    <s v="SP"/>
    <x v="0"/>
    <s v="CLAUDIA BUENO (SPC/SPI)"/>
    <n v="73"/>
    <x v="2"/>
    <n v="16"/>
  </r>
  <r>
    <x v="0"/>
    <x v="2"/>
    <x v="0"/>
    <n v="60765823000130"/>
    <x v="65"/>
    <s v="SAO PAULO"/>
    <s v="SP"/>
    <x v="0"/>
    <s v="CLAUDIA BUENO (SPC/SPI)"/>
    <n v="62"/>
    <x v="3"/>
    <n v="70"/>
  </r>
  <r>
    <x v="0"/>
    <x v="2"/>
    <x v="0"/>
    <n v="60765823000130"/>
    <x v="65"/>
    <s v="SAO PAULO"/>
    <s v="SP"/>
    <x v="0"/>
    <s v="CLAUDIA BUENO (SPC/SPI)"/>
    <n v="64"/>
    <x v="1"/>
    <n v="30"/>
  </r>
  <r>
    <x v="0"/>
    <x v="2"/>
    <x v="0"/>
    <n v="60765823000130"/>
    <x v="65"/>
    <s v="SAO PAULO"/>
    <s v="SP"/>
    <x v="0"/>
    <s v="CLAUDIA BUENO (SPC/SPI)"/>
    <n v="73"/>
    <x v="2"/>
    <n v="130"/>
  </r>
  <r>
    <x v="0"/>
    <x v="2"/>
    <x v="0"/>
    <n v="60884855000316"/>
    <x v="25"/>
    <s v="SAO PAULO"/>
    <s v="SP"/>
    <x v="0"/>
    <s v="CLAUDIA BUENO (SPC/SPI)"/>
    <n v="62"/>
    <x v="3"/>
    <n v="19"/>
  </r>
  <r>
    <x v="0"/>
    <x v="2"/>
    <x v="0"/>
    <n v="60884855000316"/>
    <x v="25"/>
    <s v="SAO PAULO"/>
    <s v="SP"/>
    <x v="0"/>
    <s v="CLAUDIA BUENO (SPC/SPI)"/>
    <n v="64"/>
    <x v="1"/>
    <n v="14"/>
  </r>
  <r>
    <x v="0"/>
    <x v="2"/>
    <x v="0"/>
    <n v="60884855000316"/>
    <x v="25"/>
    <s v="SAO PAULO"/>
    <s v="SP"/>
    <x v="0"/>
    <s v="CLAUDIA BUENO (SPC/SPI)"/>
    <n v="73"/>
    <x v="2"/>
    <n v="24"/>
  </r>
  <r>
    <x v="0"/>
    <x v="2"/>
    <x v="0"/>
    <n v="60922168000771"/>
    <x v="26"/>
    <s v="SAO PAULO"/>
    <s v="SP"/>
    <x v="0"/>
    <s v="CLAUDIA BUENO (SPC/SPI)"/>
    <n v="62"/>
    <x v="3"/>
    <n v="4"/>
  </r>
  <r>
    <x v="0"/>
    <x v="2"/>
    <x v="0"/>
    <n v="60922168000771"/>
    <x v="26"/>
    <s v="SAO PAULO"/>
    <s v="SP"/>
    <x v="0"/>
    <s v="CLAUDIA BUENO (SPC/SPI)"/>
    <n v="73"/>
    <x v="2"/>
    <n v="23"/>
  </r>
  <r>
    <x v="0"/>
    <x v="2"/>
    <x v="0"/>
    <n v="60961422000155"/>
    <x v="28"/>
    <s v="SAO PAULO"/>
    <s v="SP"/>
    <x v="0"/>
    <s v="CLAUDIA BUENO (SPC/SPI)"/>
    <n v="62"/>
    <x v="3"/>
    <n v="8"/>
  </r>
  <r>
    <x v="0"/>
    <x v="2"/>
    <x v="0"/>
    <n v="60961422000155"/>
    <x v="28"/>
    <s v="SAO PAULO"/>
    <s v="SP"/>
    <x v="0"/>
    <s v="CLAUDIA BUENO (SPC/SPI)"/>
    <n v="64"/>
    <x v="1"/>
    <n v="6"/>
  </r>
  <r>
    <x v="0"/>
    <x v="2"/>
    <x v="0"/>
    <n v="60961422000155"/>
    <x v="28"/>
    <s v="SAO PAULO"/>
    <s v="SP"/>
    <x v="0"/>
    <s v="CLAUDIA BUENO (SPC/SPI)"/>
    <n v="66"/>
    <x v="4"/>
    <n v="4"/>
  </r>
  <r>
    <x v="0"/>
    <x v="2"/>
    <x v="0"/>
    <n v="60961968000106"/>
    <x v="29"/>
    <s v="SAO PAULO"/>
    <s v="SP"/>
    <x v="0"/>
    <s v="CLAUDIA BUENO (SPC/SPI)"/>
    <n v="62"/>
    <x v="3"/>
    <n v="5"/>
  </r>
  <r>
    <x v="0"/>
    <x v="2"/>
    <x v="0"/>
    <n v="60961968000106"/>
    <x v="29"/>
    <s v="SAO PAULO"/>
    <s v="SP"/>
    <x v="0"/>
    <s v="CLAUDIA BUENO (SPC/SPI)"/>
    <n v="64"/>
    <x v="1"/>
    <n v="40"/>
  </r>
  <r>
    <x v="0"/>
    <x v="2"/>
    <x v="0"/>
    <n v="60961968000459"/>
    <x v="66"/>
    <s v="SAO PAULO"/>
    <s v="SP"/>
    <x v="0"/>
    <s v="CLAUDIA BUENO (SPC/SPI)"/>
    <n v="64"/>
    <x v="1"/>
    <n v="15"/>
  </r>
  <r>
    <x v="0"/>
    <x v="2"/>
    <x v="0"/>
    <n v="60975737001204"/>
    <x v="59"/>
    <s v="SAO PAULO"/>
    <s v="SP"/>
    <x v="0"/>
    <s v="CLAUDIA BUENO (SPC/SPI)"/>
    <n v="64"/>
    <x v="1"/>
    <n v="13"/>
  </r>
  <r>
    <x v="0"/>
    <x v="2"/>
    <x v="0"/>
    <n v="60992427000650"/>
    <x v="70"/>
    <s v="SAO PAULO"/>
    <s v="SP"/>
    <x v="0"/>
    <s v="CLAUDIA BUENO (SPC/SPI)"/>
    <n v="62"/>
    <x v="3"/>
    <n v="3"/>
  </r>
  <r>
    <x v="0"/>
    <x v="2"/>
    <x v="0"/>
    <n v="60992427000650"/>
    <x v="70"/>
    <s v="SAO PAULO"/>
    <s v="SP"/>
    <x v="0"/>
    <s v="CLAUDIA BUENO (SPC/SPI)"/>
    <n v="64"/>
    <x v="1"/>
    <n v="1"/>
  </r>
  <r>
    <x v="0"/>
    <x v="2"/>
    <x v="0"/>
    <n v="61062212000198"/>
    <x v="71"/>
    <s v="SAO PAULO"/>
    <s v="SP"/>
    <x v="0"/>
    <s v="CLAUDIA BUENO (SPC/SPI)"/>
    <n v="62"/>
    <x v="3"/>
    <n v="4"/>
  </r>
  <r>
    <x v="0"/>
    <x v="2"/>
    <x v="0"/>
    <n v="61213674000240"/>
    <x v="31"/>
    <s v="SAO PAULO"/>
    <s v="SP"/>
    <x v="0"/>
    <s v="CLAUDIA BUENO (SPC/SPI)"/>
    <n v="62"/>
    <x v="3"/>
    <n v="2"/>
  </r>
  <r>
    <x v="0"/>
    <x v="2"/>
    <x v="0"/>
    <n v="61213674000240"/>
    <x v="31"/>
    <s v="SAO PAULO"/>
    <s v="SP"/>
    <x v="0"/>
    <s v="CLAUDIA BUENO (SPC/SPI)"/>
    <n v="64"/>
    <x v="1"/>
    <n v="1"/>
  </r>
  <r>
    <x v="0"/>
    <x v="2"/>
    <x v="0"/>
    <n v="61213674000240"/>
    <x v="31"/>
    <s v="SAO PAULO"/>
    <s v="SP"/>
    <x v="0"/>
    <s v="CLAUDIA BUENO (SPC/SPI)"/>
    <n v="73"/>
    <x v="2"/>
    <n v="113"/>
  </r>
  <r>
    <x v="0"/>
    <x v="2"/>
    <x v="0"/>
    <n v="61590410000124"/>
    <x v="32"/>
    <s v="SAO PAULO"/>
    <s v="SP"/>
    <x v="0"/>
    <s v="CLAUDIA BUENO (SPC/SPI)"/>
    <n v="62"/>
    <x v="3"/>
    <n v="56"/>
  </r>
  <r>
    <x v="0"/>
    <x v="2"/>
    <x v="0"/>
    <n v="61590410000124"/>
    <x v="32"/>
    <s v="SAO PAULO"/>
    <s v="SP"/>
    <x v="0"/>
    <s v="CLAUDIA BUENO (SPC/SPI)"/>
    <n v="64"/>
    <x v="1"/>
    <n v="16"/>
  </r>
  <r>
    <x v="0"/>
    <x v="2"/>
    <x v="0"/>
    <n v="61599908000158"/>
    <x v="60"/>
    <s v="SAO PAULO"/>
    <s v="SP"/>
    <x v="0"/>
    <s v="CLAUDIA BUENO (SPC/SPI)"/>
    <n v="62"/>
    <x v="3"/>
    <n v="50"/>
  </r>
  <r>
    <x v="0"/>
    <x v="2"/>
    <x v="0"/>
    <n v="61599908000158"/>
    <x v="60"/>
    <s v="SAO PAULO"/>
    <s v="SP"/>
    <x v="0"/>
    <s v="CLAUDIA BUENO (SPC/SPI)"/>
    <n v="64"/>
    <x v="1"/>
    <n v="150"/>
  </r>
  <r>
    <x v="0"/>
    <x v="2"/>
    <x v="0"/>
    <n v="72775745000133"/>
    <x v="72"/>
    <s v="SAO PAULO"/>
    <s v="SP"/>
    <x v="0"/>
    <s v="CLAUDIA BUENO (SPC/SPI)"/>
    <n v="62"/>
    <x v="3"/>
    <n v="15"/>
  </r>
  <r>
    <x v="0"/>
    <x v="2"/>
    <x v="0"/>
    <n v="72775745000133"/>
    <x v="72"/>
    <s v="SAO PAULO"/>
    <s v="SP"/>
    <x v="0"/>
    <s v="CLAUDIA BUENO (SPC/SPI)"/>
    <n v="64"/>
    <x v="1"/>
    <n v="15"/>
  </r>
  <r>
    <x v="0"/>
    <x v="3"/>
    <x v="1"/>
    <n v="603226000187"/>
    <x v="73"/>
    <s v="SAO PAULO"/>
    <s v="SP"/>
    <x v="0"/>
    <s v="CLAUDIA BUENO (SPC/SPI)"/>
    <n v="73"/>
    <x v="2"/>
    <n v="16"/>
  </r>
  <r>
    <x v="0"/>
    <x v="3"/>
    <x v="1"/>
    <n v="7045325000130"/>
    <x v="34"/>
    <s v="SAO PAULO"/>
    <s v="SP"/>
    <x v="0"/>
    <s v="CLAUDIA BUENO (SPC/SPI)"/>
    <n v="73"/>
    <x v="2"/>
    <n v="40"/>
  </r>
  <r>
    <x v="0"/>
    <x v="3"/>
    <x v="1"/>
    <n v="20812223000241"/>
    <x v="52"/>
    <s v="SAO PAULO"/>
    <s v="SP"/>
    <x v="0"/>
    <s v="CLAUDIA BUENO (SPC/SPI)"/>
    <n v="73"/>
    <x v="2"/>
    <n v="20"/>
  </r>
  <r>
    <x v="0"/>
    <x v="3"/>
    <x v="1"/>
    <n v="29435005009932"/>
    <x v="15"/>
    <s v="SAO PAULO"/>
    <s v="SP"/>
    <x v="0"/>
    <s v="CLAUDIA BUENO (SPC/SPI)"/>
    <n v="62"/>
    <x v="3"/>
    <n v="9"/>
  </r>
  <r>
    <x v="0"/>
    <x v="3"/>
    <x v="1"/>
    <n v="56577059000606"/>
    <x v="55"/>
    <s v="SAO PAULO"/>
    <s v="SP"/>
    <x v="0"/>
    <s v="CLAUDIA BUENO (SPC/SPI)"/>
    <n v="64"/>
    <x v="1"/>
    <n v="30"/>
  </r>
  <r>
    <x v="0"/>
    <x v="3"/>
    <x v="1"/>
    <n v="60448040000122"/>
    <x v="56"/>
    <s v="SAO PAULO"/>
    <s v="SP"/>
    <x v="0"/>
    <s v="CLAUDIA BUENO (SPC/SPI)"/>
    <n v="62"/>
    <x v="3"/>
    <n v="66"/>
  </r>
  <r>
    <x v="0"/>
    <x v="3"/>
    <x v="1"/>
    <n v="60453024000390"/>
    <x v="57"/>
    <s v="SAO PAULO"/>
    <s v="SP"/>
    <x v="0"/>
    <s v="CLAUDIA BUENO (SPC/SPI)"/>
    <n v="62"/>
    <x v="3"/>
    <n v="10"/>
  </r>
  <r>
    <x v="0"/>
    <x v="3"/>
    <x v="1"/>
    <n v="60678604000113"/>
    <x v="40"/>
    <s v="SAO PAULO"/>
    <s v="SP"/>
    <x v="0"/>
    <s v="CLAUDIA BUENO (SPC/SPI)"/>
    <n v="64"/>
    <x v="1"/>
    <n v="1"/>
  </r>
  <r>
    <x v="0"/>
    <x v="3"/>
    <x v="1"/>
    <n v="60961422000155"/>
    <x v="28"/>
    <s v="SAO PAULO"/>
    <s v="SP"/>
    <x v="0"/>
    <s v="CLAUDIA BUENO (SPC/SPI)"/>
    <n v="62"/>
    <x v="3"/>
    <n v="4"/>
  </r>
  <r>
    <x v="0"/>
    <x v="3"/>
    <x v="1"/>
    <n v="60961422000155"/>
    <x v="28"/>
    <s v="SAO PAULO"/>
    <s v="SP"/>
    <x v="0"/>
    <s v="CLAUDIA BUENO (SPC/SPI)"/>
    <n v="64"/>
    <x v="1"/>
    <n v="2"/>
  </r>
  <r>
    <x v="0"/>
    <x v="3"/>
    <x v="1"/>
    <n v="61590410000124"/>
    <x v="32"/>
    <s v="SAO PAULO"/>
    <s v="SP"/>
    <x v="0"/>
    <s v="CLAUDIA BUENO (SPC/SPI)"/>
    <n v="62"/>
    <x v="3"/>
    <n v="7"/>
  </r>
  <r>
    <x v="0"/>
    <x v="3"/>
    <x v="1"/>
    <n v="61590410000124"/>
    <x v="32"/>
    <s v="SAO PAULO"/>
    <s v="SP"/>
    <x v="0"/>
    <s v="CLAUDIA BUENO (SPC/SPI)"/>
    <n v="64"/>
    <x v="1"/>
    <n v="6"/>
  </r>
  <r>
    <x v="0"/>
    <x v="3"/>
    <x v="1"/>
    <n v="61599908000158"/>
    <x v="60"/>
    <s v="SAO PAULO"/>
    <s v="SP"/>
    <x v="0"/>
    <s v="CLAUDIA BUENO (SPC/SPI)"/>
    <n v="62"/>
    <x v="3"/>
    <n v="10"/>
  </r>
  <r>
    <x v="0"/>
    <x v="0"/>
    <x v="0"/>
    <n v="23941593838"/>
    <x v="74"/>
    <s v="SÃO PAULO"/>
    <s v="SP"/>
    <x v="0"/>
    <s v="CLAUDIA BUENO (SPC/SPI)"/>
    <n v="73"/>
    <x v="2"/>
    <n v="60"/>
  </r>
  <r>
    <x v="0"/>
    <x v="0"/>
    <x v="0"/>
    <n v="840048000450"/>
    <x v="75"/>
    <s v="PIRASSUNUNGA"/>
    <s v="SP"/>
    <x v="0"/>
    <s v="CLAUDIA BUENO (SPC/SPI)"/>
    <n v="70"/>
    <x v="0"/>
    <n v="85"/>
  </r>
  <r>
    <x v="0"/>
    <x v="1"/>
    <x v="0"/>
    <n v="840048000450"/>
    <x v="75"/>
    <s v="PIRASSUNUNGA"/>
    <s v="SP"/>
    <x v="0"/>
    <s v="CLAUDIA BUENO (SPC/SPI)"/>
    <n v="70"/>
    <x v="0"/>
    <n v="5"/>
  </r>
  <r>
    <x v="0"/>
    <x v="0"/>
    <x v="0"/>
    <n v="1613433006892"/>
    <x v="76"/>
    <s v="RIBEIRAO PRETO"/>
    <s v="SP"/>
    <x v="0"/>
    <s v="CLAUDIA BUENO (SPC/SPI)"/>
    <n v="70"/>
    <x v="0"/>
    <n v="1200"/>
  </r>
  <r>
    <x v="0"/>
    <x v="1"/>
    <x v="0"/>
    <n v="1613433006892"/>
    <x v="76"/>
    <s v="RIBEIRAO PRETO"/>
    <s v="SP"/>
    <x v="0"/>
    <s v="CLAUDIA BUENO (SPC/SPI)"/>
    <n v="70"/>
    <x v="0"/>
    <n v="450"/>
  </r>
  <r>
    <x v="0"/>
    <x v="0"/>
    <x v="0"/>
    <n v="2643405000173"/>
    <x v="77"/>
    <s v="SAO JOSE DO RIO PRETO"/>
    <s v="SP"/>
    <x v="0"/>
    <s v="CLAUDIA BUENO (SPC/SPI)"/>
    <n v="73"/>
    <x v="2"/>
    <n v="6"/>
  </r>
  <r>
    <x v="0"/>
    <x v="1"/>
    <x v="0"/>
    <n v="2643405000173"/>
    <x v="77"/>
    <s v="SAO JOSE DO RIO PRETO"/>
    <s v="SP"/>
    <x v="0"/>
    <s v="CLAUDIA BUENO (SPC/SPI)"/>
    <n v="73"/>
    <x v="2"/>
    <n v="12"/>
  </r>
  <r>
    <x v="0"/>
    <x v="0"/>
    <x v="0"/>
    <n v="4275687000129"/>
    <x v="78"/>
    <s v="ATIBAIA"/>
    <s v="SP"/>
    <x v="0"/>
    <s v="CLAUDIA BUENO (SPC/SPI)"/>
    <n v="73"/>
    <x v="2"/>
    <n v="36"/>
  </r>
  <r>
    <x v="0"/>
    <x v="1"/>
    <x v="0"/>
    <n v="4275687000129"/>
    <x v="78"/>
    <s v="ATIBAIA"/>
    <s v="SP"/>
    <x v="0"/>
    <s v="CLAUDIA BUENO (SPC/SPI)"/>
    <n v="73"/>
    <x v="2"/>
    <n v="15"/>
  </r>
  <r>
    <x v="0"/>
    <x v="0"/>
    <x v="0"/>
    <n v="6033403000113"/>
    <x v="79"/>
    <s v="SANTO ANDRE"/>
    <s v="SP"/>
    <x v="0"/>
    <s v="CLAUDIA BUENO (SPC/SPI)"/>
    <n v="70"/>
    <x v="0"/>
    <n v="20"/>
  </r>
  <r>
    <x v="0"/>
    <x v="0"/>
    <x v="0"/>
    <n v="6047087003073"/>
    <x v="80"/>
    <s v="SAO JOSE DOS CAMPOS"/>
    <s v="SP"/>
    <x v="0"/>
    <s v="CLAUDIA BUENO (SPC/SPI)"/>
    <n v="66"/>
    <x v="4"/>
    <n v="2"/>
  </r>
  <r>
    <x v="0"/>
    <x v="0"/>
    <x v="0"/>
    <n v="6047087003073"/>
    <x v="80"/>
    <s v="SAO JOSE DOS CAMPOS"/>
    <s v="SP"/>
    <x v="0"/>
    <s v="CLAUDIA BUENO (SPC/SPI)"/>
    <n v="70"/>
    <x v="0"/>
    <n v="250"/>
  </r>
  <r>
    <x v="0"/>
    <x v="0"/>
    <x v="0"/>
    <n v="6047087003073"/>
    <x v="80"/>
    <s v="SAO JOSE DOS CAMPOS"/>
    <s v="SP"/>
    <x v="0"/>
    <s v="CLAUDIA BUENO (SPC/SPI)"/>
    <n v="73"/>
    <x v="2"/>
    <n v="48"/>
  </r>
  <r>
    <x v="0"/>
    <x v="0"/>
    <x v="0"/>
    <n v="6047087007656"/>
    <x v="81"/>
    <s v="OSASCO"/>
    <s v="SP"/>
    <x v="0"/>
    <s v="CLAUDIA BUENO (SPC/SPI)"/>
    <n v="62"/>
    <x v="3"/>
    <n v="9"/>
  </r>
  <r>
    <x v="0"/>
    <x v="0"/>
    <x v="0"/>
    <n v="6209132000104"/>
    <x v="82"/>
    <s v="HORTOLANDIA"/>
    <s v="SP"/>
    <x v="0"/>
    <s v="CLAUDIA BUENO (SPC/SPI)"/>
    <n v="70"/>
    <x v="0"/>
    <n v="75"/>
  </r>
  <r>
    <x v="0"/>
    <x v="0"/>
    <x v="0"/>
    <n v="10447300000177"/>
    <x v="83"/>
    <s v="CAMPINAS"/>
    <s v="SP"/>
    <x v="0"/>
    <s v="CLAUDIA BUENO (SPC/SPI)"/>
    <n v="73"/>
    <x v="2"/>
    <n v="4"/>
  </r>
  <r>
    <x v="0"/>
    <x v="0"/>
    <x v="0"/>
    <n v="13718999001041"/>
    <x v="84"/>
    <s v="SANTO ANDRE"/>
    <s v="SP"/>
    <x v="0"/>
    <s v="CLAUDIA BUENO (SPC/SPI)"/>
    <n v="73"/>
    <x v="2"/>
    <n v="4"/>
  </r>
  <r>
    <x v="0"/>
    <x v="0"/>
    <x v="0"/>
    <n v="18321477000134"/>
    <x v="85"/>
    <s v="SAO JOSE DOS CAMPOS"/>
    <s v="SP"/>
    <x v="0"/>
    <s v="CLAUDIA BUENO (SPC/SPI)"/>
    <n v="73"/>
    <x v="2"/>
    <n v="48"/>
  </r>
  <r>
    <x v="0"/>
    <x v="0"/>
    <x v="0"/>
    <n v="25026561000190"/>
    <x v="86"/>
    <s v="ANDRADINA"/>
    <s v="SP"/>
    <x v="0"/>
    <s v="CLAUDIA BUENO (SPC/SPI)"/>
    <n v="70"/>
    <x v="0"/>
    <n v="25"/>
  </r>
  <r>
    <x v="0"/>
    <x v="0"/>
    <x v="0"/>
    <n v="29435005008022"/>
    <x v="87"/>
    <s v="SANTOS"/>
    <s v="SP"/>
    <x v="0"/>
    <s v="CLAUDIA BUENO (SPC/SPI)"/>
    <n v="70"/>
    <x v="0"/>
    <n v="60"/>
  </r>
  <r>
    <x v="0"/>
    <x v="0"/>
    <x v="0"/>
    <n v="29435005008294"/>
    <x v="88"/>
    <s v="GUARULHOS"/>
    <s v="SP"/>
    <x v="0"/>
    <s v="CLAUDIA BUENO (SPC/SPI)"/>
    <n v="70"/>
    <x v="0"/>
    <n v="245"/>
  </r>
  <r>
    <x v="0"/>
    <x v="0"/>
    <x v="0"/>
    <n v="29435005008456"/>
    <x v="89"/>
    <s v="CAMPINAS"/>
    <s v="SP"/>
    <x v="0"/>
    <s v="CLAUDIA BUENO (SPC/SPI)"/>
    <n v="70"/>
    <x v="0"/>
    <n v="125"/>
  </r>
  <r>
    <x v="0"/>
    <x v="0"/>
    <x v="0"/>
    <n v="43293604002120"/>
    <x v="90"/>
    <s v="SAO BERNARDO DO CAMPO"/>
    <s v="SP"/>
    <x v="0"/>
    <s v="CLAUDIA BUENO (SPC/SPI)"/>
    <n v="70"/>
    <x v="0"/>
    <n v="120"/>
  </r>
  <r>
    <x v="0"/>
    <x v="0"/>
    <x v="0"/>
    <n v="44456036000311"/>
    <x v="91"/>
    <s v="BAURU"/>
    <s v="SP"/>
    <x v="0"/>
    <s v="CLAUDIA BUENO (SPC/SPI)"/>
    <n v="62"/>
    <x v="3"/>
    <n v="8"/>
  </r>
  <r>
    <x v="0"/>
    <x v="0"/>
    <x v="0"/>
    <n v="44456036000311"/>
    <x v="91"/>
    <s v="BAURU"/>
    <s v="SP"/>
    <x v="0"/>
    <s v="CLAUDIA BUENO (SPC/SPI)"/>
    <n v="64"/>
    <x v="1"/>
    <n v="2"/>
  </r>
  <r>
    <x v="0"/>
    <x v="0"/>
    <x v="0"/>
    <n v="44531788000138"/>
    <x v="92"/>
    <s v="LINS"/>
    <s v="SP"/>
    <x v="0"/>
    <s v="CLAUDIA BUENO (SPC/SPI)"/>
    <n v="73"/>
    <x v="2"/>
    <n v="120"/>
  </r>
  <r>
    <x v="0"/>
    <x v="0"/>
    <x v="0"/>
    <n v="44649812019238"/>
    <x v="93"/>
    <s v="CAMPINAS"/>
    <s v="SP"/>
    <x v="0"/>
    <s v="CLAUDIA BUENO (SPC/SPI)"/>
    <n v="73"/>
    <x v="2"/>
    <n v="8"/>
  </r>
  <r>
    <x v="0"/>
    <x v="0"/>
    <x v="0"/>
    <n v="44663631000590"/>
    <x v="94"/>
    <s v="RIO CLARO"/>
    <s v="SP"/>
    <x v="0"/>
    <s v="CLAUDIA BUENO (SPC/SPI)"/>
    <n v="70"/>
    <x v="0"/>
    <n v="225"/>
  </r>
  <r>
    <x v="0"/>
    <x v="0"/>
    <x v="0"/>
    <n v="44663631000590"/>
    <x v="94"/>
    <s v="RIO CLARO"/>
    <s v="SP"/>
    <x v="0"/>
    <s v="CLAUDIA BUENO (SPC/SPI)"/>
    <n v="73"/>
    <x v="2"/>
    <n v="32"/>
  </r>
  <r>
    <x v="0"/>
    <x v="0"/>
    <x v="0"/>
    <n v="44803922000293"/>
    <x v="95"/>
    <s v="PIRACICABA"/>
    <s v="SP"/>
    <x v="0"/>
    <s v="CLAUDIA BUENO (SPC/SPI)"/>
    <n v="73"/>
    <x v="2"/>
    <n v="6"/>
  </r>
  <r>
    <x v="0"/>
    <x v="0"/>
    <x v="0"/>
    <n v="45118429001279"/>
    <x v="96"/>
    <s v="CATANDUVA"/>
    <s v="SP"/>
    <x v="0"/>
    <s v="CLAUDIA BUENO (SPC/SPI)"/>
    <n v="70"/>
    <x v="0"/>
    <n v="100"/>
  </r>
  <r>
    <x v="0"/>
    <x v="0"/>
    <x v="0"/>
    <n v="45118429001279"/>
    <x v="96"/>
    <s v="CATANDUVA"/>
    <s v="SP"/>
    <x v="0"/>
    <s v="CLAUDIA BUENO (SPC/SPI)"/>
    <n v="73"/>
    <x v="2"/>
    <n v="12"/>
  </r>
  <r>
    <x v="0"/>
    <x v="0"/>
    <x v="0"/>
    <n v="45184066000117"/>
    <x v="97"/>
    <s v="SAO JOSE DOS CAMPOS"/>
    <s v="SP"/>
    <x v="0"/>
    <s v="CLAUDIA BUENO (SPC/SPI)"/>
    <n v="73"/>
    <x v="2"/>
    <n v="14"/>
  </r>
  <r>
    <x v="0"/>
    <x v="0"/>
    <x v="0"/>
    <n v="45232246000550"/>
    <x v="98"/>
    <s v="RIBEIRAO PRETO"/>
    <s v="SP"/>
    <x v="0"/>
    <s v="CLAUDIA BUENO (SPC/SPI)"/>
    <n v="70"/>
    <x v="0"/>
    <n v="235"/>
  </r>
  <r>
    <x v="0"/>
    <x v="0"/>
    <x v="0"/>
    <n v="45232246000550"/>
    <x v="98"/>
    <s v="RIBEIRAO PRETO"/>
    <s v="SP"/>
    <x v="0"/>
    <s v="CLAUDIA BUENO (SPC/SPI)"/>
    <n v="73"/>
    <x v="2"/>
    <n v="35"/>
  </r>
  <r>
    <x v="0"/>
    <x v="0"/>
    <x v="0"/>
    <n v="45359213000576"/>
    <x v="99"/>
    <s v="SAO CARLOS"/>
    <s v="SP"/>
    <x v="0"/>
    <s v="CLAUDIA BUENO (SPC/SPI)"/>
    <n v="73"/>
    <x v="2"/>
    <n v="40"/>
  </r>
  <r>
    <x v="0"/>
    <x v="0"/>
    <x v="0"/>
    <n v="45399961000230"/>
    <x v="100"/>
    <s v="SOROCABA"/>
    <s v="SP"/>
    <x v="0"/>
    <s v="CLAUDIA BUENO (SPC/SPI)"/>
    <n v="70"/>
    <x v="0"/>
    <n v="725"/>
  </r>
  <r>
    <x v="0"/>
    <x v="0"/>
    <x v="0"/>
    <n v="45780103000150"/>
    <x v="101"/>
    <s v="JUNDIAI"/>
    <s v="SP"/>
    <x v="0"/>
    <s v="CLAUDIA BUENO (SPC/SPI)"/>
    <n v="70"/>
    <x v="0"/>
    <n v="730"/>
  </r>
  <r>
    <x v="0"/>
    <x v="0"/>
    <x v="0"/>
    <n v="46009718000140"/>
    <x v="102"/>
    <s v="CAMPINAS"/>
    <s v="SP"/>
    <x v="0"/>
    <s v="CLAUDIA BUENO (SPC/SPI)"/>
    <n v="70"/>
    <x v="0"/>
    <n v="860"/>
  </r>
  <r>
    <x v="0"/>
    <x v="0"/>
    <x v="0"/>
    <n v="46009718000140"/>
    <x v="102"/>
    <s v="CAMPINAS"/>
    <s v="SP"/>
    <x v="0"/>
    <s v="CLAUDIA BUENO (SPC/SPI)"/>
    <n v="73"/>
    <x v="2"/>
    <n v="34"/>
  </r>
  <r>
    <x v="0"/>
    <x v="0"/>
    <x v="0"/>
    <n v="46020301000269"/>
    <x v="103"/>
    <s v="CAMPINAS"/>
    <s v="SP"/>
    <x v="0"/>
    <s v="CLAUDIA BUENO (SPC/SPI)"/>
    <n v="73"/>
    <x v="2"/>
    <n v="50"/>
  </r>
  <r>
    <x v="0"/>
    <x v="0"/>
    <x v="0"/>
    <n v="46124624000111"/>
    <x v="104"/>
    <s v="CAMPINAS"/>
    <s v="SP"/>
    <x v="0"/>
    <s v="CLAUDIA BUENO (SPC/SPI)"/>
    <n v="70"/>
    <x v="0"/>
    <n v="545"/>
  </r>
  <r>
    <x v="0"/>
    <x v="0"/>
    <x v="0"/>
    <n v="46124624000111"/>
    <x v="104"/>
    <s v="CAMPINAS"/>
    <s v="SP"/>
    <x v="0"/>
    <s v="CLAUDIA BUENO (SPC/SPI)"/>
    <n v="73"/>
    <x v="2"/>
    <n v="208"/>
  </r>
  <r>
    <x v="0"/>
    <x v="0"/>
    <x v="0"/>
    <n v="46124624002599"/>
    <x v="105"/>
    <s v="SUMARE"/>
    <s v="SP"/>
    <x v="0"/>
    <s v="CLAUDIA BUENO (SPC/SPI)"/>
    <n v="70"/>
    <x v="0"/>
    <n v="400"/>
  </r>
  <r>
    <x v="0"/>
    <x v="0"/>
    <x v="0"/>
    <n v="46124624002599"/>
    <x v="105"/>
    <s v="SUMARE"/>
    <s v="SP"/>
    <x v="0"/>
    <s v="CLAUDIA BUENO (SPC/SPI)"/>
    <n v="73"/>
    <x v="2"/>
    <n v="120"/>
  </r>
  <r>
    <x v="0"/>
    <x v="0"/>
    <x v="0"/>
    <n v="46374500003533"/>
    <x v="106"/>
    <s v="RIBEIRAO PRETO"/>
    <s v="SP"/>
    <x v="0"/>
    <s v="CLAUDIA BUENO (SPC/SPI)"/>
    <n v="70"/>
    <x v="0"/>
    <n v="1000"/>
  </r>
  <r>
    <x v="0"/>
    <x v="0"/>
    <x v="0"/>
    <n v="47074851000819"/>
    <x v="107"/>
    <s v="CATANDUVA"/>
    <s v="SP"/>
    <x v="0"/>
    <s v="CLAUDIA BUENO (SPC/SPI)"/>
    <n v="70"/>
    <x v="0"/>
    <n v="40"/>
  </r>
  <r>
    <x v="0"/>
    <x v="0"/>
    <x v="0"/>
    <n v="47074851000819"/>
    <x v="107"/>
    <s v="CATANDUVA"/>
    <s v="SP"/>
    <x v="0"/>
    <s v="CLAUDIA BUENO (SPC/SPI)"/>
    <n v="73"/>
    <x v="2"/>
    <n v="12"/>
  </r>
  <r>
    <x v="0"/>
    <x v="0"/>
    <x v="0"/>
    <n v="48468284000171"/>
    <x v="108"/>
    <s v="GUARARAPES"/>
    <s v="SP"/>
    <x v="0"/>
    <s v="CLAUDIA BUENO (SPC/SPI)"/>
    <n v="70"/>
    <x v="0"/>
    <n v="100"/>
  </r>
  <r>
    <x v="0"/>
    <x v="0"/>
    <x v="0"/>
    <n v="50486026000160"/>
    <x v="109"/>
    <s v="FRANCA"/>
    <s v="SP"/>
    <x v="0"/>
    <s v="CLAUDIA BUENO (SPC/SPI)"/>
    <n v="70"/>
    <x v="0"/>
    <n v="100"/>
  </r>
  <r>
    <x v="0"/>
    <x v="0"/>
    <x v="0"/>
    <n v="51877926000109"/>
    <x v="110"/>
    <s v="CAMPINAS"/>
    <s v="SP"/>
    <x v="0"/>
    <s v="CLAUDIA BUENO (SPC/SPI)"/>
    <n v="70"/>
    <x v="0"/>
    <n v="165"/>
  </r>
  <r>
    <x v="0"/>
    <x v="0"/>
    <x v="0"/>
    <n v="51885242000140"/>
    <x v="111"/>
    <s v="CAMPINAS"/>
    <s v="SP"/>
    <x v="0"/>
    <s v="CLAUDIA BUENO (SPC/SPI)"/>
    <n v="73"/>
    <x v="2"/>
    <n v="240"/>
  </r>
  <r>
    <x v="0"/>
    <x v="0"/>
    <x v="0"/>
    <n v="54012406000385"/>
    <x v="112"/>
    <s v="ARARAS"/>
    <s v="SP"/>
    <x v="0"/>
    <s v="CLAUDIA BUENO (SPC/SPI)"/>
    <n v="70"/>
    <x v="0"/>
    <n v="70"/>
  </r>
  <r>
    <x v="0"/>
    <x v="0"/>
    <x v="0"/>
    <n v="55980148000121"/>
    <x v="113"/>
    <s v="RIBEIRAO PRETO"/>
    <s v="SP"/>
    <x v="0"/>
    <s v="CLAUDIA BUENO (SPC/SPI)"/>
    <n v="73"/>
    <x v="2"/>
    <n v="1"/>
  </r>
  <r>
    <x v="0"/>
    <x v="0"/>
    <x v="0"/>
    <n v="57722118000302"/>
    <x v="114"/>
    <s v="RIBEIRAO PRETO"/>
    <s v="SP"/>
    <x v="0"/>
    <s v="CLAUDIA BUENO (SPC/SPI)"/>
    <n v="70"/>
    <x v="0"/>
    <n v="1650"/>
  </r>
  <r>
    <x v="0"/>
    <x v="0"/>
    <x v="0"/>
    <n v="58229691001070"/>
    <x v="115"/>
    <s v="SANTOS"/>
    <s v="SP"/>
    <x v="0"/>
    <s v="CLAUDIA BUENO (SPC/SPI)"/>
    <n v="73"/>
    <x v="2"/>
    <n v="48"/>
  </r>
  <r>
    <x v="0"/>
    <x v="0"/>
    <x v="0"/>
    <n v="59970947000178"/>
    <x v="116"/>
    <s v="SAO JOSE DO RIO PRETO"/>
    <s v="SP"/>
    <x v="0"/>
    <s v="CLAUDIA BUENO (SPC/SPI)"/>
    <n v="62"/>
    <x v="3"/>
    <n v="1"/>
  </r>
  <r>
    <x v="0"/>
    <x v="0"/>
    <x v="0"/>
    <n v="59972307000105"/>
    <x v="117"/>
    <s v="SAO JOSE DO RIO PRETO"/>
    <s v="SP"/>
    <x v="0"/>
    <s v="CLAUDIA BUENO (SPC/SPI)"/>
    <n v="64"/>
    <x v="1"/>
    <n v="2"/>
  </r>
  <r>
    <x v="0"/>
    <x v="0"/>
    <x v="0"/>
    <n v="60003761000129"/>
    <x v="118"/>
    <s v="SAO JOSE DO RIO PRETO"/>
    <s v="SP"/>
    <x v="0"/>
    <s v="CLAUDIA BUENO (SPC/SPI)"/>
    <n v="64"/>
    <x v="1"/>
    <n v="10"/>
  </r>
  <r>
    <x v="0"/>
    <x v="0"/>
    <x v="0"/>
    <n v="60214517000962"/>
    <x v="119"/>
    <s v="SAO JOSE DOS CAMPOS"/>
    <s v="SP"/>
    <x v="0"/>
    <s v="CLAUDIA BUENO (SPC/SPI)"/>
    <n v="70"/>
    <x v="0"/>
    <n v="90"/>
  </r>
  <r>
    <x v="0"/>
    <x v="0"/>
    <x v="0"/>
    <n v="60214517001691"/>
    <x v="120"/>
    <s v="SAO JOSE DOS CAMPOS"/>
    <s v="SP"/>
    <x v="0"/>
    <s v="CLAUDIA BUENO (SPC/SPI)"/>
    <n v="70"/>
    <x v="0"/>
    <n v="150"/>
  </r>
  <r>
    <x v="0"/>
    <x v="1"/>
    <x v="0"/>
    <n v="6033403000113"/>
    <x v="79"/>
    <s v="SANTO ANDRE"/>
    <s v="SP"/>
    <x v="0"/>
    <s v="CLAUDIA BUENO (SPC/SPI)"/>
    <n v="64"/>
    <x v="1"/>
    <n v="2"/>
  </r>
  <r>
    <x v="0"/>
    <x v="1"/>
    <x v="0"/>
    <n v="6047087003073"/>
    <x v="80"/>
    <s v="SAO JOSE DOS CAMPOS"/>
    <s v="SP"/>
    <x v="0"/>
    <s v="CLAUDIA BUENO (SPC/SPI)"/>
    <n v="66"/>
    <x v="4"/>
    <n v="1"/>
  </r>
  <r>
    <x v="0"/>
    <x v="1"/>
    <x v="0"/>
    <n v="6047087003073"/>
    <x v="80"/>
    <s v="SAO JOSE DOS CAMPOS"/>
    <s v="SP"/>
    <x v="0"/>
    <s v="CLAUDIA BUENO (SPC/SPI)"/>
    <n v="73"/>
    <x v="2"/>
    <n v="48"/>
  </r>
  <r>
    <x v="0"/>
    <x v="1"/>
    <x v="0"/>
    <n v="6047087007907"/>
    <x v="121"/>
    <s v="SANTO ANDRE"/>
    <s v="SP"/>
    <x v="0"/>
    <s v="CLAUDIA BUENO (SPC/SPI)"/>
    <n v="62"/>
    <x v="3"/>
    <n v="12"/>
  </r>
  <r>
    <x v="0"/>
    <x v="1"/>
    <x v="0"/>
    <n v="10447300000177"/>
    <x v="83"/>
    <s v="CAMPINAS"/>
    <s v="SP"/>
    <x v="0"/>
    <s v="CLAUDIA BUENO (SPC/SPI)"/>
    <n v="73"/>
    <x v="2"/>
    <n v="4"/>
  </r>
  <r>
    <x v="0"/>
    <x v="1"/>
    <x v="0"/>
    <n v="10576443000189"/>
    <x v="122"/>
    <s v="SAO JOSE DO RIO PRETO"/>
    <s v="SP"/>
    <x v="0"/>
    <s v="CLAUDIA BUENO (SPC/SPI)"/>
    <n v="70"/>
    <x v="0"/>
    <n v="140"/>
  </r>
  <r>
    <x v="0"/>
    <x v="1"/>
    <x v="0"/>
    <n v="10868295000176"/>
    <x v="123"/>
    <s v="SANTOS"/>
    <s v="SP"/>
    <x v="0"/>
    <s v="CLAUDIA BUENO (SPC/SPI)"/>
    <n v="70"/>
    <x v="0"/>
    <n v="40"/>
  </r>
  <r>
    <x v="0"/>
    <x v="1"/>
    <x v="0"/>
    <n v="13718999001041"/>
    <x v="84"/>
    <s v="SANTO ANDRE"/>
    <s v="SP"/>
    <x v="0"/>
    <s v="CLAUDIA BUENO (SPC/SPI)"/>
    <n v="73"/>
    <x v="2"/>
    <n v="4"/>
  </r>
  <r>
    <x v="0"/>
    <x v="1"/>
    <x v="0"/>
    <n v="18290268000170"/>
    <x v="124"/>
    <s v="SANTOS"/>
    <s v="SP"/>
    <x v="0"/>
    <s v="CLAUDIA BUENO (SPC/SPI)"/>
    <n v="64"/>
    <x v="1"/>
    <n v="0"/>
  </r>
  <r>
    <x v="0"/>
    <x v="1"/>
    <x v="0"/>
    <n v="18321477000134"/>
    <x v="85"/>
    <s v="SAO JOSE DOS CAMPOS"/>
    <s v="SP"/>
    <x v="0"/>
    <s v="CLAUDIA BUENO (SPC/SPI)"/>
    <n v="73"/>
    <x v="2"/>
    <n v="48"/>
  </r>
  <r>
    <x v="0"/>
    <x v="1"/>
    <x v="0"/>
    <n v="24082016000159"/>
    <x v="125"/>
    <s v="MARILIA"/>
    <s v="SP"/>
    <x v="0"/>
    <s v="CLAUDIA BUENO (SPC/SPI)"/>
    <n v="70"/>
    <x v="0"/>
    <n v="2000"/>
  </r>
  <r>
    <x v="0"/>
    <x v="1"/>
    <x v="0"/>
    <n v="25026561000190"/>
    <x v="86"/>
    <s v="ANDRADINA"/>
    <s v="SP"/>
    <x v="0"/>
    <s v="CLAUDIA BUENO (SPC/SPI)"/>
    <n v="70"/>
    <x v="0"/>
    <n v="20"/>
  </r>
  <r>
    <x v="0"/>
    <x v="1"/>
    <x v="0"/>
    <n v="29435005008294"/>
    <x v="88"/>
    <s v="GUARULHOS"/>
    <s v="SP"/>
    <x v="0"/>
    <s v="CLAUDIA BUENO (SPC/SPI)"/>
    <n v="70"/>
    <x v="0"/>
    <n v="150"/>
  </r>
  <r>
    <x v="0"/>
    <x v="1"/>
    <x v="0"/>
    <n v="29435005008456"/>
    <x v="89"/>
    <s v="CAMPINAS"/>
    <s v="SP"/>
    <x v="0"/>
    <s v="CLAUDIA BUENO (SPC/SPI)"/>
    <n v="70"/>
    <x v="0"/>
    <n v="35"/>
  </r>
  <r>
    <x v="0"/>
    <x v="1"/>
    <x v="0"/>
    <n v="43293604002120"/>
    <x v="90"/>
    <s v="SAO BERNARDO DO CAMPO"/>
    <s v="SP"/>
    <x v="0"/>
    <s v="CLAUDIA BUENO (SPC/SPI)"/>
    <n v="70"/>
    <x v="0"/>
    <n v="80"/>
  </r>
  <r>
    <x v="0"/>
    <x v="1"/>
    <x v="0"/>
    <n v="44456036000311"/>
    <x v="91"/>
    <s v="BAURU"/>
    <s v="SP"/>
    <x v="0"/>
    <s v="CLAUDIA BUENO (SPC/SPI)"/>
    <n v="62"/>
    <x v="3"/>
    <n v="28"/>
  </r>
  <r>
    <x v="0"/>
    <x v="1"/>
    <x v="0"/>
    <n v="44456036000311"/>
    <x v="91"/>
    <s v="BAURU"/>
    <s v="SP"/>
    <x v="0"/>
    <s v="CLAUDIA BUENO (SPC/SPI)"/>
    <n v="64"/>
    <x v="1"/>
    <n v="4"/>
  </r>
  <r>
    <x v="0"/>
    <x v="1"/>
    <x v="0"/>
    <n v="44649812019238"/>
    <x v="93"/>
    <s v="CAMPINAS"/>
    <s v="SP"/>
    <x v="0"/>
    <s v="CLAUDIA BUENO (SPC/SPI)"/>
    <n v="73"/>
    <x v="2"/>
    <n v="8"/>
  </r>
  <r>
    <x v="0"/>
    <x v="1"/>
    <x v="0"/>
    <n v="44663631000590"/>
    <x v="94"/>
    <s v="RIO CLARO"/>
    <s v="SP"/>
    <x v="0"/>
    <s v="CLAUDIA BUENO (SPC/SPI)"/>
    <n v="70"/>
    <x v="0"/>
    <n v="165"/>
  </r>
  <r>
    <x v="0"/>
    <x v="1"/>
    <x v="0"/>
    <n v="44663631000590"/>
    <x v="94"/>
    <s v="RIO CLARO"/>
    <s v="SP"/>
    <x v="0"/>
    <s v="CLAUDIA BUENO (SPC/SPI)"/>
    <n v="73"/>
    <x v="2"/>
    <n v="32"/>
  </r>
  <r>
    <x v="0"/>
    <x v="1"/>
    <x v="0"/>
    <n v="44803922000293"/>
    <x v="95"/>
    <s v="PIRACICABA"/>
    <s v="SP"/>
    <x v="0"/>
    <s v="CLAUDIA BUENO (SPC/SPI)"/>
    <n v="73"/>
    <x v="2"/>
    <n v="10"/>
  </r>
  <r>
    <x v="0"/>
    <x v="1"/>
    <x v="0"/>
    <n v="45184066000117"/>
    <x v="97"/>
    <s v="SAO JOSE DOS CAMPOS"/>
    <s v="SP"/>
    <x v="0"/>
    <s v="CLAUDIA BUENO (SPC/SPI)"/>
    <n v="70"/>
    <x v="0"/>
    <n v="50"/>
  </r>
  <r>
    <x v="0"/>
    <x v="1"/>
    <x v="0"/>
    <n v="45184066000117"/>
    <x v="97"/>
    <s v="SAO JOSE DOS CAMPOS"/>
    <s v="SP"/>
    <x v="0"/>
    <s v="CLAUDIA BUENO (SPC/SPI)"/>
    <n v="73"/>
    <x v="2"/>
    <n v="15"/>
  </r>
  <r>
    <x v="0"/>
    <x v="1"/>
    <x v="0"/>
    <n v="45232246000550"/>
    <x v="98"/>
    <s v="RIBEIRAO PRETO"/>
    <s v="SP"/>
    <x v="0"/>
    <s v="CLAUDIA BUENO (SPC/SPI)"/>
    <n v="70"/>
    <x v="0"/>
    <n v="60"/>
  </r>
  <r>
    <x v="0"/>
    <x v="1"/>
    <x v="0"/>
    <n v="45232246000550"/>
    <x v="98"/>
    <s v="RIBEIRAO PRETO"/>
    <s v="SP"/>
    <x v="0"/>
    <s v="CLAUDIA BUENO (SPC/SPI)"/>
    <n v="73"/>
    <x v="2"/>
    <n v="51"/>
  </r>
  <r>
    <x v="0"/>
    <x v="1"/>
    <x v="0"/>
    <n v="45359213000576"/>
    <x v="99"/>
    <s v="SAO CARLOS"/>
    <s v="SP"/>
    <x v="0"/>
    <s v="CLAUDIA BUENO (SPC/SPI)"/>
    <n v="73"/>
    <x v="2"/>
    <n v="40"/>
  </r>
  <r>
    <x v="0"/>
    <x v="1"/>
    <x v="0"/>
    <n v="45399961000230"/>
    <x v="100"/>
    <s v="SOROCABA"/>
    <s v="SP"/>
    <x v="0"/>
    <s v="CLAUDIA BUENO (SPC/SPI)"/>
    <n v="70"/>
    <x v="0"/>
    <n v="450"/>
  </r>
  <r>
    <x v="0"/>
    <x v="1"/>
    <x v="0"/>
    <n v="46009718000140"/>
    <x v="102"/>
    <s v="CAMPINAS"/>
    <s v="SP"/>
    <x v="0"/>
    <s v="CLAUDIA BUENO (SPC/SPI)"/>
    <n v="66"/>
    <x v="4"/>
    <n v="6"/>
  </r>
  <r>
    <x v="0"/>
    <x v="1"/>
    <x v="0"/>
    <n v="46009718000140"/>
    <x v="102"/>
    <s v="CAMPINAS"/>
    <s v="SP"/>
    <x v="0"/>
    <s v="CLAUDIA BUENO (SPC/SPI)"/>
    <n v="70"/>
    <x v="0"/>
    <n v="1150"/>
  </r>
  <r>
    <x v="0"/>
    <x v="1"/>
    <x v="0"/>
    <n v="46009718000140"/>
    <x v="102"/>
    <s v="CAMPINAS"/>
    <s v="SP"/>
    <x v="0"/>
    <s v="CLAUDIA BUENO (SPC/SPI)"/>
    <n v="73"/>
    <x v="2"/>
    <n v="83"/>
  </r>
  <r>
    <x v="0"/>
    <x v="1"/>
    <x v="0"/>
    <n v="46020301000269"/>
    <x v="103"/>
    <s v="CAMPINAS"/>
    <s v="SP"/>
    <x v="0"/>
    <s v="CLAUDIA BUENO (SPC/SPI)"/>
    <n v="73"/>
    <x v="2"/>
    <n v="35"/>
  </r>
  <r>
    <x v="0"/>
    <x v="1"/>
    <x v="0"/>
    <n v="46068425000133"/>
    <x v="126"/>
    <s v="CAMPINAS"/>
    <s v="SP"/>
    <x v="0"/>
    <s v="CLAUDIA BUENO (SPC/SPI)"/>
    <n v="66"/>
    <x v="4"/>
    <n v="2"/>
  </r>
  <r>
    <x v="0"/>
    <x v="1"/>
    <x v="0"/>
    <n v="46124624000111"/>
    <x v="104"/>
    <s v="CAMPINAS"/>
    <s v="SP"/>
    <x v="0"/>
    <s v="CLAUDIA BUENO (SPC/SPI)"/>
    <n v="70"/>
    <x v="0"/>
    <n v="340"/>
  </r>
  <r>
    <x v="0"/>
    <x v="1"/>
    <x v="0"/>
    <n v="46124624000111"/>
    <x v="104"/>
    <s v="CAMPINAS"/>
    <s v="SP"/>
    <x v="0"/>
    <s v="CLAUDIA BUENO (SPC/SPI)"/>
    <n v="73"/>
    <x v="2"/>
    <n v="48"/>
  </r>
  <r>
    <x v="0"/>
    <x v="1"/>
    <x v="0"/>
    <n v="46124624002599"/>
    <x v="105"/>
    <s v="SUMARE"/>
    <s v="SP"/>
    <x v="0"/>
    <s v="CLAUDIA BUENO (SPC/SPI)"/>
    <n v="70"/>
    <x v="0"/>
    <n v="700"/>
  </r>
  <r>
    <x v="0"/>
    <x v="1"/>
    <x v="0"/>
    <n v="46124624002599"/>
    <x v="105"/>
    <s v="SUMARE"/>
    <s v="SP"/>
    <x v="0"/>
    <s v="CLAUDIA BUENO (SPC/SPI)"/>
    <n v="73"/>
    <x v="2"/>
    <n v="240"/>
  </r>
  <r>
    <x v="0"/>
    <x v="1"/>
    <x v="0"/>
    <n v="46374500003886"/>
    <x v="127"/>
    <s v="ARACATUBA"/>
    <s v="SP"/>
    <x v="0"/>
    <s v="CLAUDIA BUENO (SPC/SPI)"/>
    <n v="66"/>
    <x v="4"/>
    <n v="18"/>
  </r>
  <r>
    <x v="0"/>
    <x v="1"/>
    <x v="0"/>
    <n v="46374500009060"/>
    <x v="128"/>
    <s v="PIRACICABA"/>
    <s v="SP"/>
    <x v="0"/>
    <s v="CLAUDIA BUENO (SPC/SPI)"/>
    <n v="70"/>
    <x v="0"/>
    <n v="300"/>
  </r>
  <r>
    <x v="0"/>
    <x v="1"/>
    <x v="0"/>
    <n v="47074851000819"/>
    <x v="107"/>
    <s v="CATANDUVA"/>
    <s v="SP"/>
    <x v="0"/>
    <s v="CLAUDIA BUENO (SPC/SPI)"/>
    <n v="73"/>
    <x v="2"/>
    <n v="6"/>
  </r>
  <r>
    <x v="0"/>
    <x v="1"/>
    <x v="0"/>
    <n v="48310098000100"/>
    <x v="129"/>
    <s v="SAO JOSE DO RIO PRETO"/>
    <s v="SP"/>
    <x v="0"/>
    <s v="CLAUDIA BUENO (SPC/SPI)"/>
    <n v="64"/>
    <x v="1"/>
    <n v="1"/>
  </r>
  <r>
    <x v="0"/>
    <x v="1"/>
    <x v="0"/>
    <n v="50486026000160"/>
    <x v="109"/>
    <s v="FRANCA"/>
    <s v="SP"/>
    <x v="0"/>
    <s v="CLAUDIA BUENO (SPC/SPI)"/>
    <n v="70"/>
    <x v="0"/>
    <n v="100"/>
  </r>
  <r>
    <x v="0"/>
    <x v="1"/>
    <x v="0"/>
    <n v="54012406000385"/>
    <x v="112"/>
    <s v="ARARAS"/>
    <s v="SP"/>
    <x v="0"/>
    <s v="CLAUDIA BUENO (SPC/SPI)"/>
    <n v="70"/>
    <x v="0"/>
    <n v="70"/>
  </r>
  <r>
    <x v="0"/>
    <x v="1"/>
    <x v="0"/>
    <n v="57722118000140"/>
    <x v="130"/>
    <s v="RIBEIRAO PRETO"/>
    <s v="SP"/>
    <x v="0"/>
    <s v="CLAUDIA BUENO (SPC/SPI)"/>
    <n v="70"/>
    <x v="0"/>
    <n v="150"/>
  </r>
  <r>
    <x v="0"/>
    <x v="1"/>
    <x v="0"/>
    <n v="58229691001070"/>
    <x v="115"/>
    <s v="SANTOS"/>
    <s v="SP"/>
    <x v="0"/>
    <s v="CLAUDIA BUENO (SPC/SPI)"/>
    <n v="73"/>
    <x v="2"/>
    <n v="32"/>
  </r>
  <r>
    <x v="0"/>
    <x v="1"/>
    <x v="0"/>
    <n v="59970947000178"/>
    <x v="116"/>
    <s v="SAO JOSE DO RIO PRETO"/>
    <s v="SP"/>
    <x v="0"/>
    <s v="CLAUDIA BUENO (SPC/SPI)"/>
    <n v="62"/>
    <x v="3"/>
    <n v="4"/>
  </r>
  <r>
    <x v="0"/>
    <x v="1"/>
    <x v="0"/>
    <n v="60003761000129"/>
    <x v="118"/>
    <s v="SAO JOSE DO RIO PRETO"/>
    <s v="SP"/>
    <x v="0"/>
    <s v="CLAUDIA BUENO (SPC/SPI)"/>
    <n v="62"/>
    <x v="3"/>
    <n v="5"/>
  </r>
  <r>
    <x v="0"/>
    <x v="1"/>
    <x v="0"/>
    <n v="60003761000129"/>
    <x v="118"/>
    <s v="SAO JOSE DO RIO PRETO"/>
    <s v="SP"/>
    <x v="0"/>
    <s v="CLAUDIA BUENO (SPC/SPI)"/>
    <n v="64"/>
    <x v="1"/>
    <n v="12"/>
  </r>
  <r>
    <x v="0"/>
    <x v="1"/>
    <x v="0"/>
    <n v="60214517000962"/>
    <x v="119"/>
    <s v="SAO JOSE DOS CAMPOS"/>
    <s v="SP"/>
    <x v="0"/>
    <s v="CLAUDIA BUENO (SPC/SPI)"/>
    <n v="70"/>
    <x v="0"/>
    <n v="60"/>
  </r>
  <r>
    <x v="0"/>
    <x v="1"/>
    <x v="0"/>
    <n v="60214517001691"/>
    <x v="120"/>
    <s v="SAO JOSE DOS CAMPOS"/>
    <s v="SP"/>
    <x v="0"/>
    <s v="CLAUDIA BUENO (SPC/SPI)"/>
    <n v="70"/>
    <x v="0"/>
    <n v="660"/>
  </r>
  <r>
    <x v="0"/>
    <x v="1"/>
    <x v="0"/>
    <n v="63025530008270"/>
    <x v="131"/>
    <s v="BAURU"/>
    <s v="SP"/>
    <x v="0"/>
    <s v="CLAUDIA BUENO (SPC/SPI)"/>
    <n v="70"/>
    <x v="0"/>
    <n v="5"/>
  </r>
  <r>
    <x v="0"/>
    <x v="1"/>
    <x v="0"/>
    <n v="68204486000113"/>
    <x v="132"/>
    <s v="DRACENA"/>
    <s v="SP"/>
    <x v="0"/>
    <s v="CLAUDIA BUENO (SPC/SPI)"/>
    <n v="70"/>
    <x v="0"/>
    <n v="150"/>
  </r>
  <r>
    <x v="0"/>
    <x v="2"/>
    <x v="0"/>
    <n v="840048000450"/>
    <x v="75"/>
    <s v="PIRASSUNUNGA"/>
    <s v="SP"/>
    <x v="0"/>
    <s v="CLAUDIA BUENO (SPC/SPI)"/>
    <n v="70"/>
    <x v="0"/>
    <n v="240"/>
  </r>
  <r>
    <x v="0"/>
    <x v="2"/>
    <x v="0"/>
    <n v="1613433006892"/>
    <x v="76"/>
    <s v="RIBEIRAO PRETO"/>
    <s v="SP"/>
    <x v="0"/>
    <s v="CLAUDIA BUENO (SPC/SPI)"/>
    <n v="70"/>
    <x v="0"/>
    <n v="1220"/>
  </r>
  <r>
    <x v="0"/>
    <x v="2"/>
    <x v="0"/>
    <n v="1613433008089"/>
    <x v="133"/>
    <s v="SERTÃOZINHO"/>
    <s v="SP"/>
    <x v="0"/>
    <s v="CLAUDIA BUENO (SPC/SPI)"/>
    <n v="70"/>
    <x v="0"/>
    <n v="80"/>
  </r>
  <r>
    <x v="0"/>
    <x v="2"/>
    <x v="0"/>
    <n v="2643405000173"/>
    <x v="77"/>
    <s v="SAO JOSE DO RIO PRETO"/>
    <s v="SP"/>
    <x v="0"/>
    <s v="CLAUDIA BUENO (SPC/SPI)"/>
    <n v="73"/>
    <x v="2"/>
    <n v="36"/>
  </r>
  <r>
    <x v="0"/>
    <x v="2"/>
    <x v="0"/>
    <n v="4275687000129"/>
    <x v="78"/>
    <s v="ATIBAIA"/>
    <s v="SP"/>
    <x v="0"/>
    <s v="CLAUDIA BUENO (SPC/SPI)"/>
    <n v="73"/>
    <x v="2"/>
    <n v="52"/>
  </r>
  <r>
    <x v="0"/>
    <x v="2"/>
    <x v="0"/>
    <n v="6033403000113"/>
    <x v="79"/>
    <s v="SANTO ANDRE"/>
    <s v="SP"/>
    <x v="0"/>
    <s v="CLAUDIA BUENO (SPC/SPI)"/>
    <n v="64"/>
    <x v="1"/>
    <n v="14"/>
  </r>
  <r>
    <x v="0"/>
    <x v="2"/>
    <x v="0"/>
    <n v="6047087000724"/>
    <x v="134"/>
    <s v="SANTO ANDRE"/>
    <s v="SP"/>
    <x v="0"/>
    <s v="CLAUDIA BUENO (SPC/SPI)"/>
    <n v="62"/>
    <x v="3"/>
    <n v="10"/>
  </r>
  <r>
    <x v="0"/>
    <x v="2"/>
    <x v="0"/>
    <n v="6047087000724"/>
    <x v="134"/>
    <s v="SANTO ANDRE"/>
    <s v="SP"/>
    <x v="0"/>
    <s v="CLAUDIA BUENO (SPC/SPI)"/>
    <n v="64"/>
    <x v="1"/>
    <n v="12"/>
  </r>
  <r>
    <x v="0"/>
    <x v="2"/>
    <x v="0"/>
    <n v="6047087003073"/>
    <x v="80"/>
    <s v="SAO JOSE DOS CAMPOS"/>
    <s v="SP"/>
    <x v="0"/>
    <s v="CLAUDIA BUENO (SPC/SPI)"/>
    <n v="66"/>
    <x v="4"/>
    <n v="3"/>
  </r>
  <r>
    <x v="0"/>
    <x v="2"/>
    <x v="0"/>
    <n v="6047087003073"/>
    <x v="80"/>
    <s v="SAO JOSE DOS CAMPOS"/>
    <s v="SP"/>
    <x v="0"/>
    <s v="CLAUDIA BUENO (SPC/SPI)"/>
    <n v="73"/>
    <x v="2"/>
    <n v="48"/>
  </r>
  <r>
    <x v="0"/>
    <x v="2"/>
    <x v="0"/>
    <n v="6047087007656"/>
    <x v="81"/>
    <s v="OSASCO"/>
    <s v="SP"/>
    <x v="0"/>
    <s v="CLAUDIA BUENO (SPC/SPI)"/>
    <n v="62"/>
    <x v="3"/>
    <n v="3"/>
  </r>
  <r>
    <x v="0"/>
    <x v="2"/>
    <x v="0"/>
    <n v="9528436000122"/>
    <x v="135"/>
    <s v="MARILIA"/>
    <s v="SP"/>
    <x v="0"/>
    <s v="CLAUDIA BUENO (SPC/SPI)"/>
    <n v="70"/>
    <x v="0"/>
    <n v="150"/>
  </r>
  <r>
    <x v="0"/>
    <x v="2"/>
    <x v="0"/>
    <n v="10447300000177"/>
    <x v="83"/>
    <s v="CAMPINAS"/>
    <s v="SP"/>
    <x v="0"/>
    <s v="CLAUDIA BUENO (SPC/SPI)"/>
    <n v="73"/>
    <x v="2"/>
    <n v="4"/>
  </r>
  <r>
    <x v="0"/>
    <x v="2"/>
    <x v="0"/>
    <n v="10576443000189"/>
    <x v="122"/>
    <s v="SAO JOSE DO RIO PRETO"/>
    <s v="SP"/>
    <x v="0"/>
    <s v="CLAUDIA BUENO (SPC/SPI)"/>
    <n v="70"/>
    <x v="0"/>
    <n v="160"/>
  </r>
  <r>
    <x v="0"/>
    <x v="2"/>
    <x v="0"/>
    <n v="10868295000176"/>
    <x v="123"/>
    <s v="SANTOS"/>
    <s v="SP"/>
    <x v="0"/>
    <s v="CLAUDIA BUENO (SPC/SPI)"/>
    <n v="70"/>
    <x v="0"/>
    <n v="120"/>
  </r>
  <r>
    <x v="0"/>
    <x v="2"/>
    <x v="0"/>
    <n v="12474705000120"/>
    <x v="136"/>
    <s v="BOTUCATU"/>
    <s v="SP"/>
    <x v="0"/>
    <s v="CLAUDIA BUENO (SPC/SPI)"/>
    <n v="70"/>
    <x v="0"/>
    <n v="125"/>
  </r>
  <r>
    <x v="0"/>
    <x v="2"/>
    <x v="0"/>
    <n v="13718999001041"/>
    <x v="84"/>
    <s v="SANTO ANDRE"/>
    <s v="SP"/>
    <x v="0"/>
    <s v="CLAUDIA BUENO (SPC/SPI)"/>
    <n v="73"/>
    <x v="2"/>
    <n v="8"/>
  </r>
  <r>
    <x v="0"/>
    <x v="2"/>
    <x v="0"/>
    <n v="18321477000134"/>
    <x v="85"/>
    <s v="SAO JOSE DOS CAMPOS"/>
    <s v="SP"/>
    <x v="0"/>
    <s v="CLAUDIA BUENO (SPC/SPI)"/>
    <n v="73"/>
    <x v="2"/>
    <n v="48"/>
  </r>
  <r>
    <x v="0"/>
    <x v="2"/>
    <x v="0"/>
    <n v="25026561000190"/>
    <x v="86"/>
    <s v="ANDRADINA"/>
    <s v="SP"/>
    <x v="0"/>
    <s v="CLAUDIA BUENO (SPC/SPI)"/>
    <n v="70"/>
    <x v="0"/>
    <n v="20"/>
  </r>
  <r>
    <x v="0"/>
    <x v="2"/>
    <x v="0"/>
    <n v="29435005008103"/>
    <x v="137"/>
    <s v="ARUJA"/>
    <s v="SP"/>
    <x v="0"/>
    <s v="CLAUDIA BUENO (SPC/SPI)"/>
    <n v="70"/>
    <x v="0"/>
    <n v="5"/>
  </r>
  <r>
    <x v="0"/>
    <x v="2"/>
    <x v="0"/>
    <n v="29435005008294"/>
    <x v="88"/>
    <s v="GUARULHOS"/>
    <s v="SP"/>
    <x v="0"/>
    <s v="CLAUDIA BUENO (SPC/SPI)"/>
    <n v="70"/>
    <x v="0"/>
    <n v="300"/>
  </r>
  <r>
    <x v="0"/>
    <x v="2"/>
    <x v="0"/>
    <n v="29435005008456"/>
    <x v="89"/>
    <s v="CAMPINAS"/>
    <s v="SP"/>
    <x v="0"/>
    <s v="CLAUDIA BUENO (SPC/SPI)"/>
    <n v="70"/>
    <x v="0"/>
    <n v="200"/>
  </r>
  <r>
    <x v="0"/>
    <x v="2"/>
    <x v="0"/>
    <n v="43293604002120"/>
    <x v="90"/>
    <s v="SAO BERNARDO DO CAMPO"/>
    <s v="SP"/>
    <x v="0"/>
    <s v="CLAUDIA BUENO (SPC/SPI)"/>
    <n v="70"/>
    <x v="0"/>
    <n v="65"/>
  </r>
  <r>
    <x v="0"/>
    <x v="2"/>
    <x v="0"/>
    <n v="44456036000311"/>
    <x v="91"/>
    <s v="BAURU"/>
    <s v="SP"/>
    <x v="0"/>
    <s v="CLAUDIA BUENO (SPC/SPI)"/>
    <n v="64"/>
    <x v="1"/>
    <n v="7"/>
  </r>
  <r>
    <x v="0"/>
    <x v="2"/>
    <x v="0"/>
    <n v="44649812001614"/>
    <x v="138"/>
    <s v="JUNDIAI"/>
    <s v="SP"/>
    <x v="0"/>
    <s v="CLAUDIA BUENO (SPC/SPI)"/>
    <n v="64"/>
    <x v="1"/>
    <n v="4"/>
  </r>
  <r>
    <x v="0"/>
    <x v="2"/>
    <x v="0"/>
    <n v="44649812019238"/>
    <x v="93"/>
    <s v="CAMPINAS"/>
    <s v="SP"/>
    <x v="0"/>
    <s v="CLAUDIA BUENO (SPC/SPI)"/>
    <n v="73"/>
    <x v="2"/>
    <n v="8"/>
  </r>
  <r>
    <x v="0"/>
    <x v="2"/>
    <x v="0"/>
    <n v="44663631000590"/>
    <x v="94"/>
    <s v="RIO CLARO"/>
    <s v="SP"/>
    <x v="0"/>
    <s v="CLAUDIA BUENO (SPC/SPI)"/>
    <n v="70"/>
    <x v="0"/>
    <n v="195"/>
  </r>
  <r>
    <x v="0"/>
    <x v="2"/>
    <x v="0"/>
    <n v="44663631000590"/>
    <x v="94"/>
    <s v="RIO CLARO"/>
    <s v="SP"/>
    <x v="0"/>
    <s v="CLAUDIA BUENO (SPC/SPI)"/>
    <n v="73"/>
    <x v="2"/>
    <n v="32"/>
  </r>
  <r>
    <x v="0"/>
    <x v="2"/>
    <x v="0"/>
    <n v="44803922000293"/>
    <x v="95"/>
    <s v="PIRACICABA"/>
    <s v="SP"/>
    <x v="0"/>
    <s v="CLAUDIA BUENO (SPC/SPI)"/>
    <n v="73"/>
    <x v="2"/>
    <n v="8"/>
  </r>
  <r>
    <x v="0"/>
    <x v="2"/>
    <x v="0"/>
    <n v="45118429001279"/>
    <x v="96"/>
    <s v="CATANDUVA"/>
    <s v="SP"/>
    <x v="0"/>
    <s v="CLAUDIA BUENO (SPC/SPI)"/>
    <n v="64"/>
    <x v="1"/>
    <n v="7"/>
  </r>
  <r>
    <x v="0"/>
    <x v="2"/>
    <x v="0"/>
    <n v="45118429001279"/>
    <x v="96"/>
    <s v="CATANDUVA"/>
    <s v="SP"/>
    <x v="0"/>
    <s v="CLAUDIA BUENO (SPC/SPI)"/>
    <n v="70"/>
    <x v="0"/>
    <n v="100"/>
  </r>
  <r>
    <x v="0"/>
    <x v="2"/>
    <x v="0"/>
    <n v="45118429001279"/>
    <x v="96"/>
    <s v="CATANDUVA"/>
    <s v="SP"/>
    <x v="0"/>
    <s v="CLAUDIA BUENO (SPC/SPI)"/>
    <n v="73"/>
    <x v="2"/>
    <n v="6"/>
  </r>
  <r>
    <x v="0"/>
    <x v="2"/>
    <x v="0"/>
    <n v="45184066000117"/>
    <x v="97"/>
    <s v="SAO JOSE DOS CAMPOS"/>
    <s v="SP"/>
    <x v="0"/>
    <s v="CLAUDIA BUENO (SPC/SPI)"/>
    <n v="70"/>
    <x v="0"/>
    <n v="100"/>
  </r>
  <r>
    <x v="0"/>
    <x v="2"/>
    <x v="0"/>
    <n v="45184066000117"/>
    <x v="97"/>
    <s v="SAO JOSE DOS CAMPOS"/>
    <s v="SP"/>
    <x v="0"/>
    <s v="CLAUDIA BUENO (SPC/SPI)"/>
    <n v="73"/>
    <x v="2"/>
    <n v="15"/>
  </r>
  <r>
    <x v="0"/>
    <x v="2"/>
    <x v="0"/>
    <n v="45232246000550"/>
    <x v="98"/>
    <s v="RIBEIRAO PRETO"/>
    <s v="SP"/>
    <x v="0"/>
    <s v="CLAUDIA BUENO (SPC/SPI)"/>
    <n v="70"/>
    <x v="0"/>
    <n v="360"/>
  </r>
  <r>
    <x v="0"/>
    <x v="2"/>
    <x v="0"/>
    <n v="45232246000550"/>
    <x v="98"/>
    <s v="RIBEIRAO PRETO"/>
    <s v="SP"/>
    <x v="0"/>
    <s v="CLAUDIA BUENO (SPC/SPI)"/>
    <n v="73"/>
    <x v="2"/>
    <n v="62"/>
  </r>
  <r>
    <x v="0"/>
    <x v="2"/>
    <x v="0"/>
    <n v="45359213000576"/>
    <x v="99"/>
    <s v="SAO CARLOS"/>
    <s v="SP"/>
    <x v="0"/>
    <s v="CLAUDIA BUENO (SPC/SPI)"/>
    <n v="73"/>
    <x v="2"/>
    <n v="8"/>
  </r>
  <r>
    <x v="0"/>
    <x v="2"/>
    <x v="0"/>
    <n v="45399961000230"/>
    <x v="100"/>
    <s v="SOROCABA"/>
    <s v="SP"/>
    <x v="0"/>
    <s v="CLAUDIA BUENO (SPC/SPI)"/>
    <n v="70"/>
    <x v="0"/>
    <n v="300"/>
  </r>
  <r>
    <x v="0"/>
    <x v="2"/>
    <x v="0"/>
    <n v="45780103000150"/>
    <x v="101"/>
    <s v="JUNDIAI"/>
    <s v="SP"/>
    <x v="0"/>
    <s v="CLAUDIA BUENO (SPC/SPI)"/>
    <n v="70"/>
    <x v="0"/>
    <n v="615"/>
  </r>
  <r>
    <x v="0"/>
    <x v="2"/>
    <x v="0"/>
    <n v="46009718000140"/>
    <x v="102"/>
    <s v="CAMPINAS"/>
    <s v="SP"/>
    <x v="0"/>
    <s v="CLAUDIA BUENO (SPC/SPI)"/>
    <n v="66"/>
    <x v="4"/>
    <n v="3"/>
  </r>
  <r>
    <x v="0"/>
    <x v="2"/>
    <x v="0"/>
    <n v="46009718000140"/>
    <x v="102"/>
    <s v="CAMPINAS"/>
    <s v="SP"/>
    <x v="0"/>
    <s v="CLAUDIA BUENO (SPC/SPI)"/>
    <n v="70"/>
    <x v="0"/>
    <n v="850"/>
  </r>
  <r>
    <x v="0"/>
    <x v="2"/>
    <x v="0"/>
    <n v="46009718000140"/>
    <x v="102"/>
    <s v="CAMPINAS"/>
    <s v="SP"/>
    <x v="0"/>
    <s v="CLAUDIA BUENO (SPC/SPI)"/>
    <n v="73"/>
    <x v="2"/>
    <n v="42"/>
  </r>
  <r>
    <x v="0"/>
    <x v="2"/>
    <x v="0"/>
    <n v="46020301000269"/>
    <x v="103"/>
    <s v="CAMPINAS"/>
    <s v="SP"/>
    <x v="0"/>
    <s v="CLAUDIA BUENO (SPC/SPI)"/>
    <n v="64"/>
    <x v="1"/>
    <n v="1"/>
  </r>
  <r>
    <x v="0"/>
    <x v="2"/>
    <x v="0"/>
    <n v="46020301000269"/>
    <x v="103"/>
    <s v="CAMPINAS"/>
    <s v="SP"/>
    <x v="0"/>
    <s v="CLAUDIA BUENO (SPC/SPI)"/>
    <n v="73"/>
    <x v="2"/>
    <n v="55"/>
  </r>
  <r>
    <x v="0"/>
    <x v="2"/>
    <x v="0"/>
    <n v="46124624000111"/>
    <x v="104"/>
    <s v="CAMPINAS"/>
    <s v="SP"/>
    <x v="0"/>
    <s v="CLAUDIA BUENO (SPC/SPI)"/>
    <n v="70"/>
    <x v="0"/>
    <n v="265"/>
  </r>
  <r>
    <x v="0"/>
    <x v="2"/>
    <x v="0"/>
    <n v="46124624000111"/>
    <x v="104"/>
    <s v="CAMPINAS"/>
    <s v="SP"/>
    <x v="0"/>
    <s v="CLAUDIA BUENO (SPC/SPI)"/>
    <n v="73"/>
    <x v="2"/>
    <n v="120"/>
  </r>
  <r>
    <x v="0"/>
    <x v="2"/>
    <x v="0"/>
    <n v="46124624002599"/>
    <x v="105"/>
    <s v="SUMARE"/>
    <s v="SP"/>
    <x v="0"/>
    <s v="CLAUDIA BUENO (SPC/SPI)"/>
    <n v="70"/>
    <x v="0"/>
    <n v="1250"/>
  </r>
  <r>
    <x v="0"/>
    <x v="2"/>
    <x v="0"/>
    <n v="46124624002599"/>
    <x v="105"/>
    <s v="SUMARE"/>
    <s v="SP"/>
    <x v="0"/>
    <s v="CLAUDIA BUENO (SPC/SPI)"/>
    <n v="73"/>
    <x v="2"/>
    <n v="80"/>
  </r>
  <r>
    <x v="0"/>
    <x v="2"/>
    <x v="0"/>
    <n v="46374500003533"/>
    <x v="106"/>
    <s v="RIBEIRAO PRETO"/>
    <s v="SP"/>
    <x v="0"/>
    <s v="CLAUDIA BUENO (SPC/SPI)"/>
    <n v="70"/>
    <x v="0"/>
    <n v="1000"/>
  </r>
  <r>
    <x v="0"/>
    <x v="2"/>
    <x v="0"/>
    <n v="46374500009221"/>
    <x v="139"/>
    <s v="ARARAQUARA"/>
    <s v="SP"/>
    <x v="0"/>
    <s v="CLAUDIA BUENO (SPC/SPI)"/>
    <n v="70"/>
    <x v="0"/>
    <n v="900"/>
  </r>
  <r>
    <x v="0"/>
    <x v="2"/>
    <x v="0"/>
    <n v="46643466000106"/>
    <x v="140"/>
    <s v="SAO JOSE DOS CAMPOS"/>
    <s v="SP"/>
    <x v="0"/>
    <s v="CLAUDIA BUENO (SPC/SPI)"/>
    <n v="70"/>
    <x v="0"/>
    <n v="700"/>
  </r>
  <r>
    <x v="0"/>
    <x v="2"/>
    <x v="0"/>
    <n v="47565155000996"/>
    <x v="141"/>
    <s v="PINDAMONHANGABA"/>
    <s v="SP"/>
    <x v="0"/>
    <s v="CLAUDIA BUENO (SPC/SPI)"/>
    <n v="62"/>
    <x v="3"/>
    <n v="3"/>
  </r>
  <r>
    <x v="0"/>
    <x v="2"/>
    <x v="0"/>
    <n v="47565155000996"/>
    <x v="141"/>
    <s v="PINDAMONHANGABA"/>
    <s v="SP"/>
    <x v="0"/>
    <s v="CLAUDIA BUENO (SPC/SPI)"/>
    <n v="64"/>
    <x v="1"/>
    <n v="4"/>
  </r>
  <r>
    <x v="0"/>
    <x v="2"/>
    <x v="0"/>
    <n v="48468284000171"/>
    <x v="108"/>
    <s v="GUARARAPES"/>
    <s v="SP"/>
    <x v="0"/>
    <s v="CLAUDIA BUENO (SPC/SPI)"/>
    <n v="70"/>
    <x v="0"/>
    <n v="200"/>
  </r>
  <r>
    <x v="0"/>
    <x v="2"/>
    <x v="0"/>
    <n v="50486026000160"/>
    <x v="109"/>
    <s v="FRANCA"/>
    <s v="SP"/>
    <x v="0"/>
    <s v="CLAUDIA BUENO (SPC/SPI)"/>
    <n v="70"/>
    <x v="0"/>
    <n v="110"/>
  </r>
  <r>
    <x v="0"/>
    <x v="2"/>
    <x v="0"/>
    <n v="50944198000130"/>
    <x v="142"/>
    <s v="JUNDIAI"/>
    <s v="SP"/>
    <x v="0"/>
    <s v="CLAUDIA BUENO (SPC/SPI)"/>
    <n v="64"/>
    <x v="1"/>
    <n v="8"/>
  </r>
  <r>
    <x v="0"/>
    <x v="2"/>
    <x v="0"/>
    <n v="51093193000456"/>
    <x v="143"/>
    <s v="ARACATUBA"/>
    <s v="SP"/>
    <x v="0"/>
    <s v="CLAUDIA BUENO (SPC/SPI)"/>
    <n v="70"/>
    <x v="0"/>
    <n v="20"/>
  </r>
  <r>
    <x v="0"/>
    <x v="2"/>
    <x v="0"/>
    <n v="51885242000140"/>
    <x v="111"/>
    <s v="CAMPINAS"/>
    <s v="SP"/>
    <x v="0"/>
    <s v="CLAUDIA BUENO (SPC/SPI)"/>
    <n v="73"/>
    <x v="2"/>
    <n v="160"/>
  </r>
  <r>
    <x v="0"/>
    <x v="2"/>
    <x v="0"/>
    <n v="52852100000140"/>
    <x v="144"/>
    <s v="MONTE ALTO"/>
    <s v="SP"/>
    <x v="0"/>
    <s v="CLAUDIA BUENO (SPC/SPI)"/>
    <n v="70"/>
    <x v="0"/>
    <n v="300"/>
  </r>
  <r>
    <x v="0"/>
    <x v="2"/>
    <x v="0"/>
    <n v="53311999000156"/>
    <x v="145"/>
    <s v="ORLANDIA"/>
    <s v="SP"/>
    <x v="0"/>
    <s v="CLAUDIA BUENO (SPC/SPI)"/>
    <n v="64"/>
    <x v="1"/>
    <n v="2"/>
  </r>
  <r>
    <x v="0"/>
    <x v="2"/>
    <x v="0"/>
    <n v="54012406000385"/>
    <x v="112"/>
    <s v="ARARAS"/>
    <s v="SP"/>
    <x v="0"/>
    <s v="CLAUDIA BUENO (SPC/SPI)"/>
    <n v="70"/>
    <x v="0"/>
    <n v="70"/>
  </r>
  <r>
    <x v="0"/>
    <x v="2"/>
    <x v="0"/>
    <n v="57722118000140"/>
    <x v="130"/>
    <s v="RIBEIRAO PRETO"/>
    <s v="SP"/>
    <x v="0"/>
    <s v="CLAUDIA BUENO (SPC/SPI)"/>
    <n v="70"/>
    <x v="0"/>
    <n v="150"/>
  </r>
  <r>
    <x v="0"/>
    <x v="2"/>
    <x v="0"/>
    <n v="58229691001070"/>
    <x v="115"/>
    <s v="SANTOS"/>
    <s v="SP"/>
    <x v="0"/>
    <s v="CLAUDIA BUENO (SPC/SPI)"/>
    <n v="73"/>
    <x v="2"/>
    <n v="32"/>
  </r>
  <r>
    <x v="0"/>
    <x v="2"/>
    <x v="0"/>
    <n v="60003761000129"/>
    <x v="118"/>
    <s v="SAO JOSE DO RIO PRETO"/>
    <s v="SP"/>
    <x v="0"/>
    <s v="CLAUDIA BUENO (SPC/SPI)"/>
    <n v="62"/>
    <x v="3"/>
    <n v="10"/>
  </r>
  <r>
    <x v="0"/>
    <x v="2"/>
    <x v="0"/>
    <n v="60003761000129"/>
    <x v="118"/>
    <s v="SAO JOSE DO RIO PRETO"/>
    <s v="SP"/>
    <x v="0"/>
    <s v="CLAUDIA BUENO (SPC/SPI)"/>
    <n v="64"/>
    <x v="1"/>
    <n v="15"/>
  </r>
  <r>
    <x v="0"/>
    <x v="2"/>
    <x v="0"/>
    <n v="60214517001187"/>
    <x v="146"/>
    <s v="JACAREI"/>
    <s v="SP"/>
    <x v="0"/>
    <s v="CLAUDIA BUENO (SPC/SPI)"/>
    <n v="70"/>
    <x v="0"/>
    <n v="20"/>
  </r>
  <r>
    <x v="0"/>
    <x v="2"/>
    <x v="0"/>
    <n v="60214517001691"/>
    <x v="120"/>
    <s v="SAO JOSE DOS CAMPOS"/>
    <s v="SP"/>
    <x v="0"/>
    <s v="CLAUDIA BUENO (SPC/SPI)"/>
    <n v="70"/>
    <x v="0"/>
    <n v="605"/>
  </r>
  <r>
    <x v="0"/>
    <x v="2"/>
    <x v="0"/>
    <n v="68204486000113"/>
    <x v="132"/>
    <s v="DRACENA"/>
    <s v="SP"/>
    <x v="0"/>
    <s v="CLAUDIA BUENO (SPC/SPI)"/>
    <n v="70"/>
    <x v="0"/>
    <n v="150"/>
  </r>
  <r>
    <x v="0"/>
    <x v="3"/>
    <x v="1"/>
    <n v="1613433010814"/>
    <x v="147"/>
    <s v="ARARAQUARA"/>
    <s v="SP"/>
    <x v="0"/>
    <s v="CLAUDIA BUENO (SPC/SPI)"/>
    <n v="70"/>
    <x v="0"/>
    <n v="50"/>
  </r>
  <r>
    <x v="0"/>
    <x v="3"/>
    <x v="1"/>
    <n v="10447300000177"/>
    <x v="83"/>
    <s v="CAMPINAS"/>
    <s v="SP"/>
    <x v="0"/>
    <s v="CLAUDIA BUENO (SPC/SPI)"/>
    <n v="73"/>
    <x v="2"/>
    <n v="8"/>
  </r>
  <r>
    <x v="0"/>
    <x v="3"/>
    <x v="1"/>
    <n v="13718999001041"/>
    <x v="84"/>
    <s v="SANTO ANDRE"/>
    <s v="SP"/>
    <x v="0"/>
    <s v="CLAUDIA BUENO (SPC/SPI)"/>
    <n v="73"/>
    <x v="2"/>
    <n v="4"/>
  </r>
  <r>
    <x v="0"/>
    <x v="3"/>
    <x v="1"/>
    <n v="18321477000134"/>
    <x v="85"/>
    <s v="SAO JOSE DOS CAMPOS"/>
    <s v="SP"/>
    <x v="0"/>
    <s v="CLAUDIA BUENO (SPC/SPI)"/>
    <n v="73"/>
    <x v="2"/>
    <n v="48"/>
  </r>
  <r>
    <x v="0"/>
    <x v="3"/>
    <x v="1"/>
    <n v="43293604002120"/>
    <x v="90"/>
    <s v="SAO BERNARDO DO CAMPO"/>
    <s v="SP"/>
    <x v="0"/>
    <s v="CLAUDIA BUENO (SPC/SPI)"/>
    <n v="70"/>
    <x v="0"/>
    <n v="50"/>
  </r>
  <r>
    <x v="0"/>
    <x v="3"/>
    <x v="1"/>
    <n v="46020301000269"/>
    <x v="103"/>
    <s v="CAMPINAS"/>
    <s v="SP"/>
    <x v="0"/>
    <s v="CLAUDIA BUENO (SPC/SPI)"/>
    <n v="73"/>
    <x v="2"/>
    <n v="20"/>
  </r>
  <r>
    <x v="0"/>
    <x v="3"/>
    <x v="1"/>
    <n v="46124624000111"/>
    <x v="104"/>
    <s v="CAMPINAS"/>
    <s v="SP"/>
    <x v="0"/>
    <s v="CLAUDIA BUENO (SPC/SPI)"/>
    <n v="70"/>
    <x v="0"/>
    <n v="450"/>
  </r>
  <r>
    <x v="0"/>
    <x v="3"/>
    <x v="1"/>
    <n v="46124624000111"/>
    <x v="104"/>
    <s v="CAMPINAS"/>
    <s v="SP"/>
    <x v="0"/>
    <s v="CLAUDIA BUENO (SPC/SPI)"/>
    <n v="73"/>
    <x v="2"/>
    <n v="24"/>
  </r>
  <r>
    <x v="0"/>
    <x v="3"/>
    <x v="1"/>
    <n v="46124624002599"/>
    <x v="105"/>
    <s v="SUMARE"/>
    <s v="SP"/>
    <x v="0"/>
    <s v="CLAUDIA BUENO (SPC/SPI)"/>
    <n v="73"/>
    <x v="2"/>
    <n v="120"/>
  </r>
  <r>
    <x v="0"/>
    <x v="3"/>
    <x v="1"/>
    <n v="46643466000106"/>
    <x v="140"/>
    <s v="SAO JOSE DOS CAMPOS"/>
    <s v="SP"/>
    <x v="0"/>
    <s v="CLAUDIA BUENO (SPC/SPI)"/>
    <n v="70"/>
    <x v="0"/>
    <n v="700"/>
  </r>
  <r>
    <x v="0"/>
    <x v="3"/>
    <x v="1"/>
    <n v="51093193000456"/>
    <x v="143"/>
    <s v="ARACATUBA"/>
    <s v="SP"/>
    <x v="0"/>
    <s v="CLAUDIA BUENO (SPC/SPI)"/>
    <n v="70"/>
    <x v="0"/>
    <n v="20"/>
  </r>
  <r>
    <x v="0"/>
    <x v="3"/>
    <x v="1"/>
    <n v="51722957014302"/>
    <x v="148"/>
    <s v="MOGI DAS CRUZES"/>
    <s v="SP"/>
    <x v="0"/>
    <s v="CLAUDIA BUENO (SPC/SPI)"/>
    <n v="70"/>
    <x v="0"/>
    <n v="75"/>
  </r>
  <r>
    <x v="0"/>
    <x v="3"/>
    <x v="1"/>
    <n v="57722118000302"/>
    <x v="114"/>
    <s v="RIBEIRAO PRETO"/>
    <s v="SP"/>
    <x v="0"/>
    <s v="CLAUDIA BUENO (SPC/SPI)"/>
    <n v="73"/>
    <x v="2"/>
    <n v="18"/>
  </r>
  <r>
    <x v="0"/>
    <x v="3"/>
    <x v="1"/>
    <n v="57723280000183"/>
    <x v="149"/>
    <s v="RIBEIRAO PRETO"/>
    <s v="SP"/>
    <x v="0"/>
    <s v="CLAUDIA BUENO (SPC/SPI)"/>
    <n v="70"/>
    <x v="0"/>
    <n v="5"/>
  </r>
  <r>
    <x v="0"/>
    <x v="3"/>
    <x v="1"/>
    <n v="60003761000129"/>
    <x v="118"/>
    <s v="SAO JOSE DO RIO PRETO"/>
    <s v="SP"/>
    <x v="0"/>
    <s v="CLAUDIA BUENO (SPC/SPI)"/>
    <n v="62"/>
    <x v="3"/>
    <n v="12"/>
  </r>
  <r>
    <x v="0"/>
    <x v="3"/>
    <x v="1"/>
    <n v="60214517001691"/>
    <x v="120"/>
    <s v="SAO JOSE DOS CAMPOS"/>
    <s v="SP"/>
    <x v="0"/>
    <s v="CLAUDIA BUENO (SPC/SPI)"/>
    <n v="70"/>
    <x v="0"/>
    <n v="325"/>
  </r>
  <r>
    <x v="0"/>
    <x v="0"/>
    <x v="0"/>
    <n v="12371009253"/>
    <x v="150"/>
    <s v="BELEM"/>
    <s v="PA"/>
    <x v="1"/>
    <s v="FERNANDO LEONY (CO/NO/NE)"/>
    <n v="73"/>
    <x v="2"/>
    <n v="24"/>
  </r>
  <r>
    <x v="0"/>
    <x v="1"/>
    <x v="0"/>
    <n v="700386513"/>
    <x v="151"/>
    <s v="NOSSA SENHORA DA GLORIA"/>
    <s v="SE"/>
    <x v="1"/>
    <s v="FERNANDO LEONY (CO/NO/NE)"/>
    <n v="66"/>
    <x v="4"/>
    <n v="4"/>
  </r>
  <r>
    <x v="0"/>
    <x v="0"/>
    <x v="0"/>
    <n v="17376968601"/>
    <x v="152"/>
    <s v="CONSELHEIRO LAFAIETE"/>
    <s v="MG"/>
    <x v="2"/>
    <s v="RAFAEL ESTEVES (RJ/SPI/SUL)"/>
    <n v="66"/>
    <x v="4"/>
    <n v="24"/>
  </r>
  <r>
    <x v="0"/>
    <x v="0"/>
    <x v="0"/>
    <n v="49791000144"/>
    <x v="153"/>
    <s v="BRASILIA"/>
    <s v="DF"/>
    <x v="1"/>
    <s v="FERNANDO LEONY (CO/NO/NE)"/>
    <n v="62"/>
    <x v="3"/>
    <n v="4"/>
  </r>
  <r>
    <x v="0"/>
    <x v="0"/>
    <x v="0"/>
    <n v="49791000144"/>
    <x v="153"/>
    <s v="BRASILIA"/>
    <s v="DF"/>
    <x v="1"/>
    <s v="FERNANDO LEONY (CO/NO/NE)"/>
    <n v="64"/>
    <x v="1"/>
    <n v="13"/>
  </r>
  <r>
    <x v="0"/>
    <x v="1"/>
    <x v="0"/>
    <n v="49791000144"/>
    <x v="153"/>
    <s v="BRASILIA"/>
    <s v="DF"/>
    <x v="1"/>
    <s v="FERNANDO LEONY (CO/NO/NE)"/>
    <n v="62"/>
    <x v="3"/>
    <n v="4"/>
  </r>
  <r>
    <x v="0"/>
    <x v="1"/>
    <x v="0"/>
    <n v="49791000144"/>
    <x v="153"/>
    <s v="BRASILIA"/>
    <s v="DF"/>
    <x v="1"/>
    <s v="FERNANDO LEONY (CO/NO/NE)"/>
    <n v="64"/>
    <x v="1"/>
    <n v="9"/>
  </r>
  <r>
    <x v="0"/>
    <x v="0"/>
    <x v="0"/>
    <n v="83925694404"/>
    <x v="154"/>
    <s v="JOAO PESSOA"/>
    <s v="PB"/>
    <x v="1"/>
    <s v="FERNANDO LEONY (CO/NO/NE)"/>
    <n v="66"/>
    <x v="4"/>
    <n v="24"/>
  </r>
  <r>
    <x v="0"/>
    <x v="0"/>
    <x v="0"/>
    <n v="91777186234"/>
    <x v="155"/>
    <s v="BELEM"/>
    <s v="PA"/>
    <x v="1"/>
    <s v="FERNANDO LEONY (CO/NO/NE)"/>
    <n v="73"/>
    <x v="2"/>
    <n v="36"/>
  </r>
  <r>
    <x v="0"/>
    <x v="0"/>
    <x v="0"/>
    <n v="304148000110"/>
    <x v="156"/>
    <s v="FOZ DO IGUACU"/>
    <s v="PR"/>
    <x v="2"/>
    <s v="RAFAEL ESTEVES (RJ/SPI/SUL)"/>
    <n v="73"/>
    <x v="2"/>
    <n v="48"/>
  </r>
  <r>
    <x v="0"/>
    <x v="1"/>
    <x v="0"/>
    <n v="70306453673"/>
    <x v="157"/>
    <s v="RIBEIRAO DAS NEVES"/>
    <s v="MG"/>
    <x v="2"/>
    <s v="RAFAEL ESTEVES (RJ/SPI/SUL)"/>
    <n v="66"/>
    <x v="4"/>
    <n v="20"/>
  </r>
  <r>
    <x v="0"/>
    <x v="1"/>
    <x v="0"/>
    <n v="82854246004"/>
    <x v="158"/>
    <s v="PORTO ALEGRE"/>
    <s v="RS"/>
    <x v="2"/>
    <s v="RAFAEL ESTEVES (RJ/SPI/SUL)"/>
    <n v="73"/>
    <x v="2"/>
    <n v="64"/>
  </r>
  <r>
    <x v="0"/>
    <x v="0"/>
    <x v="0"/>
    <n v="410960000120"/>
    <x v="159"/>
    <s v="BELO HORIZONTE"/>
    <s v="MG"/>
    <x v="2"/>
    <s v="RAFAEL ESTEVES (RJ/SPI/SUL)"/>
    <n v="73"/>
    <x v="2"/>
    <n v="36"/>
  </r>
  <r>
    <x v="0"/>
    <x v="1"/>
    <x v="0"/>
    <n v="410960000120"/>
    <x v="159"/>
    <s v="BELO HORIZONTE"/>
    <s v="MG"/>
    <x v="2"/>
    <s v="RAFAEL ESTEVES (RJ/SPI/SUL)"/>
    <n v="73"/>
    <x v="2"/>
    <n v="64"/>
  </r>
  <r>
    <x v="0"/>
    <x v="0"/>
    <x v="0"/>
    <n v="418954000119"/>
    <x v="160"/>
    <s v="GOIANIA"/>
    <s v="GO"/>
    <x v="1"/>
    <s v="FERNANDO LEONY (CO/NO/NE)"/>
    <n v="64"/>
    <x v="1"/>
    <n v="10"/>
  </r>
  <r>
    <x v="0"/>
    <x v="1"/>
    <x v="0"/>
    <n v="418954000119"/>
    <x v="160"/>
    <s v="GOIANIA"/>
    <s v="GO"/>
    <x v="1"/>
    <s v="FERNANDO LEONY (CO/NO/NE)"/>
    <n v="64"/>
    <x v="1"/>
    <n v="10"/>
  </r>
  <r>
    <x v="0"/>
    <x v="0"/>
    <x v="0"/>
    <n v="437007000175"/>
    <x v="161"/>
    <s v="NITEROI"/>
    <s v="RJ"/>
    <x v="2"/>
    <s v="RAFAEL ESTEVES (RJ/SPI/SUL)"/>
    <n v="73"/>
    <x v="2"/>
    <n v="358"/>
  </r>
  <r>
    <x v="0"/>
    <x v="1"/>
    <x v="0"/>
    <n v="437007000175"/>
    <x v="161"/>
    <s v="NITEROI"/>
    <s v="RJ"/>
    <x v="2"/>
    <s v="RAFAEL ESTEVES (RJ/SPI/SUL)"/>
    <n v="73"/>
    <x v="2"/>
    <n v="228"/>
  </r>
  <r>
    <x v="0"/>
    <x v="0"/>
    <x v="0"/>
    <n v="511816000180"/>
    <x v="162"/>
    <s v="BRASILIA"/>
    <s v="DF"/>
    <x v="1"/>
    <s v="FERNANDO LEONY (CO/NO/NE)"/>
    <n v="64"/>
    <x v="1"/>
    <n v="8"/>
  </r>
  <r>
    <x v="0"/>
    <x v="1"/>
    <x v="0"/>
    <n v="511816000180"/>
    <x v="162"/>
    <s v="BRASILIA"/>
    <s v="DF"/>
    <x v="1"/>
    <s v="FERNANDO LEONY (CO/NO/NE)"/>
    <n v="62"/>
    <x v="3"/>
    <n v="4"/>
  </r>
  <r>
    <x v="0"/>
    <x v="1"/>
    <x v="0"/>
    <n v="394544000851"/>
    <x v="163"/>
    <s v="BRASILIA"/>
    <s v="DF"/>
    <x v="1"/>
    <s v="FERNANDO LEONY (CO/NO/NE)"/>
    <n v="66"/>
    <x v="4"/>
    <n v="12"/>
  </r>
  <r>
    <x v="0"/>
    <x v="0"/>
    <x v="0"/>
    <n v="520237000101"/>
    <x v="164"/>
    <s v="BRASILIA"/>
    <s v="DF"/>
    <x v="1"/>
    <s v="FERNANDO LEONY (CO/NO/NE)"/>
    <n v="73"/>
    <x v="2"/>
    <n v="102"/>
  </r>
  <r>
    <x v="0"/>
    <x v="1"/>
    <x v="0"/>
    <n v="520237000101"/>
    <x v="164"/>
    <s v="BRASILIA"/>
    <s v="DF"/>
    <x v="1"/>
    <s v="FERNANDO LEONY (CO/NO/NE)"/>
    <n v="73"/>
    <x v="2"/>
    <n v="259"/>
  </r>
  <r>
    <x v="0"/>
    <x v="0"/>
    <x v="0"/>
    <n v="610980000144"/>
    <x v="165"/>
    <s v="BRASILIA"/>
    <s v="DF"/>
    <x v="1"/>
    <s v="FERNANDO LEONY (CO/NO/NE)"/>
    <n v="64"/>
    <x v="1"/>
    <n v="24"/>
  </r>
  <r>
    <x v="0"/>
    <x v="1"/>
    <x v="0"/>
    <n v="610980000144"/>
    <x v="165"/>
    <s v="BRASILIA"/>
    <s v="DF"/>
    <x v="1"/>
    <s v="FERNANDO LEONY (CO/NO/NE)"/>
    <n v="64"/>
    <x v="1"/>
    <n v="5"/>
  </r>
  <r>
    <x v="0"/>
    <x v="0"/>
    <x v="0"/>
    <n v="820737000150"/>
    <x v="166"/>
    <s v="NATAL"/>
    <s v="RN"/>
    <x v="1"/>
    <s v="FERNANDO LEONY (CO/NO/NE)"/>
    <n v="64"/>
    <x v="1"/>
    <n v="30"/>
  </r>
  <r>
    <x v="0"/>
    <x v="1"/>
    <x v="0"/>
    <n v="820737000150"/>
    <x v="166"/>
    <s v="NATAL"/>
    <s v="RN"/>
    <x v="1"/>
    <s v="FERNANDO LEONY (CO/NO/NE)"/>
    <n v="64"/>
    <x v="1"/>
    <n v="173"/>
  </r>
  <r>
    <x v="0"/>
    <x v="0"/>
    <x v="0"/>
    <n v="860841000179"/>
    <x v="167"/>
    <s v="CAMPO GRANDE"/>
    <s v="MS"/>
    <x v="1"/>
    <s v="FERNANDO LEONY (CO/NO/NE)"/>
    <n v="64"/>
    <x v="1"/>
    <n v="2"/>
  </r>
  <r>
    <x v="0"/>
    <x v="1"/>
    <x v="0"/>
    <n v="860841000179"/>
    <x v="167"/>
    <s v="CAMPO GRANDE"/>
    <s v="MS"/>
    <x v="1"/>
    <s v="FERNANDO LEONY (CO/NO/NE)"/>
    <n v="64"/>
    <x v="1"/>
    <n v="-2"/>
  </r>
  <r>
    <x v="0"/>
    <x v="0"/>
    <x v="0"/>
    <n v="1140803000104"/>
    <x v="168"/>
    <s v="CAXIAS DO SUL"/>
    <s v="RS"/>
    <x v="2"/>
    <s v="RAFAEL ESTEVES (RJ/SPI/SUL)"/>
    <n v="73"/>
    <x v="2"/>
    <n v="32"/>
  </r>
  <r>
    <x v="0"/>
    <x v="0"/>
    <x v="0"/>
    <n v="1326206000179"/>
    <x v="169"/>
    <s v="CATALAO"/>
    <s v="GO"/>
    <x v="1"/>
    <s v="FERNANDO LEONY (CO/NO/NE)"/>
    <n v="73"/>
    <x v="2"/>
    <n v="10"/>
  </r>
  <r>
    <x v="0"/>
    <x v="1"/>
    <x v="0"/>
    <n v="1326206000179"/>
    <x v="169"/>
    <s v="CATALAO"/>
    <s v="GO"/>
    <x v="1"/>
    <s v="FERNANDO LEONY (CO/NO/NE)"/>
    <n v="73"/>
    <x v="2"/>
    <n v="18"/>
  </r>
  <r>
    <x v="0"/>
    <x v="0"/>
    <x v="0"/>
    <n v="1507901000137"/>
    <x v="170"/>
    <s v="NATAL"/>
    <s v="RN"/>
    <x v="1"/>
    <s v="FERNANDO LEONY (CO/NO/NE)"/>
    <n v="62"/>
    <x v="3"/>
    <n v="3"/>
  </r>
  <r>
    <x v="0"/>
    <x v="0"/>
    <x v="0"/>
    <n v="1507901000137"/>
    <x v="170"/>
    <s v="NATAL"/>
    <s v="RN"/>
    <x v="1"/>
    <s v="FERNANDO LEONY (CO/NO/NE)"/>
    <n v="64"/>
    <x v="1"/>
    <n v="10"/>
  </r>
  <r>
    <x v="0"/>
    <x v="0"/>
    <x v="0"/>
    <n v="1517626000132"/>
    <x v="171"/>
    <s v="BALNEARIO CAMBORIU"/>
    <s v="SC"/>
    <x v="2"/>
    <s v="RAFAEL ESTEVES (RJ/SPI/SUL)"/>
    <n v="73"/>
    <x v="2"/>
    <n v="12"/>
  </r>
  <r>
    <x v="0"/>
    <x v="0"/>
    <x v="0"/>
    <n v="1757351000104"/>
    <x v="172"/>
    <s v="CUIABA"/>
    <s v="MT"/>
    <x v="1"/>
    <s v="FERNANDO LEONY (CO/NO/NE)"/>
    <n v="64"/>
    <x v="1"/>
    <n v="6"/>
  </r>
  <r>
    <x v="0"/>
    <x v="1"/>
    <x v="0"/>
    <n v="1757351000104"/>
    <x v="172"/>
    <s v="CUIABA"/>
    <s v="MT"/>
    <x v="1"/>
    <s v="FERNANDO LEONY (CO/NO/NE)"/>
    <n v="64"/>
    <x v="1"/>
    <n v="10"/>
  </r>
  <r>
    <x v="0"/>
    <x v="0"/>
    <x v="0"/>
    <n v="2284062000440"/>
    <x v="173"/>
    <s v="RECIFE"/>
    <s v="PE"/>
    <x v="1"/>
    <s v="FERNANDO LEONY (CO/NO/NE)"/>
    <n v="64"/>
    <x v="1"/>
    <n v="21"/>
  </r>
  <r>
    <x v="0"/>
    <x v="1"/>
    <x v="0"/>
    <n v="2284062000440"/>
    <x v="173"/>
    <s v="RECIFE"/>
    <s v="PE"/>
    <x v="1"/>
    <s v="FERNANDO LEONY (CO/NO/NE)"/>
    <n v="64"/>
    <x v="1"/>
    <n v="55"/>
  </r>
  <r>
    <x v="0"/>
    <x v="0"/>
    <x v="0"/>
    <n v="2284062001170"/>
    <x v="174"/>
    <s v="JARACATY"/>
    <s v="MA"/>
    <x v="1"/>
    <s v="FERNANDO LEONY (CO/NO/NE)"/>
    <n v="62"/>
    <x v="3"/>
    <n v="5"/>
  </r>
  <r>
    <x v="0"/>
    <x v="1"/>
    <x v="0"/>
    <n v="2284062001170"/>
    <x v="174"/>
    <s v="JARACATY"/>
    <s v="MA"/>
    <x v="1"/>
    <s v="FERNANDO LEONY (CO/NO/NE)"/>
    <n v="64"/>
    <x v="1"/>
    <n v="4"/>
  </r>
  <r>
    <x v="0"/>
    <x v="0"/>
    <x v="0"/>
    <n v="2476067000203"/>
    <x v="175"/>
    <s v="GOIANIA"/>
    <s v="GO"/>
    <x v="1"/>
    <s v="FERNANDO LEONY (CO/NO/NE)"/>
    <n v="73"/>
    <x v="2"/>
    <n v="20"/>
  </r>
  <r>
    <x v="0"/>
    <x v="1"/>
    <x v="0"/>
    <n v="2476067000203"/>
    <x v="175"/>
    <s v="GOIANIA"/>
    <s v="GO"/>
    <x v="1"/>
    <s v="FERNANDO LEONY (CO/NO/NE)"/>
    <n v="73"/>
    <x v="2"/>
    <n v="40"/>
  </r>
  <r>
    <x v="0"/>
    <x v="0"/>
    <x v="0"/>
    <n v="2560878000107"/>
    <x v="176"/>
    <s v="BRASILIA"/>
    <s v="DF"/>
    <x v="1"/>
    <s v="FERNANDO LEONY (CO/NO/NE)"/>
    <n v="62"/>
    <x v="3"/>
    <n v="1"/>
  </r>
  <r>
    <x v="0"/>
    <x v="0"/>
    <x v="0"/>
    <n v="2560878000107"/>
    <x v="176"/>
    <s v="BRASILIA"/>
    <s v="DF"/>
    <x v="1"/>
    <s v="FERNANDO LEONY (CO/NO/NE)"/>
    <n v="64"/>
    <x v="1"/>
    <n v="7"/>
  </r>
  <r>
    <x v="0"/>
    <x v="1"/>
    <x v="0"/>
    <n v="2560878000107"/>
    <x v="176"/>
    <s v="BRASILIA"/>
    <s v="DF"/>
    <x v="1"/>
    <s v="FERNANDO LEONY (CO/NO/NE)"/>
    <n v="73"/>
    <x v="2"/>
    <n v="1"/>
  </r>
  <r>
    <x v="0"/>
    <x v="0"/>
    <x v="0"/>
    <n v="3533726001583"/>
    <x v="177"/>
    <s v="CUIABA"/>
    <s v="MT"/>
    <x v="1"/>
    <s v="FERNANDO LEONY (CO/NO/NE)"/>
    <n v="73"/>
    <x v="2"/>
    <n v="36"/>
  </r>
  <r>
    <x v="0"/>
    <x v="1"/>
    <x v="0"/>
    <n v="2109397000180"/>
    <x v="178"/>
    <s v="NATAL"/>
    <s v="RN"/>
    <x v="1"/>
    <s v="FERNANDO LEONY (CO/NO/NE)"/>
    <n v="64"/>
    <x v="1"/>
    <n v="30"/>
  </r>
  <r>
    <x v="0"/>
    <x v="0"/>
    <x v="0"/>
    <n v="3925419000142"/>
    <x v="179"/>
    <s v="CUIABA"/>
    <s v="MT"/>
    <x v="1"/>
    <s v="FERNANDO LEONY (CO/NO/NE)"/>
    <n v="64"/>
    <x v="1"/>
    <n v="13"/>
  </r>
  <r>
    <x v="0"/>
    <x v="1"/>
    <x v="0"/>
    <n v="3925419000142"/>
    <x v="179"/>
    <s v="CUIABA"/>
    <s v="MT"/>
    <x v="1"/>
    <s v="FERNANDO LEONY (CO/NO/NE)"/>
    <n v="64"/>
    <x v="1"/>
    <n v="8"/>
  </r>
  <r>
    <x v="0"/>
    <x v="1"/>
    <x v="0"/>
    <n v="2284062000106"/>
    <x v="180"/>
    <s v="RECIFE"/>
    <s v="PE"/>
    <x v="1"/>
    <s v="FERNANDO LEONY (CO/NO/NE)"/>
    <n v="62"/>
    <x v="3"/>
    <n v="4"/>
  </r>
  <r>
    <x v="0"/>
    <x v="1"/>
    <x v="0"/>
    <n v="2284062000106"/>
    <x v="180"/>
    <s v="RECIFE"/>
    <s v="PE"/>
    <x v="1"/>
    <s v="FERNANDO LEONY (CO/NO/NE)"/>
    <n v="64"/>
    <x v="1"/>
    <n v="6"/>
  </r>
  <r>
    <x v="0"/>
    <x v="0"/>
    <x v="0"/>
    <n v="4201372001028"/>
    <x v="181"/>
    <s v="BELEM"/>
    <s v="PA"/>
    <x v="1"/>
    <s v="FERNANDO LEONY (CO/NO/NE)"/>
    <n v="73"/>
    <x v="2"/>
    <n v="40"/>
  </r>
  <r>
    <x v="0"/>
    <x v="1"/>
    <x v="0"/>
    <n v="4201372001028"/>
    <x v="181"/>
    <s v="BELEM"/>
    <s v="PA"/>
    <x v="1"/>
    <s v="FERNANDO LEONY (CO/NO/NE)"/>
    <n v="73"/>
    <x v="2"/>
    <n v="52"/>
  </r>
  <r>
    <x v="0"/>
    <x v="0"/>
    <x v="0"/>
    <n v="4602792000125"/>
    <x v="182"/>
    <s v="LAURO DE FREITAS"/>
    <s v="BA"/>
    <x v="1"/>
    <s v="FERNANDO LEONY (CO/NO/NE)"/>
    <n v="64"/>
    <x v="1"/>
    <n v="2"/>
  </r>
  <r>
    <x v="0"/>
    <x v="0"/>
    <x v="0"/>
    <n v="5469172000122"/>
    <x v="183"/>
    <s v="SALVADOR"/>
    <s v="BA"/>
    <x v="1"/>
    <s v="FERNANDO LEONY (CO/NO/NE)"/>
    <n v="64"/>
    <x v="1"/>
    <n v="6"/>
  </r>
  <r>
    <x v="0"/>
    <x v="0"/>
    <x v="0"/>
    <n v="5816630000152"/>
    <x v="184"/>
    <s v="SALVADOR"/>
    <s v="BA"/>
    <x v="1"/>
    <s v="FERNANDO LEONY (CO/NO/NE)"/>
    <n v="64"/>
    <x v="1"/>
    <n v="18"/>
  </r>
  <r>
    <x v="0"/>
    <x v="0"/>
    <x v="0"/>
    <n v="5867015000175"/>
    <x v="185"/>
    <s v="FORTALEZA"/>
    <s v="CE"/>
    <x v="1"/>
    <s v="FERNANDO LEONY (CO/NO/NE)"/>
    <n v="73"/>
    <x v="2"/>
    <n v="8"/>
  </r>
  <r>
    <x v="0"/>
    <x v="0"/>
    <x v="0"/>
    <n v="5868278000280"/>
    <x v="186"/>
    <s v="FORTALEZA"/>
    <s v="CE"/>
    <x v="1"/>
    <s v="FERNANDO LEONY (CO/NO/NE)"/>
    <n v="64"/>
    <x v="1"/>
    <n v="20"/>
  </r>
  <r>
    <x v="0"/>
    <x v="0"/>
    <x v="0"/>
    <n v="5868278000280"/>
    <x v="186"/>
    <s v="FORTALEZA"/>
    <s v="CE"/>
    <x v="1"/>
    <s v="FERNANDO LEONY (CO/NO/NE)"/>
    <n v="73"/>
    <x v="2"/>
    <n v="16"/>
  </r>
  <r>
    <x v="0"/>
    <x v="0"/>
    <x v="0"/>
    <n v="5874946000109"/>
    <x v="187"/>
    <s v="FORTALEZA"/>
    <s v="CE"/>
    <x v="1"/>
    <s v="FERNANDO LEONY (CO/NO/NE)"/>
    <n v="62"/>
    <x v="3"/>
    <n v="6"/>
  </r>
  <r>
    <x v="0"/>
    <x v="0"/>
    <x v="0"/>
    <n v="5874946000109"/>
    <x v="187"/>
    <s v="FORTALEZA"/>
    <s v="CE"/>
    <x v="1"/>
    <s v="FERNANDO LEONY (CO/NO/NE)"/>
    <n v="64"/>
    <x v="1"/>
    <n v="2"/>
  </r>
  <r>
    <x v="0"/>
    <x v="1"/>
    <x v="0"/>
    <n v="3376102000102"/>
    <x v="188"/>
    <s v="SALVADOR"/>
    <s v="BA"/>
    <x v="1"/>
    <s v="FERNANDO LEONY (CO/NO/NE)"/>
    <n v="62"/>
    <x v="3"/>
    <n v="3"/>
  </r>
  <r>
    <x v="0"/>
    <x v="0"/>
    <x v="0"/>
    <n v="6047087001372"/>
    <x v="189"/>
    <s v="DUQUE DE CAXIAS"/>
    <s v="RJ"/>
    <x v="2"/>
    <s v="RAFAEL ESTEVES (RJ/SPI/SUL)"/>
    <n v="62"/>
    <x v="3"/>
    <n v="12"/>
  </r>
  <r>
    <x v="0"/>
    <x v="0"/>
    <x v="0"/>
    <n v="6047087004126"/>
    <x v="190"/>
    <s v="BRASILIA"/>
    <s v="DF"/>
    <x v="1"/>
    <s v="FERNANDO LEONY (CO/NO/NE)"/>
    <n v="64"/>
    <x v="1"/>
    <n v="3"/>
  </r>
  <r>
    <x v="0"/>
    <x v="0"/>
    <x v="0"/>
    <n v="6047087004207"/>
    <x v="191"/>
    <s v="BRASILIA"/>
    <s v="DF"/>
    <x v="1"/>
    <s v="FERNANDO LEONY (CO/NO/NE)"/>
    <n v="64"/>
    <x v="1"/>
    <n v="45"/>
  </r>
  <r>
    <x v="0"/>
    <x v="0"/>
    <x v="0"/>
    <n v="6070425000153"/>
    <x v="192"/>
    <s v="MACAPA"/>
    <s v="AP"/>
    <x v="1"/>
    <s v="FERNANDO LEONY (CO/NO/NE)"/>
    <n v="73"/>
    <x v="2"/>
    <n v="12"/>
  </r>
  <r>
    <x v="0"/>
    <x v="0"/>
    <x v="0"/>
    <n v="6190522000180"/>
    <x v="193"/>
    <s v="RIO VERDE"/>
    <s v="GO"/>
    <x v="1"/>
    <s v="FERNANDO LEONY (CO/NO/NE)"/>
    <n v="66"/>
    <x v="4"/>
    <n v="24"/>
  </r>
  <r>
    <x v="0"/>
    <x v="0"/>
    <x v="0"/>
    <n v="6555031000276"/>
    <x v="194"/>
    <s v="TERESINA"/>
    <s v="PI"/>
    <x v="1"/>
    <s v="FERNANDO LEONY (CO/NO/NE)"/>
    <n v="73"/>
    <x v="2"/>
    <n v="12"/>
  </r>
  <r>
    <x v="0"/>
    <x v="0"/>
    <x v="0"/>
    <n v="7272636000212"/>
    <x v="195"/>
    <s v="FORTALEZA"/>
    <s v="CE"/>
    <x v="1"/>
    <s v="FERNANDO LEONY (CO/NO/NE)"/>
    <n v="62"/>
    <x v="3"/>
    <n v="30"/>
  </r>
  <r>
    <x v="0"/>
    <x v="0"/>
    <x v="0"/>
    <n v="7794623001528"/>
    <x v="196"/>
    <s v="NOVA IGUACU"/>
    <s v="RJ"/>
    <x v="2"/>
    <s v="RAFAEL ESTEVES (RJ/SPI/SUL)"/>
    <n v="73"/>
    <x v="2"/>
    <n v="28"/>
  </r>
  <r>
    <x v="0"/>
    <x v="0"/>
    <x v="0"/>
    <n v="7835044000180"/>
    <x v="197"/>
    <s v="FORTALEZA"/>
    <s v="CE"/>
    <x v="1"/>
    <s v="FERNANDO LEONY (CO/NO/NE)"/>
    <n v="62"/>
    <x v="3"/>
    <n v="10"/>
  </r>
  <r>
    <x v="0"/>
    <x v="0"/>
    <x v="0"/>
    <n v="8319329000121"/>
    <x v="198"/>
    <s v="NATAL"/>
    <s v="RN"/>
    <x v="1"/>
    <s v="FERNANDO LEONY (CO/NO/NE)"/>
    <n v="64"/>
    <x v="1"/>
    <n v="4"/>
  </r>
  <r>
    <x v="0"/>
    <x v="0"/>
    <x v="0"/>
    <n v="8337586000196"/>
    <x v="199"/>
    <s v="NATAL"/>
    <s v="RN"/>
    <x v="1"/>
    <s v="FERNANDO LEONY (CO/NO/NE)"/>
    <n v="64"/>
    <x v="1"/>
    <n v="1"/>
  </r>
  <r>
    <x v="0"/>
    <x v="0"/>
    <x v="0"/>
    <n v="8680639000681"/>
    <x v="200"/>
    <s v="JOAO PESSOA"/>
    <s v="PB"/>
    <x v="1"/>
    <s v="FERNANDO LEONY (CO/NO/NE)"/>
    <n v="73"/>
    <x v="2"/>
    <n v="36"/>
  </r>
  <r>
    <x v="0"/>
    <x v="0"/>
    <x v="0"/>
    <n v="9087150000230"/>
    <x v="201"/>
    <s v="PORTO ALEGRE"/>
    <s v="RS"/>
    <x v="2"/>
    <s v="RAFAEL ESTEVES (RJ/SPI/SUL)"/>
    <n v="73"/>
    <x v="2"/>
    <n v="8"/>
  </r>
  <r>
    <x v="0"/>
    <x v="0"/>
    <x v="0"/>
    <n v="10839561000132"/>
    <x v="202"/>
    <s v="RECIFE"/>
    <s v="PE"/>
    <x v="1"/>
    <s v="FERNANDO LEONY (CO/NO/NE)"/>
    <n v="73"/>
    <x v="2"/>
    <n v="60"/>
  </r>
  <r>
    <x v="0"/>
    <x v="0"/>
    <x v="0"/>
    <n v="10892164000124"/>
    <x v="203"/>
    <s v="RECIFE"/>
    <s v="PE"/>
    <x v="1"/>
    <s v="FERNANDO LEONY (CO/NO/NE)"/>
    <n v="62"/>
    <x v="3"/>
    <n v="17"/>
  </r>
  <r>
    <x v="0"/>
    <x v="0"/>
    <x v="0"/>
    <n v="10892164000124"/>
    <x v="203"/>
    <s v="RECIFE"/>
    <s v="PE"/>
    <x v="1"/>
    <s v="FERNANDO LEONY (CO/NO/NE)"/>
    <n v="64"/>
    <x v="1"/>
    <n v="45"/>
  </r>
  <r>
    <x v="0"/>
    <x v="0"/>
    <x v="0"/>
    <n v="10988301000129"/>
    <x v="204"/>
    <s v="RECIFE"/>
    <s v="PE"/>
    <x v="1"/>
    <s v="FERNANDO LEONY (CO/NO/NE)"/>
    <n v="64"/>
    <x v="1"/>
    <n v="10"/>
  </r>
  <r>
    <x v="0"/>
    <x v="0"/>
    <x v="0"/>
    <n v="11006293000130"/>
    <x v="205"/>
    <s v="SAO LUIS"/>
    <s v="MA"/>
    <x v="1"/>
    <s v="FERNANDO LEONY (CO/NO/NE)"/>
    <n v="73"/>
    <x v="2"/>
    <n v="40"/>
  </r>
  <r>
    <x v="0"/>
    <x v="0"/>
    <x v="0"/>
    <n v="11452240000143"/>
    <x v="206"/>
    <s v="RECIFE"/>
    <s v="PE"/>
    <x v="1"/>
    <s v="FERNANDO LEONY (CO/NO/NE)"/>
    <n v="62"/>
    <x v="3"/>
    <n v="6"/>
  </r>
  <r>
    <x v="0"/>
    <x v="0"/>
    <x v="0"/>
    <n v="11859927000106"/>
    <x v="207"/>
    <s v="BRASILIA"/>
    <s v="DF"/>
    <x v="1"/>
    <s v="FERNANDO LEONY (CO/NO/NE)"/>
    <n v="73"/>
    <x v="2"/>
    <n v="44"/>
  </r>
  <r>
    <x v="0"/>
    <x v="0"/>
    <x v="0"/>
    <n v="12361267010318"/>
    <x v="208"/>
    <s v="SALVADOR"/>
    <s v="BA"/>
    <x v="1"/>
    <s v="FERNANDO LEONY (CO/NO/NE)"/>
    <n v="64"/>
    <x v="1"/>
    <n v="7"/>
  </r>
  <r>
    <x v="0"/>
    <x v="0"/>
    <x v="0"/>
    <n v="12361267011802"/>
    <x v="209"/>
    <s v="FORTALEZA"/>
    <s v="CE"/>
    <x v="1"/>
    <s v="FERNANDO LEONY (CO/NO/NE)"/>
    <n v="62"/>
    <x v="3"/>
    <n v="6"/>
  </r>
  <r>
    <x v="0"/>
    <x v="0"/>
    <x v="0"/>
    <n v="12361267011802"/>
    <x v="209"/>
    <s v="FORTALEZA"/>
    <s v="CE"/>
    <x v="1"/>
    <s v="FERNANDO LEONY (CO/NO/NE)"/>
    <n v="64"/>
    <x v="1"/>
    <n v="4"/>
  </r>
  <r>
    <x v="0"/>
    <x v="0"/>
    <x v="0"/>
    <n v="13016092000140"/>
    <x v="210"/>
    <s v="SALVADOR"/>
    <s v="BA"/>
    <x v="1"/>
    <s v="FERNANDO LEONY (CO/NO/NE)"/>
    <n v="64"/>
    <x v="1"/>
    <n v="10"/>
  </r>
  <r>
    <x v="0"/>
    <x v="0"/>
    <x v="0"/>
    <n v="13016332000106"/>
    <x v="211"/>
    <s v="ARACAJU"/>
    <s v="SE"/>
    <x v="1"/>
    <s v="FERNANDO LEONY (CO/NO/NE)"/>
    <n v="62"/>
    <x v="3"/>
    <n v="3"/>
  </r>
  <r>
    <x v="0"/>
    <x v="0"/>
    <x v="0"/>
    <n v="13131370000100"/>
    <x v="212"/>
    <s v="ARACAJU"/>
    <s v="SE"/>
    <x v="1"/>
    <s v="FERNANDO LEONY (CO/NO/NE)"/>
    <n v="73"/>
    <x v="2"/>
    <n v="60"/>
  </r>
  <r>
    <x v="0"/>
    <x v="0"/>
    <x v="0"/>
    <n v="13356779000124"/>
    <x v="213"/>
    <s v="ARACAJU"/>
    <s v="SE"/>
    <x v="1"/>
    <s v="FERNANDO LEONY (CO/NO/NE)"/>
    <n v="62"/>
    <x v="3"/>
    <n v="4"/>
  </r>
  <r>
    <x v="0"/>
    <x v="0"/>
    <x v="0"/>
    <n v="13952064000134"/>
    <x v="214"/>
    <s v="SALVADOR"/>
    <s v="BA"/>
    <x v="1"/>
    <s v="FERNANDO LEONY (CO/NO/NE)"/>
    <n v="62"/>
    <x v="3"/>
    <n v="3"/>
  </r>
  <r>
    <x v="0"/>
    <x v="0"/>
    <x v="0"/>
    <n v="14074546000100"/>
    <x v="215"/>
    <s v="FEIRA DE SANTANA"/>
    <s v="BA"/>
    <x v="1"/>
    <s v="FERNANDO LEONY (CO/NO/NE)"/>
    <n v="64"/>
    <x v="1"/>
    <n v="1"/>
  </r>
  <r>
    <x v="0"/>
    <x v="0"/>
    <x v="0"/>
    <n v="14408631000159"/>
    <x v="216"/>
    <s v="VICOSA"/>
    <s v="MG"/>
    <x v="2"/>
    <s v="RAFAEL ESTEVES (RJ/SPI/SUL)"/>
    <n v="73"/>
    <x v="2"/>
    <n v="8"/>
  </r>
  <r>
    <x v="0"/>
    <x v="0"/>
    <x v="0"/>
    <n v="15016827000160"/>
    <x v="217"/>
    <s v="CUIABA"/>
    <s v="MT"/>
    <x v="1"/>
    <s v="FERNANDO LEONY (CO/NO/NE)"/>
    <n v="62"/>
    <x v="3"/>
    <n v="4"/>
  </r>
  <r>
    <x v="0"/>
    <x v="0"/>
    <x v="0"/>
    <n v="15016827000160"/>
    <x v="217"/>
    <s v="CUIABA"/>
    <s v="MT"/>
    <x v="1"/>
    <s v="FERNANDO LEONY (CO/NO/NE)"/>
    <n v="64"/>
    <x v="1"/>
    <n v="10"/>
  </r>
  <r>
    <x v="0"/>
    <x v="0"/>
    <x v="0"/>
    <n v="15126437000224"/>
    <x v="218"/>
    <s v="TERESINA"/>
    <s v="PI"/>
    <x v="1"/>
    <s v="FERNANDO LEONY (CO/NO/NE)"/>
    <n v="64"/>
    <x v="1"/>
    <n v="5"/>
  </r>
  <r>
    <x v="0"/>
    <x v="0"/>
    <x v="0"/>
    <n v="15126437000496"/>
    <x v="219"/>
    <s v="SAO LUIS"/>
    <s v="MA"/>
    <x v="1"/>
    <s v="FERNANDO LEONY (CO/NO/NE)"/>
    <n v="62"/>
    <x v="3"/>
    <n v="1"/>
  </r>
  <r>
    <x v="0"/>
    <x v="0"/>
    <x v="0"/>
    <n v="15126437000739"/>
    <x v="220"/>
    <s v="NATAL"/>
    <s v="RN"/>
    <x v="1"/>
    <s v="FERNANDO LEONY (CO/NO/NE)"/>
    <n v="64"/>
    <x v="1"/>
    <n v="100"/>
  </r>
  <r>
    <x v="0"/>
    <x v="0"/>
    <x v="0"/>
    <n v="15126437001972"/>
    <x v="221"/>
    <s v="SANTA MARIA"/>
    <s v="RS"/>
    <x v="2"/>
    <s v="RAFAEL ESTEVES (RJ/SPI/SUL)"/>
    <n v="64"/>
    <x v="1"/>
    <n v="15"/>
  </r>
  <r>
    <x v="0"/>
    <x v="0"/>
    <x v="0"/>
    <n v="15153745000249"/>
    <x v="222"/>
    <s v="SALVADOR"/>
    <s v="BA"/>
    <x v="1"/>
    <s v="FERNANDO LEONY (CO/NO/NE)"/>
    <n v="62"/>
    <x v="3"/>
    <n v="2"/>
  </r>
  <r>
    <x v="0"/>
    <x v="0"/>
    <x v="0"/>
    <n v="15153745002705"/>
    <x v="223"/>
    <s v="SALVADOR"/>
    <s v="BA"/>
    <x v="1"/>
    <s v="FERNANDO LEONY (CO/NO/NE)"/>
    <n v="64"/>
    <x v="1"/>
    <n v="11"/>
  </r>
  <r>
    <x v="0"/>
    <x v="0"/>
    <x v="0"/>
    <n v="15166416000151"/>
    <x v="224"/>
    <s v="SALVADOR"/>
    <s v="BA"/>
    <x v="1"/>
    <s v="FERNANDO LEONY (CO/NO/NE)"/>
    <n v="62"/>
    <x v="3"/>
    <n v="11"/>
  </r>
  <r>
    <x v="0"/>
    <x v="0"/>
    <x v="0"/>
    <n v="15166416000151"/>
    <x v="224"/>
    <s v="SALVADOR"/>
    <s v="BA"/>
    <x v="1"/>
    <s v="FERNANDO LEONY (CO/NO/NE)"/>
    <n v="64"/>
    <x v="1"/>
    <n v="17"/>
  </r>
  <r>
    <x v="0"/>
    <x v="0"/>
    <x v="0"/>
    <n v="15170723000106"/>
    <x v="225"/>
    <s v="SALVADOR"/>
    <s v="BA"/>
    <x v="1"/>
    <s v="FERNANDO LEONY (CO/NO/NE)"/>
    <n v="62"/>
    <x v="3"/>
    <n v="1"/>
  </r>
  <r>
    <x v="0"/>
    <x v="0"/>
    <x v="0"/>
    <n v="15170723000106"/>
    <x v="225"/>
    <s v="SALVADOR"/>
    <s v="BA"/>
    <x v="1"/>
    <s v="FERNANDO LEONY (CO/NO/NE)"/>
    <n v="64"/>
    <x v="1"/>
    <n v="11"/>
  </r>
  <r>
    <x v="0"/>
    <x v="0"/>
    <x v="0"/>
    <n v="15170723000530"/>
    <x v="226"/>
    <s v="FEIRA DE SANTANA"/>
    <s v="BA"/>
    <x v="1"/>
    <s v="FERNANDO LEONY (CO/NO/NE)"/>
    <n v="64"/>
    <x v="1"/>
    <n v="1"/>
  </r>
  <r>
    <x v="0"/>
    <x v="0"/>
    <x v="0"/>
    <n v="15180714000368"/>
    <x v="227"/>
    <s v="SALVADOR"/>
    <s v="BA"/>
    <x v="1"/>
    <s v="FERNANDO LEONY (CO/NO/NE)"/>
    <n v="64"/>
    <x v="1"/>
    <n v="12"/>
  </r>
  <r>
    <x v="0"/>
    <x v="0"/>
    <x v="0"/>
    <n v="15180714000520"/>
    <x v="228"/>
    <s v="SALVADOR"/>
    <s v="BA"/>
    <x v="1"/>
    <s v="FERNANDO LEONY (CO/NO/NE)"/>
    <n v="62"/>
    <x v="3"/>
    <n v="5"/>
  </r>
  <r>
    <x v="0"/>
    <x v="0"/>
    <x v="0"/>
    <n v="15194004000125"/>
    <x v="229"/>
    <s v="SALVADOR"/>
    <s v="BA"/>
    <x v="1"/>
    <s v="FERNANDO LEONY (CO/NO/NE)"/>
    <n v="64"/>
    <x v="1"/>
    <n v="2"/>
  </r>
  <r>
    <x v="0"/>
    <x v="0"/>
    <x v="0"/>
    <n v="15242761000127"/>
    <x v="230"/>
    <s v="SALVADOR"/>
    <s v="BA"/>
    <x v="1"/>
    <s v="FERNANDO LEONY (CO/NO/NE)"/>
    <n v="73"/>
    <x v="2"/>
    <n v="114"/>
  </r>
  <r>
    <x v="0"/>
    <x v="0"/>
    <x v="0"/>
    <n v="16676520000159"/>
    <x v="231"/>
    <s v="BELO HORIZONTE"/>
    <s v="MG"/>
    <x v="2"/>
    <s v="RAFAEL ESTEVES (RJ/SPI/SUL)"/>
    <n v="66"/>
    <x v="4"/>
    <n v="2"/>
  </r>
  <r>
    <x v="0"/>
    <x v="0"/>
    <x v="0"/>
    <n v="16739984000167"/>
    <x v="232"/>
    <s v="BRASILIA"/>
    <s v="DF"/>
    <x v="1"/>
    <s v="FERNANDO LEONY (CO/NO/NE)"/>
    <n v="73"/>
    <x v="2"/>
    <n v="41"/>
  </r>
  <r>
    <x v="0"/>
    <x v="0"/>
    <x v="0"/>
    <n v="17034086000176"/>
    <x v="233"/>
    <s v="SAO JOSE"/>
    <s v="SC"/>
    <x v="2"/>
    <s v="RAFAEL ESTEVES (RJ/SPI/SUL)"/>
    <n v="64"/>
    <x v="1"/>
    <n v="5"/>
  </r>
  <r>
    <x v="0"/>
    <x v="0"/>
    <x v="0"/>
    <n v="17087591000189"/>
    <x v="234"/>
    <s v="UBERLANDIA"/>
    <s v="MG"/>
    <x v="2"/>
    <s v="RAFAEL ESTEVES (RJ/SPI/SUL)"/>
    <n v="62"/>
    <x v="3"/>
    <n v="7"/>
  </r>
  <r>
    <x v="0"/>
    <x v="0"/>
    <x v="0"/>
    <n v="17214149000176"/>
    <x v="235"/>
    <s v="BELO HORIZONTE"/>
    <s v="MG"/>
    <x v="2"/>
    <s v="RAFAEL ESTEVES (RJ/SPI/SUL)"/>
    <n v="62"/>
    <x v="3"/>
    <n v="10"/>
  </r>
  <r>
    <x v="0"/>
    <x v="0"/>
    <x v="0"/>
    <n v="17689407000928"/>
    <x v="236"/>
    <s v="JUIZ DE FORA"/>
    <s v="MG"/>
    <x v="2"/>
    <s v="RAFAEL ESTEVES (RJ/SPI/SUL)"/>
    <n v="73"/>
    <x v="2"/>
    <n v="4"/>
  </r>
  <r>
    <x v="0"/>
    <x v="0"/>
    <x v="0"/>
    <n v="18484378000173"/>
    <x v="237"/>
    <s v="UBERLANDIA"/>
    <s v="MG"/>
    <x v="2"/>
    <s v="RAFAEL ESTEVES (RJ/SPI/SUL)"/>
    <n v="62"/>
    <x v="3"/>
    <n v="3"/>
  </r>
  <r>
    <x v="0"/>
    <x v="0"/>
    <x v="0"/>
    <n v="19878404000100"/>
    <x v="238"/>
    <s v="IPATINGA"/>
    <s v="MG"/>
    <x v="2"/>
    <s v="RAFAEL ESTEVES (RJ/SPI/SUL)"/>
    <n v="73"/>
    <x v="2"/>
    <n v="120"/>
  </r>
  <r>
    <x v="0"/>
    <x v="0"/>
    <x v="0"/>
    <n v="20150900000122"/>
    <x v="239"/>
    <s v="UBERLANDIA"/>
    <s v="MG"/>
    <x v="2"/>
    <s v="RAFAEL ESTEVES (RJ/SPI/SUL)"/>
    <n v="73"/>
    <x v="2"/>
    <n v="6"/>
  </r>
  <r>
    <x v="0"/>
    <x v="0"/>
    <x v="0"/>
    <n v="21040696000311"/>
    <x v="240"/>
    <s v="ITAJUBA"/>
    <s v="MG"/>
    <x v="2"/>
    <s v="RAFAEL ESTEVES (RJ/SPI/SUL)"/>
    <n v="62"/>
    <x v="3"/>
    <n v="2"/>
  </r>
  <r>
    <x v="0"/>
    <x v="0"/>
    <x v="0"/>
    <n v="23338387000196"/>
    <x v="241"/>
    <s v="PATOS DE MINAS"/>
    <s v="MG"/>
    <x v="2"/>
    <s v="RAFAEL ESTEVES (RJ/SPI/SUL)"/>
    <n v="73"/>
    <x v="2"/>
    <n v="10"/>
  </r>
  <r>
    <x v="0"/>
    <x v="0"/>
    <x v="0"/>
    <n v="24232886008303"/>
    <x v="242"/>
    <s v="SANTAREM"/>
    <s v="PA"/>
    <x v="1"/>
    <s v="FERNANDO LEONY (CO/NO/NE)"/>
    <n v="62"/>
    <x v="3"/>
    <n v="3"/>
  </r>
  <r>
    <x v="0"/>
    <x v="0"/>
    <x v="0"/>
    <n v="24232886008303"/>
    <x v="242"/>
    <s v="SANTAREM"/>
    <s v="PA"/>
    <x v="1"/>
    <s v="FERNANDO LEONY (CO/NO/NE)"/>
    <n v="64"/>
    <x v="1"/>
    <n v="3"/>
  </r>
  <r>
    <x v="0"/>
    <x v="0"/>
    <x v="0"/>
    <n v="24464109000229"/>
    <x v="243"/>
    <s v="MACEIO"/>
    <s v="AL"/>
    <x v="1"/>
    <s v="FERNANDO LEONY (CO/NO/NE)"/>
    <n v="66"/>
    <x v="4"/>
    <n v="50"/>
  </r>
  <r>
    <x v="0"/>
    <x v="0"/>
    <x v="0"/>
    <n v="26947257000149"/>
    <x v="244"/>
    <s v="PORTO ALEGRE"/>
    <s v="RS"/>
    <x v="2"/>
    <s v="RAFAEL ESTEVES (RJ/SPI/SUL)"/>
    <n v="62"/>
    <x v="3"/>
    <n v="6"/>
  </r>
  <r>
    <x v="0"/>
    <x v="0"/>
    <x v="0"/>
    <n v="27372066000169"/>
    <x v="245"/>
    <s v="SALVADOR"/>
    <s v="BA"/>
    <x v="1"/>
    <s v="FERNANDO LEONY (CO/NO/NE)"/>
    <n v="64"/>
    <x v="1"/>
    <n v="17"/>
  </r>
  <r>
    <x v="0"/>
    <x v="0"/>
    <x v="0"/>
    <n v="28481233000172"/>
    <x v="246"/>
    <s v="BRASILIA"/>
    <s v="DF"/>
    <x v="1"/>
    <s v="FERNANDO LEONY (CO/NO/NE)"/>
    <n v="64"/>
    <x v="1"/>
    <n v="130"/>
  </r>
  <r>
    <x v="0"/>
    <x v="0"/>
    <x v="0"/>
    <n v="28806545000532"/>
    <x v="247"/>
    <s v="PETROPOLIS"/>
    <s v="RJ"/>
    <x v="2"/>
    <s v="RAFAEL ESTEVES (RJ/SPI/SUL)"/>
    <n v="73"/>
    <x v="2"/>
    <n v="128"/>
  </r>
  <r>
    <x v="0"/>
    <x v="0"/>
    <x v="0"/>
    <n v="29072642000188"/>
    <x v="248"/>
    <s v="RESENDE"/>
    <s v="RJ"/>
    <x v="2"/>
    <s v="RAFAEL ESTEVES (RJ/SPI/SUL)"/>
    <n v="64"/>
    <x v="1"/>
    <n v="2"/>
  </r>
  <r>
    <x v="0"/>
    <x v="0"/>
    <x v="0"/>
    <n v="29435005004620"/>
    <x v="249"/>
    <s v="BRASILIA"/>
    <s v="DF"/>
    <x v="1"/>
    <s v="FERNANDO LEONY (CO/NO/NE)"/>
    <n v="62"/>
    <x v="3"/>
    <n v="5"/>
  </r>
  <r>
    <x v="0"/>
    <x v="0"/>
    <x v="0"/>
    <n v="29435005004620"/>
    <x v="249"/>
    <s v="BRASILIA"/>
    <s v="DF"/>
    <x v="1"/>
    <s v="FERNANDO LEONY (CO/NO/NE)"/>
    <n v="64"/>
    <x v="1"/>
    <n v="10"/>
  </r>
  <r>
    <x v="0"/>
    <x v="0"/>
    <x v="0"/>
    <n v="29435005007484"/>
    <x v="250"/>
    <s v="FORTALEZA"/>
    <s v="CE"/>
    <x v="1"/>
    <s v="FERNANDO LEONY (CO/NO/NE)"/>
    <n v="62"/>
    <x v="3"/>
    <n v="7"/>
  </r>
  <r>
    <x v="0"/>
    <x v="0"/>
    <x v="0"/>
    <n v="29435005007484"/>
    <x v="250"/>
    <s v="FORTALEZA"/>
    <s v="CE"/>
    <x v="1"/>
    <s v="FERNANDO LEONY (CO/NO/NE)"/>
    <n v="64"/>
    <x v="1"/>
    <n v="36"/>
  </r>
  <r>
    <x v="0"/>
    <x v="0"/>
    <x v="0"/>
    <n v="29435005009851"/>
    <x v="251"/>
    <s v="NATAL"/>
    <s v="RN"/>
    <x v="1"/>
    <s v="FERNANDO LEONY (CO/NO/NE)"/>
    <n v="64"/>
    <x v="1"/>
    <n v="15"/>
  </r>
  <r>
    <x v="0"/>
    <x v="0"/>
    <x v="0"/>
    <n v="35830868000446"/>
    <x v="252"/>
    <s v="MACAE"/>
    <s v="RJ"/>
    <x v="2"/>
    <s v="RAFAEL ESTEVES (RJ/SPI/SUL)"/>
    <n v="64"/>
    <x v="1"/>
    <n v="3"/>
  </r>
  <r>
    <x v="0"/>
    <x v="0"/>
    <x v="0"/>
    <n v="37108388000159"/>
    <x v="253"/>
    <s v="BRASILIA"/>
    <s v="DF"/>
    <x v="1"/>
    <s v="FERNANDO LEONY (CO/NO/NE)"/>
    <n v="62"/>
    <x v="3"/>
    <n v="15"/>
  </r>
  <r>
    <x v="0"/>
    <x v="0"/>
    <x v="0"/>
    <n v="37108388000159"/>
    <x v="253"/>
    <s v="BRASILIA"/>
    <s v="DF"/>
    <x v="1"/>
    <s v="FERNANDO LEONY (CO/NO/NE)"/>
    <n v="64"/>
    <x v="1"/>
    <n v="37"/>
  </r>
  <r>
    <x v="0"/>
    <x v="0"/>
    <x v="0"/>
    <n v="38000485000196"/>
    <x v="254"/>
    <s v="BRASILIA"/>
    <s v="DF"/>
    <x v="1"/>
    <s v="FERNANDO LEONY (CO/NO/NE)"/>
    <n v="64"/>
    <x v="1"/>
    <n v="3"/>
  </r>
  <r>
    <x v="0"/>
    <x v="0"/>
    <x v="0"/>
    <n v="60884855001207"/>
    <x v="255"/>
    <s v="NITEROI"/>
    <s v="RJ"/>
    <x v="2"/>
    <s v="RAFAEL ESTEVES (RJ/SPI/SUL)"/>
    <n v="62"/>
    <x v="3"/>
    <n v="24"/>
  </r>
  <r>
    <x v="0"/>
    <x v="0"/>
    <x v="0"/>
    <n v="60884855001207"/>
    <x v="255"/>
    <s v="NITEROI"/>
    <s v="RJ"/>
    <x v="2"/>
    <s v="RAFAEL ESTEVES (RJ/SPI/SUL)"/>
    <n v="64"/>
    <x v="1"/>
    <n v="83"/>
  </r>
  <r>
    <x v="0"/>
    <x v="0"/>
    <x v="0"/>
    <n v="60884855001207"/>
    <x v="255"/>
    <s v="NITEROI"/>
    <s v="RJ"/>
    <x v="2"/>
    <s v="RAFAEL ESTEVES (RJ/SPI/SUL)"/>
    <n v="73"/>
    <x v="2"/>
    <n v="18"/>
  </r>
  <r>
    <x v="0"/>
    <x v="0"/>
    <x v="0"/>
    <n v="60884855002289"/>
    <x v="256"/>
    <s v="BRASILIA"/>
    <s v="DF"/>
    <x v="1"/>
    <s v="FERNANDO LEONY (CO/NO/NE)"/>
    <n v="62"/>
    <x v="3"/>
    <n v="11"/>
  </r>
  <r>
    <x v="0"/>
    <x v="0"/>
    <x v="0"/>
    <n v="60884855002289"/>
    <x v="256"/>
    <s v="BRASILIA"/>
    <s v="DF"/>
    <x v="1"/>
    <s v="FERNANDO LEONY (CO/NO/NE)"/>
    <n v="64"/>
    <x v="1"/>
    <n v="90"/>
  </r>
  <r>
    <x v="0"/>
    <x v="0"/>
    <x v="0"/>
    <n v="60922168005226"/>
    <x v="257"/>
    <s v="BLUMENAU"/>
    <s v="SC"/>
    <x v="2"/>
    <s v="RAFAEL ESTEVES (RJ/SPI/SUL)"/>
    <n v="64"/>
    <x v="1"/>
    <n v="1"/>
  </r>
  <r>
    <x v="0"/>
    <x v="0"/>
    <x v="0"/>
    <n v="60975737003509"/>
    <x v="258"/>
    <s v="FORTALEZA"/>
    <s v="CE"/>
    <x v="1"/>
    <s v="FERNANDO LEONY (CO/NO/NE)"/>
    <n v="62"/>
    <x v="3"/>
    <n v="12"/>
  </r>
  <r>
    <x v="0"/>
    <x v="0"/>
    <x v="0"/>
    <n v="60975737003509"/>
    <x v="258"/>
    <s v="FORTALEZA"/>
    <s v="CE"/>
    <x v="1"/>
    <s v="FERNANDO LEONY (CO/NO/NE)"/>
    <n v="64"/>
    <x v="1"/>
    <n v="4"/>
  </r>
  <r>
    <x v="0"/>
    <x v="0"/>
    <x v="0"/>
    <n v="61590410000558"/>
    <x v="259"/>
    <s v="BRASILIA"/>
    <s v="DF"/>
    <x v="1"/>
    <s v="FERNANDO LEONY (CO/NO/NE)"/>
    <n v="73"/>
    <x v="2"/>
    <n v="16"/>
  </r>
  <r>
    <x v="0"/>
    <x v="0"/>
    <x v="0"/>
    <n v="74031865000151"/>
    <x v="260"/>
    <s v="FORTALEZA"/>
    <s v="CE"/>
    <x v="1"/>
    <s v="FERNANDO LEONY (CO/NO/NE)"/>
    <n v="62"/>
    <x v="3"/>
    <n v="420"/>
  </r>
  <r>
    <x v="0"/>
    <x v="0"/>
    <x v="0"/>
    <n v="74031865000151"/>
    <x v="260"/>
    <s v="FORTALEZA"/>
    <s v="CE"/>
    <x v="1"/>
    <s v="FERNANDO LEONY (CO/NO/NE)"/>
    <n v="64"/>
    <x v="1"/>
    <n v="100"/>
  </r>
  <r>
    <x v="0"/>
    <x v="0"/>
    <x v="0"/>
    <n v="76555069000143"/>
    <x v="261"/>
    <s v="CURITIBA"/>
    <s v="PR"/>
    <x v="2"/>
    <s v="RAFAEL ESTEVES (RJ/SPI/SUL)"/>
    <n v="62"/>
    <x v="3"/>
    <n v="2"/>
  </r>
  <r>
    <x v="0"/>
    <x v="0"/>
    <x v="0"/>
    <n v="76591569000130"/>
    <x v="262"/>
    <s v="CURITIBA"/>
    <s v="PR"/>
    <x v="2"/>
    <s v="RAFAEL ESTEVES (RJ/SPI/SUL)"/>
    <n v="73"/>
    <x v="2"/>
    <n v="24"/>
  </r>
  <r>
    <x v="0"/>
    <x v="0"/>
    <x v="0"/>
    <n v="80673411000187"/>
    <x v="263"/>
    <s v="FLORIANOPOLIS"/>
    <s v="SC"/>
    <x v="2"/>
    <s v="RAFAEL ESTEVES (RJ/SPI/SUL)"/>
    <n v="66"/>
    <x v="4"/>
    <n v="74"/>
  </r>
  <r>
    <x v="0"/>
    <x v="0"/>
    <x v="0"/>
    <n v="83899526000425"/>
    <x v="264"/>
    <s v="FLORIANOPOLIS"/>
    <s v="SC"/>
    <x v="2"/>
    <s v="RAFAEL ESTEVES (RJ/SPI/SUL)"/>
    <n v="62"/>
    <x v="3"/>
    <n v="17"/>
  </r>
  <r>
    <x v="0"/>
    <x v="0"/>
    <x v="0"/>
    <n v="85377174000392"/>
    <x v="265"/>
    <s v="BALNEARIO CAMBORIU"/>
    <s v="SC"/>
    <x v="2"/>
    <s v="RAFAEL ESTEVES (RJ/SPI/SUL)"/>
    <n v="73"/>
    <x v="2"/>
    <n v="15"/>
  </r>
  <r>
    <x v="0"/>
    <x v="0"/>
    <x v="0"/>
    <n v="87020517000120"/>
    <x v="266"/>
    <s v="PORTO ALEGRE"/>
    <s v="RS"/>
    <x v="2"/>
    <s v="RAFAEL ESTEVES (RJ/SPI/SUL)"/>
    <n v="62"/>
    <x v="3"/>
    <n v="25"/>
  </r>
  <r>
    <x v="0"/>
    <x v="0"/>
    <x v="0"/>
    <n v="87020517000120"/>
    <x v="266"/>
    <s v="PORTO ALEGRE"/>
    <s v="RS"/>
    <x v="2"/>
    <s v="RAFAEL ESTEVES (RJ/SPI/SUL)"/>
    <n v="64"/>
    <x v="1"/>
    <n v="10"/>
  </r>
  <r>
    <x v="0"/>
    <x v="0"/>
    <x v="0"/>
    <n v="87547444000120"/>
    <x v="267"/>
    <s v="BENTO GONCALVES"/>
    <s v="RS"/>
    <x v="2"/>
    <s v="RAFAEL ESTEVES (RJ/SPI/SUL)"/>
    <n v="64"/>
    <x v="1"/>
    <n v="2"/>
  </r>
  <r>
    <x v="0"/>
    <x v="0"/>
    <x v="0"/>
    <n v="87827689002405"/>
    <x v="268"/>
    <s v="CAXIAS DO SUL"/>
    <s v="RS"/>
    <x v="2"/>
    <s v="RAFAEL ESTEVES (RJ/SPI/SUL)"/>
    <n v="73"/>
    <x v="2"/>
    <n v="38"/>
  </r>
  <r>
    <x v="0"/>
    <x v="0"/>
    <x v="0"/>
    <n v="87958625000149"/>
    <x v="269"/>
    <s v="PORTO ALEGRE"/>
    <s v="RS"/>
    <x v="2"/>
    <s v="RAFAEL ESTEVES (RJ/SPI/SUL)"/>
    <n v="66"/>
    <x v="4"/>
    <n v="12"/>
  </r>
  <r>
    <x v="0"/>
    <x v="0"/>
    <x v="0"/>
    <n v="88625686002443"/>
    <x v="270"/>
    <s v="PORTO ALEGRE"/>
    <s v="RS"/>
    <x v="2"/>
    <s v="RAFAEL ESTEVES (RJ/SPI/SUL)"/>
    <n v="62"/>
    <x v="3"/>
    <n v="5"/>
  </r>
  <r>
    <x v="0"/>
    <x v="0"/>
    <x v="0"/>
    <n v="88625686002443"/>
    <x v="270"/>
    <s v="PORTO ALEGRE"/>
    <s v="RS"/>
    <x v="2"/>
    <s v="RAFAEL ESTEVES (RJ/SPI/SUL)"/>
    <n v="64"/>
    <x v="1"/>
    <n v="24"/>
  </r>
  <r>
    <x v="0"/>
    <x v="0"/>
    <x v="0"/>
    <n v="88630413000796"/>
    <x v="271"/>
    <s v="PORTO ALEGRE"/>
    <s v="RS"/>
    <x v="2"/>
    <s v="RAFAEL ESTEVES (RJ/SPI/SUL)"/>
    <n v="62"/>
    <x v="3"/>
    <n v="14"/>
  </r>
  <r>
    <x v="0"/>
    <x v="0"/>
    <x v="0"/>
    <n v="88630413000796"/>
    <x v="271"/>
    <s v="PORTO ALEGRE"/>
    <s v="RS"/>
    <x v="2"/>
    <s v="RAFAEL ESTEVES (RJ/SPI/SUL)"/>
    <n v="64"/>
    <x v="1"/>
    <n v="6"/>
  </r>
  <r>
    <x v="0"/>
    <x v="0"/>
    <x v="0"/>
    <n v="92021062000360"/>
    <x v="272"/>
    <s v="PASSO FUNDO"/>
    <s v="RS"/>
    <x v="2"/>
    <s v="RAFAEL ESTEVES (RJ/SPI/SUL)"/>
    <n v="73"/>
    <x v="2"/>
    <n v="144"/>
  </r>
  <r>
    <x v="0"/>
    <x v="0"/>
    <x v="0"/>
    <n v="92685833000151"/>
    <x v="273"/>
    <s v="PORTO ALEGRE"/>
    <s v="RS"/>
    <x v="2"/>
    <s v="RAFAEL ESTEVES (RJ/SPI/SUL)"/>
    <n v="62"/>
    <x v="3"/>
    <n v="40"/>
  </r>
  <r>
    <x v="0"/>
    <x v="0"/>
    <x v="0"/>
    <n v="92685833000151"/>
    <x v="273"/>
    <s v="PORTO ALEGRE"/>
    <s v="RS"/>
    <x v="2"/>
    <s v="RAFAEL ESTEVES (RJ/SPI/SUL)"/>
    <n v="64"/>
    <x v="1"/>
    <n v="16"/>
  </r>
  <r>
    <x v="0"/>
    <x v="0"/>
    <x v="0"/>
    <n v="92685833000151"/>
    <x v="273"/>
    <s v="PORTO ALEGRE"/>
    <s v="RS"/>
    <x v="2"/>
    <s v="RAFAEL ESTEVES (RJ/SPI/SUL)"/>
    <n v="73"/>
    <x v="2"/>
    <n v="4"/>
  </r>
  <r>
    <x v="0"/>
    <x v="0"/>
    <x v="0"/>
    <n v="92741016000254"/>
    <x v="274"/>
    <s v="PORTO ALEGRE"/>
    <s v="RS"/>
    <x v="2"/>
    <s v="RAFAEL ESTEVES (RJ/SPI/SUL)"/>
    <n v="64"/>
    <x v="1"/>
    <n v="5"/>
  </r>
  <r>
    <x v="0"/>
    <x v="0"/>
    <x v="0"/>
    <n v="92787118000391"/>
    <x v="275"/>
    <s v="PORTO ALEGRE"/>
    <s v="RS"/>
    <x v="2"/>
    <s v="RAFAEL ESTEVES (RJ/SPI/SUL)"/>
    <n v="64"/>
    <x v="1"/>
    <n v="12"/>
  </r>
  <r>
    <x v="0"/>
    <x v="0"/>
    <x v="0"/>
    <n v="92815000000168"/>
    <x v="276"/>
    <s v="PORTO ALEGRE"/>
    <s v="RS"/>
    <x v="2"/>
    <s v="RAFAEL ESTEVES (RJ/SPI/SUL)"/>
    <n v="62"/>
    <x v="3"/>
    <n v="62"/>
  </r>
  <r>
    <x v="0"/>
    <x v="0"/>
    <x v="0"/>
    <n v="92815000000168"/>
    <x v="276"/>
    <s v="PORTO ALEGRE"/>
    <s v="RS"/>
    <x v="2"/>
    <s v="RAFAEL ESTEVES (RJ/SPI/SUL)"/>
    <n v="64"/>
    <x v="1"/>
    <n v="8"/>
  </r>
  <r>
    <x v="0"/>
    <x v="0"/>
    <x v="0"/>
    <n v="92815000000168"/>
    <x v="276"/>
    <s v="PORTO ALEGRE"/>
    <s v="RS"/>
    <x v="2"/>
    <s v="RAFAEL ESTEVES (RJ/SPI/SUL)"/>
    <n v="73"/>
    <x v="2"/>
    <n v="38"/>
  </r>
  <r>
    <x v="0"/>
    <x v="0"/>
    <x v="0"/>
    <n v="92898550000198"/>
    <x v="277"/>
    <s v="PORTO ALEGRE"/>
    <s v="RS"/>
    <x v="2"/>
    <s v="RAFAEL ESTEVES (RJ/SPI/SUL)"/>
    <n v="64"/>
    <x v="1"/>
    <n v="14"/>
  </r>
  <r>
    <x v="0"/>
    <x v="0"/>
    <x v="0"/>
    <n v="92898550000600"/>
    <x v="278"/>
    <s v="BRASILIA"/>
    <s v="DF"/>
    <x v="1"/>
    <s v="FERNANDO LEONY (CO/NO/NE)"/>
    <n v="64"/>
    <x v="1"/>
    <n v="4"/>
  </r>
  <r>
    <x v="0"/>
    <x v="0"/>
    <x v="0"/>
    <n v="95610887000146"/>
    <x v="279"/>
    <s v="SANTA MARIA"/>
    <s v="RS"/>
    <x v="2"/>
    <s v="RAFAEL ESTEVES (RJ/SPI/SUL)"/>
    <n v="62"/>
    <x v="3"/>
    <n v="4"/>
  </r>
  <r>
    <x v="0"/>
    <x v="1"/>
    <x v="0"/>
    <n v="4602792000125"/>
    <x v="182"/>
    <s v="LAURO DE FREITAS"/>
    <s v="BA"/>
    <x v="1"/>
    <s v="FERNANDO LEONY (CO/NO/NE)"/>
    <n v="64"/>
    <x v="1"/>
    <n v="3"/>
  </r>
  <r>
    <x v="0"/>
    <x v="1"/>
    <x v="0"/>
    <n v="4786490000154"/>
    <x v="280"/>
    <s v="SERRA"/>
    <s v="ES"/>
    <x v="2"/>
    <s v="RAFAEL ESTEVES (RJ/SPI/SUL)"/>
    <n v="73"/>
    <x v="2"/>
    <n v="14"/>
  </r>
  <r>
    <x v="0"/>
    <x v="1"/>
    <x v="0"/>
    <n v="5054929000117"/>
    <x v="281"/>
    <s v="BELEM"/>
    <s v="PA"/>
    <x v="1"/>
    <s v="FERNANDO LEONY (CO/NO/NE)"/>
    <n v="73"/>
    <x v="2"/>
    <n v="48"/>
  </r>
  <r>
    <x v="0"/>
    <x v="1"/>
    <x v="0"/>
    <n v="5469172000122"/>
    <x v="183"/>
    <s v="SALVADOR"/>
    <s v="BA"/>
    <x v="1"/>
    <s v="FERNANDO LEONY (CO/NO/NE)"/>
    <n v="62"/>
    <x v="3"/>
    <n v="7"/>
  </r>
  <r>
    <x v="0"/>
    <x v="1"/>
    <x v="0"/>
    <n v="5469172000122"/>
    <x v="183"/>
    <s v="SALVADOR"/>
    <s v="BA"/>
    <x v="1"/>
    <s v="FERNANDO LEONY (CO/NO/NE)"/>
    <n v="64"/>
    <x v="1"/>
    <n v="11"/>
  </r>
  <r>
    <x v="0"/>
    <x v="1"/>
    <x v="0"/>
    <n v="5652543000107"/>
    <x v="282"/>
    <s v="SANTO ANTONIO DE JESUS"/>
    <s v="BA"/>
    <x v="1"/>
    <s v="FERNANDO LEONY (CO/NO/NE)"/>
    <n v="64"/>
    <x v="1"/>
    <n v="2"/>
  </r>
  <r>
    <x v="0"/>
    <x v="1"/>
    <x v="0"/>
    <n v="5816630000152"/>
    <x v="184"/>
    <s v="SALVADOR"/>
    <s v="BA"/>
    <x v="1"/>
    <s v="FERNANDO LEONY (CO/NO/NE)"/>
    <n v="62"/>
    <x v="3"/>
    <n v="5"/>
  </r>
  <r>
    <x v="0"/>
    <x v="1"/>
    <x v="0"/>
    <n v="5816630000152"/>
    <x v="184"/>
    <s v="SALVADOR"/>
    <s v="BA"/>
    <x v="1"/>
    <s v="FERNANDO LEONY (CO/NO/NE)"/>
    <n v="64"/>
    <x v="1"/>
    <n v="15"/>
  </r>
  <r>
    <x v="0"/>
    <x v="1"/>
    <x v="0"/>
    <n v="5867015000175"/>
    <x v="185"/>
    <s v="FORTALEZA"/>
    <s v="CE"/>
    <x v="1"/>
    <s v="FERNANDO LEONY (CO/NO/NE)"/>
    <n v="73"/>
    <x v="2"/>
    <n v="12"/>
  </r>
  <r>
    <x v="0"/>
    <x v="1"/>
    <x v="0"/>
    <n v="5868278000280"/>
    <x v="186"/>
    <s v="FORTALEZA"/>
    <s v="CE"/>
    <x v="1"/>
    <s v="FERNANDO LEONY (CO/NO/NE)"/>
    <n v="62"/>
    <x v="3"/>
    <n v="10"/>
  </r>
  <r>
    <x v="0"/>
    <x v="1"/>
    <x v="0"/>
    <n v="5868278000280"/>
    <x v="186"/>
    <s v="FORTALEZA"/>
    <s v="CE"/>
    <x v="1"/>
    <s v="FERNANDO LEONY (CO/NO/NE)"/>
    <n v="73"/>
    <x v="2"/>
    <n v="46"/>
  </r>
  <r>
    <x v="0"/>
    <x v="1"/>
    <x v="0"/>
    <n v="5874946000281"/>
    <x v="283"/>
    <s v="FORTALEZA"/>
    <s v="CE"/>
    <x v="1"/>
    <s v="FERNANDO LEONY (CO/NO/NE)"/>
    <n v="62"/>
    <x v="3"/>
    <n v="5"/>
  </r>
  <r>
    <x v="0"/>
    <x v="1"/>
    <x v="0"/>
    <n v="5874946000281"/>
    <x v="283"/>
    <s v="FORTALEZA"/>
    <s v="CE"/>
    <x v="1"/>
    <s v="FERNANDO LEONY (CO/NO/NE)"/>
    <n v="64"/>
    <x v="1"/>
    <n v="11"/>
  </r>
  <r>
    <x v="0"/>
    <x v="1"/>
    <x v="0"/>
    <n v="6047087001372"/>
    <x v="189"/>
    <s v="DUQUE DE CAXIAS"/>
    <s v="RJ"/>
    <x v="2"/>
    <s v="RAFAEL ESTEVES (RJ/SPI/SUL)"/>
    <n v="62"/>
    <x v="3"/>
    <n v="4"/>
  </r>
  <r>
    <x v="0"/>
    <x v="1"/>
    <x v="0"/>
    <n v="6047087001372"/>
    <x v="189"/>
    <s v="DUQUE DE CAXIAS"/>
    <s v="RJ"/>
    <x v="2"/>
    <s v="RAFAEL ESTEVES (RJ/SPI/SUL)"/>
    <n v="64"/>
    <x v="1"/>
    <n v="3"/>
  </r>
  <r>
    <x v="0"/>
    <x v="1"/>
    <x v="0"/>
    <n v="6047087004126"/>
    <x v="190"/>
    <s v="BRASILIA"/>
    <s v="DF"/>
    <x v="1"/>
    <s v="FERNANDO LEONY (CO/NO/NE)"/>
    <n v="64"/>
    <x v="1"/>
    <n v="7"/>
  </r>
  <r>
    <x v="0"/>
    <x v="1"/>
    <x v="0"/>
    <n v="6047087004207"/>
    <x v="191"/>
    <s v="BRASILIA"/>
    <s v="DF"/>
    <x v="1"/>
    <s v="FERNANDO LEONY (CO/NO/NE)"/>
    <n v="64"/>
    <x v="1"/>
    <n v="8"/>
  </r>
  <r>
    <x v="0"/>
    <x v="1"/>
    <x v="0"/>
    <n v="6047087009276"/>
    <x v="284"/>
    <s v="RECIFE"/>
    <s v="PE"/>
    <x v="1"/>
    <s v="FERNANDO LEONY (CO/NO/NE)"/>
    <n v="62"/>
    <x v="3"/>
    <n v="2"/>
  </r>
  <r>
    <x v="0"/>
    <x v="1"/>
    <x v="0"/>
    <n v="6555031000276"/>
    <x v="194"/>
    <s v="TERESINA"/>
    <s v="PI"/>
    <x v="1"/>
    <s v="FERNANDO LEONY (CO/NO/NE)"/>
    <n v="73"/>
    <x v="2"/>
    <n v="20"/>
  </r>
  <r>
    <x v="0"/>
    <x v="1"/>
    <x v="0"/>
    <n v="7245269000187"/>
    <x v="285"/>
    <s v="FORTALEZA"/>
    <s v="CE"/>
    <x v="1"/>
    <s v="FERNANDO LEONY (CO/NO/NE)"/>
    <n v="64"/>
    <x v="1"/>
    <n v="7"/>
  </r>
  <r>
    <x v="0"/>
    <x v="1"/>
    <x v="0"/>
    <n v="7734165000136"/>
    <x v="286"/>
    <s v="CURITIBA"/>
    <s v="PR"/>
    <x v="2"/>
    <s v="RAFAEL ESTEVES (RJ/SPI/SUL)"/>
    <n v="73"/>
    <x v="2"/>
    <n v="120"/>
  </r>
  <r>
    <x v="0"/>
    <x v="1"/>
    <x v="0"/>
    <n v="7794623001528"/>
    <x v="196"/>
    <s v="NOVA IGUACU"/>
    <s v="RJ"/>
    <x v="2"/>
    <s v="RAFAEL ESTEVES (RJ/SPI/SUL)"/>
    <n v="73"/>
    <x v="2"/>
    <n v="28"/>
  </r>
  <r>
    <x v="0"/>
    <x v="1"/>
    <x v="0"/>
    <n v="8319329000121"/>
    <x v="198"/>
    <s v="NATAL"/>
    <s v="RN"/>
    <x v="1"/>
    <s v="FERNANDO LEONY (CO/NO/NE)"/>
    <n v="64"/>
    <x v="1"/>
    <n v="26"/>
  </r>
  <r>
    <x v="0"/>
    <x v="1"/>
    <x v="0"/>
    <n v="8380701001772"/>
    <x v="287"/>
    <s v="NATAL"/>
    <s v="RN"/>
    <x v="1"/>
    <s v="FERNANDO LEONY (CO/NO/NE)"/>
    <n v="64"/>
    <x v="1"/>
    <n v="50"/>
  </r>
  <r>
    <x v="0"/>
    <x v="1"/>
    <x v="0"/>
    <n v="8562523000133"/>
    <x v="288"/>
    <s v="DUQUE DE CAXIAS"/>
    <s v="RJ"/>
    <x v="2"/>
    <s v="RAFAEL ESTEVES (RJ/SPI/SUL)"/>
    <n v="62"/>
    <x v="3"/>
    <n v="2"/>
  </r>
  <r>
    <x v="0"/>
    <x v="1"/>
    <x v="0"/>
    <n v="8562523000133"/>
    <x v="288"/>
    <s v="DUQUE DE CAXIAS"/>
    <s v="RJ"/>
    <x v="2"/>
    <s v="RAFAEL ESTEVES (RJ/SPI/SUL)"/>
    <n v="64"/>
    <x v="1"/>
    <n v="5"/>
  </r>
  <r>
    <x v="0"/>
    <x v="1"/>
    <x v="0"/>
    <n v="8597121000174"/>
    <x v="289"/>
    <s v="CURITIBA"/>
    <s v="PR"/>
    <x v="2"/>
    <s v="RAFAEL ESTEVES (RJ/SPI/SUL)"/>
    <n v="66"/>
    <x v="4"/>
    <n v="80"/>
  </r>
  <r>
    <x v="0"/>
    <x v="1"/>
    <x v="0"/>
    <n v="8680639000681"/>
    <x v="200"/>
    <s v="JOAO PESSOA"/>
    <s v="PB"/>
    <x v="1"/>
    <s v="FERNANDO LEONY (CO/NO/NE)"/>
    <n v="73"/>
    <x v="2"/>
    <n v="68"/>
  </r>
  <r>
    <x v="0"/>
    <x v="1"/>
    <x v="0"/>
    <n v="9039744000275"/>
    <x v="290"/>
    <s v="PAULISTA"/>
    <s v="PE"/>
    <x v="1"/>
    <s v="FERNANDO LEONY (CO/NO/NE)"/>
    <n v="64"/>
    <x v="1"/>
    <n v="1"/>
  </r>
  <r>
    <x v="0"/>
    <x v="1"/>
    <x v="0"/>
    <n v="9087150000230"/>
    <x v="201"/>
    <s v="PORTO ALEGRE"/>
    <s v="RS"/>
    <x v="2"/>
    <s v="RAFAEL ESTEVES (RJ/SPI/SUL)"/>
    <n v="73"/>
    <x v="2"/>
    <n v="10"/>
  </r>
  <r>
    <x v="0"/>
    <x v="1"/>
    <x v="0"/>
    <n v="9549061000268"/>
    <x v="291"/>
    <s v="CANOAS"/>
    <s v="RS"/>
    <x v="2"/>
    <s v="RAFAEL ESTEVES (RJ/SPI/SUL)"/>
    <n v="64"/>
    <x v="1"/>
    <n v="3"/>
  </r>
  <r>
    <x v="0"/>
    <x v="1"/>
    <x v="0"/>
    <n v="10839561000132"/>
    <x v="202"/>
    <s v="RECIFE"/>
    <s v="PE"/>
    <x v="1"/>
    <s v="FERNANDO LEONY (CO/NO/NE)"/>
    <n v="73"/>
    <x v="2"/>
    <n v="32"/>
  </r>
  <r>
    <x v="0"/>
    <x v="1"/>
    <x v="0"/>
    <n v="10942995000163"/>
    <x v="292"/>
    <s v="BRASILIA"/>
    <s v="DF"/>
    <x v="1"/>
    <s v="FERNANDO LEONY (CO/NO/NE)"/>
    <n v="73"/>
    <x v="2"/>
    <n v="40"/>
  </r>
  <r>
    <x v="0"/>
    <x v="1"/>
    <x v="0"/>
    <n v="11022597001597"/>
    <x v="293"/>
    <s v="RECIFE"/>
    <s v="PE"/>
    <x v="1"/>
    <s v="FERNANDO LEONY (CO/NO/NE)"/>
    <n v="64"/>
    <x v="1"/>
    <n v="25"/>
  </r>
  <r>
    <x v="0"/>
    <x v="1"/>
    <x v="0"/>
    <n v="11452240000143"/>
    <x v="206"/>
    <s v="RECIFE"/>
    <s v="PE"/>
    <x v="1"/>
    <s v="FERNANDO LEONY (CO/NO/NE)"/>
    <n v="62"/>
    <x v="3"/>
    <n v="1"/>
  </r>
  <r>
    <x v="0"/>
    <x v="1"/>
    <x v="0"/>
    <n v="11794674000121"/>
    <x v="294"/>
    <s v="FORTALEZA"/>
    <s v="CE"/>
    <x v="1"/>
    <s v="FERNANDO LEONY (CO/NO/NE)"/>
    <n v="64"/>
    <x v="1"/>
    <n v="50"/>
  </r>
  <r>
    <x v="0"/>
    <x v="1"/>
    <x v="0"/>
    <n v="11859927000106"/>
    <x v="207"/>
    <s v="BRASILIA"/>
    <s v="DF"/>
    <x v="1"/>
    <s v="FERNANDO LEONY (CO/NO/NE)"/>
    <n v="73"/>
    <x v="2"/>
    <n v="49"/>
  </r>
  <r>
    <x v="0"/>
    <x v="1"/>
    <x v="0"/>
    <n v="11943553000102"/>
    <x v="295"/>
    <s v="SALVADOR"/>
    <s v="BA"/>
    <x v="1"/>
    <s v="FERNANDO LEONY (CO/NO/NE)"/>
    <n v="64"/>
    <x v="1"/>
    <n v="2"/>
  </r>
  <r>
    <x v="0"/>
    <x v="1"/>
    <x v="0"/>
    <n v="12361267010318"/>
    <x v="208"/>
    <s v="SALVADOR"/>
    <s v="BA"/>
    <x v="1"/>
    <s v="FERNANDO LEONY (CO/NO/NE)"/>
    <n v="62"/>
    <x v="3"/>
    <n v="5"/>
  </r>
  <r>
    <x v="0"/>
    <x v="1"/>
    <x v="0"/>
    <n v="12361267010318"/>
    <x v="208"/>
    <s v="SALVADOR"/>
    <s v="BA"/>
    <x v="1"/>
    <s v="FERNANDO LEONY (CO/NO/NE)"/>
    <n v="64"/>
    <x v="1"/>
    <n v="11"/>
  </r>
  <r>
    <x v="0"/>
    <x v="1"/>
    <x v="0"/>
    <n v="12442737000496"/>
    <x v="296"/>
    <s v="MACEIO"/>
    <s v="AL"/>
    <x v="1"/>
    <s v="FERNANDO LEONY (CO/NO/NE)"/>
    <n v="62"/>
    <x v="3"/>
    <n v="2"/>
  </r>
  <r>
    <x v="0"/>
    <x v="1"/>
    <x v="0"/>
    <n v="12442737000496"/>
    <x v="296"/>
    <s v="MACEIO"/>
    <s v="AL"/>
    <x v="1"/>
    <s v="FERNANDO LEONY (CO/NO/NE)"/>
    <n v="64"/>
    <x v="1"/>
    <n v="3"/>
  </r>
  <r>
    <x v="0"/>
    <x v="1"/>
    <x v="0"/>
    <n v="13016092000140"/>
    <x v="210"/>
    <s v="SALVADOR"/>
    <s v="BA"/>
    <x v="1"/>
    <s v="FERNANDO LEONY (CO/NO/NE)"/>
    <n v="64"/>
    <x v="1"/>
    <n v="10"/>
  </r>
  <r>
    <x v="0"/>
    <x v="1"/>
    <x v="0"/>
    <n v="13016332000106"/>
    <x v="211"/>
    <s v="ARACAJU"/>
    <s v="SE"/>
    <x v="1"/>
    <s v="FERNANDO LEONY (CO/NO/NE)"/>
    <n v="62"/>
    <x v="3"/>
    <n v="6"/>
  </r>
  <r>
    <x v="0"/>
    <x v="1"/>
    <x v="0"/>
    <n v="13131370000100"/>
    <x v="212"/>
    <s v="ARACAJU"/>
    <s v="SE"/>
    <x v="1"/>
    <s v="FERNANDO LEONY (CO/NO/NE)"/>
    <n v="62"/>
    <x v="3"/>
    <n v="6"/>
  </r>
  <r>
    <x v="0"/>
    <x v="1"/>
    <x v="0"/>
    <n v="13131370000100"/>
    <x v="212"/>
    <s v="ARACAJU"/>
    <s v="SE"/>
    <x v="1"/>
    <s v="FERNANDO LEONY (CO/NO/NE)"/>
    <n v="73"/>
    <x v="2"/>
    <n v="44"/>
  </r>
  <r>
    <x v="0"/>
    <x v="1"/>
    <x v="0"/>
    <n v="13262578000168"/>
    <x v="297"/>
    <s v="NATAL"/>
    <s v="RN"/>
    <x v="1"/>
    <s v="FERNANDO LEONY (CO/NO/NE)"/>
    <n v="66"/>
    <x v="4"/>
    <n v="6"/>
  </r>
  <r>
    <x v="0"/>
    <x v="1"/>
    <x v="0"/>
    <n v="13952064000134"/>
    <x v="214"/>
    <s v="SALVADOR"/>
    <s v="BA"/>
    <x v="1"/>
    <s v="FERNANDO LEONY (CO/NO/NE)"/>
    <n v="64"/>
    <x v="1"/>
    <n v="8"/>
  </r>
  <r>
    <x v="0"/>
    <x v="1"/>
    <x v="0"/>
    <n v="14408631000159"/>
    <x v="216"/>
    <s v="VICOSA"/>
    <s v="MG"/>
    <x v="2"/>
    <s v="RAFAEL ESTEVES (RJ/SPI/SUL)"/>
    <n v="73"/>
    <x v="2"/>
    <n v="8"/>
  </r>
  <r>
    <x v="0"/>
    <x v="1"/>
    <x v="0"/>
    <n v="15126437000496"/>
    <x v="219"/>
    <s v="SAO LUIS"/>
    <s v="MA"/>
    <x v="1"/>
    <s v="FERNANDO LEONY (CO/NO/NE)"/>
    <n v="62"/>
    <x v="3"/>
    <n v="9"/>
  </r>
  <r>
    <x v="0"/>
    <x v="1"/>
    <x v="0"/>
    <n v="15126437000496"/>
    <x v="219"/>
    <s v="SAO LUIS"/>
    <s v="MA"/>
    <x v="1"/>
    <s v="FERNANDO LEONY (CO/NO/NE)"/>
    <n v="64"/>
    <x v="1"/>
    <n v="4"/>
  </r>
  <r>
    <x v="0"/>
    <x v="1"/>
    <x v="0"/>
    <n v="15126437001468"/>
    <x v="298"/>
    <s v="FORTALEZA"/>
    <s v="CE"/>
    <x v="1"/>
    <s v="FERNANDO LEONY (CO/NO/NE)"/>
    <n v="64"/>
    <x v="1"/>
    <n v="20"/>
  </r>
  <r>
    <x v="0"/>
    <x v="1"/>
    <x v="0"/>
    <n v="15126437001972"/>
    <x v="221"/>
    <s v="SANTA MARIA"/>
    <s v="RS"/>
    <x v="2"/>
    <s v="RAFAEL ESTEVES (RJ/SPI/SUL)"/>
    <n v="62"/>
    <x v="3"/>
    <n v="15"/>
  </r>
  <r>
    <x v="0"/>
    <x v="1"/>
    <x v="0"/>
    <n v="15140254000182"/>
    <x v="299"/>
    <s v="SALVADOR"/>
    <s v="BA"/>
    <x v="1"/>
    <s v="FERNANDO LEONY (CO/NO/NE)"/>
    <n v="73"/>
    <x v="2"/>
    <n v="2"/>
  </r>
  <r>
    <x v="0"/>
    <x v="1"/>
    <x v="0"/>
    <n v="15153745002705"/>
    <x v="223"/>
    <s v="SALVADOR"/>
    <s v="BA"/>
    <x v="1"/>
    <s v="FERNANDO LEONY (CO/NO/NE)"/>
    <n v="64"/>
    <x v="1"/>
    <n v="10"/>
  </r>
  <r>
    <x v="0"/>
    <x v="1"/>
    <x v="0"/>
    <n v="15166416000151"/>
    <x v="224"/>
    <s v="SALVADOR"/>
    <s v="BA"/>
    <x v="1"/>
    <s v="FERNANDO LEONY (CO/NO/NE)"/>
    <n v="62"/>
    <x v="3"/>
    <n v="8"/>
  </r>
  <r>
    <x v="0"/>
    <x v="1"/>
    <x v="0"/>
    <n v="15166416000151"/>
    <x v="224"/>
    <s v="SALVADOR"/>
    <s v="BA"/>
    <x v="1"/>
    <s v="FERNANDO LEONY (CO/NO/NE)"/>
    <n v="64"/>
    <x v="1"/>
    <n v="29"/>
  </r>
  <r>
    <x v="0"/>
    <x v="1"/>
    <x v="0"/>
    <n v="15194004000125"/>
    <x v="229"/>
    <s v="SALVADOR"/>
    <s v="BA"/>
    <x v="1"/>
    <s v="FERNANDO LEONY (CO/NO/NE)"/>
    <n v="64"/>
    <x v="1"/>
    <n v="5"/>
  </r>
  <r>
    <x v="0"/>
    <x v="1"/>
    <x v="0"/>
    <n v="16064313000577"/>
    <x v="300"/>
    <s v="ARACAJU"/>
    <s v="SE"/>
    <x v="1"/>
    <s v="FERNANDO LEONY (CO/NO/NE)"/>
    <n v="73"/>
    <x v="2"/>
    <n v="23"/>
  </r>
  <r>
    <x v="0"/>
    <x v="1"/>
    <x v="0"/>
    <n v="16475154000250"/>
    <x v="301"/>
    <s v="SALVADOR"/>
    <s v="BA"/>
    <x v="1"/>
    <s v="FERNANDO LEONY (CO/NO/NE)"/>
    <n v="64"/>
    <x v="1"/>
    <n v="3"/>
  </r>
  <r>
    <x v="0"/>
    <x v="1"/>
    <x v="0"/>
    <n v="16739984000167"/>
    <x v="232"/>
    <s v="BRASILIA"/>
    <s v="DF"/>
    <x v="1"/>
    <s v="FERNANDO LEONY (CO/NO/NE)"/>
    <n v="73"/>
    <x v="2"/>
    <n v="36"/>
  </r>
  <r>
    <x v="0"/>
    <x v="1"/>
    <x v="0"/>
    <n v="17214149000176"/>
    <x v="235"/>
    <s v="BELO HORIZONTE"/>
    <s v="MG"/>
    <x v="2"/>
    <s v="RAFAEL ESTEVES (RJ/SPI/SUL)"/>
    <n v="62"/>
    <x v="3"/>
    <n v="18"/>
  </r>
  <r>
    <x v="0"/>
    <x v="1"/>
    <x v="0"/>
    <n v="17689407000928"/>
    <x v="236"/>
    <s v="JUIZ DE FORA"/>
    <s v="MG"/>
    <x v="2"/>
    <s v="RAFAEL ESTEVES (RJ/SPI/SUL)"/>
    <n v="73"/>
    <x v="2"/>
    <n v="6"/>
  </r>
  <r>
    <x v="0"/>
    <x v="1"/>
    <x v="0"/>
    <n v="18484378000173"/>
    <x v="237"/>
    <s v="UBERLANDIA"/>
    <s v="MG"/>
    <x v="2"/>
    <s v="RAFAEL ESTEVES (RJ/SPI/SUL)"/>
    <n v="62"/>
    <x v="3"/>
    <n v="2"/>
  </r>
  <r>
    <x v="0"/>
    <x v="1"/>
    <x v="0"/>
    <n v="19878404000100"/>
    <x v="238"/>
    <s v="IPATINGA"/>
    <s v="MG"/>
    <x v="2"/>
    <s v="RAFAEL ESTEVES (RJ/SPI/SUL)"/>
    <n v="73"/>
    <x v="2"/>
    <n v="80"/>
  </r>
  <r>
    <x v="0"/>
    <x v="1"/>
    <x v="0"/>
    <n v="20909271000171"/>
    <x v="302"/>
    <s v="ARAGUARI"/>
    <s v="MG"/>
    <x v="2"/>
    <s v="RAFAEL ESTEVES (RJ/SPI/SUL)"/>
    <n v="73"/>
    <x v="2"/>
    <n v="51"/>
  </r>
  <r>
    <x v="0"/>
    <x v="1"/>
    <x v="0"/>
    <n v="21040696000311"/>
    <x v="240"/>
    <s v="ITAJUBA"/>
    <s v="MG"/>
    <x v="2"/>
    <s v="RAFAEL ESTEVES (RJ/SPI/SUL)"/>
    <n v="62"/>
    <x v="3"/>
    <n v="5"/>
  </r>
  <r>
    <x v="0"/>
    <x v="1"/>
    <x v="0"/>
    <n v="21040696000311"/>
    <x v="240"/>
    <s v="ITAJUBA"/>
    <s v="MG"/>
    <x v="2"/>
    <s v="RAFAEL ESTEVES (RJ/SPI/SUL)"/>
    <n v="64"/>
    <x v="1"/>
    <n v="4"/>
  </r>
  <r>
    <x v="0"/>
    <x v="1"/>
    <x v="0"/>
    <n v="21299615000130"/>
    <x v="303"/>
    <s v="OURO BRANCO"/>
    <s v="MG"/>
    <x v="2"/>
    <s v="RAFAEL ESTEVES (RJ/SPI/SUL)"/>
    <n v="66"/>
    <x v="4"/>
    <n v="6"/>
  </r>
  <r>
    <x v="0"/>
    <x v="1"/>
    <x v="0"/>
    <n v="23406564000124"/>
    <x v="304"/>
    <s v="PATROCINIO"/>
    <s v="MG"/>
    <x v="2"/>
    <s v="RAFAEL ESTEVES (RJ/SPI/SUL)"/>
    <n v="66"/>
    <x v="4"/>
    <n v="6"/>
  </r>
  <r>
    <x v="0"/>
    <x v="1"/>
    <x v="0"/>
    <n v="24232886008303"/>
    <x v="242"/>
    <s v="SANTAREM"/>
    <s v="PA"/>
    <x v="1"/>
    <s v="FERNANDO LEONY (CO/NO/NE)"/>
    <n v="64"/>
    <x v="1"/>
    <n v="2"/>
  </r>
  <r>
    <x v="0"/>
    <x v="1"/>
    <x v="0"/>
    <n v="24464109000229"/>
    <x v="243"/>
    <s v="MACEIO"/>
    <s v="AL"/>
    <x v="1"/>
    <s v="FERNANDO LEONY (CO/NO/NE)"/>
    <n v="66"/>
    <x v="4"/>
    <n v="4"/>
  </r>
  <r>
    <x v="0"/>
    <x v="1"/>
    <x v="0"/>
    <n v="25761040000187"/>
    <x v="305"/>
    <s v="UBERLANDIA"/>
    <s v="MG"/>
    <x v="2"/>
    <s v="RAFAEL ESTEVES (RJ/SPI/SUL)"/>
    <n v="62"/>
    <x v="3"/>
    <n v="2"/>
  </r>
  <r>
    <x v="0"/>
    <x v="1"/>
    <x v="0"/>
    <n v="27372066000169"/>
    <x v="245"/>
    <s v="SALVADOR"/>
    <s v="BA"/>
    <x v="1"/>
    <s v="FERNANDO LEONY (CO/NO/NE)"/>
    <n v="64"/>
    <x v="1"/>
    <n v="4"/>
  </r>
  <r>
    <x v="0"/>
    <x v="1"/>
    <x v="0"/>
    <n v="27578434001525"/>
    <x v="306"/>
    <s v="VITORIA"/>
    <s v="ES"/>
    <x v="2"/>
    <s v="RAFAEL ESTEVES (RJ/SPI/SUL)"/>
    <n v="66"/>
    <x v="4"/>
    <n v="4"/>
  </r>
  <r>
    <x v="0"/>
    <x v="1"/>
    <x v="0"/>
    <n v="28806545000532"/>
    <x v="247"/>
    <s v="PETROPOLIS"/>
    <s v="RJ"/>
    <x v="2"/>
    <s v="RAFAEL ESTEVES (RJ/SPI/SUL)"/>
    <n v="73"/>
    <x v="2"/>
    <n v="96"/>
  </r>
  <r>
    <x v="0"/>
    <x v="1"/>
    <x v="0"/>
    <n v="29435005004620"/>
    <x v="249"/>
    <s v="BRASILIA"/>
    <s v="DF"/>
    <x v="1"/>
    <s v="FERNANDO LEONY (CO/NO/NE)"/>
    <n v="64"/>
    <x v="1"/>
    <n v="30"/>
  </r>
  <r>
    <x v="0"/>
    <x v="1"/>
    <x v="0"/>
    <n v="29435005009851"/>
    <x v="251"/>
    <s v="NATAL"/>
    <s v="RN"/>
    <x v="1"/>
    <s v="FERNANDO LEONY (CO/NO/NE)"/>
    <n v="64"/>
    <x v="1"/>
    <n v="15"/>
  </r>
  <r>
    <x v="0"/>
    <x v="1"/>
    <x v="0"/>
    <n v="29640612000120"/>
    <x v="307"/>
    <s v="ITAPERUNA"/>
    <s v="RJ"/>
    <x v="2"/>
    <s v="RAFAEL ESTEVES (RJ/SPI/SUL)"/>
    <n v="62"/>
    <x v="3"/>
    <n v="1"/>
  </r>
  <r>
    <x v="0"/>
    <x v="1"/>
    <x v="0"/>
    <n v="29908956000178"/>
    <x v="308"/>
    <s v="JAGUARI"/>
    <s v="RS"/>
    <x v="2"/>
    <s v="RAFAEL ESTEVES (RJ/SPI/SUL)"/>
    <n v="66"/>
    <x v="4"/>
    <n v="4"/>
  </r>
  <r>
    <x v="0"/>
    <x v="1"/>
    <x v="0"/>
    <n v="30079461000162"/>
    <x v="309"/>
    <s v="NITEROI"/>
    <s v="RJ"/>
    <x v="2"/>
    <s v="RAFAEL ESTEVES (RJ/SPI/SUL)"/>
    <n v="62"/>
    <x v="3"/>
    <n v="2"/>
  </r>
  <r>
    <x v="0"/>
    <x v="1"/>
    <x v="0"/>
    <n v="30079461000162"/>
    <x v="309"/>
    <s v="NITEROI"/>
    <s v="RJ"/>
    <x v="2"/>
    <s v="RAFAEL ESTEVES (RJ/SPI/SUL)"/>
    <n v="64"/>
    <x v="1"/>
    <n v="16"/>
  </r>
  <r>
    <x v="0"/>
    <x v="1"/>
    <x v="0"/>
    <n v="35917970000726"/>
    <x v="310"/>
    <s v="VOLTA REDONDA"/>
    <s v="RJ"/>
    <x v="2"/>
    <s v="RAFAEL ESTEVES (RJ/SPI/SUL)"/>
    <n v="73"/>
    <x v="2"/>
    <n v="15"/>
  </r>
  <r>
    <x v="0"/>
    <x v="1"/>
    <x v="0"/>
    <n v="37108388000159"/>
    <x v="253"/>
    <s v="BRASILIA"/>
    <s v="DF"/>
    <x v="1"/>
    <s v="FERNANDO LEONY (CO/NO/NE)"/>
    <n v="64"/>
    <x v="1"/>
    <n v="30"/>
  </r>
  <r>
    <x v="0"/>
    <x v="1"/>
    <x v="0"/>
    <n v="60884855001207"/>
    <x v="255"/>
    <s v="NITEROI"/>
    <s v="RJ"/>
    <x v="2"/>
    <s v="RAFAEL ESTEVES (RJ/SPI/SUL)"/>
    <n v="62"/>
    <x v="3"/>
    <n v="6"/>
  </r>
  <r>
    <x v="0"/>
    <x v="1"/>
    <x v="0"/>
    <n v="60884855001207"/>
    <x v="255"/>
    <s v="NITEROI"/>
    <s v="RJ"/>
    <x v="2"/>
    <s v="RAFAEL ESTEVES (RJ/SPI/SUL)"/>
    <n v="64"/>
    <x v="1"/>
    <n v="17"/>
  </r>
  <r>
    <x v="0"/>
    <x v="1"/>
    <x v="0"/>
    <n v="60884855001207"/>
    <x v="255"/>
    <s v="NITEROI"/>
    <s v="RJ"/>
    <x v="2"/>
    <s v="RAFAEL ESTEVES (RJ/SPI/SUL)"/>
    <n v="73"/>
    <x v="2"/>
    <n v="18"/>
  </r>
  <r>
    <x v="0"/>
    <x v="1"/>
    <x v="0"/>
    <n v="60884855002289"/>
    <x v="256"/>
    <s v="BRASILIA"/>
    <s v="DF"/>
    <x v="1"/>
    <s v="FERNANDO LEONY (CO/NO/NE)"/>
    <n v="62"/>
    <x v="3"/>
    <n v="7"/>
  </r>
  <r>
    <x v="0"/>
    <x v="1"/>
    <x v="0"/>
    <n v="60884855002289"/>
    <x v="256"/>
    <s v="BRASILIA"/>
    <s v="DF"/>
    <x v="1"/>
    <s v="FERNANDO LEONY (CO/NO/NE)"/>
    <n v="64"/>
    <x v="1"/>
    <n v="24"/>
  </r>
  <r>
    <x v="0"/>
    <x v="1"/>
    <x v="0"/>
    <n v="60922168005226"/>
    <x v="257"/>
    <s v="BLUMENAU"/>
    <s v="SC"/>
    <x v="2"/>
    <s v="RAFAEL ESTEVES (RJ/SPI/SUL)"/>
    <n v="62"/>
    <x v="3"/>
    <n v="7"/>
  </r>
  <r>
    <x v="0"/>
    <x v="1"/>
    <x v="0"/>
    <n v="60922168005226"/>
    <x v="257"/>
    <s v="BLUMENAU"/>
    <s v="SC"/>
    <x v="2"/>
    <s v="RAFAEL ESTEVES (RJ/SPI/SUL)"/>
    <n v="64"/>
    <x v="1"/>
    <n v="2"/>
  </r>
  <r>
    <x v="0"/>
    <x v="1"/>
    <x v="0"/>
    <n v="60975737003509"/>
    <x v="258"/>
    <s v="FORTALEZA"/>
    <s v="CE"/>
    <x v="1"/>
    <s v="FERNANDO LEONY (CO/NO/NE)"/>
    <n v="62"/>
    <x v="3"/>
    <n v="4"/>
  </r>
  <r>
    <x v="0"/>
    <x v="1"/>
    <x v="0"/>
    <n v="60975737003509"/>
    <x v="258"/>
    <s v="FORTALEZA"/>
    <s v="CE"/>
    <x v="1"/>
    <s v="FERNANDO LEONY (CO/NO/NE)"/>
    <n v="64"/>
    <x v="1"/>
    <n v="6"/>
  </r>
  <r>
    <x v="0"/>
    <x v="1"/>
    <x v="0"/>
    <n v="61590410000558"/>
    <x v="259"/>
    <s v="BRASILIA"/>
    <s v="DF"/>
    <x v="1"/>
    <s v="FERNANDO LEONY (CO/NO/NE)"/>
    <n v="73"/>
    <x v="2"/>
    <n v="16"/>
  </r>
  <r>
    <x v="0"/>
    <x v="1"/>
    <x v="0"/>
    <n v="68709211000212"/>
    <x v="311"/>
    <s v="RESENDE"/>
    <s v="RJ"/>
    <x v="2"/>
    <s v="RAFAEL ESTEVES (RJ/SPI/SUL)"/>
    <n v="64"/>
    <x v="1"/>
    <n v="1"/>
  </r>
  <r>
    <x v="0"/>
    <x v="1"/>
    <x v="0"/>
    <n v="74031865000151"/>
    <x v="260"/>
    <s v="FORTALEZA"/>
    <s v="CE"/>
    <x v="1"/>
    <s v="FERNANDO LEONY (CO/NO/NE)"/>
    <n v="64"/>
    <x v="1"/>
    <n v="800"/>
  </r>
  <r>
    <x v="0"/>
    <x v="1"/>
    <x v="0"/>
    <n v="77858611001414"/>
    <x v="312"/>
    <s v="SAO JOSE"/>
    <s v="SC"/>
    <x v="2"/>
    <s v="RAFAEL ESTEVES (RJ/SPI/SUL)"/>
    <n v="64"/>
    <x v="1"/>
    <n v="5"/>
  </r>
  <r>
    <x v="0"/>
    <x v="1"/>
    <x v="0"/>
    <n v="80673411000187"/>
    <x v="263"/>
    <s v="FLORIANOPOLIS"/>
    <s v="SC"/>
    <x v="2"/>
    <s v="RAFAEL ESTEVES (RJ/SPI/SUL)"/>
    <n v="73"/>
    <x v="2"/>
    <n v="48"/>
  </r>
  <r>
    <x v="0"/>
    <x v="1"/>
    <x v="0"/>
    <n v="83899526000425"/>
    <x v="264"/>
    <s v="FLORIANOPOLIS"/>
    <s v="SC"/>
    <x v="2"/>
    <s v="RAFAEL ESTEVES (RJ/SPI/SUL)"/>
    <n v="62"/>
    <x v="3"/>
    <n v="3"/>
  </r>
  <r>
    <x v="0"/>
    <x v="1"/>
    <x v="0"/>
    <n v="85377174000392"/>
    <x v="265"/>
    <s v="BALNEARIO CAMBORIU"/>
    <s v="SC"/>
    <x v="2"/>
    <s v="RAFAEL ESTEVES (RJ/SPI/SUL)"/>
    <n v="73"/>
    <x v="2"/>
    <n v="12"/>
  </r>
  <r>
    <x v="0"/>
    <x v="1"/>
    <x v="0"/>
    <n v="87020517000120"/>
    <x v="266"/>
    <s v="PORTO ALEGRE"/>
    <s v="RS"/>
    <x v="2"/>
    <s v="RAFAEL ESTEVES (RJ/SPI/SUL)"/>
    <n v="62"/>
    <x v="3"/>
    <n v="30"/>
  </r>
  <r>
    <x v="0"/>
    <x v="1"/>
    <x v="0"/>
    <n v="87020517000120"/>
    <x v="266"/>
    <s v="PORTO ALEGRE"/>
    <s v="RS"/>
    <x v="2"/>
    <s v="RAFAEL ESTEVES (RJ/SPI/SUL)"/>
    <n v="64"/>
    <x v="1"/>
    <n v="8"/>
  </r>
  <r>
    <x v="0"/>
    <x v="1"/>
    <x v="0"/>
    <n v="87317764001084"/>
    <x v="313"/>
    <s v="PORTO ALEGRE"/>
    <s v="RS"/>
    <x v="2"/>
    <s v="RAFAEL ESTEVES (RJ/SPI/SUL)"/>
    <n v="62"/>
    <x v="3"/>
    <n v="4"/>
  </r>
  <r>
    <x v="0"/>
    <x v="1"/>
    <x v="0"/>
    <n v="87547444000120"/>
    <x v="267"/>
    <s v="BENTO GONCALVES"/>
    <s v="RS"/>
    <x v="2"/>
    <s v="RAFAEL ESTEVES (RJ/SPI/SUL)"/>
    <n v="64"/>
    <x v="1"/>
    <n v="5"/>
  </r>
  <r>
    <x v="0"/>
    <x v="1"/>
    <x v="0"/>
    <n v="87827689002405"/>
    <x v="268"/>
    <s v="CAXIAS DO SUL"/>
    <s v="RS"/>
    <x v="2"/>
    <s v="RAFAEL ESTEVES (RJ/SPI/SUL)"/>
    <n v="73"/>
    <x v="2"/>
    <n v="274"/>
  </r>
  <r>
    <x v="0"/>
    <x v="1"/>
    <x v="0"/>
    <n v="88625686002443"/>
    <x v="270"/>
    <s v="PORTO ALEGRE"/>
    <s v="RS"/>
    <x v="2"/>
    <s v="RAFAEL ESTEVES (RJ/SPI/SUL)"/>
    <n v="64"/>
    <x v="1"/>
    <n v="10"/>
  </r>
  <r>
    <x v="0"/>
    <x v="1"/>
    <x v="0"/>
    <n v="88630413000796"/>
    <x v="271"/>
    <s v="PORTO ALEGRE"/>
    <s v="RS"/>
    <x v="2"/>
    <s v="RAFAEL ESTEVES (RJ/SPI/SUL)"/>
    <n v="62"/>
    <x v="3"/>
    <n v="3"/>
  </r>
  <r>
    <x v="0"/>
    <x v="1"/>
    <x v="0"/>
    <n v="88645403001372"/>
    <x v="314"/>
    <s v="CAXIAS DO SUL"/>
    <s v="RS"/>
    <x v="2"/>
    <s v="RAFAEL ESTEVES (RJ/SPI/SUL)"/>
    <n v="73"/>
    <x v="2"/>
    <n v="32"/>
  </r>
  <r>
    <x v="0"/>
    <x v="1"/>
    <x v="0"/>
    <n v="92404789000164"/>
    <x v="315"/>
    <s v="FREDERICO WESTPHALEN"/>
    <s v="RS"/>
    <x v="2"/>
    <s v="RAFAEL ESTEVES (RJ/SPI/SUL)"/>
    <n v="73"/>
    <x v="2"/>
    <n v="8"/>
  </r>
  <r>
    <x v="0"/>
    <x v="1"/>
    <x v="0"/>
    <n v="92685833000151"/>
    <x v="273"/>
    <s v="PORTO ALEGRE"/>
    <s v="RS"/>
    <x v="2"/>
    <s v="RAFAEL ESTEVES (RJ/SPI/SUL)"/>
    <n v="64"/>
    <x v="1"/>
    <n v="14"/>
  </r>
  <r>
    <x v="0"/>
    <x v="1"/>
    <x v="0"/>
    <n v="92685833000151"/>
    <x v="273"/>
    <s v="PORTO ALEGRE"/>
    <s v="RS"/>
    <x v="2"/>
    <s v="RAFAEL ESTEVES (RJ/SPI/SUL)"/>
    <n v="73"/>
    <x v="2"/>
    <n v="8"/>
  </r>
  <r>
    <x v="0"/>
    <x v="1"/>
    <x v="0"/>
    <n v="92741016000254"/>
    <x v="274"/>
    <s v="PORTO ALEGRE"/>
    <s v="RS"/>
    <x v="2"/>
    <s v="RAFAEL ESTEVES (RJ/SPI/SUL)"/>
    <n v="62"/>
    <x v="3"/>
    <n v="3"/>
  </r>
  <r>
    <x v="0"/>
    <x v="1"/>
    <x v="0"/>
    <n v="92741016000254"/>
    <x v="274"/>
    <s v="PORTO ALEGRE"/>
    <s v="RS"/>
    <x v="2"/>
    <s v="RAFAEL ESTEVES (RJ/SPI/SUL)"/>
    <n v="64"/>
    <x v="1"/>
    <n v="11"/>
  </r>
  <r>
    <x v="0"/>
    <x v="1"/>
    <x v="0"/>
    <n v="92815000000168"/>
    <x v="276"/>
    <s v="PORTO ALEGRE"/>
    <s v="RS"/>
    <x v="2"/>
    <s v="RAFAEL ESTEVES (RJ/SPI/SUL)"/>
    <n v="62"/>
    <x v="3"/>
    <n v="56"/>
  </r>
  <r>
    <x v="0"/>
    <x v="1"/>
    <x v="0"/>
    <n v="92815000000168"/>
    <x v="276"/>
    <s v="PORTO ALEGRE"/>
    <s v="RS"/>
    <x v="2"/>
    <s v="RAFAEL ESTEVES (RJ/SPI/SUL)"/>
    <n v="64"/>
    <x v="1"/>
    <n v="23"/>
  </r>
  <r>
    <x v="0"/>
    <x v="1"/>
    <x v="0"/>
    <n v="92815000000168"/>
    <x v="276"/>
    <s v="PORTO ALEGRE"/>
    <s v="RS"/>
    <x v="2"/>
    <s v="RAFAEL ESTEVES (RJ/SPI/SUL)"/>
    <n v="73"/>
    <x v="2"/>
    <n v="54"/>
  </r>
  <r>
    <x v="0"/>
    <x v="1"/>
    <x v="0"/>
    <n v="92898550000198"/>
    <x v="277"/>
    <s v="PORTO ALEGRE"/>
    <s v="RS"/>
    <x v="2"/>
    <s v="RAFAEL ESTEVES (RJ/SPI/SUL)"/>
    <n v="62"/>
    <x v="3"/>
    <n v="2"/>
  </r>
  <r>
    <x v="0"/>
    <x v="1"/>
    <x v="0"/>
    <n v="92963560000160"/>
    <x v="316"/>
    <s v="PORTO ALEGRE"/>
    <s v="RS"/>
    <x v="2"/>
    <s v="RAFAEL ESTEVES (RJ/SPI/SUL)"/>
    <n v="64"/>
    <x v="1"/>
    <n v="20"/>
  </r>
  <r>
    <x v="0"/>
    <x v="1"/>
    <x v="0"/>
    <n v="95610887000146"/>
    <x v="279"/>
    <s v="SANTA MARIA"/>
    <s v="RS"/>
    <x v="2"/>
    <s v="RAFAEL ESTEVES (RJ/SPI/SUL)"/>
    <n v="62"/>
    <x v="3"/>
    <n v="9"/>
  </r>
  <r>
    <x v="0"/>
    <x v="1"/>
    <x v="0"/>
    <n v="95610887000146"/>
    <x v="279"/>
    <s v="SANTA MARIA"/>
    <s v="RS"/>
    <x v="2"/>
    <s v="RAFAEL ESTEVES (RJ/SPI/SUL)"/>
    <n v="64"/>
    <x v="1"/>
    <n v="9"/>
  </r>
  <r>
    <x v="0"/>
    <x v="2"/>
    <x v="0"/>
    <n v="9324322559"/>
    <x v="317"/>
    <s v="SALVADOR"/>
    <s v="BA"/>
    <x v="1"/>
    <s v="FERNANDO LEONY (CO/NO/NE)"/>
    <n v="73"/>
    <x v="2"/>
    <n v="5"/>
  </r>
  <r>
    <x v="0"/>
    <x v="2"/>
    <x v="0"/>
    <n v="12371009253"/>
    <x v="150"/>
    <s v="BELEM"/>
    <s v="PA"/>
    <x v="1"/>
    <s v="FERNANDO LEONY (CO/NO/NE)"/>
    <n v="73"/>
    <x v="2"/>
    <n v="12"/>
  </r>
  <r>
    <x v="0"/>
    <x v="2"/>
    <x v="0"/>
    <n v="25841000153"/>
    <x v="318"/>
    <s v="BRASILIA"/>
    <s v="DF"/>
    <x v="1"/>
    <s v="FERNANDO LEONY (CO/NO/NE)"/>
    <n v="62"/>
    <x v="3"/>
    <n v="4"/>
  </r>
  <r>
    <x v="0"/>
    <x v="2"/>
    <x v="0"/>
    <n v="44482299472"/>
    <x v="319"/>
    <s v="MACEIO"/>
    <s v="AL"/>
    <x v="1"/>
    <s v="FERNANDO LEONY (CO/NO/NE)"/>
    <n v="66"/>
    <x v="4"/>
    <n v="90"/>
  </r>
  <r>
    <x v="0"/>
    <x v="2"/>
    <x v="0"/>
    <n v="48063983904"/>
    <x v="320"/>
    <s v="FLORIANOPOLIS"/>
    <s v="SC"/>
    <x v="2"/>
    <s v="RAFAEL ESTEVES (RJ/SPI/SUL)"/>
    <n v="66"/>
    <x v="4"/>
    <n v="59"/>
  </r>
  <r>
    <x v="0"/>
    <x v="2"/>
    <x v="0"/>
    <n v="49791000144"/>
    <x v="153"/>
    <s v="BRASILIA"/>
    <s v="DF"/>
    <x v="1"/>
    <s v="FERNANDO LEONY (CO/NO/NE)"/>
    <n v="64"/>
    <x v="1"/>
    <n v="1"/>
  </r>
  <r>
    <x v="0"/>
    <x v="2"/>
    <x v="0"/>
    <n v="83925694404"/>
    <x v="154"/>
    <s v="JOAO PESSOA"/>
    <s v="PB"/>
    <x v="1"/>
    <s v="FERNANDO LEONY (CO/NO/NE)"/>
    <n v="66"/>
    <x v="4"/>
    <n v="26"/>
  </r>
  <r>
    <x v="0"/>
    <x v="2"/>
    <x v="0"/>
    <n v="85465526149"/>
    <x v="321"/>
    <s v="BRASILIA"/>
    <s v="DF"/>
    <x v="1"/>
    <s v="FERNANDO LEONY (CO/NO/NE)"/>
    <n v="66"/>
    <x v="4"/>
    <n v="3"/>
  </r>
  <r>
    <x v="0"/>
    <x v="2"/>
    <x v="0"/>
    <n v="93326645287"/>
    <x v="322"/>
    <s v="BELEM"/>
    <s v="PA"/>
    <x v="1"/>
    <s v="FERNANDO LEONY (CO/NO/NE)"/>
    <n v="73"/>
    <x v="2"/>
    <n v="16"/>
  </r>
  <r>
    <x v="0"/>
    <x v="2"/>
    <x v="0"/>
    <n v="382069000127"/>
    <x v="323"/>
    <s v="BRASILIA"/>
    <s v="DF"/>
    <x v="1"/>
    <s v="FERNANDO LEONY (CO/NO/NE)"/>
    <n v="64"/>
    <x v="1"/>
    <n v="4"/>
  </r>
  <r>
    <x v="0"/>
    <x v="2"/>
    <x v="0"/>
    <n v="394544000851"/>
    <x v="163"/>
    <s v="BRASILIA"/>
    <s v="DF"/>
    <x v="1"/>
    <s v="FERNANDO LEONY (CO/NO/NE)"/>
    <n v="62"/>
    <x v="3"/>
    <n v="1050"/>
  </r>
  <r>
    <x v="0"/>
    <x v="2"/>
    <x v="0"/>
    <n v="410960000120"/>
    <x v="159"/>
    <s v="BELO HORIZONTE"/>
    <s v="MG"/>
    <x v="2"/>
    <s v="RAFAEL ESTEVES (RJ/SPI/SUL)"/>
    <n v="73"/>
    <x v="2"/>
    <n v="46"/>
  </r>
  <r>
    <x v="0"/>
    <x v="2"/>
    <x v="0"/>
    <n v="418954000119"/>
    <x v="160"/>
    <s v="GOIANIA"/>
    <s v="GO"/>
    <x v="1"/>
    <s v="FERNANDO LEONY (CO/NO/NE)"/>
    <n v="64"/>
    <x v="1"/>
    <n v="18"/>
  </r>
  <r>
    <x v="0"/>
    <x v="2"/>
    <x v="0"/>
    <n v="418954000704"/>
    <x v="324"/>
    <s v="GOIANIA"/>
    <s v="GO"/>
    <x v="1"/>
    <s v="FERNANDO LEONY (CO/NO/NE)"/>
    <n v="64"/>
    <x v="1"/>
    <n v="20"/>
  </r>
  <r>
    <x v="0"/>
    <x v="2"/>
    <x v="0"/>
    <n v="437007000175"/>
    <x v="161"/>
    <s v="NITEROI"/>
    <s v="RJ"/>
    <x v="2"/>
    <s v="RAFAEL ESTEVES (RJ/SPI/SUL)"/>
    <n v="73"/>
    <x v="2"/>
    <n v="298"/>
  </r>
  <r>
    <x v="0"/>
    <x v="2"/>
    <x v="0"/>
    <n v="520237000101"/>
    <x v="164"/>
    <s v="BRASILIA"/>
    <s v="DF"/>
    <x v="1"/>
    <s v="FERNANDO LEONY (CO/NO/NE)"/>
    <n v="73"/>
    <x v="2"/>
    <n v="155"/>
  </r>
  <r>
    <x v="0"/>
    <x v="2"/>
    <x v="0"/>
    <n v="610980000144"/>
    <x v="165"/>
    <s v="BRASILIA"/>
    <s v="DF"/>
    <x v="1"/>
    <s v="FERNANDO LEONY (CO/NO/NE)"/>
    <n v="64"/>
    <x v="1"/>
    <n v="12"/>
  </r>
  <r>
    <x v="0"/>
    <x v="2"/>
    <x v="0"/>
    <n v="1277573000120"/>
    <x v="325"/>
    <s v="GOIANIA"/>
    <s v="GO"/>
    <x v="1"/>
    <s v="FERNANDO LEONY (CO/NO/NE)"/>
    <n v="64"/>
    <x v="1"/>
    <n v="3"/>
  </r>
  <r>
    <x v="0"/>
    <x v="2"/>
    <x v="0"/>
    <n v="1326206000179"/>
    <x v="169"/>
    <s v="CATALAO"/>
    <s v="GO"/>
    <x v="1"/>
    <s v="FERNANDO LEONY (CO/NO/NE)"/>
    <n v="73"/>
    <x v="2"/>
    <n v="77"/>
  </r>
  <r>
    <x v="0"/>
    <x v="2"/>
    <x v="0"/>
    <n v="1507901000137"/>
    <x v="170"/>
    <s v="NATAL"/>
    <s v="RN"/>
    <x v="1"/>
    <s v="FERNANDO LEONY (CO/NO/NE)"/>
    <n v="62"/>
    <x v="3"/>
    <n v="7"/>
  </r>
  <r>
    <x v="0"/>
    <x v="2"/>
    <x v="0"/>
    <n v="1507901000137"/>
    <x v="170"/>
    <s v="NATAL"/>
    <s v="RN"/>
    <x v="1"/>
    <s v="FERNANDO LEONY (CO/NO/NE)"/>
    <n v="64"/>
    <x v="1"/>
    <n v="10"/>
  </r>
  <r>
    <x v="0"/>
    <x v="2"/>
    <x v="0"/>
    <n v="1517626000132"/>
    <x v="171"/>
    <s v="BALNEARIO CAMBORIU"/>
    <s v="SC"/>
    <x v="2"/>
    <s v="RAFAEL ESTEVES (RJ/SPI/SUL)"/>
    <n v="73"/>
    <x v="2"/>
    <n v="12"/>
  </r>
  <r>
    <x v="0"/>
    <x v="2"/>
    <x v="0"/>
    <n v="1837492000137"/>
    <x v="326"/>
    <s v="SALVADOR"/>
    <s v="BA"/>
    <x v="1"/>
    <s v="FERNANDO LEONY (CO/NO/NE)"/>
    <n v="64"/>
    <x v="1"/>
    <n v="2"/>
  </r>
  <r>
    <x v="0"/>
    <x v="2"/>
    <x v="0"/>
    <n v="2109397000180"/>
    <x v="178"/>
    <s v="NATAL"/>
    <s v="RN"/>
    <x v="1"/>
    <s v="FERNANDO LEONY (CO/NO/NE)"/>
    <n v="64"/>
    <x v="1"/>
    <n v="24"/>
  </r>
  <r>
    <x v="0"/>
    <x v="2"/>
    <x v="0"/>
    <n v="2284062000440"/>
    <x v="173"/>
    <s v="RECIFE"/>
    <s v="PE"/>
    <x v="1"/>
    <s v="FERNANDO LEONY (CO/NO/NE)"/>
    <n v="64"/>
    <x v="1"/>
    <n v="20"/>
  </r>
  <r>
    <x v="0"/>
    <x v="2"/>
    <x v="0"/>
    <n v="2476067000203"/>
    <x v="175"/>
    <s v="GOIANIA"/>
    <s v="GO"/>
    <x v="1"/>
    <s v="FERNANDO LEONY (CO/NO/NE)"/>
    <n v="73"/>
    <x v="2"/>
    <n v="20"/>
  </r>
  <r>
    <x v="0"/>
    <x v="2"/>
    <x v="0"/>
    <n v="2560878000107"/>
    <x v="176"/>
    <s v="BRASILIA"/>
    <s v="DF"/>
    <x v="1"/>
    <s v="FERNANDO LEONY (CO/NO/NE)"/>
    <n v="64"/>
    <x v="1"/>
    <n v="15"/>
  </r>
  <r>
    <x v="0"/>
    <x v="2"/>
    <x v="0"/>
    <n v="3222051000156"/>
    <x v="327"/>
    <s v="ARACAJU"/>
    <s v="SE"/>
    <x v="1"/>
    <s v="FERNANDO LEONY (CO/NO/NE)"/>
    <n v="62"/>
    <x v="3"/>
    <n v="2"/>
  </r>
  <r>
    <x v="0"/>
    <x v="2"/>
    <x v="0"/>
    <n v="3222051000156"/>
    <x v="327"/>
    <s v="ARACAJU"/>
    <s v="SE"/>
    <x v="1"/>
    <s v="FERNANDO LEONY (CO/NO/NE)"/>
    <n v="64"/>
    <x v="1"/>
    <n v="2"/>
  </r>
  <r>
    <x v="0"/>
    <x v="2"/>
    <x v="0"/>
    <n v="3904395000145"/>
    <x v="328"/>
    <s v="JABOATAO DOS GUARARAPES"/>
    <s v="PE"/>
    <x v="1"/>
    <s v="FERNANDO LEONY (CO/NO/NE)"/>
    <n v="66"/>
    <x v="4"/>
    <n v="24"/>
  </r>
  <r>
    <x v="0"/>
    <x v="2"/>
    <x v="0"/>
    <n v="3925419000142"/>
    <x v="179"/>
    <s v="CUIABA"/>
    <s v="MT"/>
    <x v="1"/>
    <s v="FERNANDO LEONY (CO/NO/NE)"/>
    <n v="64"/>
    <x v="1"/>
    <n v="4"/>
  </r>
  <r>
    <x v="0"/>
    <x v="2"/>
    <x v="0"/>
    <n v="4201372001028"/>
    <x v="181"/>
    <s v="BELEM"/>
    <s v="PA"/>
    <x v="1"/>
    <s v="FERNANDO LEONY (CO/NO/NE)"/>
    <n v="73"/>
    <x v="2"/>
    <n v="32"/>
  </r>
  <r>
    <x v="0"/>
    <x v="2"/>
    <x v="0"/>
    <n v="5469172000122"/>
    <x v="183"/>
    <s v="SALVADOR"/>
    <s v="BA"/>
    <x v="1"/>
    <s v="FERNANDO LEONY (CO/NO/NE)"/>
    <n v="62"/>
    <x v="3"/>
    <n v="4"/>
  </r>
  <r>
    <x v="0"/>
    <x v="2"/>
    <x v="0"/>
    <n v="5652543000107"/>
    <x v="282"/>
    <s v="SANTO ANTONIO DE JESUS"/>
    <s v="BA"/>
    <x v="1"/>
    <s v="FERNANDO LEONY (CO/NO/NE)"/>
    <n v="64"/>
    <x v="1"/>
    <n v="11"/>
  </r>
  <r>
    <x v="0"/>
    <x v="2"/>
    <x v="0"/>
    <n v="5816630000152"/>
    <x v="184"/>
    <s v="SALVADOR"/>
    <s v="BA"/>
    <x v="1"/>
    <s v="FERNANDO LEONY (CO/NO/NE)"/>
    <n v="62"/>
    <x v="3"/>
    <n v="10"/>
  </r>
  <r>
    <x v="0"/>
    <x v="2"/>
    <x v="0"/>
    <n v="5816630000152"/>
    <x v="184"/>
    <s v="SALVADOR"/>
    <s v="BA"/>
    <x v="1"/>
    <s v="FERNANDO LEONY (CO/NO/NE)"/>
    <n v="64"/>
    <x v="1"/>
    <n v="15"/>
  </r>
  <r>
    <x v="0"/>
    <x v="2"/>
    <x v="0"/>
    <n v="5867015000175"/>
    <x v="185"/>
    <s v="FORTALEZA"/>
    <s v="CE"/>
    <x v="1"/>
    <s v="FERNANDO LEONY (CO/NO/NE)"/>
    <n v="73"/>
    <x v="2"/>
    <n v="8"/>
  </r>
  <r>
    <x v="0"/>
    <x v="2"/>
    <x v="0"/>
    <n v="5868278000280"/>
    <x v="186"/>
    <s v="FORTALEZA"/>
    <s v="CE"/>
    <x v="1"/>
    <s v="FERNANDO LEONY (CO/NO/NE)"/>
    <n v="62"/>
    <x v="3"/>
    <n v="8"/>
  </r>
  <r>
    <x v="0"/>
    <x v="2"/>
    <x v="0"/>
    <n v="5868278000280"/>
    <x v="186"/>
    <s v="FORTALEZA"/>
    <s v="CE"/>
    <x v="1"/>
    <s v="FERNANDO LEONY (CO/NO/NE)"/>
    <n v="64"/>
    <x v="1"/>
    <n v="13"/>
  </r>
  <r>
    <x v="0"/>
    <x v="2"/>
    <x v="0"/>
    <n v="5868278000280"/>
    <x v="186"/>
    <s v="FORTALEZA"/>
    <s v="CE"/>
    <x v="1"/>
    <s v="FERNANDO LEONY (CO/NO/NE)"/>
    <n v="73"/>
    <x v="2"/>
    <n v="26"/>
  </r>
  <r>
    <x v="0"/>
    <x v="2"/>
    <x v="0"/>
    <n v="5874946000281"/>
    <x v="283"/>
    <s v="FORTALEZA"/>
    <s v="CE"/>
    <x v="1"/>
    <s v="FERNANDO LEONY (CO/NO/NE)"/>
    <n v="62"/>
    <x v="3"/>
    <n v="5"/>
  </r>
  <r>
    <x v="0"/>
    <x v="2"/>
    <x v="0"/>
    <n v="5874946000281"/>
    <x v="283"/>
    <s v="FORTALEZA"/>
    <s v="CE"/>
    <x v="1"/>
    <s v="FERNANDO LEONY (CO/NO/NE)"/>
    <n v="64"/>
    <x v="1"/>
    <n v="7"/>
  </r>
  <r>
    <x v="0"/>
    <x v="2"/>
    <x v="0"/>
    <n v="6047087001291"/>
    <x v="329"/>
    <s v="OLINDA"/>
    <s v="PE"/>
    <x v="1"/>
    <s v="FERNANDO LEONY (CO/NO/NE)"/>
    <n v="64"/>
    <x v="1"/>
    <n v="8"/>
  </r>
  <r>
    <x v="0"/>
    <x v="2"/>
    <x v="0"/>
    <n v="6047087001372"/>
    <x v="189"/>
    <s v="DUQUE DE CAXIAS"/>
    <s v="RJ"/>
    <x v="2"/>
    <s v="RAFAEL ESTEVES (RJ/SPI/SUL)"/>
    <n v="64"/>
    <x v="1"/>
    <n v="2"/>
  </r>
  <r>
    <x v="0"/>
    <x v="2"/>
    <x v="0"/>
    <n v="6047087004126"/>
    <x v="190"/>
    <s v="BRASILIA"/>
    <s v="DF"/>
    <x v="1"/>
    <s v="FERNANDO LEONY (CO/NO/NE)"/>
    <n v="64"/>
    <x v="1"/>
    <n v="3"/>
  </r>
  <r>
    <x v="0"/>
    <x v="2"/>
    <x v="0"/>
    <n v="6047087004207"/>
    <x v="191"/>
    <s v="BRASILIA"/>
    <s v="DF"/>
    <x v="1"/>
    <s v="FERNANDO LEONY (CO/NO/NE)"/>
    <n v="62"/>
    <x v="3"/>
    <n v="18"/>
  </r>
  <r>
    <x v="0"/>
    <x v="2"/>
    <x v="0"/>
    <n v="6047087004207"/>
    <x v="191"/>
    <s v="BRASILIA"/>
    <s v="DF"/>
    <x v="1"/>
    <s v="FERNANDO LEONY (CO/NO/NE)"/>
    <n v="64"/>
    <x v="1"/>
    <n v="28"/>
  </r>
  <r>
    <x v="0"/>
    <x v="2"/>
    <x v="0"/>
    <n v="6047087009276"/>
    <x v="284"/>
    <s v="RECIFE"/>
    <s v="PE"/>
    <x v="1"/>
    <s v="FERNANDO LEONY (CO/NO/NE)"/>
    <n v="64"/>
    <x v="1"/>
    <n v="30"/>
  </r>
  <r>
    <x v="0"/>
    <x v="2"/>
    <x v="0"/>
    <n v="6070425000153"/>
    <x v="192"/>
    <s v="MACAPA"/>
    <s v="AP"/>
    <x v="1"/>
    <s v="FERNANDO LEONY (CO/NO/NE)"/>
    <n v="73"/>
    <x v="2"/>
    <n v="12"/>
  </r>
  <r>
    <x v="0"/>
    <x v="2"/>
    <x v="0"/>
    <n v="7245269000187"/>
    <x v="285"/>
    <s v="FORTALEZA"/>
    <s v="CE"/>
    <x v="1"/>
    <s v="FERNANDO LEONY (CO/NO/NE)"/>
    <n v="64"/>
    <x v="1"/>
    <n v="7"/>
  </r>
  <r>
    <x v="0"/>
    <x v="2"/>
    <x v="0"/>
    <n v="7272636000212"/>
    <x v="195"/>
    <s v="FORTALEZA"/>
    <s v="CE"/>
    <x v="1"/>
    <s v="FERNANDO LEONY (CO/NO/NE)"/>
    <n v="62"/>
    <x v="3"/>
    <n v="30"/>
  </r>
  <r>
    <x v="0"/>
    <x v="2"/>
    <x v="0"/>
    <n v="7734165000136"/>
    <x v="286"/>
    <s v="CURITIBA"/>
    <s v="PR"/>
    <x v="2"/>
    <s v="RAFAEL ESTEVES (RJ/SPI/SUL)"/>
    <n v="73"/>
    <x v="2"/>
    <n v="96"/>
  </r>
  <r>
    <x v="0"/>
    <x v="2"/>
    <x v="0"/>
    <n v="7794623001528"/>
    <x v="196"/>
    <s v="NOVA IGUACU"/>
    <s v="RJ"/>
    <x v="2"/>
    <s v="RAFAEL ESTEVES (RJ/SPI/SUL)"/>
    <n v="73"/>
    <x v="2"/>
    <n v="28"/>
  </r>
  <r>
    <x v="0"/>
    <x v="2"/>
    <x v="0"/>
    <n v="7835044000180"/>
    <x v="197"/>
    <s v="FORTALEZA"/>
    <s v="CE"/>
    <x v="1"/>
    <s v="FERNANDO LEONY (CO/NO/NE)"/>
    <n v="62"/>
    <x v="3"/>
    <n v="12"/>
  </r>
  <r>
    <x v="0"/>
    <x v="2"/>
    <x v="0"/>
    <n v="8319329000121"/>
    <x v="198"/>
    <s v="NATAL"/>
    <s v="RN"/>
    <x v="1"/>
    <s v="FERNANDO LEONY (CO/NO/NE)"/>
    <n v="64"/>
    <x v="1"/>
    <n v="24"/>
  </r>
  <r>
    <x v="0"/>
    <x v="2"/>
    <x v="0"/>
    <n v="8337586000196"/>
    <x v="199"/>
    <s v="NATAL"/>
    <s v="RN"/>
    <x v="1"/>
    <s v="FERNANDO LEONY (CO/NO/NE)"/>
    <n v="64"/>
    <x v="1"/>
    <n v="1"/>
  </r>
  <r>
    <x v="0"/>
    <x v="2"/>
    <x v="0"/>
    <n v="8680639000681"/>
    <x v="200"/>
    <s v="JOAO PESSOA"/>
    <s v="PB"/>
    <x v="1"/>
    <s v="FERNANDO LEONY (CO/NO/NE)"/>
    <n v="73"/>
    <x v="2"/>
    <n v="80"/>
  </r>
  <r>
    <x v="0"/>
    <x v="2"/>
    <x v="0"/>
    <n v="9039744000275"/>
    <x v="290"/>
    <s v="PAULISTA"/>
    <s v="PE"/>
    <x v="1"/>
    <s v="FERNANDO LEONY (CO/NO/NE)"/>
    <n v="64"/>
    <x v="1"/>
    <n v="7"/>
  </r>
  <r>
    <x v="0"/>
    <x v="2"/>
    <x v="0"/>
    <n v="9087150000230"/>
    <x v="201"/>
    <s v="PORTO ALEGRE"/>
    <s v="RS"/>
    <x v="2"/>
    <s v="RAFAEL ESTEVES (RJ/SPI/SUL)"/>
    <n v="73"/>
    <x v="2"/>
    <n v="8"/>
  </r>
  <r>
    <x v="0"/>
    <x v="2"/>
    <x v="0"/>
    <n v="10558548000105"/>
    <x v="330"/>
    <s v="MANGARATIBA"/>
    <s v="RJ"/>
    <x v="2"/>
    <s v="RAFAEL ESTEVES (RJ/SPI/SUL)"/>
    <n v="66"/>
    <x v="4"/>
    <n v="3"/>
  </r>
  <r>
    <x v="0"/>
    <x v="2"/>
    <x v="0"/>
    <n v="10586940000168"/>
    <x v="331"/>
    <s v="VITORIA"/>
    <s v="ES"/>
    <x v="2"/>
    <s v="RAFAEL ESTEVES (RJ/SPI/SUL)"/>
    <n v="62"/>
    <x v="3"/>
    <n v="10"/>
  </r>
  <r>
    <x v="0"/>
    <x v="2"/>
    <x v="0"/>
    <n v="10586940000168"/>
    <x v="331"/>
    <s v="VITORIA"/>
    <s v="ES"/>
    <x v="2"/>
    <s v="RAFAEL ESTEVES (RJ/SPI/SUL)"/>
    <n v="64"/>
    <x v="1"/>
    <n v="25"/>
  </r>
  <r>
    <x v="0"/>
    <x v="2"/>
    <x v="0"/>
    <n v="10586940000168"/>
    <x v="331"/>
    <s v="VITORIA"/>
    <s v="ES"/>
    <x v="2"/>
    <s v="RAFAEL ESTEVES (RJ/SPI/SUL)"/>
    <n v="73"/>
    <x v="2"/>
    <n v="98"/>
  </r>
  <r>
    <x v="0"/>
    <x v="2"/>
    <x v="0"/>
    <n v="10839561000132"/>
    <x v="202"/>
    <s v="RECIFE"/>
    <s v="PE"/>
    <x v="1"/>
    <s v="FERNANDO LEONY (CO/NO/NE)"/>
    <n v="62"/>
    <x v="3"/>
    <n v="6"/>
  </r>
  <r>
    <x v="0"/>
    <x v="2"/>
    <x v="0"/>
    <n v="10839561000132"/>
    <x v="202"/>
    <s v="RECIFE"/>
    <s v="PE"/>
    <x v="1"/>
    <s v="FERNANDO LEONY (CO/NO/NE)"/>
    <n v="73"/>
    <x v="2"/>
    <n v="28"/>
  </r>
  <r>
    <x v="0"/>
    <x v="2"/>
    <x v="0"/>
    <n v="10892164000124"/>
    <x v="203"/>
    <s v="RECIFE"/>
    <s v="PE"/>
    <x v="1"/>
    <s v="FERNANDO LEONY (CO/NO/NE)"/>
    <n v="73"/>
    <x v="2"/>
    <n v="40"/>
  </r>
  <r>
    <x v="0"/>
    <x v="2"/>
    <x v="0"/>
    <n v="10942995000163"/>
    <x v="292"/>
    <s v="BRASILIA"/>
    <s v="DF"/>
    <x v="1"/>
    <s v="FERNANDO LEONY (CO/NO/NE)"/>
    <n v="73"/>
    <x v="2"/>
    <n v="160"/>
  </r>
  <r>
    <x v="0"/>
    <x v="2"/>
    <x v="0"/>
    <n v="11022597001597"/>
    <x v="293"/>
    <s v="RECIFE"/>
    <s v="PE"/>
    <x v="1"/>
    <s v="FERNANDO LEONY (CO/NO/NE)"/>
    <n v="64"/>
    <x v="1"/>
    <n v="25"/>
  </r>
  <r>
    <x v="0"/>
    <x v="2"/>
    <x v="0"/>
    <n v="11214624001957"/>
    <x v="332"/>
    <s v="RECIFE"/>
    <s v="PE"/>
    <x v="1"/>
    <s v="FERNANDO LEONY (CO/NO/NE)"/>
    <n v="64"/>
    <x v="1"/>
    <n v="6"/>
  </r>
  <r>
    <x v="0"/>
    <x v="2"/>
    <x v="0"/>
    <n v="11452240000143"/>
    <x v="206"/>
    <s v="RECIFE"/>
    <s v="PE"/>
    <x v="1"/>
    <s v="FERNANDO LEONY (CO/NO/NE)"/>
    <n v="62"/>
    <x v="3"/>
    <n v="4"/>
  </r>
  <r>
    <x v="0"/>
    <x v="2"/>
    <x v="0"/>
    <n v="11794674000121"/>
    <x v="294"/>
    <s v="FORTALEZA"/>
    <s v="CE"/>
    <x v="1"/>
    <s v="FERNANDO LEONY (CO/NO/NE)"/>
    <n v="62"/>
    <x v="3"/>
    <n v="4"/>
  </r>
  <r>
    <x v="0"/>
    <x v="2"/>
    <x v="0"/>
    <n v="11859927000106"/>
    <x v="207"/>
    <s v="BRASILIA"/>
    <s v="DF"/>
    <x v="1"/>
    <s v="FERNANDO LEONY (CO/NO/NE)"/>
    <n v="73"/>
    <x v="2"/>
    <n v="45"/>
  </r>
  <r>
    <x v="0"/>
    <x v="2"/>
    <x v="0"/>
    <n v="12361267000274"/>
    <x v="333"/>
    <s v="BELEM"/>
    <s v="PA"/>
    <x v="1"/>
    <s v="FERNANDO LEONY (CO/NO/NE)"/>
    <n v="64"/>
    <x v="1"/>
    <n v="4"/>
  </r>
  <r>
    <x v="0"/>
    <x v="2"/>
    <x v="0"/>
    <n v="12361267000517"/>
    <x v="334"/>
    <s v="ARACAJU"/>
    <s v="SE"/>
    <x v="1"/>
    <s v="FERNANDO LEONY (CO/NO/NE)"/>
    <n v="64"/>
    <x v="1"/>
    <n v="2"/>
  </r>
  <r>
    <x v="0"/>
    <x v="2"/>
    <x v="0"/>
    <n v="12361267000789"/>
    <x v="335"/>
    <s v="SAO LUIS"/>
    <s v="MA"/>
    <x v="1"/>
    <s v="FERNANDO LEONY (CO/NO/NE)"/>
    <n v="64"/>
    <x v="1"/>
    <n v="2"/>
  </r>
  <r>
    <x v="0"/>
    <x v="2"/>
    <x v="0"/>
    <n v="12361267000860"/>
    <x v="336"/>
    <s v="MACEIO"/>
    <s v="AL"/>
    <x v="1"/>
    <s v="FERNANDO LEONY (CO/NO/NE)"/>
    <n v="64"/>
    <x v="1"/>
    <n v="2"/>
  </r>
  <r>
    <x v="0"/>
    <x v="2"/>
    <x v="0"/>
    <n v="12361267004008"/>
    <x v="337"/>
    <s v="TERESINA"/>
    <s v="PI"/>
    <x v="1"/>
    <s v="FERNANDO LEONY (CO/NO/NE)"/>
    <n v="64"/>
    <x v="1"/>
    <n v="2"/>
  </r>
  <r>
    <x v="0"/>
    <x v="2"/>
    <x v="0"/>
    <n v="12361267007287"/>
    <x v="338"/>
    <s v="RECIFE"/>
    <s v="PE"/>
    <x v="1"/>
    <s v="FERNANDO LEONY (CO/NO/NE)"/>
    <n v="62"/>
    <x v="3"/>
    <n v="16"/>
  </r>
  <r>
    <x v="0"/>
    <x v="2"/>
    <x v="0"/>
    <n v="12361267007287"/>
    <x v="338"/>
    <s v="RECIFE"/>
    <s v="PE"/>
    <x v="1"/>
    <s v="FERNANDO LEONY (CO/NO/NE)"/>
    <n v="64"/>
    <x v="1"/>
    <n v="8"/>
  </r>
  <r>
    <x v="0"/>
    <x v="2"/>
    <x v="0"/>
    <n v="12361267008410"/>
    <x v="339"/>
    <s v="MARACANAU"/>
    <s v="CE"/>
    <x v="1"/>
    <s v="FERNANDO LEONY (CO/NO/NE)"/>
    <n v="64"/>
    <x v="1"/>
    <n v="2"/>
  </r>
  <r>
    <x v="0"/>
    <x v="2"/>
    <x v="0"/>
    <n v="12361267008844"/>
    <x v="340"/>
    <s v="JOAO PESSOA"/>
    <s v="PB"/>
    <x v="1"/>
    <s v="FERNANDO LEONY (CO/NO/NE)"/>
    <n v="62"/>
    <x v="3"/>
    <n v="2"/>
  </r>
  <r>
    <x v="0"/>
    <x v="2"/>
    <x v="0"/>
    <n v="12361267008844"/>
    <x v="340"/>
    <s v="JOAO PESSOA"/>
    <s v="PB"/>
    <x v="1"/>
    <s v="FERNANDO LEONY (CO/NO/NE)"/>
    <n v="64"/>
    <x v="1"/>
    <n v="2"/>
  </r>
  <r>
    <x v="0"/>
    <x v="2"/>
    <x v="0"/>
    <n v="12361267009654"/>
    <x v="341"/>
    <s v="NATAL"/>
    <s v="RN"/>
    <x v="1"/>
    <s v="FERNANDO LEONY (CO/NO/NE)"/>
    <n v="62"/>
    <x v="3"/>
    <n v="2"/>
  </r>
  <r>
    <x v="0"/>
    <x v="2"/>
    <x v="0"/>
    <n v="12361267009654"/>
    <x v="341"/>
    <s v="NATAL"/>
    <s v="RN"/>
    <x v="1"/>
    <s v="FERNANDO LEONY (CO/NO/NE)"/>
    <n v="64"/>
    <x v="1"/>
    <n v="2"/>
  </r>
  <r>
    <x v="0"/>
    <x v="2"/>
    <x v="0"/>
    <n v="12361267010318"/>
    <x v="208"/>
    <s v="SALVADOR"/>
    <s v="BA"/>
    <x v="1"/>
    <s v="FERNANDO LEONY (CO/NO/NE)"/>
    <n v="62"/>
    <x v="3"/>
    <n v="5"/>
  </r>
  <r>
    <x v="0"/>
    <x v="2"/>
    <x v="0"/>
    <n v="12361267010318"/>
    <x v="208"/>
    <s v="SALVADOR"/>
    <s v="BA"/>
    <x v="1"/>
    <s v="FERNANDO LEONY (CO/NO/NE)"/>
    <n v="64"/>
    <x v="1"/>
    <n v="2"/>
  </r>
  <r>
    <x v="0"/>
    <x v="2"/>
    <x v="0"/>
    <n v="12361267010407"/>
    <x v="342"/>
    <s v="FEIRA DE SANTANA"/>
    <s v="BA"/>
    <x v="1"/>
    <s v="FERNANDO LEONY (CO/NO/NE)"/>
    <n v="64"/>
    <x v="1"/>
    <n v="2"/>
  </r>
  <r>
    <x v="0"/>
    <x v="2"/>
    <x v="0"/>
    <n v="12361267011632"/>
    <x v="343"/>
    <s v="MANAUS"/>
    <s v="AM"/>
    <x v="1"/>
    <s v="FERNANDO LEONY (CO/NO/NE)"/>
    <n v="62"/>
    <x v="3"/>
    <n v="4"/>
  </r>
  <r>
    <x v="0"/>
    <x v="2"/>
    <x v="0"/>
    <n v="12361267011632"/>
    <x v="343"/>
    <s v="MANAUS"/>
    <s v="AM"/>
    <x v="1"/>
    <s v="FERNANDO LEONY (CO/NO/NE)"/>
    <n v="64"/>
    <x v="1"/>
    <n v="2"/>
  </r>
  <r>
    <x v="0"/>
    <x v="2"/>
    <x v="0"/>
    <n v="12361267011802"/>
    <x v="209"/>
    <s v="FORTALEZA"/>
    <s v="CE"/>
    <x v="1"/>
    <s v="FERNANDO LEONY (CO/NO/NE)"/>
    <n v="62"/>
    <x v="3"/>
    <n v="2"/>
  </r>
  <r>
    <x v="0"/>
    <x v="2"/>
    <x v="0"/>
    <n v="12361267011802"/>
    <x v="209"/>
    <s v="FORTALEZA"/>
    <s v="CE"/>
    <x v="1"/>
    <s v="FERNANDO LEONY (CO/NO/NE)"/>
    <n v="64"/>
    <x v="1"/>
    <n v="4"/>
  </r>
  <r>
    <x v="0"/>
    <x v="2"/>
    <x v="0"/>
    <n v="12442737000496"/>
    <x v="296"/>
    <s v="MACEIO"/>
    <s v="AL"/>
    <x v="1"/>
    <s v="FERNANDO LEONY (CO/NO/NE)"/>
    <n v="62"/>
    <x v="3"/>
    <n v="2"/>
  </r>
  <r>
    <x v="0"/>
    <x v="2"/>
    <x v="0"/>
    <n v="13131370000100"/>
    <x v="212"/>
    <s v="ARACAJU"/>
    <s v="SE"/>
    <x v="1"/>
    <s v="FERNANDO LEONY (CO/NO/NE)"/>
    <n v="73"/>
    <x v="2"/>
    <n v="38"/>
  </r>
  <r>
    <x v="0"/>
    <x v="2"/>
    <x v="0"/>
    <n v="13952064000134"/>
    <x v="214"/>
    <s v="SALVADOR"/>
    <s v="BA"/>
    <x v="1"/>
    <s v="FERNANDO LEONY (CO/NO/NE)"/>
    <n v="62"/>
    <x v="3"/>
    <n v="8"/>
  </r>
  <r>
    <x v="0"/>
    <x v="2"/>
    <x v="0"/>
    <n v="13952064000134"/>
    <x v="214"/>
    <s v="SALVADOR"/>
    <s v="BA"/>
    <x v="1"/>
    <s v="FERNANDO LEONY (CO/NO/NE)"/>
    <n v="64"/>
    <x v="1"/>
    <n v="22"/>
  </r>
  <r>
    <x v="0"/>
    <x v="2"/>
    <x v="0"/>
    <n v="14408631000159"/>
    <x v="216"/>
    <s v="VICOSA"/>
    <s v="MG"/>
    <x v="2"/>
    <s v="RAFAEL ESTEVES (RJ/SPI/SUL)"/>
    <n v="73"/>
    <x v="2"/>
    <n v="8"/>
  </r>
  <r>
    <x v="0"/>
    <x v="2"/>
    <x v="0"/>
    <n v="15126437000739"/>
    <x v="220"/>
    <s v="NATAL"/>
    <s v="RN"/>
    <x v="1"/>
    <s v="FERNANDO LEONY (CO/NO/NE)"/>
    <n v="64"/>
    <x v="1"/>
    <n v="50"/>
  </r>
  <r>
    <x v="0"/>
    <x v="2"/>
    <x v="0"/>
    <n v="15153745000249"/>
    <x v="222"/>
    <s v="SALVADOR"/>
    <s v="BA"/>
    <x v="1"/>
    <s v="FERNANDO LEONY (CO/NO/NE)"/>
    <n v="62"/>
    <x v="3"/>
    <n v="13"/>
  </r>
  <r>
    <x v="0"/>
    <x v="2"/>
    <x v="0"/>
    <n v="15153745000249"/>
    <x v="222"/>
    <s v="SALVADOR"/>
    <s v="BA"/>
    <x v="1"/>
    <s v="FERNANDO LEONY (CO/NO/NE)"/>
    <n v="64"/>
    <x v="1"/>
    <n v="4"/>
  </r>
  <r>
    <x v="0"/>
    <x v="2"/>
    <x v="0"/>
    <n v="15166416000151"/>
    <x v="224"/>
    <s v="SALVADOR"/>
    <s v="BA"/>
    <x v="1"/>
    <s v="FERNANDO LEONY (CO/NO/NE)"/>
    <n v="62"/>
    <x v="3"/>
    <n v="10"/>
  </r>
  <r>
    <x v="0"/>
    <x v="2"/>
    <x v="0"/>
    <n v="15166416000151"/>
    <x v="224"/>
    <s v="SALVADOR"/>
    <s v="BA"/>
    <x v="1"/>
    <s v="FERNANDO LEONY (CO/NO/NE)"/>
    <n v="64"/>
    <x v="1"/>
    <n v="10"/>
  </r>
  <r>
    <x v="0"/>
    <x v="2"/>
    <x v="0"/>
    <n v="15180714000520"/>
    <x v="228"/>
    <s v="SALVADOR"/>
    <s v="BA"/>
    <x v="1"/>
    <s v="FERNANDO LEONY (CO/NO/NE)"/>
    <n v="62"/>
    <x v="3"/>
    <n v="20"/>
  </r>
  <r>
    <x v="0"/>
    <x v="2"/>
    <x v="0"/>
    <n v="15194004000125"/>
    <x v="229"/>
    <s v="SALVADOR"/>
    <s v="BA"/>
    <x v="1"/>
    <s v="FERNANDO LEONY (CO/NO/NE)"/>
    <n v="64"/>
    <x v="1"/>
    <n v="24"/>
  </r>
  <r>
    <x v="0"/>
    <x v="2"/>
    <x v="0"/>
    <n v="15242761000127"/>
    <x v="230"/>
    <s v="SALVADOR"/>
    <s v="BA"/>
    <x v="1"/>
    <s v="FERNANDO LEONY (CO/NO/NE)"/>
    <n v="73"/>
    <x v="2"/>
    <n v="112"/>
  </r>
  <r>
    <x v="0"/>
    <x v="2"/>
    <x v="0"/>
    <n v="16739984000167"/>
    <x v="232"/>
    <s v="BRASILIA"/>
    <s v="DF"/>
    <x v="1"/>
    <s v="FERNANDO LEONY (CO/NO/NE)"/>
    <n v="73"/>
    <x v="2"/>
    <n v="36"/>
  </r>
  <r>
    <x v="0"/>
    <x v="2"/>
    <x v="0"/>
    <n v="17087591000189"/>
    <x v="234"/>
    <s v="UBERLANDIA"/>
    <s v="MG"/>
    <x v="2"/>
    <s v="RAFAEL ESTEVES (RJ/SPI/SUL)"/>
    <n v="62"/>
    <x v="3"/>
    <n v="2"/>
  </r>
  <r>
    <x v="0"/>
    <x v="2"/>
    <x v="0"/>
    <n v="17214149000176"/>
    <x v="235"/>
    <s v="BELO HORIZONTE"/>
    <s v="MG"/>
    <x v="2"/>
    <s v="RAFAEL ESTEVES (RJ/SPI/SUL)"/>
    <n v="62"/>
    <x v="3"/>
    <n v="9"/>
  </r>
  <r>
    <x v="0"/>
    <x v="2"/>
    <x v="0"/>
    <n v="17689407000928"/>
    <x v="236"/>
    <s v="JUIZ DE FORA"/>
    <s v="MG"/>
    <x v="2"/>
    <s v="RAFAEL ESTEVES (RJ/SPI/SUL)"/>
    <n v="73"/>
    <x v="2"/>
    <n v="6"/>
  </r>
  <r>
    <x v="0"/>
    <x v="2"/>
    <x v="0"/>
    <n v="18836965000184"/>
    <x v="344"/>
    <s v="RAUL SOARES"/>
    <s v="MG"/>
    <x v="2"/>
    <s v="RAFAEL ESTEVES (RJ/SPI/SUL)"/>
    <n v="73"/>
    <x v="2"/>
    <n v="20"/>
  </r>
  <r>
    <x v="0"/>
    <x v="2"/>
    <x v="0"/>
    <n v="19878404000100"/>
    <x v="238"/>
    <s v="IPATINGA"/>
    <s v="MG"/>
    <x v="2"/>
    <s v="RAFAEL ESTEVES (RJ/SPI/SUL)"/>
    <n v="73"/>
    <x v="2"/>
    <n v="52"/>
  </r>
  <r>
    <x v="0"/>
    <x v="2"/>
    <x v="0"/>
    <n v="20150900000122"/>
    <x v="239"/>
    <s v="UBERLANDIA"/>
    <s v="MG"/>
    <x v="2"/>
    <s v="RAFAEL ESTEVES (RJ/SPI/SUL)"/>
    <n v="73"/>
    <x v="2"/>
    <n v="18"/>
  </r>
  <r>
    <x v="0"/>
    <x v="2"/>
    <x v="0"/>
    <n v="20909271000171"/>
    <x v="302"/>
    <s v="ARAGUARI"/>
    <s v="MG"/>
    <x v="2"/>
    <s v="RAFAEL ESTEVES (RJ/SPI/SUL)"/>
    <n v="73"/>
    <x v="2"/>
    <n v="70"/>
  </r>
  <r>
    <x v="0"/>
    <x v="2"/>
    <x v="0"/>
    <n v="25308058000128"/>
    <x v="345"/>
    <s v="NILOPOLIS"/>
    <s v="RJ"/>
    <x v="2"/>
    <s v="RAFAEL ESTEVES (RJ/SPI/SUL)"/>
    <n v="64"/>
    <x v="1"/>
    <n v="2"/>
  </r>
  <r>
    <x v="0"/>
    <x v="2"/>
    <x v="0"/>
    <n v="25761040000187"/>
    <x v="305"/>
    <s v="UBERLANDIA"/>
    <s v="MG"/>
    <x v="2"/>
    <s v="RAFAEL ESTEVES (RJ/SPI/SUL)"/>
    <n v="62"/>
    <x v="3"/>
    <n v="6"/>
  </r>
  <r>
    <x v="0"/>
    <x v="2"/>
    <x v="0"/>
    <n v="27372066000169"/>
    <x v="245"/>
    <s v="SALVADOR"/>
    <s v="BA"/>
    <x v="1"/>
    <s v="FERNANDO LEONY (CO/NO/NE)"/>
    <n v="62"/>
    <x v="3"/>
    <n v="5"/>
  </r>
  <r>
    <x v="0"/>
    <x v="2"/>
    <x v="0"/>
    <n v="27372066000169"/>
    <x v="245"/>
    <s v="SALVADOR"/>
    <s v="BA"/>
    <x v="1"/>
    <s v="FERNANDO LEONY (CO/NO/NE)"/>
    <n v="64"/>
    <x v="1"/>
    <n v="8"/>
  </r>
  <r>
    <x v="0"/>
    <x v="2"/>
    <x v="0"/>
    <n v="28806545000532"/>
    <x v="247"/>
    <s v="PETROPOLIS"/>
    <s v="RJ"/>
    <x v="2"/>
    <s v="RAFAEL ESTEVES (RJ/SPI/SUL)"/>
    <n v="73"/>
    <x v="2"/>
    <n v="96"/>
  </r>
  <r>
    <x v="0"/>
    <x v="2"/>
    <x v="0"/>
    <n v="29072642000188"/>
    <x v="248"/>
    <s v="RESENDE"/>
    <s v="RJ"/>
    <x v="2"/>
    <s v="RAFAEL ESTEVES (RJ/SPI/SUL)"/>
    <n v="64"/>
    <x v="1"/>
    <n v="10"/>
  </r>
  <r>
    <x v="0"/>
    <x v="2"/>
    <x v="0"/>
    <n v="29435005004620"/>
    <x v="249"/>
    <s v="BRASILIA"/>
    <s v="DF"/>
    <x v="1"/>
    <s v="FERNANDO LEONY (CO/NO/NE)"/>
    <n v="62"/>
    <x v="3"/>
    <n v="1"/>
  </r>
  <r>
    <x v="0"/>
    <x v="2"/>
    <x v="0"/>
    <n v="29435005004620"/>
    <x v="249"/>
    <s v="BRASILIA"/>
    <s v="DF"/>
    <x v="1"/>
    <s v="FERNANDO LEONY (CO/NO/NE)"/>
    <n v="64"/>
    <x v="1"/>
    <n v="15"/>
  </r>
  <r>
    <x v="0"/>
    <x v="2"/>
    <x v="0"/>
    <n v="29435005007484"/>
    <x v="250"/>
    <s v="FORTALEZA"/>
    <s v="CE"/>
    <x v="1"/>
    <s v="FERNANDO LEONY (CO/NO/NE)"/>
    <n v="62"/>
    <x v="3"/>
    <n v="5"/>
  </r>
  <r>
    <x v="0"/>
    <x v="2"/>
    <x v="0"/>
    <n v="29435005007484"/>
    <x v="250"/>
    <s v="FORTALEZA"/>
    <s v="CE"/>
    <x v="1"/>
    <s v="FERNANDO LEONY (CO/NO/NE)"/>
    <n v="64"/>
    <x v="1"/>
    <n v="13"/>
  </r>
  <r>
    <x v="0"/>
    <x v="2"/>
    <x v="0"/>
    <n v="29435005009851"/>
    <x v="251"/>
    <s v="NATAL"/>
    <s v="RN"/>
    <x v="1"/>
    <s v="FERNANDO LEONY (CO/NO/NE)"/>
    <n v="64"/>
    <x v="1"/>
    <n v="70"/>
  </r>
  <r>
    <x v="0"/>
    <x v="2"/>
    <x v="0"/>
    <n v="35917970000726"/>
    <x v="310"/>
    <s v="VOLTA REDONDA"/>
    <s v="RJ"/>
    <x v="2"/>
    <s v="RAFAEL ESTEVES (RJ/SPI/SUL)"/>
    <n v="73"/>
    <x v="2"/>
    <n v="30"/>
  </r>
  <r>
    <x v="0"/>
    <x v="2"/>
    <x v="0"/>
    <n v="36238913000198"/>
    <x v="346"/>
    <s v="TERESOPOLIS"/>
    <s v="RJ"/>
    <x v="2"/>
    <s v="RAFAEL ESTEVES (RJ/SPI/SUL)"/>
    <n v="73"/>
    <x v="2"/>
    <n v="200"/>
  </r>
  <r>
    <x v="0"/>
    <x v="2"/>
    <x v="0"/>
    <n v="37108388000159"/>
    <x v="253"/>
    <s v="BRASILIA"/>
    <s v="DF"/>
    <x v="1"/>
    <s v="FERNANDO LEONY (CO/NO/NE)"/>
    <n v="62"/>
    <x v="3"/>
    <n v="15"/>
  </r>
  <r>
    <x v="0"/>
    <x v="2"/>
    <x v="0"/>
    <n v="37108388000159"/>
    <x v="253"/>
    <s v="BRASILIA"/>
    <s v="DF"/>
    <x v="1"/>
    <s v="FERNANDO LEONY (CO/NO/NE)"/>
    <n v="64"/>
    <x v="1"/>
    <n v="30"/>
  </r>
  <r>
    <x v="0"/>
    <x v="2"/>
    <x v="0"/>
    <n v="38000485000196"/>
    <x v="254"/>
    <s v="BRASILIA"/>
    <s v="DF"/>
    <x v="1"/>
    <s v="FERNANDO LEONY (CO/NO/NE)"/>
    <n v="62"/>
    <x v="3"/>
    <n v="9"/>
  </r>
  <r>
    <x v="0"/>
    <x v="2"/>
    <x v="0"/>
    <n v="41580077000165"/>
    <x v="347"/>
    <s v="FORTALEZA"/>
    <s v="CE"/>
    <x v="1"/>
    <s v="FERNANDO LEONY (CO/NO/NE)"/>
    <n v="62"/>
    <x v="3"/>
    <n v="3"/>
  </r>
  <r>
    <x v="0"/>
    <x v="2"/>
    <x v="0"/>
    <n v="60884855001207"/>
    <x v="255"/>
    <s v="NITEROI"/>
    <s v="RJ"/>
    <x v="2"/>
    <s v="RAFAEL ESTEVES (RJ/SPI/SUL)"/>
    <n v="62"/>
    <x v="3"/>
    <n v="13"/>
  </r>
  <r>
    <x v="0"/>
    <x v="2"/>
    <x v="0"/>
    <n v="60884855001207"/>
    <x v="255"/>
    <s v="NITEROI"/>
    <s v="RJ"/>
    <x v="2"/>
    <s v="RAFAEL ESTEVES (RJ/SPI/SUL)"/>
    <n v="73"/>
    <x v="2"/>
    <n v="40"/>
  </r>
  <r>
    <x v="0"/>
    <x v="2"/>
    <x v="0"/>
    <n v="60884855001983"/>
    <x v="348"/>
    <s v="BRASILIA"/>
    <s v="DF"/>
    <x v="1"/>
    <s v="FERNANDO LEONY (CO/NO/NE)"/>
    <n v="62"/>
    <x v="3"/>
    <n v="1"/>
  </r>
  <r>
    <x v="0"/>
    <x v="2"/>
    <x v="0"/>
    <n v="60884855002289"/>
    <x v="256"/>
    <s v="BRASILIA"/>
    <s v="DF"/>
    <x v="1"/>
    <s v="FERNANDO LEONY (CO/NO/NE)"/>
    <n v="62"/>
    <x v="3"/>
    <n v="38"/>
  </r>
  <r>
    <x v="0"/>
    <x v="2"/>
    <x v="0"/>
    <n v="60884855002289"/>
    <x v="256"/>
    <s v="BRASILIA"/>
    <s v="DF"/>
    <x v="1"/>
    <s v="FERNANDO LEONY (CO/NO/NE)"/>
    <n v="64"/>
    <x v="1"/>
    <n v="61"/>
  </r>
  <r>
    <x v="0"/>
    <x v="2"/>
    <x v="0"/>
    <n v="60922168005226"/>
    <x v="257"/>
    <s v="BLUMENAU"/>
    <s v="SC"/>
    <x v="2"/>
    <s v="RAFAEL ESTEVES (RJ/SPI/SUL)"/>
    <n v="64"/>
    <x v="1"/>
    <n v="1"/>
  </r>
  <r>
    <x v="0"/>
    <x v="2"/>
    <x v="0"/>
    <n v="60975737003509"/>
    <x v="258"/>
    <s v="FORTALEZA"/>
    <s v="CE"/>
    <x v="1"/>
    <s v="FERNANDO LEONY (CO/NO/NE)"/>
    <n v="62"/>
    <x v="3"/>
    <n v="19"/>
  </r>
  <r>
    <x v="0"/>
    <x v="2"/>
    <x v="0"/>
    <n v="60975737003509"/>
    <x v="258"/>
    <s v="FORTALEZA"/>
    <s v="CE"/>
    <x v="1"/>
    <s v="FERNANDO LEONY (CO/NO/NE)"/>
    <n v="64"/>
    <x v="1"/>
    <n v="10"/>
  </r>
  <r>
    <x v="0"/>
    <x v="2"/>
    <x v="0"/>
    <n v="68709211000212"/>
    <x v="311"/>
    <s v="RESENDE"/>
    <s v="RJ"/>
    <x v="2"/>
    <s v="RAFAEL ESTEVES (RJ/SPI/SUL)"/>
    <n v="64"/>
    <x v="1"/>
    <n v="2"/>
  </r>
  <r>
    <x v="0"/>
    <x v="2"/>
    <x v="0"/>
    <n v="74031865000151"/>
    <x v="260"/>
    <s v="FORTALEZA"/>
    <s v="CE"/>
    <x v="1"/>
    <s v="FERNANDO LEONY (CO/NO/NE)"/>
    <n v="66"/>
    <x v="4"/>
    <n v="192"/>
  </r>
  <r>
    <x v="0"/>
    <x v="2"/>
    <x v="0"/>
    <n v="76555069000143"/>
    <x v="261"/>
    <s v="CURITIBA"/>
    <s v="PR"/>
    <x v="2"/>
    <s v="RAFAEL ESTEVES (RJ/SPI/SUL)"/>
    <n v="62"/>
    <x v="3"/>
    <n v="2"/>
  </r>
  <r>
    <x v="0"/>
    <x v="2"/>
    <x v="0"/>
    <n v="76591569000130"/>
    <x v="262"/>
    <s v="CURITIBA"/>
    <s v="PR"/>
    <x v="2"/>
    <s v="RAFAEL ESTEVES (RJ/SPI/SUL)"/>
    <n v="73"/>
    <x v="2"/>
    <n v="12"/>
  </r>
  <r>
    <x v="0"/>
    <x v="2"/>
    <x v="0"/>
    <n v="80673411000187"/>
    <x v="263"/>
    <s v="FLORIANOPOLIS"/>
    <s v="SC"/>
    <x v="2"/>
    <s v="RAFAEL ESTEVES (RJ/SPI/SUL)"/>
    <n v="66"/>
    <x v="4"/>
    <n v="76"/>
  </r>
  <r>
    <x v="0"/>
    <x v="2"/>
    <x v="0"/>
    <n v="81270548000153"/>
    <x v="349"/>
    <s v="CASCAVEL"/>
    <s v="PR"/>
    <x v="2"/>
    <s v="RAFAEL ESTEVES (RJ/SPI/SUL)"/>
    <n v="62"/>
    <x v="3"/>
    <n v="3"/>
  </r>
  <r>
    <x v="0"/>
    <x v="2"/>
    <x v="0"/>
    <n v="83899526000425"/>
    <x v="264"/>
    <s v="FLORIANOPOLIS"/>
    <s v="SC"/>
    <x v="2"/>
    <s v="RAFAEL ESTEVES (RJ/SPI/SUL)"/>
    <n v="62"/>
    <x v="3"/>
    <n v="6"/>
  </r>
  <r>
    <x v="0"/>
    <x v="2"/>
    <x v="0"/>
    <n v="85377174000392"/>
    <x v="265"/>
    <s v="BALNEARIO CAMBORIU"/>
    <s v="SC"/>
    <x v="2"/>
    <s v="RAFAEL ESTEVES (RJ/SPI/SUL)"/>
    <n v="73"/>
    <x v="2"/>
    <n v="18"/>
  </r>
  <r>
    <x v="0"/>
    <x v="2"/>
    <x v="0"/>
    <n v="87020517000120"/>
    <x v="266"/>
    <s v="PORTO ALEGRE"/>
    <s v="RS"/>
    <x v="2"/>
    <s v="RAFAEL ESTEVES (RJ/SPI/SUL)"/>
    <n v="62"/>
    <x v="3"/>
    <n v="15"/>
  </r>
  <r>
    <x v="0"/>
    <x v="2"/>
    <x v="0"/>
    <n v="87020517000120"/>
    <x v="266"/>
    <s v="PORTO ALEGRE"/>
    <s v="RS"/>
    <x v="2"/>
    <s v="RAFAEL ESTEVES (RJ/SPI/SUL)"/>
    <n v="64"/>
    <x v="1"/>
    <n v="12"/>
  </r>
  <r>
    <x v="0"/>
    <x v="2"/>
    <x v="0"/>
    <n v="87827689002405"/>
    <x v="268"/>
    <s v="CAXIAS DO SUL"/>
    <s v="RS"/>
    <x v="2"/>
    <s v="RAFAEL ESTEVES (RJ/SPI/SUL)"/>
    <n v="73"/>
    <x v="2"/>
    <n v="209"/>
  </r>
  <r>
    <x v="0"/>
    <x v="2"/>
    <x v="0"/>
    <n v="88625686002443"/>
    <x v="270"/>
    <s v="PORTO ALEGRE"/>
    <s v="RS"/>
    <x v="2"/>
    <s v="RAFAEL ESTEVES (RJ/SPI/SUL)"/>
    <n v="62"/>
    <x v="3"/>
    <n v="2"/>
  </r>
  <r>
    <x v="0"/>
    <x v="2"/>
    <x v="0"/>
    <n v="88625686002443"/>
    <x v="270"/>
    <s v="PORTO ALEGRE"/>
    <s v="RS"/>
    <x v="2"/>
    <s v="RAFAEL ESTEVES (RJ/SPI/SUL)"/>
    <n v="64"/>
    <x v="1"/>
    <n v="19"/>
  </r>
  <r>
    <x v="0"/>
    <x v="2"/>
    <x v="0"/>
    <n v="88645403001372"/>
    <x v="314"/>
    <s v="CAXIAS DO SUL"/>
    <s v="RS"/>
    <x v="2"/>
    <s v="RAFAEL ESTEVES (RJ/SPI/SUL)"/>
    <n v="73"/>
    <x v="2"/>
    <n v="32"/>
  </r>
  <r>
    <x v="0"/>
    <x v="2"/>
    <x v="0"/>
    <n v="92404789000164"/>
    <x v="315"/>
    <s v="FREDERICO WESTPHALEN"/>
    <s v="RS"/>
    <x v="2"/>
    <s v="RAFAEL ESTEVES (RJ/SPI/SUL)"/>
    <n v="73"/>
    <x v="2"/>
    <n v="16"/>
  </r>
  <r>
    <x v="0"/>
    <x v="2"/>
    <x v="0"/>
    <n v="92685833000151"/>
    <x v="273"/>
    <s v="PORTO ALEGRE"/>
    <s v="RS"/>
    <x v="2"/>
    <s v="RAFAEL ESTEVES (RJ/SPI/SUL)"/>
    <n v="64"/>
    <x v="1"/>
    <n v="12"/>
  </r>
  <r>
    <x v="0"/>
    <x v="2"/>
    <x v="0"/>
    <n v="92685833000151"/>
    <x v="273"/>
    <s v="PORTO ALEGRE"/>
    <s v="RS"/>
    <x v="2"/>
    <s v="RAFAEL ESTEVES (RJ/SPI/SUL)"/>
    <n v="73"/>
    <x v="2"/>
    <n v="8"/>
  </r>
  <r>
    <x v="0"/>
    <x v="2"/>
    <x v="0"/>
    <n v="92741016000254"/>
    <x v="274"/>
    <s v="PORTO ALEGRE"/>
    <s v="RS"/>
    <x v="2"/>
    <s v="RAFAEL ESTEVES (RJ/SPI/SUL)"/>
    <n v="62"/>
    <x v="3"/>
    <n v="2"/>
  </r>
  <r>
    <x v="0"/>
    <x v="2"/>
    <x v="0"/>
    <n v="92741016000254"/>
    <x v="274"/>
    <s v="PORTO ALEGRE"/>
    <s v="RS"/>
    <x v="2"/>
    <s v="RAFAEL ESTEVES (RJ/SPI/SUL)"/>
    <n v="64"/>
    <x v="1"/>
    <n v="9"/>
  </r>
  <r>
    <x v="0"/>
    <x v="2"/>
    <x v="0"/>
    <n v="92815000000168"/>
    <x v="276"/>
    <s v="PORTO ALEGRE"/>
    <s v="RS"/>
    <x v="2"/>
    <s v="RAFAEL ESTEVES (RJ/SPI/SUL)"/>
    <n v="62"/>
    <x v="3"/>
    <n v="61"/>
  </r>
  <r>
    <x v="0"/>
    <x v="2"/>
    <x v="0"/>
    <n v="92815000000168"/>
    <x v="276"/>
    <s v="PORTO ALEGRE"/>
    <s v="RS"/>
    <x v="2"/>
    <s v="RAFAEL ESTEVES (RJ/SPI/SUL)"/>
    <n v="64"/>
    <x v="1"/>
    <n v="25"/>
  </r>
  <r>
    <x v="0"/>
    <x v="2"/>
    <x v="0"/>
    <n v="92815000000168"/>
    <x v="276"/>
    <s v="PORTO ALEGRE"/>
    <s v="RS"/>
    <x v="2"/>
    <s v="RAFAEL ESTEVES (RJ/SPI/SUL)"/>
    <n v="73"/>
    <x v="2"/>
    <n v="28"/>
  </r>
  <r>
    <x v="0"/>
    <x v="2"/>
    <x v="0"/>
    <n v="92963560000160"/>
    <x v="316"/>
    <s v="PORTO ALEGRE"/>
    <s v="RS"/>
    <x v="2"/>
    <s v="RAFAEL ESTEVES (RJ/SPI/SUL)"/>
    <n v="62"/>
    <x v="3"/>
    <n v="15"/>
  </r>
  <r>
    <x v="0"/>
    <x v="2"/>
    <x v="0"/>
    <n v="95610887000146"/>
    <x v="279"/>
    <s v="SANTA MARIA"/>
    <s v="RS"/>
    <x v="2"/>
    <s v="RAFAEL ESTEVES (RJ/SPI/SUL)"/>
    <n v="62"/>
    <x v="3"/>
    <n v="3"/>
  </r>
  <r>
    <x v="0"/>
    <x v="2"/>
    <x v="0"/>
    <n v="95610887000146"/>
    <x v="279"/>
    <s v="SANTA MARIA"/>
    <s v="RS"/>
    <x v="2"/>
    <s v="RAFAEL ESTEVES (RJ/SPI/SUL)"/>
    <n v="64"/>
    <x v="1"/>
    <n v="15"/>
  </r>
  <r>
    <x v="0"/>
    <x v="2"/>
    <x v="0"/>
    <n v="97397848000138"/>
    <x v="350"/>
    <s v="SALVADOR"/>
    <s v="BA"/>
    <x v="1"/>
    <s v="FERNANDO LEONY (CO/NO/NE)"/>
    <n v="64"/>
    <x v="1"/>
    <n v="4"/>
  </r>
  <r>
    <x v="0"/>
    <x v="3"/>
    <x v="1"/>
    <n v="25841000153"/>
    <x v="318"/>
    <s v="BRASILIA"/>
    <s v="DF"/>
    <x v="1"/>
    <s v="FERNANDO LEONY (CO/NO/NE)"/>
    <n v="62"/>
    <x v="3"/>
    <n v="6"/>
  </r>
  <r>
    <x v="0"/>
    <x v="3"/>
    <x v="1"/>
    <n v="25841000153"/>
    <x v="318"/>
    <s v="BRASILIA"/>
    <s v="DF"/>
    <x v="1"/>
    <s v="FERNANDO LEONY (CO/NO/NE)"/>
    <n v="64"/>
    <x v="1"/>
    <n v="5"/>
  </r>
  <r>
    <x v="0"/>
    <x v="3"/>
    <x v="1"/>
    <n v="520237000101"/>
    <x v="164"/>
    <s v="BRASILIA"/>
    <s v="DF"/>
    <x v="1"/>
    <s v="FERNANDO LEONY (CO/NO/NE)"/>
    <n v="73"/>
    <x v="2"/>
    <n v="95"/>
  </r>
  <r>
    <x v="0"/>
    <x v="3"/>
    <x v="1"/>
    <n v="610980000144"/>
    <x v="165"/>
    <s v="BRASILIA"/>
    <s v="DF"/>
    <x v="1"/>
    <s v="FERNANDO LEONY (CO/NO/NE)"/>
    <n v="64"/>
    <x v="1"/>
    <n v="22"/>
  </r>
  <r>
    <x v="0"/>
    <x v="3"/>
    <x v="1"/>
    <n v="820737000150"/>
    <x v="166"/>
    <s v="NATAL"/>
    <s v="RN"/>
    <x v="1"/>
    <s v="FERNANDO LEONY (CO/NO/NE)"/>
    <n v="64"/>
    <x v="1"/>
    <n v="6"/>
  </r>
  <r>
    <x v="0"/>
    <x v="3"/>
    <x v="1"/>
    <n v="1277573000120"/>
    <x v="325"/>
    <s v="GOIANIA"/>
    <s v="GO"/>
    <x v="1"/>
    <s v="FERNANDO LEONY (CO/NO/NE)"/>
    <n v="64"/>
    <x v="1"/>
    <n v="6"/>
  </r>
  <r>
    <x v="0"/>
    <x v="3"/>
    <x v="1"/>
    <n v="1326206000179"/>
    <x v="169"/>
    <s v="CATALAO"/>
    <s v="GO"/>
    <x v="1"/>
    <s v="FERNANDO LEONY (CO/NO/NE)"/>
    <n v="73"/>
    <x v="2"/>
    <n v="2"/>
  </r>
  <r>
    <x v="0"/>
    <x v="3"/>
    <x v="1"/>
    <n v="2476067000203"/>
    <x v="175"/>
    <s v="GOIANIA"/>
    <s v="GO"/>
    <x v="1"/>
    <s v="FERNANDO LEONY (CO/NO/NE)"/>
    <n v="73"/>
    <x v="2"/>
    <n v="48"/>
  </r>
  <r>
    <x v="0"/>
    <x v="3"/>
    <x v="1"/>
    <n v="2560878000107"/>
    <x v="176"/>
    <s v="BRASILIA"/>
    <s v="DF"/>
    <x v="1"/>
    <s v="FERNANDO LEONY (CO/NO/NE)"/>
    <n v="64"/>
    <x v="1"/>
    <n v="4"/>
  </r>
  <r>
    <x v="0"/>
    <x v="3"/>
    <x v="1"/>
    <n v="3925419000142"/>
    <x v="179"/>
    <s v="CUIABA"/>
    <s v="MT"/>
    <x v="1"/>
    <s v="FERNANDO LEONY (CO/NO/NE)"/>
    <n v="64"/>
    <x v="1"/>
    <n v="4"/>
  </r>
  <r>
    <x v="0"/>
    <x v="3"/>
    <x v="1"/>
    <n v="4159778000107"/>
    <x v="351"/>
    <s v="MANAUS"/>
    <s v="AM"/>
    <x v="3"/>
    <m/>
    <n v="62"/>
    <x v="3"/>
    <n v="6"/>
  </r>
  <r>
    <x v="0"/>
    <x v="3"/>
    <x v="1"/>
    <n v="5469172000122"/>
    <x v="183"/>
    <s v="SALVADOR"/>
    <s v="BA"/>
    <x v="1"/>
    <s v="FERNANDO LEONY (CO/NO/NE)"/>
    <n v="64"/>
    <x v="1"/>
    <n v="3"/>
  </r>
  <r>
    <x v="0"/>
    <x v="3"/>
    <x v="1"/>
    <n v="5652543000107"/>
    <x v="282"/>
    <s v="SANTO ANTONIO DE JESUS"/>
    <s v="BA"/>
    <x v="1"/>
    <s v="FERNANDO LEONY (CO/NO/NE)"/>
    <n v="64"/>
    <x v="1"/>
    <n v="11"/>
  </r>
  <r>
    <x v="0"/>
    <x v="3"/>
    <x v="1"/>
    <n v="8319329000121"/>
    <x v="198"/>
    <s v="NATAL"/>
    <s v="RN"/>
    <x v="1"/>
    <s v="FERNANDO LEONY (CO/NO/NE)"/>
    <n v="64"/>
    <x v="1"/>
    <n v="40"/>
  </r>
  <r>
    <x v="0"/>
    <x v="3"/>
    <x v="1"/>
    <n v="8337586000196"/>
    <x v="199"/>
    <s v="NATAL"/>
    <s v="RN"/>
    <x v="1"/>
    <s v="FERNANDO LEONY (CO/NO/NE)"/>
    <n v="64"/>
    <x v="1"/>
    <n v="1"/>
  </r>
  <r>
    <x v="0"/>
    <x v="3"/>
    <x v="1"/>
    <n v="10839561000132"/>
    <x v="202"/>
    <s v="RECIFE"/>
    <s v="PE"/>
    <x v="1"/>
    <s v="FERNANDO LEONY (CO/NO/NE)"/>
    <n v="62"/>
    <x v="3"/>
    <n v="8"/>
  </r>
  <r>
    <x v="0"/>
    <x v="3"/>
    <x v="1"/>
    <n v="10892164000124"/>
    <x v="203"/>
    <s v="RECIFE"/>
    <s v="PE"/>
    <x v="1"/>
    <s v="FERNANDO LEONY (CO/NO/NE)"/>
    <n v="64"/>
    <x v="1"/>
    <n v="10"/>
  </r>
  <r>
    <x v="0"/>
    <x v="3"/>
    <x v="1"/>
    <n v="11022597001597"/>
    <x v="293"/>
    <s v="RECIFE"/>
    <s v="PE"/>
    <x v="1"/>
    <s v="FERNANDO LEONY (CO/NO/NE)"/>
    <n v="64"/>
    <x v="1"/>
    <n v="25"/>
  </r>
  <r>
    <x v="0"/>
    <x v="3"/>
    <x v="1"/>
    <n v="11214624000470"/>
    <x v="352"/>
    <s v="RECIFE"/>
    <s v="PE"/>
    <x v="1"/>
    <s v="FERNANDO LEONY (CO/NO/NE)"/>
    <n v="73"/>
    <x v="2"/>
    <n v="96"/>
  </r>
  <r>
    <x v="0"/>
    <x v="3"/>
    <x v="1"/>
    <n v="11859927000106"/>
    <x v="207"/>
    <s v="BRASILIA"/>
    <s v="DF"/>
    <x v="1"/>
    <s v="FERNANDO LEONY (CO/NO/NE)"/>
    <n v="73"/>
    <x v="2"/>
    <n v="26"/>
  </r>
  <r>
    <x v="0"/>
    <x v="3"/>
    <x v="1"/>
    <n v="12361267014739"/>
    <x v="353"/>
    <s v="SALVADOR"/>
    <s v="BA"/>
    <x v="1"/>
    <s v="FERNANDO LEONY (CO/NO/NE)"/>
    <n v="64"/>
    <x v="1"/>
    <n v="3"/>
  </r>
  <r>
    <x v="0"/>
    <x v="3"/>
    <x v="1"/>
    <n v="13016092000140"/>
    <x v="210"/>
    <s v="SALVADOR"/>
    <s v="BA"/>
    <x v="1"/>
    <s v="FERNANDO LEONY (CO/NO/NE)"/>
    <n v="64"/>
    <x v="1"/>
    <n v="6"/>
  </r>
  <r>
    <x v="0"/>
    <x v="3"/>
    <x v="1"/>
    <n v="16739984000167"/>
    <x v="232"/>
    <s v="BRASILIA"/>
    <s v="DF"/>
    <x v="1"/>
    <s v="FERNANDO LEONY (CO/NO/NE)"/>
    <n v="73"/>
    <x v="2"/>
    <n v="24"/>
  </r>
  <r>
    <x v="0"/>
    <x v="3"/>
    <x v="1"/>
    <n v="17087591000189"/>
    <x v="234"/>
    <s v="UBERLANDIA"/>
    <s v="MG"/>
    <x v="2"/>
    <s v="RAFAEL ESTEVES (RJ/SPI/SUL)"/>
    <n v="62"/>
    <x v="3"/>
    <n v="3"/>
  </r>
  <r>
    <x v="0"/>
    <x v="3"/>
    <x v="1"/>
    <n v="29435005003497"/>
    <x v="354"/>
    <s v="DUQUE DE CAXIAS"/>
    <s v="RJ"/>
    <x v="2"/>
    <s v="RAFAEL ESTEVES (RJ/SPI/SUL)"/>
    <n v="64"/>
    <x v="1"/>
    <n v="4"/>
  </r>
  <r>
    <x v="0"/>
    <x v="3"/>
    <x v="1"/>
    <n v="37108388000159"/>
    <x v="253"/>
    <s v="BRASILIA"/>
    <s v="DF"/>
    <x v="1"/>
    <s v="FERNANDO LEONY (CO/NO/NE)"/>
    <n v="64"/>
    <x v="1"/>
    <n v="20"/>
  </r>
  <r>
    <x v="0"/>
    <x v="3"/>
    <x v="1"/>
    <n v="38000485000196"/>
    <x v="254"/>
    <s v="BRASILIA"/>
    <s v="DF"/>
    <x v="1"/>
    <s v="FERNANDO LEONY (CO/NO/NE)"/>
    <n v="64"/>
    <x v="1"/>
    <n v="5"/>
  </r>
  <r>
    <x v="0"/>
    <x v="3"/>
    <x v="1"/>
    <n v="60884855001207"/>
    <x v="255"/>
    <s v="NITEROI"/>
    <s v="RJ"/>
    <x v="2"/>
    <s v="RAFAEL ESTEVES (RJ/SPI/SUL)"/>
    <n v="62"/>
    <x v="3"/>
    <n v="2"/>
  </r>
  <r>
    <x v="0"/>
    <x v="3"/>
    <x v="1"/>
    <n v="60884855001207"/>
    <x v="255"/>
    <s v="NITEROI"/>
    <s v="RJ"/>
    <x v="2"/>
    <s v="RAFAEL ESTEVES (RJ/SPI/SUL)"/>
    <n v="73"/>
    <x v="2"/>
    <n v="19"/>
  </r>
  <r>
    <x v="0"/>
    <x v="3"/>
    <x v="1"/>
    <n v="60884855002289"/>
    <x v="256"/>
    <s v="BRASILIA"/>
    <s v="DF"/>
    <x v="1"/>
    <s v="FERNANDO LEONY (CO/NO/NE)"/>
    <n v="62"/>
    <x v="3"/>
    <n v="8"/>
  </r>
  <r>
    <x v="0"/>
    <x v="3"/>
    <x v="1"/>
    <n v="61590410000558"/>
    <x v="259"/>
    <s v="BRASILIA"/>
    <s v="DF"/>
    <x v="1"/>
    <s v="FERNANDO LEONY (CO/NO/NE)"/>
    <n v="73"/>
    <x v="2"/>
    <n v="16"/>
  </r>
  <r>
    <x v="0"/>
    <x v="3"/>
    <x v="1"/>
    <n v="70524145000177"/>
    <x v="355"/>
    <s v="CUIABA"/>
    <s v="MT"/>
    <x v="3"/>
    <m/>
    <n v="64"/>
    <x v="1"/>
    <n v="2"/>
  </r>
  <r>
    <x v="0"/>
    <x v="3"/>
    <x v="1"/>
    <n v="74031865000151"/>
    <x v="260"/>
    <s v="FORTALEZA"/>
    <s v="CE"/>
    <x v="1"/>
    <s v="FERNANDO LEONY (CO/NO/NE)"/>
    <n v="62"/>
    <x v="3"/>
    <n v="140"/>
  </r>
  <r>
    <x v="0"/>
    <x v="3"/>
    <x v="1"/>
    <n v="75095679000220"/>
    <x v="356"/>
    <s v="CURITIBA"/>
    <s v="PR"/>
    <x v="2"/>
    <s v="RAFAEL ESTEVES (RJ/SPI/SUL)"/>
    <n v="66"/>
    <x v="4"/>
    <n v="37"/>
  </r>
  <r>
    <x v="0"/>
    <x v="3"/>
    <x v="1"/>
    <n v="76555069000143"/>
    <x v="261"/>
    <s v="CURITIBA"/>
    <s v="PR"/>
    <x v="2"/>
    <s v="RAFAEL ESTEVES (RJ/SPI/SUL)"/>
    <n v="62"/>
    <x v="3"/>
    <n v="3"/>
  </r>
  <r>
    <x v="0"/>
    <x v="3"/>
    <x v="1"/>
    <n v="76555069000143"/>
    <x v="261"/>
    <s v="CURITIBA"/>
    <s v="PR"/>
    <x v="2"/>
    <s v="RAFAEL ESTEVES (RJ/SPI/SUL)"/>
    <n v="64"/>
    <x v="1"/>
    <n v="2"/>
  </r>
  <r>
    <x v="0"/>
    <x v="3"/>
    <x v="1"/>
    <n v="87020517000120"/>
    <x v="266"/>
    <s v="PORTO ALEGRE"/>
    <s v="RS"/>
    <x v="2"/>
    <s v="RAFAEL ESTEVES (RJ/SPI/SUL)"/>
    <n v="64"/>
    <x v="1"/>
    <n v="8"/>
  </r>
  <r>
    <x v="0"/>
    <x v="3"/>
    <x v="1"/>
    <n v="92685833000151"/>
    <x v="273"/>
    <s v="PORTO ALEGRE"/>
    <s v="RS"/>
    <x v="2"/>
    <s v="RAFAEL ESTEVES (RJ/SPI/SUL)"/>
    <n v="62"/>
    <x v="3"/>
    <n v="6"/>
  </r>
  <r>
    <x v="0"/>
    <x v="3"/>
    <x v="1"/>
    <n v="92685833000151"/>
    <x v="273"/>
    <s v="PORTO ALEGRE"/>
    <s v="RS"/>
    <x v="2"/>
    <s v="RAFAEL ESTEVES (RJ/SPI/SUL)"/>
    <n v="64"/>
    <x v="1"/>
    <n v="8"/>
  </r>
  <r>
    <x v="0"/>
    <x v="3"/>
    <x v="1"/>
    <n v="92685833000151"/>
    <x v="273"/>
    <s v="PORTO ALEGRE"/>
    <s v="RS"/>
    <x v="2"/>
    <s v="RAFAEL ESTEVES (RJ/SPI/SUL)"/>
    <n v="73"/>
    <x v="2"/>
    <n v="8"/>
  </r>
  <r>
    <x v="0"/>
    <x v="3"/>
    <x v="1"/>
    <n v="92815000000168"/>
    <x v="276"/>
    <s v="PORTO ALEGRE"/>
    <s v="RS"/>
    <x v="2"/>
    <s v="RAFAEL ESTEVES (RJ/SPI/SUL)"/>
    <n v="73"/>
    <x v="2"/>
    <n v="25"/>
  </r>
  <r>
    <x v="0"/>
    <x v="1"/>
    <x v="0"/>
    <n v="25841000153"/>
    <x v="318"/>
    <s v="BRASILIA"/>
    <s v="DF"/>
    <x v="1"/>
    <s v="FERNANDO LEONY (CO/NO/NE)"/>
    <n v="70"/>
    <x v="0"/>
    <n v="120"/>
  </r>
  <r>
    <x v="0"/>
    <x v="1"/>
    <x v="0"/>
    <n v="53629000108"/>
    <x v="357"/>
    <s v="GOIANIA"/>
    <s v="GO"/>
    <x v="1"/>
    <s v="FERNANDO LEONY (CO/NO/NE)"/>
    <n v="70"/>
    <x v="0"/>
    <n v="0"/>
  </r>
  <r>
    <x v="0"/>
    <x v="1"/>
    <x v="0"/>
    <n v="394544000851"/>
    <x v="163"/>
    <s v="BRASILIA"/>
    <s v="DF"/>
    <x v="1"/>
    <s v="FERNANDO LEONY (CO/NO/NE)"/>
    <n v="70"/>
    <x v="0"/>
    <n v="630"/>
  </r>
  <r>
    <x v="0"/>
    <x v="0"/>
    <x v="0"/>
    <n v="520237000101"/>
    <x v="164"/>
    <s v="BRASILIA"/>
    <s v="DF"/>
    <x v="1"/>
    <s v="FERNANDO LEONY (CO/NO/NE)"/>
    <n v="70"/>
    <x v="0"/>
    <n v="35"/>
  </r>
  <r>
    <x v="0"/>
    <x v="1"/>
    <x v="0"/>
    <n v="520237000101"/>
    <x v="164"/>
    <s v="BRASILIA"/>
    <s v="DF"/>
    <x v="1"/>
    <s v="FERNANDO LEONY (CO/NO/NE)"/>
    <n v="70"/>
    <x v="0"/>
    <n v="800"/>
  </r>
  <r>
    <x v="0"/>
    <x v="1"/>
    <x v="0"/>
    <n v="610980000144"/>
    <x v="165"/>
    <s v="BRASILIA"/>
    <s v="DF"/>
    <x v="1"/>
    <s v="FERNANDO LEONY (CO/NO/NE)"/>
    <n v="70"/>
    <x v="0"/>
    <n v="150"/>
  </r>
  <r>
    <x v="0"/>
    <x v="0"/>
    <x v="0"/>
    <n v="1011865000116"/>
    <x v="358"/>
    <s v="GOIANIA"/>
    <s v="GO"/>
    <x v="1"/>
    <s v="FERNANDO LEONY (CO/NO/NE)"/>
    <n v="70"/>
    <x v="0"/>
    <n v="350"/>
  </r>
  <r>
    <x v="0"/>
    <x v="1"/>
    <x v="0"/>
    <n v="1011865000116"/>
    <x v="358"/>
    <s v="GOIANIA"/>
    <s v="GO"/>
    <x v="1"/>
    <s v="FERNANDO LEONY (CO/NO/NE)"/>
    <n v="70"/>
    <x v="0"/>
    <n v="350"/>
  </r>
  <r>
    <x v="0"/>
    <x v="1"/>
    <x v="0"/>
    <n v="1326206000179"/>
    <x v="169"/>
    <s v="CATALAO"/>
    <s v="GO"/>
    <x v="1"/>
    <s v="FERNANDO LEONY (CO/NO/NE)"/>
    <n v="70"/>
    <x v="0"/>
    <n v="50"/>
  </r>
  <r>
    <x v="0"/>
    <x v="0"/>
    <x v="0"/>
    <n v="1383835000130"/>
    <x v="359"/>
    <s v="PRIMAVERA DO LESTE"/>
    <s v="MT"/>
    <x v="1"/>
    <s v="FERNANDO LEONY (CO/NO/NE)"/>
    <n v="70"/>
    <x v="0"/>
    <n v="30"/>
  </r>
  <r>
    <x v="0"/>
    <x v="0"/>
    <x v="0"/>
    <n v="1454407000151"/>
    <x v="360"/>
    <s v="MACEIO"/>
    <s v="AL"/>
    <x v="1"/>
    <s v="FERNANDO LEONY (CO/NO/NE)"/>
    <n v="70"/>
    <x v="0"/>
    <n v="480"/>
  </r>
  <r>
    <x v="0"/>
    <x v="1"/>
    <x v="0"/>
    <n v="1454407000151"/>
    <x v="360"/>
    <s v="MACEIO"/>
    <s v="AL"/>
    <x v="1"/>
    <s v="FERNANDO LEONY (CO/NO/NE)"/>
    <n v="70"/>
    <x v="0"/>
    <n v="500"/>
  </r>
  <r>
    <x v="0"/>
    <x v="0"/>
    <x v="0"/>
    <n v="1682668000129"/>
    <x v="361"/>
    <s v="BRASILIA"/>
    <s v="DF"/>
    <x v="1"/>
    <s v="FERNANDO LEONY (CO/NO/NE)"/>
    <n v="70"/>
    <x v="0"/>
    <n v="50"/>
  </r>
  <r>
    <x v="0"/>
    <x v="1"/>
    <x v="0"/>
    <n v="1682668000129"/>
    <x v="361"/>
    <s v="BRASILIA"/>
    <s v="DF"/>
    <x v="1"/>
    <s v="FERNANDO LEONY (CO/NO/NE)"/>
    <n v="70"/>
    <x v="0"/>
    <n v="25"/>
  </r>
  <r>
    <x v="0"/>
    <x v="1"/>
    <x v="0"/>
    <n v="2284062001170"/>
    <x v="174"/>
    <s v="JARACATY"/>
    <s v="MA"/>
    <x v="1"/>
    <s v="FERNANDO LEONY (CO/NO/NE)"/>
    <n v="70"/>
    <x v="0"/>
    <n v="150"/>
  </r>
  <r>
    <x v="0"/>
    <x v="0"/>
    <x v="0"/>
    <n v="2476067000122"/>
    <x v="362"/>
    <s v="GOIANIA"/>
    <s v="GO"/>
    <x v="1"/>
    <s v="FERNANDO LEONY (CO/NO/NE)"/>
    <n v="70"/>
    <x v="0"/>
    <n v="15"/>
  </r>
  <r>
    <x v="0"/>
    <x v="0"/>
    <x v="0"/>
    <n v="2476067000394"/>
    <x v="363"/>
    <s v="GOIANIA"/>
    <s v="GO"/>
    <x v="1"/>
    <s v="FERNANDO LEONY (CO/NO/NE)"/>
    <n v="70"/>
    <x v="0"/>
    <n v="117.5"/>
  </r>
  <r>
    <x v="0"/>
    <x v="1"/>
    <x v="0"/>
    <n v="2476067000394"/>
    <x v="363"/>
    <s v="GOIANIA"/>
    <s v="GO"/>
    <x v="1"/>
    <s v="FERNANDO LEONY (CO/NO/NE)"/>
    <n v="70"/>
    <x v="0"/>
    <n v="75"/>
  </r>
  <r>
    <x v="0"/>
    <x v="0"/>
    <x v="0"/>
    <n v="2560878000107"/>
    <x v="176"/>
    <s v="BRASILIA"/>
    <s v="DF"/>
    <x v="1"/>
    <s v="FERNANDO LEONY (CO/NO/NE)"/>
    <n v="70"/>
    <x v="0"/>
    <n v="275"/>
  </r>
  <r>
    <x v="0"/>
    <x v="1"/>
    <x v="0"/>
    <n v="2560878000107"/>
    <x v="176"/>
    <s v="BRASILIA"/>
    <s v="DF"/>
    <x v="1"/>
    <s v="FERNANDO LEONY (CO/NO/NE)"/>
    <n v="70"/>
    <x v="0"/>
    <n v="30"/>
  </r>
  <r>
    <x v="0"/>
    <x v="1"/>
    <x v="0"/>
    <n v="1602408000104"/>
    <x v="364"/>
    <s v="BRASILIA"/>
    <s v="DF"/>
    <x v="1"/>
    <s v="FERNANDO LEONY (CO/NO/NE)"/>
    <n v="70"/>
    <x v="0"/>
    <n v="250"/>
  </r>
  <r>
    <x v="0"/>
    <x v="0"/>
    <x v="0"/>
    <n v="3533726000773"/>
    <x v="365"/>
    <s v="CUIABA"/>
    <s v="MT"/>
    <x v="1"/>
    <s v="FERNANDO LEONY (CO/NO/NE)"/>
    <n v="70"/>
    <x v="0"/>
    <n v="30"/>
  </r>
  <r>
    <x v="0"/>
    <x v="1"/>
    <x v="0"/>
    <n v="3533726000773"/>
    <x v="365"/>
    <s v="CUIABA"/>
    <s v="MT"/>
    <x v="1"/>
    <s v="FERNANDO LEONY (CO/NO/NE)"/>
    <n v="70"/>
    <x v="0"/>
    <n v="90"/>
  </r>
  <r>
    <x v="0"/>
    <x v="0"/>
    <x v="0"/>
    <n v="3533726001583"/>
    <x v="177"/>
    <s v="CUIABA"/>
    <s v="MT"/>
    <x v="1"/>
    <s v="FERNANDO LEONY (CO/NO/NE)"/>
    <n v="70"/>
    <x v="0"/>
    <n v="130"/>
  </r>
  <r>
    <x v="0"/>
    <x v="1"/>
    <x v="0"/>
    <n v="3533726001583"/>
    <x v="177"/>
    <s v="CUIABA"/>
    <s v="MT"/>
    <x v="1"/>
    <s v="FERNANDO LEONY (CO/NO/NE)"/>
    <n v="70"/>
    <x v="0"/>
    <n v="30"/>
  </r>
  <r>
    <x v="0"/>
    <x v="0"/>
    <x v="0"/>
    <n v="3858924000111"/>
    <x v="366"/>
    <s v="GARANHUNS"/>
    <s v="PE"/>
    <x v="1"/>
    <s v="FERNANDO LEONY (CO/NO/NE)"/>
    <n v="70"/>
    <x v="0"/>
    <n v="120"/>
  </r>
  <r>
    <x v="0"/>
    <x v="0"/>
    <x v="0"/>
    <n v="3989821000190"/>
    <x v="367"/>
    <s v="BRASILIA"/>
    <s v="DF"/>
    <x v="1"/>
    <s v="FERNANDO LEONY (CO/NO/NE)"/>
    <n v="70"/>
    <x v="0"/>
    <n v="245"/>
  </r>
  <r>
    <x v="0"/>
    <x v="1"/>
    <x v="0"/>
    <n v="3989821000190"/>
    <x v="367"/>
    <s v="BRASILIA"/>
    <s v="DF"/>
    <x v="1"/>
    <s v="FERNANDO LEONY (CO/NO/NE)"/>
    <n v="70"/>
    <x v="0"/>
    <n v="360"/>
  </r>
  <r>
    <x v="0"/>
    <x v="0"/>
    <x v="0"/>
    <n v="4966545000370"/>
    <x v="368"/>
    <s v="BELEM"/>
    <s v="PA"/>
    <x v="1"/>
    <s v="FERNANDO LEONY (CO/NO/NE)"/>
    <n v="70"/>
    <x v="0"/>
    <n v="80"/>
  </r>
  <r>
    <x v="0"/>
    <x v="0"/>
    <x v="0"/>
    <n v="5816630000152"/>
    <x v="184"/>
    <s v="SALVADOR"/>
    <s v="BA"/>
    <x v="1"/>
    <s v="FERNANDO LEONY (CO/NO/NE)"/>
    <n v="70"/>
    <x v="0"/>
    <n v="150"/>
  </r>
  <r>
    <x v="0"/>
    <x v="0"/>
    <x v="0"/>
    <n v="5868278000280"/>
    <x v="186"/>
    <s v="FORTALEZA"/>
    <s v="CE"/>
    <x v="1"/>
    <s v="FERNANDO LEONY (CO/NO/NE)"/>
    <n v="70"/>
    <x v="0"/>
    <n v="80"/>
  </r>
  <r>
    <x v="0"/>
    <x v="1"/>
    <x v="0"/>
    <n v="3091003000176"/>
    <x v="369"/>
    <s v="ARACAJU"/>
    <s v="SE"/>
    <x v="1"/>
    <s v="FERNANDO LEONY (CO/NO/NE)"/>
    <n v="70"/>
    <x v="0"/>
    <n v="175"/>
  </r>
  <r>
    <x v="0"/>
    <x v="1"/>
    <x v="0"/>
    <n v="3210872000172"/>
    <x v="370"/>
    <s v="SANTA HELENA"/>
    <s v="MA"/>
    <x v="1"/>
    <s v="FERNANDO LEONY (CO/NO/NE)"/>
    <n v="70"/>
    <x v="0"/>
    <n v="5"/>
  </r>
  <r>
    <x v="0"/>
    <x v="1"/>
    <x v="0"/>
    <n v="3866223000124"/>
    <x v="371"/>
    <s v="MACEIO"/>
    <s v="AL"/>
    <x v="1"/>
    <s v="FERNANDO LEONY (CO/NO/NE)"/>
    <n v="70"/>
    <x v="0"/>
    <n v="1740"/>
  </r>
  <r>
    <x v="0"/>
    <x v="0"/>
    <x v="0"/>
    <n v="6047087009276"/>
    <x v="284"/>
    <s v="RECIFE"/>
    <s v="PE"/>
    <x v="1"/>
    <s v="FERNANDO LEONY (CO/NO/NE)"/>
    <n v="70"/>
    <x v="0"/>
    <n v="300"/>
  </r>
  <r>
    <x v="0"/>
    <x v="0"/>
    <x v="0"/>
    <n v="7272404000183"/>
    <x v="372"/>
    <s v="FORTALEZA"/>
    <s v="CE"/>
    <x v="1"/>
    <s v="FERNANDO LEONY (CO/NO/NE)"/>
    <n v="70"/>
    <x v="0"/>
    <n v="120"/>
  </r>
  <r>
    <x v="0"/>
    <x v="0"/>
    <x v="0"/>
    <n v="7794623005191"/>
    <x v="373"/>
    <s v="BRASILIA"/>
    <s v="DF"/>
    <x v="1"/>
    <s v="FERNANDO LEONY (CO/NO/NE)"/>
    <n v="70"/>
    <x v="0"/>
    <n v="25"/>
  </r>
  <r>
    <x v="0"/>
    <x v="0"/>
    <x v="0"/>
    <n v="8380701000610"/>
    <x v="374"/>
    <s v="NATAL"/>
    <s v="RN"/>
    <x v="1"/>
    <s v="FERNANDO LEONY (CO/NO/NE)"/>
    <n v="70"/>
    <x v="0"/>
    <n v="250"/>
  </r>
  <r>
    <x v="0"/>
    <x v="0"/>
    <x v="0"/>
    <n v="8680639000681"/>
    <x v="200"/>
    <s v="JOAO PESSOA"/>
    <s v="PB"/>
    <x v="1"/>
    <s v="FERNANDO LEONY (CO/NO/NE)"/>
    <n v="70"/>
    <x v="0"/>
    <n v="80"/>
  </r>
  <r>
    <x v="0"/>
    <x v="0"/>
    <x v="0"/>
    <n v="9104513000974"/>
    <x v="375"/>
    <s v="BRASILIA"/>
    <s v="DF"/>
    <x v="1"/>
    <s v="FERNANDO LEONY (CO/NO/NE)"/>
    <n v="70"/>
    <x v="0"/>
    <n v="505"/>
  </r>
  <r>
    <x v="0"/>
    <x v="0"/>
    <x v="0"/>
    <n v="10572048000209"/>
    <x v="376"/>
    <s v="RECIFE"/>
    <s v="PE"/>
    <x v="1"/>
    <s v="FERNANDO LEONY (CO/NO/NE)"/>
    <n v="70"/>
    <x v="0"/>
    <n v="1535"/>
  </r>
  <r>
    <x v="0"/>
    <x v="0"/>
    <x v="0"/>
    <n v="11006293000130"/>
    <x v="205"/>
    <s v="SAO LUIS"/>
    <s v="MA"/>
    <x v="1"/>
    <s v="FERNANDO LEONY (CO/NO/NE)"/>
    <n v="70"/>
    <x v="0"/>
    <n v="500"/>
  </r>
  <r>
    <x v="0"/>
    <x v="0"/>
    <x v="0"/>
    <n v="12361267000517"/>
    <x v="334"/>
    <s v="ARACAJU"/>
    <s v="SE"/>
    <x v="1"/>
    <s v="FERNANDO LEONY (CO/NO/NE)"/>
    <n v="70"/>
    <x v="0"/>
    <n v="20"/>
  </r>
  <r>
    <x v="0"/>
    <x v="0"/>
    <x v="0"/>
    <n v="12361267009140"/>
    <x v="377"/>
    <s v="MOSSORO"/>
    <s v="RN"/>
    <x v="1"/>
    <s v="FERNANDO LEONY (CO/NO/NE)"/>
    <n v="70"/>
    <x v="0"/>
    <n v="10"/>
  </r>
  <r>
    <x v="0"/>
    <x v="0"/>
    <x v="0"/>
    <n v="12361267010318"/>
    <x v="208"/>
    <s v="SALVADOR"/>
    <s v="BA"/>
    <x v="1"/>
    <s v="FERNANDO LEONY (CO/NO/NE)"/>
    <n v="70"/>
    <x v="0"/>
    <n v="290"/>
  </r>
  <r>
    <x v="0"/>
    <x v="0"/>
    <x v="0"/>
    <n v="12361267011632"/>
    <x v="343"/>
    <s v="MANAUS"/>
    <s v="AM"/>
    <x v="1"/>
    <s v="FERNANDO LEONY (CO/NO/NE)"/>
    <n v="70"/>
    <x v="0"/>
    <n v="125"/>
  </r>
  <r>
    <x v="0"/>
    <x v="0"/>
    <x v="0"/>
    <n v="12442737000496"/>
    <x v="296"/>
    <s v="MACEIO"/>
    <s v="AL"/>
    <x v="1"/>
    <s v="FERNANDO LEONY (CO/NO/NE)"/>
    <n v="70"/>
    <x v="0"/>
    <n v="400"/>
  </r>
  <r>
    <x v="0"/>
    <x v="0"/>
    <x v="0"/>
    <n v="12568570000161"/>
    <x v="378"/>
    <s v="FORTALEZA"/>
    <s v="CE"/>
    <x v="1"/>
    <s v="FERNANDO LEONY (CO/NO/NE)"/>
    <n v="70"/>
    <x v="0"/>
    <n v="130"/>
  </r>
  <r>
    <x v="0"/>
    <x v="0"/>
    <x v="0"/>
    <n v="13016332000106"/>
    <x v="211"/>
    <s v="ARACAJU"/>
    <s v="SE"/>
    <x v="1"/>
    <s v="FERNANDO LEONY (CO/NO/NE)"/>
    <n v="70"/>
    <x v="0"/>
    <n v="15"/>
  </r>
  <r>
    <x v="0"/>
    <x v="0"/>
    <x v="0"/>
    <n v="13131370000100"/>
    <x v="212"/>
    <s v="ARACAJU"/>
    <s v="SE"/>
    <x v="1"/>
    <s v="FERNANDO LEONY (CO/NO/NE)"/>
    <n v="70"/>
    <x v="0"/>
    <n v="550"/>
  </r>
  <r>
    <x v="0"/>
    <x v="0"/>
    <x v="0"/>
    <n v="13284872000170"/>
    <x v="379"/>
    <s v="VITORIA DA CONQUISTA"/>
    <s v="BA"/>
    <x v="1"/>
    <s v="FERNANDO LEONY (CO/NO/NE)"/>
    <n v="70"/>
    <x v="0"/>
    <n v="5"/>
  </r>
  <r>
    <x v="0"/>
    <x v="0"/>
    <x v="0"/>
    <n v="15170723000106"/>
    <x v="225"/>
    <s v="SALVADOR"/>
    <s v="BA"/>
    <x v="1"/>
    <s v="FERNANDO LEONY (CO/NO/NE)"/>
    <n v="70"/>
    <x v="0"/>
    <n v="300"/>
  </r>
  <r>
    <x v="0"/>
    <x v="0"/>
    <x v="0"/>
    <n v="15242761000127"/>
    <x v="230"/>
    <s v="SALVADOR"/>
    <s v="BA"/>
    <x v="1"/>
    <s v="FERNANDO LEONY (CO/NO/NE)"/>
    <n v="70"/>
    <x v="0"/>
    <n v="100"/>
  </r>
  <r>
    <x v="0"/>
    <x v="0"/>
    <x v="0"/>
    <n v="15592785000106"/>
    <x v="380"/>
    <s v="ARACAJU"/>
    <s v="SE"/>
    <x v="1"/>
    <s v="FERNANDO LEONY (CO/NO/NE)"/>
    <n v="70"/>
    <x v="0"/>
    <n v="100"/>
  </r>
  <r>
    <x v="0"/>
    <x v="0"/>
    <x v="0"/>
    <n v="24676884000752"/>
    <x v="381"/>
    <s v="RONDONOPOLIS"/>
    <s v="MT"/>
    <x v="1"/>
    <s v="FERNANDO LEONY (CO/NO/NE)"/>
    <n v="70"/>
    <x v="0"/>
    <n v="25"/>
  </r>
  <r>
    <x v="0"/>
    <x v="0"/>
    <x v="0"/>
    <n v="29435005007484"/>
    <x v="250"/>
    <s v="FORTALEZA"/>
    <s v="CE"/>
    <x v="1"/>
    <s v="FERNANDO LEONY (CO/NO/NE)"/>
    <n v="70"/>
    <x v="0"/>
    <n v="15"/>
  </r>
  <r>
    <x v="0"/>
    <x v="0"/>
    <x v="0"/>
    <n v="29435005009851"/>
    <x v="251"/>
    <s v="NATAL"/>
    <s v="RN"/>
    <x v="1"/>
    <s v="FERNANDO LEONY (CO/NO/NE)"/>
    <n v="70"/>
    <x v="0"/>
    <n v="175"/>
  </r>
  <r>
    <x v="0"/>
    <x v="0"/>
    <x v="0"/>
    <n v="60884855002289"/>
    <x v="256"/>
    <s v="BRASILIA"/>
    <s v="DF"/>
    <x v="1"/>
    <s v="FERNANDO LEONY (CO/NO/NE)"/>
    <n v="70"/>
    <x v="0"/>
    <n v="370"/>
  </r>
  <r>
    <x v="0"/>
    <x v="0"/>
    <x v="0"/>
    <n v="61590410001287"/>
    <x v="382"/>
    <s v="BRASILIA"/>
    <s v="DF"/>
    <x v="1"/>
    <s v="FERNANDO LEONY (CO/NO/NE)"/>
    <n v="70"/>
    <x v="0"/>
    <n v="610"/>
  </r>
  <r>
    <x v="0"/>
    <x v="0"/>
    <x v="0"/>
    <n v="63326243000487"/>
    <x v="383"/>
    <s v="TERESINA"/>
    <s v="PI"/>
    <x v="1"/>
    <s v="FERNANDO LEONY (CO/NO/NE)"/>
    <n v="70"/>
    <x v="0"/>
    <n v="2.5"/>
  </r>
  <r>
    <x v="0"/>
    <x v="0"/>
    <x v="0"/>
    <n v="83367342000252"/>
    <x v="384"/>
    <s v="BELEM"/>
    <s v="PA"/>
    <x v="1"/>
    <s v="FERNANDO LEONY (CO/NO/NE)"/>
    <n v="70"/>
    <x v="0"/>
    <n v="25"/>
  </r>
  <r>
    <x v="0"/>
    <x v="1"/>
    <x v="0"/>
    <n v="5816630000152"/>
    <x v="184"/>
    <s v="SALVADOR"/>
    <s v="BA"/>
    <x v="1"/>
    <s v="FERNANDO LEONY (CO/NO/NE)"/>
    <n v="70"/>
    <x v="0"/>
    <n v="2960"/>
  </r>
  <r>
    <x v="0"/>
    <x v="1"/>
    <x v="0"/>
    <n v="5868278000280"/>
    <x v="186"/>
    <s v="FORTALEZA"/>
    <s v="CE"/>
    <x v="1"/>
    <s v="FERNANDO LEONY (CO/NO/NE)"/>
    <n v="70"/>
    <x v="0"/>
    <n v="220"/>
  </r>
  <r>
    <x v="0"/>
    <x v="1"/>
    <x v="0"/>
    <n v="6047087004126"/>
    <x v="190"/>
    <s v="BRASILIA"/>
    <s v="DF"/>
    <x v="1"/>
    <s v="FERNANDO LEONY (CO/NO/NE)"/>
    <n v="70"/>
    <x v="0"/>
    <n v="400"/>
  </r>
  <r>
    <x v="0"/>
    <x v="1"/>
    <x v="0"/>
    <n v="7750144000104"/>
    <x v="385"/>
    <s v="SAO LUIS"/>
    <s v="MA"/>
    <x v="1"/>
    <s v="FERNANDO LEONY (CO/NO/NE)"/>
    <n v="70"/>
    <x v="0"/>
    <n v="20"/>
  </r>
  <r>
    <x v="0"/>
    <x v="1"/>
    <x v="0"/>
    <n v="7775847000278"/>
    <x v="386"/>
    <s v="DOURADOS"/>
    <s v="MS"/>
    <x v="1"/>
    <s v="FERNANDO LEONY (CO/NO/NE)"/>
    <n v="70"/>
    <x v="0"/>
    <n v="335"/>
  </r>
  <r>
    <x v="0"/>
    <x v="1"/>
    <x v="0"/>
    <n v="8680639000681"/>
    <x v="200"/>
    <s v="JOAO PESSOA"/>
    <s v="PB"/>
    <x v="1"/>
    <s v="FERNANDO LEONY (CO/NO/NE)"/>
    <n v="70"/>
    <x v="0"/>
    <n v="155"/>
  </r>
  <r>
    <x v="0"/>
    <x v="1"/>
    <x v="0"/>
    <n v="9104513000974"/>
    <x v="375"/>
    <s v="BRASILIA"/>
    <s v="DF"/>
    <x v="1"/>
    <s v="FERNANDO LEONY (CO/NO/NE)"/>
    <n v="70"/>
    <x v="0"/>
    <n v="170"/>
  </r>
  <r>
    <x v="0"/>
    <x v="1"/>
    <x v="0"/>
    <n v="10839561000132"/>
    <x v="202"/>
    <s v="RECIFE"/>
    <s v="PE"/>
    <x v="1"/>
    <s v="FERNANDO LEONY (CO/NO/NE)"/>
    <n v="70"/>
    <x v="0"/>
    <n v="420"/>
  </r>
  <r>
    <x v="0"/>
    <x v="1"/>
    <x v="0"/>
    <n v="10942995000163"/>
    <x v="292"/>
    <s v="BRASILIA"/>
    <s v="DF"/>
    <x v="1"/>
    <s v="FERNANDO LEONY (CO/NO/NE)"/>
    <n v="70"/>
    <x v="0"/>
    <n v="300"/>
  </r>
  <r>
    <x v="0"/>
    <x v="1"/>
    <x v="0"/>
    <n v="11006293000130"/>
    <x v="205"/>
    <s v="SAO LUIS"/>
    <s v="MA"/>
    <x v="1"/>
    <s v="FERNANDO LEONY (CO/NO/NE)"/>
    <n v="70"/>
    <x v="0"/>
    <n v="500"/>
  </r>
  <r>
    <x v="0"/>
    <x v="1"/>
    <x v="0"/>
    <n v="11214624000470"/>
    <x v="352"/>
    <s v="RECIFE"/>
    <s v="PE"/>
    <x v="1"/>
    <s v="FERNANDO LEONY (CO/NO/NE)"/>
    <n v="70"/>
    <x v="0"/>
    <n v="100"/>
  </r>
  <r>
    <x v="0"/>
    <x v="1"/>
    <x v="0"/>
    <n v="11273170000166"/>
    <x v="387"/>
    <s v="TERESINA"/>
    <s v="PI"/>
    <x v="1"/>
    <s v="FERNANDO LEONY (CO/NO/NE)"/>
    <n v="70"/>
    <x v="0"/>
    <n v="500"/>
  </r>
  <r>
    <x v="0"/>
    <x v="1"/>
    <x v="0"/>
    <n v="11452240000143"/>
    <x v="206"/>
    <s v="RECIFE"/>
    <s v="PE"/>
    <x v="1"/>
    <s v="FERNANDO LEONY (CO/NO/NE)"/>
    <n v="70"/>
    <x v="0"/>
    <n v="635"/>
  </r>
  <r>
    <x v="0"/>
    <x v="1"/>
    <x v="0"/>
    <n v="11859927000106"/>
    <x v="207"/>
    <s v="BRASILIA"/>
    <s v="DF"/>
    <x v="1"/>
    <s v="FERNANDO LEONY (CO/NO/NE)"/>
    <n v="70"/>
    <x v="0"/>
    <n v="30"/>
  </r>
  <r>
    <x v="0"/>
    <x v="1"/>
    <x v="0"/>
    <n v="12361267000274"/>
    <x v="333"/>
    <s v="BELEM"/>
    <s v="PA"/>
    <x v="1"/>
    <s v="FERNANDO LEONY (CO/NO/NE)"/>
    <n v="70"/>
    <x v="0"/>
    <n v="150"/>
  </r>
  <r>
    <x v="0"/>
    <x v="1"/>
    <x v="0"/>
    <n v="12361267000517"/>
    <x v="334"/>
    <s v="ARACAJU"/>
    <s v="SE"/>
    <x v="1"/>
    <s v="FERNANDO LEONY (CO/NO/NE)"/>
    <n v="70"/>
    <x v="0"/>
    <n v="85"/>
  </r>
  <r>
    <x v="0"/>
    <x v="1"/>
    <x v="0"/>
    <n v="12361267007287"/>
    <x v="338"/>
    <s v="RECIFE"/>
    <s v="PE"/>
    <x v="1"/>
    <s v="FERNANDO LEONY (CO/NO/NE)"/>
    <n v="70"/>
    <x v="0"/>
    <n v="150"/>
  </r>
  <r>
    <x v="0"/>
    <x v="1"/>
    <x v="0"/>
    <n v="12361267009140"/>
    <x v="377"/>
    <s v="MOSSORO"/>
    <s v="RN"/>
    <x v="1"/>
    <s v="FERNANDO LEONY (CO/NO/NE)"/>
    <n v="70"/>
    <x v="0"/>
    <n v="5"/>
  </r>
  <r>
    <x v="0"/>
    <x v="1"/>
    <x v="0"/>
    <n v="12361267009654"/>
    <x v="341"/>
    <s v="NATAL"/>
    <s v="RN"/>
    <x v="1"/>
    <s v="FERNANDO LEONY (CO/NO/NE)"/>
    <n v="70"/>
    <x v="0"/>
    <n v="125"/>
  </r>
  <r>
    <x v="0"/>
    <x v="1"/>
    <x v="0"/>
    <n v="12361267010318"/>
    <x v="208"/>
    <s v="SALVADOR"/>
    <s v="BA"/>
    <x v="1"/>
    <s v="FERNANDO LEONY (CO/NO/NE)"/>
    <n v="70"/>
    <x v="0"/>
    <n v="275"/>
  </r>
  <r>
    <x v="0"/>
    <x v="1"/>
    <x v="0"/>
    <n v="12361267010407"/>
    <x v="342"/>
    <s v="FEIRA DE SANTANA"/>
    <s v="BA"/>
    <x v="1"/>
    <s v="FERNANDO LEONY (CO/NO/NE)"/>
    <n v="70"/>
    <x v="0"/>
    <n v="130"/>
  </r>
  <r>
    <x v="0"/>
    <x v="1"/>
    <x v="0"/>
    <n v="12442737000496"/>
    <x v="296"/>
    <s v="MACEIO"/>
    <s v="AL"/>
    <x v="1"/>
    <s v="FERNANDO LEONY (CO/NO/NE)"/>
    <n v="70"/>
    <x v="0"/>
    <n v="400"/>
  </r>
  <r>
    <x v="0"/>
    <x v="1"/>
    <x v="0"/>
    <n v="12568570000161"/>
    <x v="378"/>
    <s v="FORTALEZA"/>
    <s v="CE"/>
    <x v="1"/>
    <s v="FERNANDO LEONY (CO/NO/NE)"/>
    <n v="70"/>
    <x v="0"/>
    <n v="225"/>
  </r>
  <r>
    <x v="0"/>
    <x v="1"/>
    <x v="0"/>
    <n v="13086053000119"/>
    <x v="388"/>
    <s v="ARACAJU"/>
    <s v="SE"/>
    <x v="1"/>
    <s v="FERNANDO LEONY (CO/NO/NE)"/>
    <n v="70"/>
    <x v="0"/>
    <n v="5"/>
  </r>
  <r>
    <x v="0"/>
    <x v="1"/>
    <x v="0"/>
    <n v="13131370000100"/>
    <x v="212"/>
    <s v="ARACAJU"/>
    <s v="SE"/>
    <x v="1"/>
    <s v="FERNANDO LEONY (CO/NO/NE)"/>
    <n v="70"/>
    <x v="0"/>
    <n v="400"/>
  </r>
  <r>
    <x v="0"/>
    <x v="1"/>
    <x v="0"/>
    <n v="13284872000170"/>
    <x v="379"/>
    <s v="VITORIA DA CONQUISTA"/>
    <s v="BA"/>
    <x v="1"/>
    <s v="FERNANDO LEONY (CO/NO/NE)"/>
    <n v="70"/>
    <x v="0"/>
    <n v="30"/>
  </r>
  <r>
    <x v="0"/>
    <x v="1"/>
    <x v="0"/>
    <n v="14112023000100"/>
    <x v="389"/>
    <s v="MARABA"/>
    <s v="PA"/>
    <x v="1"/>
    <s v="FERNANDO LEONY (CO/NO/NE)"/>
    <n v="70"/>
    <x v="0"/>
    <n v="17.5"/>
  </r>
  <r>
    <x v="0"/>
    <x v="1"/>
    <x v="0"/>
    <n v="15126437000305"/>
    <x v="390"/>
    <s v="BRASILIA"/>
    <s v="DF"/>
    <x v="1"/>
    <s v="FERNANDO LEONY (CO/NO/NE)"/>
    <n v="70"/>
    <x v="0"/>
    <n v="550"/>
  </r>
  <r>
    <x v="0"/>
    <x v="1"/>
    <x v="0"/>
    <n v="15592785000106"/>
    <x v="380"/>
    <s v="ARACAJU"/>
    <s v="SE"/>
    <x v="1"/>
    <s v="FERNANDO LEONY (CO/NO/NE)"/>
    <n v="70"/>
    <x v="0"/>
    <n v="25"/>
  </r>
  <r>
    <x v="0"/>
    <x v="1"/>
    <x v="0"/>
    <n v="21155621000114"/>
    <x v="391"/>
    <s v="GOIANIA"/>
    <s v="GO"/>
    <x v="1"/>
    <s v="FERNANDO LEONY (CO/NO/NE)"/>
    <n v="70"/>
    <x v="0"/>
    <n v="40"/>
  </r>
  <r>
    <x v="0"/>
    <x v="1"/>
    <x v="0"/>
    <n v="29435005007484"/>
    <x v="250"/>
    <s v="FORTALEZA"/>
    <s v="CE"/>
    <x v="1"/>
    <s v="FERNANDO LEONY (CO/NO/NE)"/>
    <n v="70"/>
    <x v="0"/>
    <n v="100"/>
  </r>
  <r>
    <x v="0"/>
    <x v="1"/>
    <x v="0"/>
    <n v="29435005009851"/>
    <x v="251"/>
    <s v="NATAL"/>
    <s v="RN"/>
    <x v="1"/>
    <s v="FERNANDO LEONY (CO/NO/NE)"/>
    <n v="70"/>
    <x v="0"/>
    <n v="200"/>
  </r>
  <r>
    <x v="0"/>
    <x v="1"/>
    <x v="0"/>
    <n v="30135335000188"/>
    <x v="392"/>
    <s v="BRASILIA"/>
    <s v="DF"/>
    <x v="1"/>
    <s v="FERNANDO LEONY (CO/NO/NE)"/>
    <n v="70"/>
    <x v="0"/>
    <n v="550"/>
  </r>
  <r>
    <x v="0"/>
    <x v="1"/>
    <x v="0"/>
    <n v="33000167002155"/>
    <x v="393"/>
    <s v="SENADOR CANEDO"/>
    <s v="GO"/>
    <x v="1"/>
    <s v="FERNANDO LEONY (CO/NO/NE)"/>
    <n v="70"/>
    <x v="0"/>
    <n v="120"/>
  </r>
  <r>
    <x v="0"/>
    <x v="1"/>
    <x v="0"/>
    <n v="41580077000165"/>
    <x v="347"/>
    <s v="FORTALEZA"/>
    <s v="CE"/>
    <x v="1"/>
    <s v="FERNANDO LEONY (CO/NO/NE)"/>
    <n v="70"/>
    <x v="0"/>
    <n v="75"/>
  </r>
  <r>
    <x v="0"/>
    <x v="1"/>
    <x v="0"/>
    <n v="60884855002289"/>
    <x v="256"/>
    <s v="BRASILIA"/>
    <s v="DF"/>
    <x v="1"/>
    <s v="FERNANDO LEONY (CO/NO/NE)"/>
    <n v="70"/>
    <x v="0"/>
    <n v="300"/>
  </r>
  <r>
    <x v="0"/>
    <x v="1"/>
    <x v="0"/>
    <n v="61590410001287"/>
    <x v="382"/>
    <s v="BRASILIA"/>
    <s v="DF"/>
    <x v="1"/>
    <s v="FERNANDO LEONY (CO/NO/NE)"/>
    <n v="70"/>
    <x v="0"/>
    <n v="2250"/>
  </r>
  <r>
    <x v="0"/>
    <x v="2"/>
    <x v="0"/>
    <n v="394544000851"/>
    <x v="163"/>
    <s v="BRASILIA"/>
    <s v="DF"/>
    <x v="1"/>
    <s v="FERNANDO LEONY (CO/NO/NE)"/>
    <n v="70"/>
    <x v="0"/>
    <n v="120"/>
  </r>
  <r>
    <x v="0"/>
    <x v="2"/>
    <x v="0"/>
    <n v="520237000101"/>
    <x v="164"/>
    <s v="BRASILIA"/>
    <s v="DF"/>
    <x v="1"/>
    <s v="FERNANDO LEONY (CO/NO/NE)"/>
    <n v="70"/>
    <x v="0"/>
    <n v="350"/>
  </r>
  <r>
    <x v="0"/>
    <x v="2"/>
    <x v="0"/>
    <n v="610980000144"/>
    <x v="165"/>
    <s v="BRASILIA"/>
    <s v="DF"/>
    <x v="1"/>
    <s v="FERNANDO LEONY (CO/NO/NE)"/>
    <n v="70"/>
    <x v="0"/>
    <n v="400"/>
  </r>
  <r>
    <x v="0"/>
    <x v="2"/>
    <x v="0"/>
    <n v="1011865000116"/>
    <x v="358"/>
    <s v="GOIANIA"/>
    <s v="GO"/>
    <x v="1"/>
    <s v="FERNANDO LEONY (CO/NO/NE)"/>
    <n v="70"/>
    <x v="0"/>
    <n v="250"/>
  </r>
  <r>
    <x v="0"/>
    <x v="2"/>
    <x v="0"/>
    <n v="1454407000151"/>
    <x v="360"/>
    <s v="MACEIO"/>
    <s v="AL"/>
    <x v="1"/>
    <s v="FERNANDO LEONY (CO/NO/NE)"/>
    <n v="70"/>
    <x v="0"/>
    <n v="235"/>
  </r>
  <r>
    <x v="0"/>
    <x v="2"/>
    <x v="0"/>
    <n v="1570589000126"/>
    <x v="394"/>
    <s v="GOIANIA"/>
    <s v="GO"/>
    <x v="1"/>
    <s v="FERNANDO LEONY (CO/NO/NE)"/>
    <n v="70"/>
    <x v="0"/>
    <n v="190"/>
  </r>
  <r>
    <x v="0"/>
    <x v="2"/>
    <x v="0"/>
    <n v="1656123000148"/>
    <x v="395"/>
    <s v="GOIANIA"/>
    <s v="GO"/>
    <x v="1"/>
    <s v="FERNANDO LEONY (CO/NO/NE)"/>
    <n v="70"/>
    <x v="0"/>
    <n v="90"/>
  </r>
  <r>
    <x v="0"/>
    <x v="2"/>
    <x v="0"/>
    <n v="1722424000122"/>
    <x v="396"/>
    <s v="MACEIO"/>
    <s v="AL"/>
    <x v="1"/>
    <s v="FERNANDO LEONY (CO/NO/NE)"/>
    <n v="70"/>
    <x v="0"/>
    <n v="515"/>
  </r>
  <r>
    <x v="0"/>
    <x v="2"/>
    <x v="0"/>
    <n v="2476067000122"/>
    <x v="362"/>
    <s v="GOIANIA"/>
    <s v="GO"/>
    <x v="1"/>
    <s v="FERNANDO LEONY (CO/NO/NE)"/>
    <n v="70"/>
    <x v="0"/>
    <n v="-15"/>
  </r>
  <r>
    <x v="0"/>
    <x v="2"/>
    <x v="0"/>
    <n v="2476067000394"/>
    <x v="363"/>
    <s v="GOIANIA"/>
    <s v="GO"/>
    <x v="1"/>
    <s v="FERNANDO LEONY (CO/NO/NE)"/>
    <n v="70"/>
    <x v="0"/>
    <n v="70"/>
  </r>
  <r>
    <x v="0"/>
    <x v="2"/>
    <x v="0"/>
    <n v="2560878000107"/>
    <x v="176"/>
    <s v="BRASILIA"/>
    <s v="DF"/>
    <x v="1"/>
    <s v="FERNANDO LEONY (CO/NO/NE)"/>
    <n v="70"/>
    <x v="0"/>
    <n v="135"/>
  </r>
  <r>
    <x v="0"/>
    <x v="2"/>
    <x v="0"/>
    <n v="3091003000176"/>
    <x v="369"/>
    <s v="ARACAJU"/>
    <s v="SE"/>
    <x v="1"/>
    <s v="FERNANDO LEONY (CO/NO/NE)"/>
    <n v="70"/>
    <x v="0"/>
    <n v="175"/>
  </r>
  <r>
    <x v="0"/>
    <x v="2"/>
    <x v="0"/>
    <n v="3533726001583"/>
    <x v="177"/>
    <s v="CUIABA"/>
    <s v="MT"/>
    <x v="1"/>
    <s v="FERNANDO LEONY (CO/NO/NE)"/>
    <n v="70"/>
    <x v="0"/>
    <n v="105"/>
  </r>
  <r>
    <x v="0"/>
    <x v="2"/>
    <x v="0"/>
    <n v="3989821000190"/>
    <x v="367"/>
    <s v="BRASILIA"/>
    <s v="DF"/>
    <x v="1"/>
    <s v="FERNANDO LEONY (CO/NO/NE)"/>
    <n v="70"/>
    <x v="0"/>
    <n v="45"/>
  </r>
  <r>
    <x v="0"/>
    <x v="2"/>
    <x v="0"/>
    <n v="4966545000370"/>
    <x v="368"/>
    <s v="BELEM"/>
    <s v="PA"/>
    <x v="1"/>
    <s v="FERNANDO LEONY (CO/NO/NE)"/>
    <n v="70"/>
    <x v="0"/>
    <n v="40"/>
  </r>
  <r>
    <x v="0"/>
    <x v="2"/>
    <x v="0"/>
    <n v="5055128000257"/>
    <x v="397"/>
    <s v="CAMPINA GRANDE"/>
    <s v="PB"/>
    <x v="1"/>
    <s v="FERNANDO LEONY (CO/NO/NE)"/>
    <n v="70"/>
    <x v="0"/>
    <n v="75"/>
  </r>
  <r>
    <x v="0"/>
    <x v="2"/>
    <x v="0"/>
    <n v="5816630000152"/>
    <x v="184"/>
    <s v="SALVADOR"/>
    <s v="BA"/>
    <x v="1"/>
    <s v="FERNANDO LEONY (CO/NO/NE)"/>
    <n v="70"/>
    <x v="0"/>
    <n v="650"/>
  </r>
  <r>
    <x v="0"/>
    <x v="2"/>
    <x v="0"/>
    <n v="5868278000280"/>
    <x v="186"/>
    <s v="FORTALEZA"/>
    <s v="CE"/>
    <x v="1"/>
    <s v="FERNANDO LEONY (CO/NO/NE)"/>
    <n v="70"/>
    <x v="0"/>
    <n v="235"/>
  </r>
  <r>
    <x v="0"/>
    <x v="2"/>
    <x v="0"/>
    <n v="5919720000179"/>
    <x v="398"/>
    <s v="GOIANIA"/>
    <s v="GO"/>
    <x v="1"/>
    <s v="FERNANDO LEONY (CO/NO/NE)"/>
    <n v="70"/>
    <x v="0"/>
    <n v="25"/>
  </r>
  <r>
    <x v="0"/>
    <x v="2"/>
    <x v="0"/>
    <n v="6337035000105"/>
    <x v="399"/>
    <s v="GOIANIA"/>
    <s v="GO"/>
    <x v="1"/>
    <s v="FERNANDO LEONY (CO/NO/NE)"/>
    <n v="70"/>
    <x v="0"/>
    <n v="25"/>
  </r>
  <r>
    <x v="0"/>
    <x v="2"/>
    <x v="0"/>
    <n v="7272636000212"/>
    <x v="195"/>
    <s v="FORTALEZA"/>
    <s v="CE"/>
    <x v="1"/>
    <s v="FERNANDO LEONY (CO/NO/NE)"/>
    <n v="70"/>
    <x v="0"/>
    <n v="600"/>
  </r>
  <r>
    <x v="0"/>
    <x v="2"/>
    <x v="0"/>
    <n v="8680639000681"/>
    <x v="200"/>
    <s v="JOAO PESSOA"/>
    <s v="PB"/>
    <x v="1"/>
    <s v="FERNANDO LEONY (CO/NO/NE)"/>
    <n v="70"/>
    <x v="0"/>
    <n v="140"/>
  </r>
  <r>
    <x v="0"/>
    <x v="2"/>
    <x v="0"/>
    <n v="9104513000974"/>
    <x v="375"/>
    <s v="BRASILIA"/>
    <s v="DF"/>
    <x v="1"/>
    <s v="FERNANDO LEONY (CO/NO/NE)"/>
    <n v="70"/>
    <x v="0"/>
    <n v="515"/>
  </r>
  <r>
    <x v="0"/>
    <x v="2"/>
    <x v="0"/>
    <n v="9192098000109"/>
    <x v="400"/>
    <s v="SAO JOSE DE RIBAMAR"/>
    <s v="MA"/>
    <x v="1"/>
    <s v="FERNANDO LEONY (CO/NO/NE)"/>
    <n v="70"/>
    <x v="0"/>
    <n v="100"/>
  </r>
  <r>
    <x v="0"/>
    <x v="2"/>
    <x v="0"/>
    <n v="10942995000163"/>
    <x v="292"/>
    <s v="BRASILIA"/>
    <s v="DF"/>
    <x v="1"/>
    <s v="FERNANDO LEONY (CO/NO/NE)"/>
    <n v="70"/>
    <x v="0"/>
    <n v="500"/>
  </r>
  <r>
    <x v="0"/>
    <x v="2"/>
    <x v="0"/>
    <n v="11006293000130"/>
    <x v="205"/>
    <s v="SAO LUIS"/>
    <s v="MA"/>
    <x v="1"/>
    <s v="FERNANDO LEONY (CO/NO/NE)"/>
    <n v="70"/>
    <x v="0"/>
    <n v="450"/>
  </r>
  <r>
    <x v="0"/>
    <x v="2"/>
    <x v="0"/>
    <n v="11214624000470"/>
    <x v="352"/>
    <s v="RECIFE"/>
    <s v="PE"/>
    <x v="1"/>
    <s v="FERNANDO LEONY (CO/NO/NE)"/>
    <n v="70"/>
    <x v="0"/>
    <n v="50"/>
  </r>
  <r>
    <x v="0"/>
    <x v="2"/>
    <x v="0"/>
    <n v="11794674000121"/>
    <x v="294"/>
    <s v="FORTALEZA"/>
    <s v="CE"/>
    <x v="1"/>
    <s v="FERNANDO LEONY (CO/NO/NE)"/>
    <n v="70"/>
    <x v="0"/>
    <n v="180"/>
  </r>
  <r>
    <x v="0"/>
    <x v="2"/>
    <x v="0"/>
    <n v="12361267009140"/>
    <x v="377"/>
    <s v="MOSSORO"/>
    <s v="RN"/>
    <x v="1"/>
    <s v="FERNANDO LEONY (CO/NO/NE)"/>
    <n v="70"/>
    <x v="0"/>
    <n v="5"/>
  </r>
  <r>
    <x v="0"/>
    <x v="2"/>
    <x v="0"/>
    <n v="12568570000161"/>
    <x v="378"/>
    <s v="FORTALEZA"/>
    <s v="CE"/>
    <x v="1"/>
    <s v="FERNANDO LEONY (CO/NO/NE)"/>
    <n v="70"/>
    <x v="0"/>
    <n v="-5"/>
  </r>
  <r>
    <x v="0"/>
    <x v="2"/>
    <x v="0"/>
    <n v="13131370000100"/>
    <x v="212"/>
    <s v="ARACAJU"/>
    <s v="SE"/>
    <x v="1"/>
    <s v="FERNANDO LEONY (CO/NO/NE)"/>
    <n v="70"/>
    <x v="0"/>
    <n v="300"/>
  </r>
  <r>
    <x v="0"/>
    <x v="2"/>
    <x v="0"/>
    <n v="15126437000496"/>
    <x v="219"/>
    <s v="SAO LUIS"/>
    <s v="MA"/>
    <x v="1"/>
    <s v="FERNANDO LEONY (CO/NO/NE)"/>
    <n v="70"/>
    <x v="0"/>
    <n v="500"/>
  </r>
  <r>
    <x v="0"/>
    <x v="2"/>
    <x v="0"/>
    <n v="15126437001204"/>
    <x v="401"/>
    <s v="CUIABA"/>
    <s v="MT"/>
    <x v="1"/>
    <s v="FERNANDO LEONY (CO/NO/NE)"/>
    <n v="70"/>
    <x v="0"/>
    <n v="750"/>
  </r>
  <r>
    <x v="0"/>
    <x v="2"/>
    <x v="0"/>
    <n v="15242761000127"/>
    <x v="230"/>
    <s v="SALVADOR"/>
    <s v="BA"/>
    <x v="1"/>
    <s v="FERNANDO LEONY (CO/NO/NE)"/>
    <n v="70"/>
    <x v="0"/>
    <n v="100"/>
  </r>
  <r>
    <x v="0"/>
    <x v="2"/>
    <x v="0"/>
    <n v="15592785000106"/>
    <x v="380"/>
    <s v="ARACAJU"/>
    <s v="SE"/>
    <x v="1"/>
    <s v="FERNANDO LEONY (CO/NO/NE)"/>
    <n v="70"/>
    <x v="0"/>
    <n v="30"/>
  </r>
  <r>
    <x v="0"/>
    <x v="2"/>
    <x v="0"/>
    <n v="29435005004620"/>
    <x v="249"/>
    <s v="BRASILIA"/>
    <s v="DF"/>
    <x v="1"/>
    <s v="FERNANDO LEONY (CO/NO/NE)"/>
    <n v="70"/>
    <x v="0"/>
    <n v="145"/>
  </r>
  <r>
    <x v="0"/>
    <x v="2"/>
    <x v="0"/>
    <n v="29435005007484"/>
    <x v="250"/>
    <s v="FORTALEZA"/>
    <s v="CE"/>
    <x v="1"/>
    <s v="FERNANDO LEONY (CO/NO/NE)"/>
    <n v="70"/>
    <x v="0"/>
    <n v="200"/>
  </r>
  <r>
    <x v="0"/>
    <x v="2"/>
    <x v="0"/>
    <n v="29435005009851"/>
    <x v="251"/>
    <s v="NATAL"/>
    <s v="RN"/>
    <x v="1"/>
    <s v="FERNANDO LEONY (CO/NO/NE)"/>
    <n v="70"/>
    <x v="0"/>
    <n v="125"/>
  </r>
  <r>
    <x v="0"/>
    <x v="2"/>
    <x v="0"/>
    <n v="30135335000188"/>
    <x v="392"/>
    <s v="BRASILIA"/>
    <s v="DF"/>
    <x v="1"/>
    <s v="FERNANDO LEONY (CO/NO/NE)"/>
    <n v="70"/>
    <x v="0"/>
    <n v="455"/>
  </r>
  <r>
    <x v="0"/>
    <x v="2"/>
    <x v="0"/>
    <n v="33000167002155"/>
    <x v="393"/>
    <s v="SENADOR CANEDO"/>
    <s v="GO"/>
    <x v="1"/>
    <s v="FERNANDO LEONY (CO/NO/NE)"/>
    <n v="70"/>
    <x v="0"/>
    <n v="25"/>
  </r>
  <r>
    <x v="0"/>
    <x v="2"/>
    <x v="0"/>
    <n v="60884855002289"/>
    <x v="256"/>
    <s v="BRASILIA"/>
    <s v="DF"/>
    <x v="1"/>
    <s v="FERNANDO LEONY (CO/NO/NE)"/>
    <n v="70"/>
    <x v="0"/>
    <n v="650"/>
  </r>
  <r>
    <x v="0"/>
    <x v="2"/>
    <x v="0"/>
    <n v="61590410001287"/>
    <x v="382"/>
    <s v="BRASILIA"/>
    <s v="DF"/>
    <x v="1"/>
    <s v="FERNANDO LEONY (CO/NO/NE)"/>
    <n v="70"/>
    <x v="0"/>
    <n v="170"/>
  </r>
  <r>
    <x v="0"/>
    <x v="2"/>
    <x v="0"/>
    <n v="83367342000252"/>
    <x v="384"/>
    <s v="BELEM"/>
    <s v="PA"/>
    <x v="1"/>
    <s v="FERNANDO LEONY (CO/NO/NE)"/>
    <n v="70"/>
    <x v="0"/>
    <n v="40"/>
  </r>
  <r>
    <x v="0"/>
    <x v="3"/>
    <x v="1"/>
    <n v="382069000127"/>
    <x v="323"/>
    <s v="BRASILIA"/>
    <s v="DF"/>
    <x v="1"/>
    <s v="FERNANDO LEONY (CO/NO/NE)"/>
    <n v="70"/>
    <x v="0"/>
    <n v="0"/>
  </r>
  <r>
    <x v="0"/>
    <x v="3"/>
    <x v="1"/>
    <n v="520237000101"/>
    <x v="164"/>
    <s v="BRASILIA"/>
    <s v="DF"/>
    <x v="1"/>
    <s v="FERNANDO LEONY (CO/NO/NE)"/>
    <n v="70"/>
    <x v="0"/>
    <n v="250"/>
  </r>
  <r>
    <x v="0"/>
    <x v="3"/>
    <x v="1"/>
    <n v="610980000144"/>
    <x v="165"/>
    <s v="BRASILIA"/>
    <s v="DF"/>
    <x v="1"/>
    <s v="FERNANDO LEONY (CO/NO/NE)"/>
    <n v="70"/>
    <x v="0"/>
    <n v="50"/>
  </r>
  <r>
    <x v="0"/>
    <x v="3"/>
    <x v="1"/>
    <n v="1011865000116"/>
    <x v="358"/>
    <s v="GOIANIA"/>
    <s v="GO"/>
    <x v="1"/>
    <s v="FERNANDO LEONY (CO/NO/NE)"/>
    <n v="70"/>
    <x v="0"/>
    <n v="150"/>
  </r>
  <r>
    <x v="0"/>
    <x v="3"/>
    <x v="1"/>
    <n v="2476067000394"/>
    <x v="363"/>
    <s v="GOIANIA"/>
    <s v="GO"/>
    <x v="1"/>
    <s v="FERNANDO LEONY (CO/NO/NE)"/>
    <n v="70"/>
    <x v="0"/>
    <n v="45"/>
  </r>
  <r>
    <x v="0"/>
    <x v="3"/>
    <x v="1"/>
    <n v="2560878000107"/>
    <x v="176"/>
    <s v="BRASILIA"/>
    <s v="DF"/>
    <x v="1"/>
    <s v="FERNANDO LEONY (CO/NO/NE)"/>
    <n v="70"/>
    <x v="0"/>
    <n v="5"/>
  </r>
  <r>
    <x v="0"/>
    <x v="3"/>
    <x v="1"/>
    <n v="3568867000136"/>
    <x v="402"/>
    <s v="BRASILIA"/>
    <s v="DF"/>
    <x v="1"/>
    <s v="FERNANDO LEONY (CO/NO/NE)"/>
    <n v="70"/>
    <x v="0"/>
    <n v="430"/>
  </r>
  <r>
    <x v="0"/>
    <x v="3"/>
    <x v="1"/>
    <n v="10839561000132"/>
    <x v="202"/>
    <s v="RECIFE"/>
    <s v="PE"/>
    <x v="1"/>
    <s v="FERNANDO LEONY (CO/NO/NE)"/>
    <n v="70"/>
    <x v="0"/>
    <n v="175"/>
  </r>
  <r>
    <x v="0"/>
    <x v="3"/>
    <x v="1"/>
    <n v="10942995000163"/>
    <x v="292"/>
    <s v="BRASILIA"/>
    <s v="DF"/>
    <x v="1"/>
    <s v="FERNANDO LEONY (CO/NO/NE)"/>
    <n v="70"/>
    <x v="0"/>
    <n v="350"/>
  </r>
  <r>
    <x v="0"/>
    <x v="3"/>
    <x v="1"/>
    <n v="60884855002289"/>
    <x v="256"/>
    <s v="BRASILIA"/>
    <s v="DF"/>
    <x v="1"/>
    <s v="FERNANDO LEONY (CO/NO/NE)"/>
    <n v="70"/>
    <x v="0"/>
    <n v="675"/>
  </r>
  <r>
    <x v="0"/>
    <x v="0"/>
    <x v="0"/>
    <n v="132229000180"/>
    <x v="403"/>
    <s v="BELO HORIZONTE"/>
    <s v="MG"/>
    <x v="2"/>
    <s v="RAFAEL ESTEVES (RJ/SPI/SUL)"/>
    <n v="70"/>
    <x v="0"/>
    <n v="120"/>
  </r>
  <r>
    <x v="0"/>
    <x v="1"/>
    <x v="0"/>
    <n v="132229000180"/>
    <x v="403"/>
    <s v="BELO HORIZONTE"/>
    <s v="MG"/>
    <x v="2"/>
    <s v="RAFAEL ESTEVES (RJ/SPI/SUL)"/>
    <n v="70"/>
    <x v="0"/>
    <n v="180"/>
  </r>
  <r>
    <x v="0"/>
    <x v="0"/>
    <x v="0"/>
    <n v="410960000120"/>
    <x v="159"/>
    <s v="BELO HORIZONTE"/>
    <s v="MG"/>
    <x v="2"/>
    <s v="RAFAEL ESTEVES (RJ/SPI/SUL)"/>
    <n v="70"/>
    <x v="0"/>
    <n v="882.5"/>
  </r>
  <r>
    <x v="0"/>
    <x v="1"/>
    <x v="0"/>
    <n v="410960000120"/>
    <x v="159"/>
    <s v="BELO HORIZONTE"/>
    <s v="MG"/>
    <x v="2"/>
    <s v="RAFAEL ESTEVES (RJ/SPI/SUL)"/>
    <n v="70"/>
    <x v="0"/>
    <n v="685"/>
  </r>
  <r>
    <x v="0"/>
    <x v="0"/>
    <x v="0"/>
    <n v="437007000175"/>
    <x v="161"/>
    <s v="NITEROI"/>
    <s v="RJ"/>
    <x v="2"/>
    <s v="RAFAEL ESTEVES (RJ/SPI/SUL)"/>
    <n v="70"/>
    <x v="0"/>
    <n v="420"/>
  </r>
  <r>
    <x v="0"/>
    <x v="1"/>
    <x v="0"/>
    <n v="437007000175"/>
    <x v="161"/>
    <s v="NITEROI"/>
    <s v="RJ"/>
    <x v="2"/>
    <s v="RAFAEL ESTEVES (RJ/SPI/SUL)"/>
    <n v="70"/>
    <x v="0"/>
    <n v="505"/>
  </r>
  <r>
    <x v="0"/>
    <x v="0"/>
    <x v="0"/>
    <n v="521197000104"/>
    <x v="404"/>
    <s v="NITEROI"/>
    <s v="RJ"/>
    <x v="2"/>
    <s v="RAFAEL ESTEVES (RJ/SPI/SUL)"/>
    <n v="70"/>
    <x v="0"/>
    <n v="237.5"/>
  </r>
  <r>
    <x v="0"/>
    <x v="1"/>
    <x v="0"/>
    <n v="521197000104"/>
    <x v="404"/>
    <s v="NITEROI"/>
    <s v="RJ"/>
    <x v="2"/>
    <s v="RAFAEL ESTEVES (RJ/SPI/SUL)"/>
    <n v="70"/>
    <x v="0"/>
    <n v="637.5"/>
  </r>
  <r>
    <x v="0"/>
    <x v="0"/>
    <x v="0"/>
    <n v="942063000167"/>
    <x v="405"/>
    <s v="CURITIBA"/>
    <s v="PR"/>
    <x v="2"/>
    <s v="RAFAEL ESTEVES (RJ/SPI/SUL)"/>
    <n v="70"/>
    <x v="0"/>
    <n v="1115"/>
  </r>
  <r>
    <x v="0"/>
    <x v="1"/>
    <x v="0"/>
    <n v="942063000167"/>
    <x v="405"/>
    <s v="CURITIBA"/>
    <s v="PR"/>
    <x v="2"/>
    <s v="RAFAEL ESTEVES (RJ/SPI/SUL)"/>
    <n v="70"/>
    <x v="0"/>
    <n v="1755"/>
  </r>
  <r>
    <x v="0"/>
    <x v="0"/>
    <x v="0"/>
    <n v="1125832000105"/>
    <x v="406"/>
    <s v="FLORIANOPOLIS"/>
    <s v="SC"/>
    <x v="2"/>
    <s v="RAFAEL ESTEVES (RJ/SPI/SUL)"/>
    <n v="70"/>
    <x v="0"/>
    <n v="120"/>
  </r>
  <r>
    <x v="0"/>
    <x v="1"/>
    <x v="0"/>
    <n v="1125832000105"/>
    <x v="406"/>
    <s v="FLORIANOPOLIS"/>
    <s v="SC"/>
    <x v="2"/>
    <s v="RAFAEL ESTEVES (RJ/SPI/SUL)"/>
    <n v="70"/>
    <x v="0"/>
    <n v="60"/>
  </r>
  <r>
    <x v="0"/>
    <x v="0"/>
    <x v="0"/>
    <n v="1396804000114"/>
    <x v="407"/>
    <s v="SERRA"/>
    <s v="ES"/>
    <x v="2"/>
    <s v="RAFAEL ESTEVES (RJ/SPI/SUL)"/>
    <n v="70"/>
    <x v="0"/>
    <n v="40"/>
  </r>
  <r>
    <x v="0"/>
    <x v="1"/>
    <x v="0"/>
    <n v="1396804000114"/>
    <x v="407"/>
    <s v="SERRA"/>
    <s v="ES"/>
    <x v="2"/>
    <s v="RAFAEL ESTEVES (RJ/SPI/SUL)"/>
    <n v="70"/>
    <x v="0"/>
    <n v="25"/>
  </r>
  <r>
    <x v="0"/>
    <x v="1"/>
    <x v="0"/>
    <n v="1517626000132"/>
    <x v="171"/>
    <s v="BALNEARIO CAMBORIU"/>
    <s v="SC"/>
    <x v="2"/>
    <s v="RAFAEL ESTEVES (RJ/SPI/SUL)"/>
    <n v="70"/>
    <x v="0"/>
    <n v="190"/>
  </r>
  <r>
    <x v="0"/>
    <x v="0"/>
    <x v="0"/>
    <n v="1554266000300"/>
    <x v="408"/>
    <s v="BRUSQUE"/>
    <s v="SC"/>
    <x v="2"/>
    <s v="RAFAEL ESTEVES (RJ/SPI/SUL)"/>
    <n v="70"/>
    <x v="0"/>
    <n v="35"/>
  </r>
  <r>
    <x v="0"/>
    <x v="1"/>
    <x v="0"/>
    <n v="1554266000300"/>
    <x v="408"/>
    <s v="BRUSQUE"/>
    <s v="SC"/>
    <x v="2"/>
    <s v="RAFAEL ESTEVES (RJ/SPI/SUL)"/>
    <n v="70"/>
    <x v="0"/>
    <n v="140"/>
  </r>
  <r>
    <x v="0"/>
    <x v="0"/>
    <x v="0"/>
    <n v="2623693000102"/>
    <x v="409"/>
    <s v="BELO HORIZONTE"/>
    <s v="MG"/>
    <x v="2"/>
    <s v="RAFAEL ESTEVES (RJ/SPI/SUL)"/>
    <n v="70"/>
    <x v="0"/>
    <n v="20"/>
  </r>
  <r>
    <x v="0"/>
    <x v="0"/>
    <x v="0"/>
    <n v="2862447000286"/>
    <x v="410"/>
    <s v="CURITIBA"/>
    <s v="PR"/>
    <x v="2"/>
    <s v="RAFAEL ESTEVES (RJ/SPI/SUL)"/>
    <n v="70"/>
    <x v="0"/>
    <n v="40"/>
  </r>
  <r>
    <x v="0"/>
    <x v="0"/>
    <x v="0"/>
    <n v="3824198000116"/>
    <x v="411"/>
    <s v="CURITIBA"/>
    <s v="PR"/>
    <x v="2"/>
    <s v="RAFAEL ESTEVES (RJ/SPI/SUL)"/>
    <n v="70"/>
    <x v="0"/>
    <n v="250"/>
  </r>
  <r>
    <x v="0"/>
    <x v="1"/>
    <x v="0"/>
    <n v="3824198000116"/>
    <x v="411"/>
    <s v="CURITIBA"/>
    <s v="PR"/>
    <x v="2"/>
    <s v="RAFAEL ESTEVES (RJ/SPI/SUL)"/>
    <n v="70"/>
    <x v="0"/>
    <n v="250"/>
  </r>
  <r>
    <x v="0"/>
    <x v="0"/>
    <x v="0"/>
    <n v="3850913000195"/>
    <x v="412"/>
    <s v="CURITIBA"/>
    <s v="PR"/>
    <x v="2"/>
    <s v="RAFAEL ESTEVES (RJ/SPI/SUL)"/>
    <n v="70"/>
    <x v="0"/>
    <n v="665"/>
  </r>
  <r>
    <x v="0"/>
    <x v="1"/>
    <x v="0"/>
    <n v="3850913000195"/>
    <x v="412"/>
    <s v="CURITIBA"/>
    <s v="PR"/>
    <x v="2"/>
    <s v="RAFAEL ESTEVES (RJ/SPI/SUL)"/>
    <n v="70"/>
    <x v="0"/>
    <n v="520"/>
  </r>
  <r>
    <x v="0"/>
    <x v="1"/>
    <x v="0"/>
    <n v="1880344000103"/>
    <x v="413"/>
    <s v="BLUMENAU"/>
    <s v="SC"/>
    <x v="2"/>
    <s v="RAFAEL ESTEVES (RJ/SPI/SUL)"/>
    <n v="70"/>
    <x v="0"/>
    <n v="70"/>
  </r>
  <r>
    <x v="0"/>
    <x v="0"/>
    <x v="0"/>
    <n v="4670913000176"/>
    <x v="414"/>
    <s v="FLORIANOPOLIS"/>
    <s v="SC"/>
    <x v="2"/>
    <s v="RAFAEL ESTEVES (RJ/SPI/SUL)"/>
    <n v="70"/>
    <x v="0"/>
    <n v="215"/>
  </r>
  <r>
    <x v="0"/>
    <x v="0"/>
    <x v="0"/>
    <n v="7039651000134"/>
    <x v="415"/>
    <s v="COLATINA"/>
    <s v="ES"/>
    <x v="2"/>
    <s v="RAFAEL ESTEVES (RJ/SPI/SUL)"/>
    <n v="70"/>
    <x v="0"/>
    <n v="15"/>
  </r>
  <r>
    <x v="0"/>
    <x v="0"/>
    <x v="0"/>
    <n v="7088017000191"/>
    <x v="416"/>
    <s v="CAMPINA GRANDE DO SUL"/>
    <s v="PR"/>
    <x v="2"/>
    <s v="RAFAEL ESTEVES (RJ/SPI/SUL)"/>
    <n v="70"/>
    <x v="0"/>
    <n v="120"/>
  </r>
  <r>
    <x v="0"/>
    <x v="0"/>
    <x v="0"/>
    <n v="7404052000172"/>
    <x v="417"/>
    <s v="CURITIBA"/>
    <s v="PR"/>
    <x v="2"/>
    <s v="RAFAEL ESTEVES (RJ/SPI/SUL)"/>
    <n v="70"/>
    <x v="0"/>
    <n v="105"/>
  </r>
  <r>
    <x v="0"/>
    <x v="0"/>
    <x v="0"/>
    <n v="7734165000136"/>
    <x v="286"/>
    <s v="CURITIBA"/>
    <s v="PR"/>
    <x v="2"/>
    <s v="RAFAEL ESTEVES (RJ/SPI/SUL)"/>
    <n v="70"/>
    <x v="0"/>
    <n v="4500"/>
  </r>
  <r>
    <x v="0"/>
    <x v="0"/>
    <x v="0"/>
    <n v="7794623002257"/>
    <x v="418"/>
    <s v="SAO JOSE DOS PINHAIS"/>
    <s v="PR"/>
    <x v="2"/>
    <s v="RAFAEL ESTEVES (RJ/SPI/SUL)"/>
    <n v="70"/>
    <x v="0"/>
    <n v="515"/>
  </r>
  <r>
    <x v="0"/>
    <x v="0"/>
    <x v="0"/>
    <n v="8597121000174"/>
    <x v="289"/>
    <s v="CURITIBA"/>
    <s v="PR"/>
    <x v="2"/>
    <s v="RAFAEL ESTEVES (RJ/SPI/SUL)"/>
    <n v="70"/>
    <x v="0"/>
    <n v="14000"/>
  </r>
  <r>
    <x v="0"/>
    <x v="0"/>
    <x v="0"/>
    <n v="9572216000287"/>
    <x v="419"/>
    <s v="CRUZ ALTA"/>
    <s v="RS"/>
    <x v="2"/>
    <s v="RAFAEL ESTEVES (RJ/SPI/SUL)"/>
    <n v="70"/>
    <x v="0"/>
    <n v="90"/>
  </r>
  <r>
    <x v="0"/>
    <x v="0"/>
    <x v="0"/>
    <n v="9605231000284"/>
    <x v="420"/>
    <s v="SANTA MARIA"/>
    <s v="RS"/>
    <x v="2"/>
    <s v="RAFAEL ESTEVES (RJ/SPI/SUL)"/>
    <n v="70"/>
    <x v="0"/>
    <n v="100"/>
  </r>
  <r>
    <x v="0"/>
    <x v="0"/>
    <x v="0"/>
    <n v="20207543000191"/>
    <x v="421"/>
    <s v="UBERLANDIA"/>
    <s v="MG"/>
    <x v="2"/>
    <s v="RAFAEL ESTEVES (RJ/SPI/SUL)"/>
    <n v="70"/>
    <x v="0"/>
    <n v="310"/>
  </r>
  <r>
    <x v="0"/>
    <x v="0"/>
    <x v="0"/>
    <n v="21998635000108"/>
    <x v="422"/>
    <s v="CASCAVEL"/>
    <s v="PR"/>
    <x v="2"/>
    <s v="RAFAEL ESTEVES (RJ/SPI/SUL)"/>
    <n v="70"/>
    <x v="0"/>
    <n v="20"/>
  </r>
  <r>
    <x v="0"/>
    <x v="0"/>
    <x v="0"/>
    <n v="23278898000160"/>
    <x v="423"/>
    <s v="PASSOS"/>
    <s v="MG"/>
    <x v="2"/>
    <s v="RAFAEL ESTEVES (RJ/SPI/SUL)"/>
    <n v="70"/>
    <x v="0"/>
    <n v="120"/>
  </r>
  <r>
    <x v="0"/>
    <x v="0"/>
    <x v="0"/>
    <n v="25648387000207"/>
    <x v="424"/>
    <s v="UBERLANDIA"/>
    <s v="MG"/>
    <x v="2"/>
    <s v="RAFAEL ESTEVES (RJ/SPI/SUL)"/>
    <n v="70"/>
    <x v="0"/>
    <n v="400"/>
  </r>
  <r>
    <x v="0"/>
    <x v="0"/>
    <x v="0"/>
    <n v="27080605001591"/>
    <x v="425"/>
    <s v="SERRA"/>
    <s v="ES"/>
    <x v="2"/>
    <s v="RAFAEL ESTEVES (RJ/SPI/SUL)"/>
    <n v="70"/>
    <x v="0"/>
    <n v="1000"/>
  </r>
  <r>
    <x v="0"/>
    <x v="0"/>
    <x v="0"/>
    <n v="28137925000106"/>
    <x v="426"/>
    <s v="VITORIA"/>
    <s v="ES"/>
    <x v="2"/>
    <s v="RAFAEL ESTEVES (RJ/SPI/SUL)"/>
    <n v="70"/>
    <x v="0"/>
    <n v="100"/>
  </r>
  <r>
    <x v="0"/>
    <x v="0"/>
    <x v="0"/>
    <n v="29135795000208"/>
    <x v="427"/>
    <s v="NOVA FRIBURGO"/>
    <s v="RJ"/>
    <x v="2"/>
    <s v="RAFAEL ESTEVES (RJ/SPI/SUL)"/>
    <n v="70"/>
    <x v="0"/>
    <n v="100"/>
  </r>
  <r>
    <x v="0"/>
    <x v="0"/>
    <x v="0"/>
    <n v="29435005005600"/>
    <x v="428"/>
    <s v="CURITIBA"/>
    <s v="PR"/>
    <x v="2"/>
    <s v="RAFAEL ESTEVES (RJ/SPI/SUL)"/>
    <n v="70"/>
    <x v="0"/>
    <n v="180"/>
  </r>
  <r>
    <x v="0"/>
    <x v="0"/>
    <x v="0"/>
    <n v="30117769000155"/>
    <x v="429"/>
    <s v="CURITIBA"/>
    <s v="PR"/>
    <x v="2"/>
    <s v="RAFAEL ESTEVES (RJ/SPI/SUL)"/>
    <n v="70"/>
    <x v="0"/>
    <n v="265"/>
  </r>
  <r>
    <x v="0"/>
    <x v="0"/>
    <x v="0"/>
    <n v="39387477000107"/>
    <x v="430"/>
    <s v="VITORIA"/>
    <s v="ES"/>
    <x v="2"/>
    <s v="RAFAEL ESTEVES (RJ/SPI/SUL)"/>
    <n v="70"/>
    <x v="0"/>
    <n v="180"/>
  </r>
  <r>
    <x v="0"/>
    <x v="0"/>
    <x v="0"/>
    <n v="41781949000234"/>
    <x v="431"/>
    <s v="POCOS DE CALDAS"/>
    <s v="MG"/>
    <x v="2"/>
    <s v="RAFAEL ESTEVES (RJ/SPI/SUL)"/>
    <n v="70"/>
    <x v="0"/>
    <n v="150"/>
  </r>
  <r>
    <x v="0"/>
    <x v="0"/>
    <x v="0"/>
    <n v="60884855001207"/>
    <x v="255"/>
    <s v="NITEROI"/>
    <s v="RJ"/>
    <x v="2"/>
    <s v="RAFAEL ESTEVES (RJ/SPI/SUL)"/>
    <n v="70"/>
    <x v="0"/>
    <n v="440"/>
  </r>
  <r>
    <x v="0"/>
    <x v="0"/>
    <x v="0"/>
    <n v="68709211000212"/>
    <x v="311"/>
    <s v="RESENDE"/>
    <s v="RJ"/>
    <x v="2"/>
    <s v="RAFAEL ESTEVES (RJ/SPI/SUL)"/>
    <n v="70"/>
    <x v="0"/>
    <n v="300"/>
  </r>
  <r>
    <x v="0"/>
    <x v="0"/>
    <x v="0"/>
    <n v="73863342000109"/>
    <x v="432"/>
    <s v="LONDRINA"/>
    <s v="PR"/>
    <x v="2"/>
    <s v="RAFAEL ESTEVES (RJ/SPI/SUL)"/>
    <n v="70"/>
    <x v="0"/>
    <n v="10"/>
  </r>
  <r>
    <x v="0"/>
    <x v="0"/>
    <x v="0"/>
    <n v="75222224001895"/>
    <x v="433"/>
    <s v="LONDRINA"/>
    <s v="PR"/>
    <x v="2"/>
    <s v="RAFAEL ESTEVES (RJ/SPI/SUL)"/>
    <n v="70"/>
    <x v="0"/>
    <n v="600"/>
  </r>
  <r>
    <x v="0"/>
    <x v="0"/>
    <x v="0"/>
    <n v="76562198000169"/>
    <x v="434"/>
    <s v="CURITIBA"/>
    <s v="PR"/>
    <x v="2"/>
    <s v="RAFAEL ESTEVES (RJ/SPI/SUL)"/>
    <n v="70"/>
    <x v="0"/>
    <n v="27.5"/>
  </r>
  <r>
    <x v="0"/>
    <x v="0"/>
    <x v="0"/>
    <n v="76591569000130"/>
    <x v="262"/>
    <s v="CURITIBA"/>
    <s v="PR"/>
    <x v="2"/>
    <s v="RAFAEL ESTEVES (RJ/SPI/SUL)"/>
    <n v="70"/>
    <x v="0"/>
    <n v="200"/>
  </r>
  <r>
    <x v="0"/>
    <x v="0"/>
    <x v="0"/>
    <n v="76659820002367"/>
    <x v="435"/>
    <s v="CURITIBA"/>
    <s v="PR"/>
    <x v="2"/>
    <s v="RAFAEL ESTEVES (RJ/SPI/SUL)"/>
    <n v="70"/>
    <x v="0"/>
    <n v="40"/>
  </r>
  <r>
    <x v="0"/>
    <x v="0"/>
    <x v="0"/>
    <n v="77265361000194"/>
    <x v="436"/>
    <s v="MARINGA"/>
    <s v="PR"/>
    <x v="2"/>
    <s v="RAFAEL ESTEVES (RJ/SPI/SUL)"/>
    <n v="70"/>
    <x v="0"/>
    <n v="100"/>
  </r>
  <r>
    <x v="0"/>
    <x v="0"/>
    <x v="0"/>
    <n v="77858611001414"/>
    <x v="312"/>
    <s v="SAO JOSE"/>
    <s v="SC"/>
    <x v="2"/>
    <s v="RAFAEL ESTEVES (RJ/SPI/SUL)"/>
    <n v="70"/>
    <x v="0"/>
    <n v="200"/>
  </r>
  <r>
    <x v="0"/>
    <x v="0"/>
    <x v="0"/>
    <n v="80490618000116"/>
    <x v="437"/>
    <s v="TUBARAO"/>
    <s v="SC"/>
    <x v="2"/>
    <s v="RAFAEL ESTEVES (RJ/SPI/SUL)"/>
    <n v="70"/>
    <x v="0"/>
    <n v="80"/>
  </r>
  <r>
    <x v="0"/>
    <x v="0"/>
    <x v="0"/>
    <n v="80673411000187"/>
    <x v="263"/>
    <s v="FLORIANOPOLIS"/>
    <s v="SC"/>
    <x v="2"/>
    <s v="RAFAEL ESTEVES (RJ/SPI/SUL)"/>
    <n v="70"/>
    <x v="0"/>
    <n v="240"/>
  </r>
  <r>
    <x v="0"/>
    <x v="0"/>
    <x v="0"/>
    <n v="82624776000651"/>
    <x v="438"/>
    <s v="BLUMENAU"/>
    <s v="SC"/>
    <x v="2"/>
    <s v="RAFAEL ESTEVES (RJ/SPI/SUL)"/>
    <n v="70"/>
    <x v="0"/>
    <n v="450"/>
  </r>
  <r>
    <x v="0"/>
    <x v="0"/>
    <x v="0"/>
    <n v="83884999000106"/>
    <x v="439"/>
    <s v="FLORIANOPOLIS"/>
    <s v="SC"/>
    <x v="2"/>
    <s v="RAFAEL ESTEVES (RJ/SPI/SUL)"/>
    <n v="70"/>
    <x v="0"/>
    <n v="300"/>
  </r>
  <r>
    <x v="0"/>
    <x v="0"/>
    <x v="0"/>
    <n v="87317764001084"/>
    <x v="313"/>
    <s v="PORTO ALEGRE"/>
    <s v="RS"/>
    <x v="2"/>
    <s v="RAFAEL ESTEVES (RJ/SPI/SUL)"/>
    <n v="70"/>
    <x v="0"/>
    <n v="330"/>
  </r>
  <r>
    <x v="0"/>
    <x v="0"/>
    <x v="0"/>
    <n v="87607149000626"/>
    <x v="440"/>
    <s v="PASSO FUNDO"/>
    <s v="RS"/>
    <x v="2"/>
    <s v="RAFAEL ESTEVES (RJ/SPI/SUL)"/>
    <n v="70"/>
    <x v="0"/>
    <n v="240"/>
  </r>
  <r>
    <x v="0"/>
    <x v="0"/>
    <x v="0"/>
    <n v="87827689002405"/>
    <x v="268"/>
    <s v="CAXIAS DO SUL"/>
    <s v="RS"/>
    <x v="2"/>
    <s v="RAFAEL ESTEVES (RJ/SPI/SUL)"/>
    <n v="70"/>
    <x v="0"/>
    <n v="90"/>
  </r>
  <r>
    <x v="0"/>
    <x v="0"/>
    <x v="0"/>
    <n v="94831294000147"/>
    <x v="441"/>
    <s v="PORTO ALEGRE"/>
    <s v="RS"/>
    <x v="2"/>
    <s v="RAFAEL ESTEVES (RJ/SPI/SUL)"/>
    <n v="70"/>
    <x v="0"/>
    <n v="30"/>
  </r>
  <r>
    <x v="0"/>
    <x v="0"/>
    <x v="0"/>
    <n v="95610887000146"/>
    <x v="279"/>
    <s v="SANTA MARIA"/>
    <s v="RS"/>
    <x v="2"/>
    <s v="RAFAEL ESTEVES (RJ/SPI/SUL)"/>
    <n v="70"/>
    <x v="0"/>
    <n v="300"/>
  </r>
  <r>
    <x v="0"/>
    <x v="1"/>
    <x v="0"/>
    <n v="4670913000176"/>
    <x v="414"/>
    <s v="FLORIANOPOLIS"/>
    <s v="SC"/>
    <x v="2"/>
    <s v="RAFAEL ESTEVES (RJ/SPI/SUL)"/>
    <n v="70"/>
    <x v="0"/>
    <n v="245"/>
  </r>
  <r>
    <x v="0"/>
    <x v="1"/>
    <x v="0"/>
    <n v="4762301000103"/>
    <x v="442"/>
    <s v="LONDRINA"/>
    <s v="PR"/>
    <x v="2"/>
    <s v="RAFAEL ESTEVES (RJ/SPI/SUL)"/>
    <n v="70"/>
    <x v="0"/>
    <n v="180"/>
  </r>
  <r>
    <x v="0"/>
    <x v="1"/>
    <x v="0"/>
    <n v="7404052000172"/>
    <x v="417"/>
    <s v="CURITIBA"/>
    <s v="PR"/>
    <x v="2"/>
    <s v="RAFAEL ESTEVES (RJ/SPI/SUL)"/>
    <n v="70"/>
    <x v="0"/>
    <n v="45"/>
  </r>
  <r>
    <x v="0"/>
    <x v="1"/>
    <x v="0"/>
    <n v="7734165000136"/>
    <x v="286"/>
    <s v="CURITIBA"/>
    <s v="PR"/>
    <x v="2"/>
    <s v="RAFAEL ESTEVES (RJ/SPI/SUL)"/>
    <n v="70"/>
    <x v="0"/>
    <n v="4350"/>
  </r>
  <r>
    <x v="0"/>
    <x v="1"/>
    <x v="0"/>
    <n v="7794623002257"/>
    <x v="418"/>
    <s v="SAO JOSE DOS PINHAIS"/>
    <s v="PR"/>
    <x v="2"/>
    <s v="RAFAEL ESTEVES (RJ/SPI/SUL)"/>
    <n v="70"/>
    <x v="0"/>
    <n v="415"/>
  </r>
  <r>
    <x v="0"/>
    <x v="1"/>
    <x v="0"/>
    <n v="9579964000291"/>
    <x v="443"/>
    <s v="CURITIBA"/>
    <s v="PR"/>
    <x v="2"/>
    <s v="RAFAEL ESTEVES (RJ/SPI/SUL)"/>
    <n v="70"/>
    <x v="0"/>
    <n v="1250"/>
  </r>
  <r>
    <x v="0"/>
    <x v="1"/>
    <x v="0"/>
    <n v="11055682000156"/>
    <x v="444"/>
    <s v="NOVO HAMBURGO"/>
    <s v="RS"/>
    <x v="2"/>
    <s v="RAFAEL ESTEVES (RJ/SPI/SUL)"/>
    <n v="70"/>
    <x v="0"/>
    <n v="225"/>
  </r>
  <r>
    <x v="0"/>
    <x v="1"/>
    <x v="0"/>
    <n v="12361267004261"/>
    <x v="445"/>
    <s v="JOINVILLE"/>
    <s v="SC"/>
    <x v="2"/>
    <s v="RAFAEL ESTEVES (RJ/SPI/SUL)"/>
    <n v="70"/>
    <x v="0"/>
    <n v="120"/>
  </r>
  <r>
    <x v="0"/>
    <x v="1"/>
    <x v="0"/>
    <n v="12508728000108"/>
    <x v="446"/>
    <s v="SANTA MARIA"/>
    <s v="RS"/>
    <x v="2"/>
    <s v="RAFAEL ESTEVES (RJ/SPI/SUL)"/>
    <n v="70"/>
    <x v="0"/>
    <n v="40"/>
  </r>
  <r>
    <x v="0"/>
    <x v="1"/>
    <x v="0"/>
    <n v="17774738000613"/>
    <x v="447"/>
    <s v="UBERABA"/>
    <s v="MG"/>
    <x v="2"/>
    <s v="RAFAEL ESTEVES (RJ/SPI/SUL)"/>
    <n v="70"/>
    <x v="0"/>
    <n v="180"/>
  </r>
  <r>
    <x v="0"/>
    <x v="1"/>
    <x v="0"/>
    <n v="19274091000181"/>
    <x v="448"/>
    <s v="CARANGOLA"/>
    <s v="MG"/>
    <x v="2"/>
    <s v="RAFAEL ESTEVES (RJ/SPI/SUL)"/>
    <n v="70"/>
    <x v="0"/>
    <n v="140"/>
  </r>
  <r>
    <x v="0"/>
    <x v="1"/>
    <x v="0"/>
    <n v="23278898000160"/>
    <x v="423"/>
    <s v="PASSOS"/>
    <s v="MG"/>
    <x v="2"/>
    <s v="RAFAEL ESTEVES (RJ/SPI/SUL)"/>
    <n v="70"/>
    <x v="0"/>
    <n v="120"/>
  </r>
  <r>
    <x v="0"/>
    <x v="1"/>
    <x v="0"/>
    <n v="27080605000358"/>
    <x v="449"/>
    <s v="SAO MATEUS"/>
    <s v="ES"/>
    <x v="2"/>
    <s v="RAFAEL ESTEVES (RJ/SPI/SUL)"/>
    <n v="70"/>
    <x v="0"/>
    <n v="300"/>
  </r>
  <r>
    <x v="0"/>
    <x v="1"/>
    <x v="0"/>
    <n v="27578434001525"/>
    <x v="306"/>
    <s v="VITORIA"/>
    <s v="ES"/>
    <x v="2"/>
    <s v="RAFAEL ESTEVES (RJ/SPI/SUL)"/>
    <n v="70"/>
    <x v="0"/>
    <n v="1500"/>
  </r>
  <r>
    <x v="0"/>
    <x v="1"/>
    <x v="0"/>
    <n v="29135795000208"/>
    <x v="427"/>
    <s v="NOVA FRIBURGO"/>
    <s v="RJ"/>
    <x v="2"/>
    <s v="RAFAEL ESTEVES (RJ/SPI/SUL)"/>
    <n v="70"/>
    <x v="0"/>
    <n v="275"/>
  </r>
  <r>
    <x v="0"/>
    <x v="1"/>
    <x v="0"/>
    <n v="29435005003497"/>
    <x v="354"/>
    <s v="DUQUE DE CAXIAS"/>
    <s v="RJ"/>
    <x v="2"/>
    <s v="RAFAEL ESTEVES (RJ/SPI/SUL)"/>
    <n v="70"/>
    <x v="0"/>
    <n v="150"/>
  </r>
  <r>
    <x v="0"/>
    <x v="1"/>
    <x v="0"/>
    <n v="29435005005600"/>
    <x v="428"/>
    <s v="CURITIBA"/>
    <s v="PR"/>
    <x v="2"/>
    <s v="RAFAEL ESTEVES (RJ/SPI/SUL)"/>
    <n v="70"/>
    <x v="0"/>
    <n v="255"/>
  </r>
  <r>
    <x v="0"/>
    <x v="1"/>
    <x v="0"/>
    <n v="30537740000122"/>
    <x v="450"/>
    <s v="NOVA FRIBURGO"/>
    <s v="RJ"/>
    <x v="2"/>
    <s v="RAFAEL ESTEVES (RJ/SPI/SUL)"/>
    <n v="70"/>
    <x v="0"/>
    <n v="215"/>
  </r>
  <r>
    <x v="0"/>
    <x v="1"/>
    <x v="0"/>
    <n v="36238913000198"/>
    <x v="346"/>
    <s v="TERESOPOLIS"/>
    <s v="RJ"/>
    <x v="2"/>
    <s v="RAFAEL ESTEVES (RJ/SPI/SUL)"/>
    <n v="70"/>
    <x v="0"/>
    <n v="125"/>
  </r>
  <r>
    <x v="0"/>
    <x v="1"/>
    <x v="0"/>
    <n v="39387477000107"/>
    <x v="430"/>
    <s v="VITORIA"/>
    <s v="ES"/>
    <x v="2"/>
    <s v="RAFAEL ESTEVES (RJ/SPI/SUL)"/>
    <n v="70"/>
    <x v="0"/>
    <n v="75"/>
  </r>
  <r>
    <x v="0"/>
    <x v="1"/>
    <x v="0"/>
    <n v="41781949000234"/>
    <x v="431"/>
    <s v="POCOS DE CALDAS"/>
    <s v="MG"/>
    <x v="2"/>
    <s v="RAFAEL ESTEVES (RJ/SPI/SUL)"/>
    <n v="70"/>
    <x v="0"/>
    <n v="40"/>
  </r>
  <r>
    <x v="0"/>
    <x v="1"/>
    <x v="0"/>
    <n v="60884855001207"/>
    <x v="255"/>
    <s v="NITEROI"/>
    <s v="RJ"/>
    <x v="2"/>
    <s v="RAFAEL ESTEVES (RJ/SPI/SUL)"/>
    <n v="70"/>
    <x v="0"/>
    <n v="985"/>
  </r>
  <r>
    <x v="0"/>
    <x v="1"/>
    <x v="0"/>
    <n v="68709211000212"/>
    <x v="311"/>
    <s v="RESENDE"/>
    <s v="RJ"/>
    <x v="2"/>
    <s v="RAFAEL ESTEVES (RJ/SPI/SUL)"/>
    <n v="70"/>
    <x v="0"/>
    <n v="200"/>
  </r>
  <r>
    <x v="0"/>
    <x v="1"/>
    <x v="0"/>
    <n v="73863342000109"/>
    <x v="432"/>
    <s v="LONDRINA"/>
    <s v="PR"/>
    <x v="2"/>
    <s v="RAFAEL ESTEVES (RJ/SPI/SUL)"/>
    <n v="70"/>
    <x v="0"/>
    <n v="20"/>
  </r>
  <r>
    <x v="0"/>
    <x v="1"/>
    <x v="0"/>
    <n v="75222224001895"/>
    <x v="433"/>
    <s v="LONDRINA"/>
    <s v="PR"/>
    <x v="2"/>
    <s v="RAFAEL ESTEVES (RJ/SPI/SUL)"/>
    <n v="70"/>
    <x v="0"/>
    <n v="1200"/>
  </r>
  <r>
    <x v="0"/>
    <x v="1"/>
    <x v="0"/>
    <n v="76498013000102"/>
    <x v="451"/>
    <s v="CURITIBA"/>
    <s v="PR"/>
    <x v="2"/>
    <s v="RAFAEL ESTEVES (RJ/SPI/SUL)"/>
    <n v="70"/>
    <x v="0"/>
    <n v="55"/>
  </r>
  <r>
    <x v="0"/>
    <x v="1"/>
    <x v="0"/>
    <n v="76555069000143"/>
    <x v="261"/>
    <s v="CURITIBA"/>
    <s v="PR"/>
    <x v="2"/>
    <s v="RAFAEL ESTEVES (RJ/SPI/SUL)"/>
    <n v="70"/>
    <x v="0"/>
    <n v="170"/>
  </r>
  <r>
    <x v="0"/>
    <x v="1"/>
    <x v="0"/>
    <n v="76591569000130"/>
    <x v="262"/>
    <s v="CURITIBA"/>
    <s v="PR"/>
    <x v="2"/>
    <s v="RAFAEL ESTEVES (RJ/SPI/SUL)"/>
    <n v="70"/>
    <x v="0"/>
    <n v="250"/>
  </r>
  <r>
    <x v="0"/>
    <x v="1"/>
    <x v="0"/>
    <n v="76659820002367"/>
    <x v="435"/>
    <s v="CURITIBA"/>
    <s v="PR"/>
    <x v="2"/>
    <s v="RAFAEL ESTEVES (RJ/SPI/SUL)"/>
    <n v="70"/>
    <x v="0"/>
    <n v="315"/>
  </r>
  <r>
    <x v="0"/>
    <x v="1"/>
    <x v="0"/>
    <n v="78633088000176"/>
    <x v="452"/>
    <s v="LONDRINA"/>
    <s v="PR"/>
    <x v="2"/>
    <s v="RAFAEL ESTEVES (RJ/SPI/SUL)"/>
    <n v="70"/>
    <x v="0"/>
    <n v="10"/>
  </r>
  <r>
    <x v="0"/>
    <x v="1"/>
    <x v="0"/>
    <n v="79115762000193"/>
    <x v="453"/>
    <s v="MARINGA"/>
    <s v="PR"/>
    <x v="2"/>
    <s v="RAFAEL ESTEVES (RJ/SPI/SUL)"/>
    <n v="70"/>
    <x v="0"/>
    <n v="225"/>
  </r>
  <r>
    <x v="0"/>
    <x v="1"/>
    <x v="0"/>
    <n v="80490618000116"/>
    <x v="437"/>
    <s v="TUBARAO"/>
    <s v="SC"/>
    <x v="2"/>
    <s v="RAFAEL ESTEVES (RJ/SPI/SUL)"/>
    <n v="70"/>
    <x v="0"/>
    <n v="60"/>
  </r>
  <r>
    <x v="0"/>
    <x v="1"/>
    <x v="0"/>
    <n v="87096616003101"/>
    <x v="454"/>
    <s v="PORTO ALEGRE"/>
    <s v="RS"/>
    <x v="2"/>
    <s v="RAFAEL ESTEVES (RJ/SPI/SUL)"/>
    <n v="70"/>
    <x v="0"/>
    <n v="1500"/>
  </r>
  <r>
    <x v="0"/>
    <x v="1"/>
    <x v="0"/>
    <n v="87317764001084"/>
    <x v="313"/>
    <s v="PORTO ALEGRE"/>
    <s v="RS"/>
    <x v="2"/>
    <s v="RAFAEL ESTEVES (RJ/SPI/SUL)"/>
    <n v="70"/>
    <x v="0"/>
    <n v="240"/>
  </r>
  <r>
    <x v="0"/>
    <x v="1"/>
    <x v="0"/>
    <n v="87607149000626"/>
    <x v="440"/>
    <s v="PASSO FUNDO"/>
    <s v="RS"/>
    <x v="2"/>
    <s v="RAFAEL ESTEVES (RJ/SPI/SUL)"/>
    <n v="70"/>
    <x v="0"/>
    <n v="235"/>
  </r>
  <r>
    <x v="0"/>
    <x v="1"/>
    <x v="0"/>
    <n v="87638334000505"/>
    <x v="455"/>
    <s v="ERECHIM"/>
    <s v="RS"/>
    <x v="2"/>
    <s v="RAFAEL ESTEVES (RJ/SPI/SUL)"/>
    <n v="70"/>
    <x v="0"/>
    <n v="10"/>
  </r>
  <r>
    <x v="0"/>
    <x v="1"/>
    <x v="0"/>
    <n v="87827689002405"/>
    <x v="268"/>
    <s v="CAXIAS DO SUL"/>
    <s v="RS"/>
    <x v="2"/>
    <s v="RAFAEL ESTEVES (RJ/SPI/SUL)"/>
    <n v="70"/>
    <x v="0"/>
    <n v="90"/>
  </r>
  <r>
    <x v="0"/>
    <x v="1"/>
    <x v="0"/>
    <n v="88625686002443"/>
    <x v="270"/>
    <s v="PORTO ALEGRE"/>
    <s v="RS"/>
    <x v="2"/>
    <s v="RAFAEL ESTEVES (RJ/SPI/SUL)"/>
    <n v="70"/>
    <x v="0"/>
    <n v="240"/>
  </r>
  <r>
    <x v="0"/>
    <x v="1"/>
    <x v="0"/>
    <n v="88830609000139"/>
    <x v="456"/>
    <s v="CAXIAS DO SUL"/>
    <s v="RS"/>
    <x v="2"/>
    <s v="RAFAEL ESTEVES (RJ/SPI/SUL)"/>
    <n v="70"/>
    <x v="0"/>
    <n v="140"/>
  </r>
  <r>
    <x v="0"/>
    <x v="1"/>
    <x v="0"/>
    <n v="92815000000168"/>
    <x v="276"/>
    <s v="PORTO ALEGRE"/>
    <s v="RS"/>
    <x v="2"/>
    <s v="RAFAEL ESTEVES (RJ/SPI/SUL)"/>
    <n v="70"/>
    <x v="0"/>
    <n v="90"/>
  </r>
  <r>
    <x v="0"/>
    <x v="1"/>
    <x v="0"/>
    <n v="92963560000160"/>
    <x v="316"/>
    <s v="PORTO ALEGRE"/>
    <s v="RS"/>
    <x v="2"/>
    <s v="RAFAEL ESTEVES (RJ/SPI/SUL)"/>
    <n v="70"/>
    <x v="0"/>
    <n v="100"/>
  </r>
  <r>
    <x v="0"/>
    <x v="1"/>
    <x v="0"/>
    <n v="94831294000147"/>
    <x v="441"/>
    <s v="PORTO ALEGRE"/>
    <s v="RS"/>
    <x v="2"/>
    <s v="RAFAEL ESTEVES (RJ/SPI/SUL)"/>
    <n v="70"/>
    <x v="0"/>
    <n v="30"/>
  </r>
  <r>
    <x v="0"/>
    <x v="1"/>
    <x v="0"/>
    <n v="95610887000146"/>
    <x v="279"/>
    <s v="SANTA MARIA"/>
    <s v="RS"/>
    <x v="2"/>
    <s v="RAFAEL ESTEVES (RJ/SPI/SUL)"/>
    <n v="70"/>
    <x v="0"/>
    <n v="100"/>
  </r>
  <r>
    <x v="0"/>
    <x v="2"/>
    <x v="0"/>
    <n v="304148000110"/>
    <x v="156"/>
    <s v="FOZ DO IGUACU"/>
    <s v="PR"/>
    <x v="2"/>
    <s v="RAFAEL ESTEVES (RJ/SPI/SUL)"/>
    <n v="70"/>
    <x v="0"/>
    <n v="175"/>
  </r>
  <r>
    <x v="0"/>
    <x v="2"/>
    <x v="0"/>
    <n v="410960000120"/>
    <x v="159"/>
    <s v="BELO HORIZONTE"/>
    <s v="MG"/>
    <x v="2"/>
    <s v="RAFAEL ESTEVES (RJ/SPI/SUL)"/>
    <n v="70"/>
    <x v="0"/>
    <n v="662.5"/>
  </r>
  <r>
    <x v="0"/>
    <x v="2"/>
    <x v="0"/>
    <n v="437007000175"/>
    <x v="161"/>
    <s v="NITEROI"/>
    <s v="RJ"/>
    <x v="2"/>
    <s v="RAFAEL ESTEVES (RJ/SPI/SUL)"/>
    <n v="70"/>
    <x v="0"/>
    <n v="500"/>
  </r>
  <r>
    <x v="0"/>
    <x v="2"/>
    <x v="0"/>
    <n v="521197000104"/>
    <x v="404"/>
    <s v="NITEROI"/>
    <s v="RJ"/>
    <x v="2"/>
    <s v="RAFAEL ESTEVES (RJ/SPI/SUL)"/>
    <n v="70"/>
    <x v="0"/>
    <n v="297.5"/>
  </r>
  <r>
    <x v="0"/>
    <x v="2"/>
    <x v="0"/>
    <n v="942063000167"/>
    <x v="405"/>
    <s v="CURITIBA"/>
    <s v="PR"/>
    <x v="2"/>
    <s v="RAFAEL ESTEVES (RJ/SPI/SUL)"/>
    <n v="70"/>
    <x v="0"/>
    <n v="800"/>
  </r>
  <r>
    <x v="0"/>
    <x v="2"/>
    <x v="0"/>
    <n v="1125832000105"/>
    <x v="406"/>
    <s v="FLORIANOPOLIS"/>
    <s v="SC"/>
    <x v="2"/>
    <s v="RAFAEL ESTEVES (RJ/SPI/SUL)"/>
    <n v="70"/>
    <x v="0"/>
    <n v="60"/>
  </r>
  <r>
    <x v="0"/>
    <x v="2"/>
    <x v="0"/>
    <n v="1554266000149"/>
    <x v="457"/>
    <s v="BRUSQUE"/>
    <s v="SC"/>
    <x v="2"/>
    <s v="RAFAEL ESTEVES (RJ/SPI/SUL)"/>
    <n v="70"/>
    <x v="0"/>
    <n v="70"/>
  </r>
  <r>
    <x v="0"/>
    <x v="2"/>
    <x v="0"/>
    <n v="1554266000300"/>
    <x v="408"/>
    <s v="BRUSQUE"/>
    <s v="SC"/>
    <x v="2"/>
    <s v="RAFAEL ESTEVES (RJ/SPI/SUL)"/>
    <n v="70"/>
    <x v="0"/>
    <n v="35"/>
  </r>
  <r>
    <x v="0"/>
    <x v="2"/>
    <x v="0"/>
    <n v="1880344000103"/>
    <x v="413"/>
    <s v="BLUMENAU"/>
    <s v="SC"/>
    <x v="2"/>
    <s v="RAFAEL ESTEVES (RJ/SPI/SUL)"/>
    <n v="70"/>
    <x v="0"/>
    <n v="125"/>
  </r>
  <r>
    <x v="0"/>
    <x v="2"/>
    <x v="0"/>
    <n v="2623693000102"/>
    <x v="409"/>
    <s v="BELO HORIZONTE"/>
    <s v="MG"/>
    <x v="2"/>
    <s v="RAFAEL ESTEVES (RJ/SPI/SUL)"/>
    <n v="70"/>
    <x v="0"/>
    <n v="20"/>
  </r>
  <r>
    <x v="0"/>
    <x v="2"/>
    <x v="0"/>
    <n v="3850913000195"/>
    <x v="412"/>
    <s v="CURITIBA"/>
    <s v="PR"/>
    <x v="2"/>
    <s v="RAFAEL ESTEVES (RJ/SPI/SUL)"/>
    <n v="70"/>
    <x v="0"/>
    <n v="660"/>
  </r>
  <r>
    <x v="0"/>
    <x v="2"/>
    <x v="0"/>
    <n v="4670913000176"/>
    <x v="414"/>
    <s v="FLORIANOPOLIS"/>
    <s v="SC"/>
    <x v="2"/>
    <s v="RAFAEL ESTEVES (RJ/SPI/SUL)"/>
    <n v="70"/>
    <x v="0"/>
    <n v="375"/>
  </r>
  <r>
    <x v="0"/>
    <x v="2"/>
    <x v="0"/>
    <n v="4762301000103"/>
    <x v="442"/>
    <s v="LONDRINA"/>
    <s v="PR"/>
    <x v="2"/>
    <s v="RAFAEL ESTEVES (RJ/SPI/SUL)"/>
    <n v="70"/>
    <x v="0"/>
    <n v="405"/>
  </r>
  <r>
    <x v="0"/>
    <x v="2"/>
    <x v="0"/>
    <n v="7039651000134"/>
    <x v="415"/>
    <s v="COLATINA"/>
    <s v="ES"/>
    <x v="2"/>
    <s v="RAFAEL ESTEVES (RJ/SPI/SUL)"/>
    <n v="70"/>
    <x v="0"/>
    <n v="25"/>
  </r>
  <r>
    <x v="0"/>
    <x v="2"/>
    <x v="0"/>
    <n v="7404052000172"/>
    <x v="417"/>
    <s v="CURITIBA"/>
    <s v="PR"/>
    <x v="2"/>
    <s v="RAFAEL ESTEVES (RJ/SPI/SUL)"/>
    <n v="70"/>
    <x v="0"/>
    <n v="130"/>
  </r>
  <r>
    <x v="0"/>
    <x v="2"/>
    <x v="0"/>
    <n v="7734165000136"/>
    <x v="286"/>
    <s v="CURITIBA"/>
    <s v="PR"/>
    <x v="2"/>
    <s v="RAFAEL ESTEVES (RJ/SPI/SUL)"/>
    <n v="70"/>
    <x v="0"/>
    <n v="5575"/>
  </r>
  <r>
    <x v="0"/>
    <x v="2"/>
    <x v="0"/>
    <n v="7794623002257"/>
    <x v="418"/>
    <s v="SAO JOSE DOS PINHAIS"/>
    <s v="PR"/>
    <x v="2"/>
    <s v="RAFAEL ESTEVES (RJ/SPI/SUL)"/>
    <n v="70"/>
    <x v="0"/>
    <n v="630"/>
  </r>
  <r>
    <x v="0"/>
    <x v="2"/>
    <x v="0"/>
    <n v="8597121000174"/>
    <x v="289"/>
    <s v="CURITIBA"/>
    <s v="PR"/>
    <x v="2"/>
    <s v="RAFAEL ESTEVES (RJ/SPI/SUL)"/>
    <n v="70"/>
    <x v="0"/>
    <n v="560"/>
  </r>
  <r>
    <x v="0"/>
    <x v="2"/>
    <x v="0"/>
    <n v="10562003000172"/>
    <x v="458"/>
    <s v="VOLTA REDONDA"/>
    <s v="RJ"/>
    <x v="2"/>
    <s v="RAFAEL ESTEVES (RJ/SPI/SUL)"/>
    <n v="70"/>
    <x v="0"/>
    <n v="175"/>
  </r>
  <r>
    <x v="0"/>
    <x v="2"/>
    <x v="0"/>
    <n v="10586940000168"/>
    <x v="331"/>
    <s v="VITORIA"/>
    <s v="ES"/>
    <x v="2"/>
    <s v="RAFAEL ESTEVES (RJ/SPI/SUL)"/>
    <n v="70"/>
    <x v="0"/>
    <n v="1150"/>
  </r>
  <r>
    <x v="0"/>
    <x v="2"/>
    <x v="0"/>
    <n v="12508728000108"/>
    <x v="446"/>
    <s v="SANTA MARIA"/>
    <s v="RS"/>
    <x v="2"/>
    <s v="RAFAEL ESTEVES (RJ/SPI/SUL)"/>
    <n v="70"/>
    <x v="0"/>
    <n v="20"/>
  </r>
  <r>
    <x v="0"/>
    <x v="2"/>
    <x v="0"/>
    <n v="25648387000207"/>
    <x v="424"/>
    <s v="UBERLANDIA"/>
    <s v="MG"/>
    <x v="2"/>
    <s v="RAFAEL ESTEVES (RJ/SPI/SUL)"/>
    <n v="70"/>
    <x v="0"/>
    <n v="650"/>
  </r>
  <r>
    <x v="0"/>
    <x v="2"/>
    <x v="0"/>
    <n v="25910449000460"/>
    <x v="459"/>
    <s v="ARAXA"/>
    <s v="MG"/>
    <x v="2"/>
    <s v="RAFAEL ESTEVES (RJ/SPI/SUL)"/>
    <n v="70"/>
    <x v="0"/>
    <n v="30"/>
  </r>
  <r>
    <x v="0"/>
    <x v="2"/>
    <x v="0"/>
    <n v="27080605000358"/>
    <x v="449"/>
    <s v="SAO MATEUS"/>
    <s v="ES"/>
    <x v="2"/>
    <s v="RAFAEL ESTEVES (RJ/SPI/SUL)"/>
    <n v="70"/>
    <x v="0"/>
    <n v="200"/>
  </r>
  <r>
    <x v="0"/>
    <x v="2"/>
    <x v="0"/>
    <n v="27578434001525"/>
    <x v="306"/>
    <s v="VITORIA"/>
    <s v="ES"/>
    <x v="2"/>
    <s v="RAFAEL ESTEVES (RJ/SPI/SUL)"/>
    <n v="70"/>
    <x v="0"/>
    <n v="1000"/>
  </r>
  <r>
    <x v="0"/>
    <x v="2"/>
    <x v="0"/>
    <n v="28523215000378"/>
    <x v="460"/>
    <s v="NITEROI"/>
    <s v="RJ"/>
    <x v="2"/>
    <s v="RAFAEL ESTEVES (RJ/SPI/SUL)"/>
    <n v="70"/>
    <x v="0"/>
    <n v="300"/>
  </r>
  <r>
    <x v="0"/>
    <x v="2"/>
    <x v="0"/>
    <n v="29435005005600"/>
    <x v="428"/>
    <s v="CURITIBA"/>
    <s v="PR"/>
    <x v="2"/>
    <s v="RAFAEL ESTEVES (RJ/SPI/SUL)"/>
    <n v="70"/>
    <x v="0"/>
    <n v="185"/>
  </r>
  <r>
    <x v="0"/>
    <x v="2"/>
    <x v="0"/>
    <n v="30117769000155"/>
    <x v="429"/>
    <s v="CURITIBA"/>
    <s v="PR"/>
    <x v="2"/>
    <s v="RAFAEL ESTEVES (RJ/SPI/SUL)"/>
    <n v="70"/>
    <x v="0"/>
    <n v="205"/>
  </r>
  <r>
    <x v="0"/>
    <x v="2"/>
    <x v="0"/>
    <n v="30638381000108"/>
    <x v="461"/>
    <s v="PETROPOLIS"/>
    <s v="RJ"/>
    <x v="2"/>
    <s v="RAFAEL ESTEVES (RJ/SPI/SUL)"/>
    <n v="70"/>
    <x v="0"/>
    <n v="125"/>
  </r>
  <r>
    <x v="0"/>
    <x v="2"/>
    <x v="0"/>
    <n v="39387477000107"/>
    <x v="430"/>
    <s v="VITORIA"/>
    <s v="ES"/>
    <x v="2"/>
    <s v="RAFAEL ESTEVES (RJ/SPI/SUL)"/>
    <n v="70"/>
    <x v="0"/>
    <n v="350"/>
  </r>
  <r>
    <x v="0"/>
    <x v="2"/>
    <x v="0"/>
    <n v="60884855001207"/>
    <x v="255"/>
    <s v="NITEROI"/>
    <s v="RJ"/>
    <x v="2"/>
    <s v="RAFAEL ESTEVES (RJ/SPI/SUL)"/>
    <n v="70"/>
    <x v="0"/>
    <n v="790"/>
  </r>
  <r>
    <x v="0"/>
    <x v="2"/>
    <x v="0"/>
    <n v="68709211000212"/>
    <x v="311"/>
    <s v="RESENDE"/>
    <s v="RJ"/>
    <x v="2"/>
    <s v="RAFAEL ESTEVES (RJ/SPI/SUL)"/>
    <n v="70"/>
    <x v="0"/>
    <n v="200"/>
  </r>
  <r>
    <x v="0"/>
    <x v="2"/>
    <x v="0"/>
    <n v="73863342000109"/>
    <x v="432"/>
    <s v="LONDRINA"/>
    <s v="PR"/>
    <x v="2"/>
    <s v="RAFAEL ESTEVES (RJ/SPI/SUL)"/>
    <n v="70"/>
    <x v="0"/>
    <n v="20"/>
  </r>
  <r>
    <x v="0"/>
    <x v="2"/>
    <x v="0"/>
    <n v="75222224001895"/>
    <x v="433"/>
    <s v="LONDRINA"/>
    <s v="PR"/>
    <x v="2"/>
    <s v="RAFAEL ESTEVES (RJ/SPI/SUL)"/>
    <n v="70"/>
    <x v="0"/>
    <n v="1485"/>
  </r>
  <r>
    <x v="0"/>
    <x v="2"/>
    <x v="0"/>
    <n v="76555069000143"/>
    <x v="261"/>
    <s v="CURITIBA"/>
    <s v="PR"/>
    <x v="2"/>
    <s v="RAFAEL ESTEVES (RJ/SPI/SUL)"/>
    <n v="70"/>
    <x v="0"/>
    <n v="280"/>
  </r>
  <r>
    <x v="0"/>
    <x v="2"/>
    <x v="0"/>
    <n v="76591569000130"/>
    <x v="262"/>
    <s v="CURITIBA"/>
    <s v="PR"/>
    <x v="2"/>
    <s v="RAFAEL ESTEVES (RJ/SPI/SUL)"/>
    <n v="70"/>
    <x v="0"/>
    <n v="1000"/>
  </r>
  <r>
    <x v="0"/>
    <x v="2"/>
    <x v="0"/>
    <n v="76659820002367"/>
    <x v="435"/>
    <s v="CURITIBA"/>
    <s v="PR"/>
    <x v="2"/>
    <s v="RAFAEL ESTEVES (RJ/SPI/SUL)"/>
    <n v="70"/>
    <x v="0"/>
    <n v="45"/>
  </r>
  <r>
    <x v="0"/>
    <x v="2"/>
    <x v="0"/>
    <n v="77858611001414"/>
    <x v="312"/>
    <s v="SAO JOSE"/>
    <s v="SC"/>
    <x v="2"/>
    <s v="RAFAEL ESTEVES (RJ/SPI/SUL)"/>
    <n v="70"/>
    <x v="0"/>
    <n v="250"/>
  </r>
  <r>
    <x v="0"/>
    <x v="2"/>
    <x v="0"/>
    <n v="78633088000176"/>
    <x v="452"/>
    <s v="LONDRINA"/>
    <s v="PR"/>
    <x v="2"/>
    <s v="RAFAEL ESTEVES (RJ/SPI/SUL)"/>
    <n v="70"/>
    <x v="0"/>
    <n v="10"/>
  </r>
  <r>
    <x v="0"/>
    <x v="2"/>
    <x v="0"/>
    <n v="79115762000193"/>
    <x v="453"/>
    <s v="MARINGA"/>
    <s v="PR"/>
    <x v="2"/>
    <s v="RAFAEL ESTEVES (RJ/SPI/SUL)"/>
    <n v="70"/>
    <x v="0"/>
    <n v="25"/>
  </r>
  <r>
    <x v="0"/>
    <x v="2"/>
    <x v="0"/>
    <n v="80490618000116"/>
    <x v="437"/>
    <s v="TUBARAO"/>
    <s v="SC"/>
    <x v="2"/>
    <s v="RAFAEL ESTEVES (RJ/SPI/SUL)"/>
    <n v="70"/>
    <x v="0"/>
    <n v="60"/>
  </r>
  <r>
    <x v="0"/>
    <x v="2"/>
    <x v="0"/>
    <n v="80673411000187"/>
    <x v="263"/>
    <s v="FLORIANOPOLIS"/>
    <s v="SC"/>
    <x v="2"/>
    <s v="RAFAEL ESTEVES (RJ/SPI/SUL)"/>
    <n v="70"/>
    <x v="0"/>
    <n v="240"/>
  </r>
  <r>
    <x v="0"/>
    <x v="2"/>
    <x v="0"/>
    <n v="81715716000410"/>
    <x v="462"/>
    <s v="CAMPO MOURAO"/>
    <s v="PR"/>
    <x v="2"/>
    <s v="RAFAEL ESTEVES (RJ/SPI/SUL)"/>
    <n v="70"/>
    <x v="0"/>
    <n v="30"/>
  </r>
  <r>
    <x v="0"/>
    <x v="2"/>
    <x v="0"/>
    <n v="82654088000120"/>
    <x v="463"/>
    <s v="BLUMENAU"/>
    <s v="SC"/>
    <x v="2"/>
    <s v="RAFAEL ESTEVES (RJ/SPI/SUL)"/>
    <n v="70"/>
    <x v="0"/>
    <n v="20"/>
  </r>
  <r>
    <x v="0"/>
    <x v="2"/>
    <x v="0"/>
    <n v="85241339000809"/>
    <x v="464"/>
    <s v="TUBARAO"/>
    <s v="SC"/>
    <x v="2"/>
    <s v="RAFAEL ESTEVES (RJ/SPI/SUL)"/>
    <n v="70"/>
    <x v="0"/>
    <n v="310"/>
  </r>
  <r>
    <x v="0"/>
    <x v="2"/>
    <x v="0"/>
    <n v="87317764001084"/>
    <x v="313"/>
    <s v="PORTO ALEGRE"/>
    <s v="RS"/>
    <x v="2"/>
    <s v="RAFAEL ESTEVES (RJ/SPI/SUL)"/>
    <n v="70"/>
    <x v="0"/>
    <n v="200"/>
  </r>
  <r>
    <x v="0"/>
    <x v="2"/>
    <x v="0"/>
    <n v="87827689002405"/>
    <x v="268"/>
    <s v="CAXIAS DO SUL"/>
    <s v="RS"/>
    <x v="2"/>
    <s v="RAFAEL ESTEVES (RJ/SPI/SUL)"/>
    <n v="70"/>
    <x v="0"/>
    <n v="90"/>
  </r>
  <r>
    <x v="0"/>
    <x v="2"/>
    <x v="0"/>
    <n v="92815000000168"/>
    <x v="276"/>
    <s v="PORTO ALEGRE"/>
    <s v="RS"/>
    <x v="2"/>
    <s v="RAFAEL ESTEVES (RJ/SPI/SUL)"/>
    <n v="70"/>
    <x v="0"/>
    <n v="90"/>
  </r>
  <r>
    <x v="0"/>
    <x v="2"/>
    <x v="0"/>
    <n v="94831294000147"/>
    <x v="441"/>
    <s v="PORTO ALEGRE"/>
    <s v="RS"/>
    <x v="2"/>
    <s v="RAFAEL ESTEVES (RJ/SPI/SUL)"/>
    <n v="70"/>
    <x v="0"/>
    <n v="30"/>
  </r>
  <r>
    <x v="0"/>
    <x v="2"/>
    <x v="0"/>
    <n v="95610887000146"/>
    <x v="279"/>
    <s v="SANTA MARIA"/>
    <s v="RS"/>
    <x v="2"/>
    <s v="RAFAEL ESTEVES (RJ/SPI/SUL)"/>
    <n v="70"/>
    <x v="0"/>
    <n v="450"/>
  </r>
  <r>
    <x v="0"/>
    <x v="3"/>
    <x v="1"/>
    <n v="1554266000149"/>
    <x v="457"/>
    <s v="BRUSQUE"/>
    <s v="SC"/>
    <x v="2"/>
    <s v="RAFAEL ESTEVES (RJ/SPI/SUL)"/>
    <n v="70"/>
    <x v="0"/>
    <n v="35"/>
  </r>
  <r>
    <x v="0"/>
    <x v="3"/>
    <x v="1"/>
    <n v="1880344000103"/>
    <x v="413"/>
    <s v="BLUMENAU"/>
    <s v="SC"/>
    <x v="2"/>
    <s v="RAFAEL ESTEVES (RJ/SPI/SUL)"/>
    <n v="70"/>
    <x v="0"/>
    <n v="240"/>
  </r>
  <r>
    <x v="0"/>
    <x v="3"/>
    <x v="1"/>
    <n v="4670913000176"/>
    <x v="414"/>
    <s v="FLORIANOPOLIS"/>
    <s v="SC"/>
    <x v="2"/>
    <s v="RAFAEL ESTEVES (RJ/SPI/SUL)"/>
    <n v="70"/>
    <x v="0"/>
    <n v="265"/>
  </r>
  <r>
    <x v="0"/>
    <x v="3"/>
    <x v="1"/>
    <n v="7404052000172"/>
    <x v="417"/>
    <s v="CURITIBA"/>
    <s v="PR"/>
    <x v="2"/>
    <s v="RAFAEL ESTEVES (RJ/SPI/SUL)"/>
    <n v="70"/>
    <x v="0"/>
    <n v="45"/>
  </r>
  <r>
    <x v="0"/>
    <x v="3"/>
    <x v="1"/>
    <n v="7734165000136"/>
    <x v="286"/>
    <s v="CURITIBA"/>
    <s v="PR"/>
    <x v="2"/>
    <s v="RAFAEL ESTEVES (RJ/SPI/SUL)"/>
    <n v="70"/>
    <x v="0"/>
    <n v="2000"/>
  </r>
  <r>
    <x v="0"/>
    <x v="3"/>
    <x v="1"/>
    <n v="12508728000108"/>
    <x v="446"/>
    <s v="SANTA MARIA"/>
    <s v="RS"/>
    <x v="2"/>
    <s v="RAFAEL ESTEVES (RJ/SPI/SUL)"/>
    <n v="70"/>
    <x v="0"/>
    <n v="20"/>
  </r>
  <r>
    <x v="0"/>
    <x v="3"/>
    <x v="1"/>
    <n v="21998635000108"/>
    <x v="422"/>
    <s v="CASCAVEL"/>
    <s v="PR"/>
    <x v="2"/>
    <s v="RAFAEL ESTEVES (RJ/SPI/SUL)"/>
    <n v="70"/>
    <x v="0"/>
    <n v="10"/>
  </r>
  <r>
    <x v="0"/>
    <x v="3"/>
    <x v="1"/>
    <n v="27578434001525"/>
    <x v="306"/>
    <s v="VITORIA"/>
    <s v="ES"/>
    <x v="2"/>
    <s v="RAFAEL ESTEVES (RJ/SPI/SUL)"/>
    <n v="70"/>
    <x v="0"/>
    <n v="1000"/>
  </r>
  <r>
    <x v="0"/>
    <x v="3"/>
    <x v="1"/>
    <n v="29435005005600"/>
    <x v="428"/>
    <s v="CURITIBA"/>
    <s v="PR"/>
    <x v="2"/>
    <s v="RAFAEL ESTEVES (RJ/SPI/SUL)"/>
    <n v="70"/>
    <x v="0"/>
    <n v="150"/>
  </r>
  <r>
    <x v="0"/>
    <x v="3"/>
    <x v="1"/>
    <n v="30117769000155"/>
    <x v="429"/>
    <s v="CURITIBA"/>
    <s v="PR"/>
    <x v="2"/>
    <s v="RAFAEL ESTEVES (RJ/SPI/SUL)"/>
    <n v="70"/>
    <x v="0"/>
    <n v="150"/>
  </r>
  <r>
    <x v="0"/>
    <x v="3"/>
    <x v="1"/>
    <n v="41781949000234"/>
    <x v="431"/>
    <s v="POCOS DE CALDAS"/>
    <s v="MG"/>
    <x v="2"/>
    <s v="RAFAEL ESTEVES (RJ/SPI/SUL)"/>
    <n v="70"/>
    <x v="0"/>
    <n v="40"/>
  </r>
  <r>
    <x v="0"/>
    <x v="3"/>
    <x v="1"/>
    <n v="60884855001207"/>
    <x v="255"/>
    <s v="NITEROI"/>
    <s v="RJ"/>
    <x v="2"/>
    <s v="RAFAEL ESTEVES (RJ/SPI/SUL)"/>
    <n v="70"/>
    <x v="0"/>
    <n v="40"/>
  </r>
  <r>
    <x v="0"/>
    <x v="3"/>
    <x v="1"/>
    <n v="76498013000102"/>
    <x v="451"/>
    <s v="CURITIBA"/>
    <s v="PR"/>
    <x v="2"/>
    <s v="RAFAEL ESTEVES (RJ/SPI/SUL)"/>
    <n v="70"/>
    <x v="0"/>
    <n v="175"/>
  </r>
  <r>
    <x v="0"/>
    <x v="3"/>
    <x v="1"/>
    <n v="76659820002367"/>
    <x v="435"/>
    <s v="CURITIBA"/>
    <s v="PR"/>
    <x v="2"/>
    <s v="RAFAEL ESTEVES (RJ/SPI/SUL)"/>
    <n v="70"/>
    <x v="0"/>
    <n v="120"/>
  </r>
  <r>
    <x v="0"/>
    <x v="3"/>
    <x v="1"/>
    <n v="77858611001414"/>
    <x v="312"/>
    <s v="SAO JOSE"/>
    <s v="SC"/>
    <x v="2"/>
    <s v="RAFAEL ESTEVES (RJ/SPI/SUL)"/>
    <n v="70"/>
    <x v="0"/>
    <n v="140"/>
  </r>
  <r>
    <x v="0"/>
    <x v="3"/>
    <x v="1"/>
    <n v="79115762000193"/>
    <x v="453"/>
    <s v="MARINGA"/>
    <s v="PR"/>
    <x v="2"/>
    <s v="RAFAEL ESTEVES (RJ/SPI/SUL)"/>
    <n v="70"/>
    <x v="0"/>
    <n v="25"/>
  </r>
  <r>
    <x v="0"/>
    <x v="3"/>
    <x v="1"/>
    <n v="85241339000809"/>
    <x v="464"/>
    <s v="TUBARAO"/>
    <s v="SC"/>
    <x v="2"/>
    <s v="RAFAEL ESTEVES (RJ/SPI/SUL)"/>
    <n v="70"/>
    <x v="0"/>
    <n v="260"/>
  </r>
  <r>
    <x v="0"/>
    <x v="3"/>
    <x v="1"/>
    <n v="87827689002405"/>
    <x v="268"/>
    <s v="CAXIAS DO SUL"/>
    <s v="RS"/>
    <x v="2"/>
    <s v="RAFAEL ESTEVES (RJ/SPI/SUL)"/>
    <n v="70"/>
    <x v="0"/>
    <n v="90"/>
  </r>
  <r>
    <x v="0"/>
    <x v="3"/>
    <x v="1"/>
    <n v="95610887000146"/>
    <x v="279"/>
    <s v="SANTA MARIA"/>
    <s v="RS"/>
    <x v="2"/>
    <s v="RAFAEL ESTEVES (RJ/SPI/SUL)"/>
    <n v="70"/>
    <x v="0"/>
    <n v="150"/>
  </r>
  <r>
    <x v="0"/>
    <x v="3"/>
    <x v="1"/>
    <n v="9219138000584"/>
    <x v="465"/>
    <s v="RIO DE JANEIRO"/>
    <s v="RJ"/>
    <x v="2"/>
    <s v="RAFAEL ESTEVES (RJ/SPI/SUL)"/>
    <n v="64"/>
    <x v="1"/>
    <n v="18"/>
  </r>
  <r>
    <x v="0"/>
    <x v="3"/>
    <x v="1"/>
    <n v="9219138000584"/>
    <x v="465"/>
    <s v="RIO DE JANEIRO"/>
    <s v="RJ"/>
    <x v="2"/>
    <s v="RAFAEL ESTEVES (RJ/SPI/SUL)"/>
    <n v="70"/>
    <x v="0"/>
    <n v="50"/>
  </r>
  <r>
    <x v="0"/>
    <x v="3"/>
    <x v="1"/>
    <n v="21265360000195"/>
    <x v="466"/>
    <s v="RIO DE JANEIRO"/>
    <s v="RJ"/>
    <x v="2"/>
    <s v="RAFAEL ESTEVES (RJ/SPI/SUL)"/>
    <n v="73"/>
    <x v="2"/>
    <n v="16"/>
  </r>
  <r>
    <x v="0"/>
    <x v="3"/>
    <x v="1"/>
    <n v="29259736000403"/>
    <x v="467"/>
    <s v="RIO DE JANEIRO"/>
    <s v="RJ"/>
    <x v="2"/>
    <s v="RAFAEL ESTEVES (RJ/SPI/SUL)"/>
    <n v="73"/>
    <x v="2"/>
    <n v="12"/>
  </r>
  <r>
    <x v="0"/>
    <x v="3"/>
    <x v="1"/>
    <n v="29435005005198"/>
    <x v="468"/>
    <s v="RIO DE JANEIRO"/>
    <s v="RJ"/>
    <x v="2"/>
    <s v="RAFAEL ESTEVES (RJ/SPI/SUL)"/>
    <n v="62"/>
    <x v="3"/>
    <n v="31"/>
  </r>
  <r>
    <x v="0"/>
    <x v="3"/>
    <x v="1"/>
    <n v="29435005005198"/>
    <x v="468"/>
    <s v="RIO DE JANEIRO"/>
    <s v="RJ"/>
    <x v="2"/>
    <s v="RAFAEL ESTEVES (RJ/SPI/SUL)"/>
    <n v="64"/>
    <x v="1"/>
    <n v="20"/>
  </r>
  <r>
    <x v="0"/>
    <x v="3"/>
    <x v="1"/>
    <n v="29435005005783"/>
    <x v="469"/>
    <s v="RIO DE JANEIRO"/>
    <s v="RJ"/>
    <x v="2"/>
    <s v="RAFAEL ESTEVES (RJ/SPI/SUL)"/>
    <n v="70"/>
    <x v="0"/>
    <n v="205"/>
  </r>
  <r>
    <x v="0"/>
    <x v="3"/>
    <x v="1"/>
    <n v="33000167000101"/>
    <x v="470"/>
    <s v="RIO DE JANEIRO"/>
    <s v="RJ"/>
    <x v="2"/>
    <s v="RAFAEL ESTEVES (RJ/SPI/SUL)"/>
    <n v="70"/>
    <x v="0"/>
    <n v="20"/>
  </r>
  <r>
    <x v="0"/>
    <x v="3"/>
    <x v="1"/>
    <n v="33419482000259"/>
    <x v="471"/>
    <s v="RIO DE JANEIRO"/>
    <s v="RJ"/>
    <x v="2"/>
    <s v="RAFAEL ESTEVES (RJ/SPI/SUL)"/>
    <n v="70"/>
    <x v="0"/>
    <n v="20"/>
  </r>
  <r>
    <x v="0"/>
    <x v="3"/>
    <x v="1"/>
    <n v="42297507000107"/>
    <x v="472"/>
    <s v="RIO DE JANEIRO"/>
    <s v="RJ"/>
    <x v="2"/>
    <s v="RAFAEL ESTEVES (RJ/SPI/SUL)"/>
    <n v="64"/>
    <x v="1"/>
    <n v="3"/>
  </r>
  <r>
    <x v="0"/>
    <x v="3"/>
    <x v="1"/>
    <n v="60884855001630"/>
    <x v="473"/>
    <s v="RIO DE JANEIRO"/>
    <s v="RJ"/>
    <x v="2"/>
    <s v="RAFAEL ESTEVES (RJ/SPI/SUL)"/>
    <n v="62"/>
    <x v="3"/>
    <n v="13"/>
  </r>
  <r>
    <x v="0"/>
    <x v="3"/>
    <x v="1"/>
    <n v="60884855001630"/>
    <x v="473"/>
    <s v="RIO DE JANEIRO"/>
    <s v="RJ"/>
    <x v="2"/>
    <s v="RAFAEL ESTEVES (RJ/SPI/SUL)"/>
    <n v="64"/>
    <x v="1"/>
    <n v="9"/>
  </r>
  <r>
    <x v="0"/>
    <x v="0"/>
    <x v="0"/>
    <n v="11114987760"/>
    <x v="474"/>
    <s v="RIO DE JANEIRO"/>
    <s v="RJ"/>
    <x v="2"/>
    <s v="RAFAEL ESTEVES (RJ/SPI/SUL)"/>
    <n v="70"/>
    <x v="0"/>
    <n v="15"/>
  </r>
  <r>
    <x v="0"/>
    <x v="0"/>
    <x v="0"/>
    <n v="394544020291"/>
    <x v="475"/>
    <s v="RIO DE JANEIRO"/>
    <s v="RJ"/>
    <x v="2"/>
    <s v="RAFAEL ESTEVES (RJ/SPI/SUL)"/>
    <n v="64"/>
    <x v="1"/>
    <n v="60"/>
  </r>
  <r>
    <x v="0"/>
    <x v="0"/>
    <x v="0"/>
    <n v="394544020372"/>
    <x v="476"/>
    <s v="RIO DE JANEIRO"/>
    <s v="RJ"/>
    <x v="2"/>
    <s v="RAFAEL ESTEVES (RJ/SPI/SUL)"/>
    <n v="70"/>
    <x v="0"/>
    <n v="390"/>
  </r>
  <r>
    <x v="0"/>
    <x v="0"/>
    <x v="0"/>
    <n v="394544020453"/>
    <x v="477"/>
    <s v="RIO DE JANEIRO"/>
    <s v="RJ"/>
    <x v="2"/>
    <s v="RAFAEL ESTEVES (RJ/SPI/SUL)"/>
    <n v="70"/>
    <x v="0"/>
    <n v="600"/>
  </r>
  <r>
    <x v="0"/>
    <x v="0"/>
    <x v="0"/>
    <n v="394544021000"/>
    <x v="478"/>
    <s v="RIO DE JANEIRO"/>
    <s v="RJ"/>
    <x v="2"/>
    <s v="RAFAEL ESTEVES (RJ/SPI/SUL)"/>
    <n v="70"/>
    <x v="0"/>
    <n v="150"/>
  </r>
  <r>
    <x v="0"/>
    <x v="0"/>
    <x v="0"/>
    <n v="394544021344"/>
    <x v="479"/>
    <s v="RIO DE JANEIRO"/>
    <s v="RJ"/>
    <x v="2"/>
    <s v="RAFAEL ESTEVES (RJ/SPI/SUL)"/>
    <n v="62"/>
    <x v="3"/>
    <n v="190"/>
  </r>
  <r>
    <x v="0"/>
    <x v="0"/>
    <x v="0"/>
    <n v="394544021344"/>
    <x v="479"/>
    <s v="RIO DE JANEIRO"/>
    <s v="RJ"/>
    <x v="2"/>
    <s v="RAFAEL ESTEVES (RJ/SPI/SUL)"/>
    <n v="64"/>
    <x v="1"/>
    <n v="70"/>
  </r>
  <r>
    <x v="0"/>
    <x v="1"/>
    <x v="0"/>
    <n v="394502014870"/>
    <x v="480"/>
    <s v="RIO DE JANEIRO"/>
    <s v="RJ"/>
    <x v="2"/>
    <s v="RAFAEL ESTEVES (RJ/SPI/SUL)"/>
    <n v="64"/>
    <x v="1"/>
    <n v="10"/>
  </r>
  <r>
    <x v="0"/>
    <x v="1"/>
    <x v="0"/>
    <n v="394544017150"/>
    <x v="481"/>
    <s v="RIO DE JANEIRO"/>
    <s v="RJ"/>
    <x v="2"/>
    <s v="RAFAEL ESTEVES (RJ/SPI/SUL)"/>
    <n v="64"/>
    <x v="1"/>
    <n v="20"/>
  </r>
  <r>
    <x v="0"/>
    <x v="0"/>
    <x v="0"/>
    <n v="2284062000521"/>
    <x v="482"/>
    <s v="RIO DE JANEIRO"/>
    <s v="RJ"/>
    <x v="2"/>
    <s v="RAFAEL ESTEVES (RJ/SPI/SUL)"/>
    <n v="62"/>
    <x v="3"/>
    <n v="1"/>
  </r>
  <r>
    <x v="0"/>
    <x v="0"/>
    <x v="0"/>
    <n v="2284062000521"/>
    <x v="482"/>
    <s v="RIO DE JANEIRO"/>
    <s v="RJ"/>
    <x v="2"/>
    <s v="RAFAEL ESTEVES (RJ/SPI/SUL)"/>
    <n v="64"/>
    <x v="1"/>
    <n v="8"/>
  </r>
  <r>
    <x v="0"/>
    <x v="1"/>
    <x v="0"/>
    <n v="2284062000521"/>
    <x v="482"/>
    <s v="RIO DE JANEIRO"/>
    <s v="RJ"/>
    <x v="2"/>
    <s v="RAFAEL ESTEVES (RJ/SPI/SUL)"/>
    <n v="62"/>
    <x v="3"/>
    <n v="3"/>
  </r>
  <r>
    <x v="0"/>
    <x v="1"/>
    <x v="0"/>
    <n v="2284062000521"/>
    <x v="482"/>
    <s v="RIO DE JANEIRO"/>
    <s v="RJ"/>
    <x v="2"/>
    <s v="RAFAEL ESTEVES (RJ/SPI/SUL)"/>
    <n v="64"/>
    <x v="1"/>
    <n v="22"/>
  </r>
  <r>
    <x v="0"/>
    <x v="0"/>
    <x v="0"/>
    <n v="2864097000106"/>
    <x v="483"/>
    <s v="RIO DE JANEIRO"/>
    <s v="RJ"/>
    <x v="2"/>
    <s v="RAFAEL ESTEVES (RJ/SPI/SUL)"/>
    <n v="70"/>
    <x v="0"/>
    <n v="315"/>
  </r>
  <r>
    <x v="0"/>
    <x v="1"/>
    <x v="0"/>
    <n v="2864097000106"/>
    <x v="483"/>
    <s v="RIO DE JANEIRO"/>
    <s v="RJ"/>
    <x v="2"/>
    <s v="RAFAEL ESTEVES (RJ/SPI/SUL)"/>
    <n v="70"/>
    <x v="0"/>
    <n v="150"/>
  </r>
  <r>
    <x v="0"/>
    <x v="0"/>
    <x v="0"/>
    <n v="6047087000996"/>
    <x v="484"/>
    <s v="RIO DE JANEIRO"/>
    <s v="RJ"/>
    <x v="2"/>
    <s v="RAFAEL ESTEVES (RJ/SPI/SUL)"/>
    <n v="62"/>
    <x v="3"/>
    <n v="20"/>
  </r>
  <r>
    <x v="0"/>
    <x v="0"/>
    <x v="0"/>
    <n v="6047087000996"/>
    <x v="484"/>
    <s v="RIO DE JANEIRO"/>
    <s v="RJ"/>
    <x v="2"/>
    <s v="RAFAEL ESTEVES (RJ/SPI/SUL)"/>
    <n v="64"/>
    <x v="1"/>
    <n v="30"/>
  </r>
  <r>
    <x v="0"/>
    <x v="0"/>
    <x v="0"/>
    <n v="6047087001020"/>
    <x v="485"/>
    <s v="RIO DE JANEIRO"/>
    <s v="RJ"/>
    <x v="2"/>
    <s v="RAFAEL ESTEVES (RJ/SPI/SUL)"/>
    <n v="62"/>
    <x v="3"/>
    <n v="100"/>
  </r>
  <r>
    <x v="0"/>
    <x v="0"/>
    <x v="0"/>
    <n v="6047087001020"/>
    <x v="485"/>
    <s v="RIO DE JANEIRO"/>
    <s v="RJ"/>
    <x v="2"/>
    <s v="RAFAEL ESTEVES (RJ/SPI/SUL)"/>
    <n v="64"/>
    <x v="1"/>
    <n v="80"/>
  </r>
  <r>
    <x v="0"/>
    <x v="0"/>
    <x v="0"/>
    <n v="6047087002697"/>
    <x v="486"/>
    <s v="RIO DE JANEIRO"/>
    <s v="RJ"/>
    <x v="2"/>
    <s v="RAFAEL ESTEVES (RJ/SPI/SUL)"/>
    <n v="62"/>
    <x v="3"/>
    <n v="14"/>
  </r>
  <r>
    <x v="0"/>
    <x v="0"/>
    <x v="0"/>
    <n v="6047087002697"/>
    <x v="486"/>
    <s v="RIO DE JANEIRO"/>
    <s v="RJ"/>
    <x v="2"/>
    <s v="RAFAEL ESTEVES (RJ/SPI/SUL)"/>
    <n v="64"/>
    <x v="1"/>
    <n v="8"/>
  </r>
  <r>
    <x v="0"/>
    <x v="0"/>
    <x v="0"/>
    <n v="6047087003316"/>
    <x v="487"/>
    <s v="RIO DE JANEIRO"/>
    <s v="RJ"/>
    <x v="2"/>
    <s v="RAFAEL ESTEVES (RJ/SPI/SUL)"/>
    <n v="62"/>
    <x v="3"/>
    <n v="1"/>
  </r>
  <r>
    <x v="0"/>
    <x v="0"/>
    <x v="0"/>
    <n v="6047087003316"/>
    <x v="487"/>
    <s v="RIO DE JANEIRO"/>
    <s v="RJ"/>
    <x v="2"/>
    <s v="RAFAEL ESTEVES (RJ/SPI/SUL)"/>
    <n v="64"/>
    <x v="1"/>
    <n v="3"/>
  </r>
  <r>
    <x v="0"/>
    <x v="0"/>
    <x v="0"/>
    <n v="7794623004896"/>
    <x v="488"/>
    <s v="RIO DE JANEIRO"/>
    <s v="RJ"/>
    <x v="2"/>
    <s v="RAFAEL ESTEVES (RJ/SPI/SUL)"/>
    <n v="70"/>
    <x v="0"/>
    <n v="1850"/>
  </r>
  <r>
    <x v="0"/>
    <x v="0"/>
    <x v="0"/>
    <n v="8100676002102"/>
    <x v="489"/>
    <s v="RIO DE JANEIRO"/>
    <s v="RJ"/>
    <x v="2"/>
    <s v="RAFAEL ESTEVES (RJ/SPI/SUL)"/>
    <n v="62"/>
    <x v="3"/>
    <n v="19"/>
  </r>
  <r>
    <x v="0"/>
    <x v="0"/>
    <x v="0"/>
    <n v="8100676002102"/>
    <x v="489"/>
    <s v="RIO DE JANEIRO"/>
    <s v="RJ"/>
    <x v="2"/>
    <s v="RAFAEL ESTEVES (RJ/SPI/SUL)"/>
    <n v="64"/>
    <x v="1"/>
    <n v="31"/>
  </r>
  <r>
    <x v="0"/>
    <x v="0"/>
    <x v="0"/>
    <n v="8850962000222"/>
    <x v="490"/>
    <s v="RIO DE JANEIRO"/>
    <s v="RJ"/>
    <x v="2"/>
    <s v="RAFAEL ESTEVES (RJ/SPI/SUL)"/>
    <n v="62"/>
    <x v="3"/>
    <n v="1"/>
  </r>
  <r>
    <x v="0"/>
    <x v="0"/>
    <x v="0"/>
    <n v="8850962000222"/>
    <x v="490"/>
    <s v="RIO DE JANEIRO"/>
    <s v="RJ"/>
    <x v="2"/>
    <s v="RAFAEL ESTEVES (RJ/SPI/SUL)"/>
    <n v="64"/>
    <x v="1"/>
    <n v="1"/>
  </r>
  <r>
    <x v="0"/>
    <x v="0"/>
    <x v="0"/>
    <n v="9219138000584"/>
    <x v="465"/>
    <s v="RIO DE JANEIRO"/>
    <s v="RJ"/>
    <x v="2"/>
    <s v="RAFAEL ESTEVES (RJ/SPI/SUL)"/>
    <n v="62"/>
    <x v="3"/>
    <n v="4"/>
  </r>
  <r>
    <x v="0"/>
    <x v="0"/>
    <x v="0"/>
    <n v="9219138000584"/>
    <x v="465"/>
    <s v="RIO DE JANEIRO"/>
    <s v="RJ"/>
    <x v="2"/>
    <s v="RAFAEL ESTEVES (RJ/SPI/SUL)"/>
    <n v="70"/>
    <x v="0"/>
    <n v="420"/>
  </r>
  <r>
    <x v="0"/>
    <x v="0"/>
    <x v="0"/>
    <n v="9219138000584"/>
    <x v="465"/>
    <s v="RIO DE JANEIRO"/>
    <s v="RJ"/>
    <x v="2"/>
    <s v="RAFAEL ESTEVES (RJ/SPI/SUL)"/>
    <n v="73"/>
    <x v="2"/>
    <n v="84"/>
  </r>
  <r>
    <x v="0"/>
    <x v="0"/>
    <x v="0"/>
    <n v="9578217000158"/>
    <x v="491"/>
    <s v="RIO DE JANEIRO"/>
    <s v="RJ"/>
    <x v="2"/>
    <s v="RAFAEL ESTEVES (RJ/SPI/SUL)"/>
    <n v="62"/>
    <x v="3"/>
    <n v="4"/>
  </r>
  <r>
    <x v="0"/>
    <x v="0"/>
    <x v="0"/>
    <n v="9578217000158"/>
    <x v="491"/>
    <s v="RIO DE JANEIRO"/>
    <s v="RJ"/>
    <x v="2"/>
    <s v="RAFAEL ESTEVES (RJ/SPI/SUL)"/>
    <n v="64"/>
    <x v="1"/>
    <n v="3"/>
  </r>
  <r>
    <x v="0"/>
    <x v="0"/>
    <x v="0"/>
    <n v="9609235000230"/>
    <x v="492"/>
    <s v="RIO DE JANEIRO"/>
    <s v="RJ"/>
    <x v="2"/>
    <s v="RAFAEL ESTEVES (RJ/SPI/SUL)"/>
    <n v="70"/>
    <x v="0"/>
    <n v="450"/>
  </r>
  <r>
    <x v="0"/>
    <x v="0"/>
    <x v="0"/>
    <n v="11279865000155"/>
    <x v="493"/>
    <s v="RIO DE JANEIRO"/>
    <s v="RJ"/>
    <x v="2"/>
    <s v="RAFAEL ESTEVES (RJ/SPI/SUL)"/>
    <n v="64"/>
    <x v="1"/>
    <n v="8"/>
  </r>
  <r>
    <x v="0"/>
    <x v="0"/>
    <x v="0"/>
    <n v="18010750000100"/>
    <x v="494"/>
    <s v="RIO DE JANEIRO"/>
    <s v="RJ"/>
    <x v="2"/>
    <s v="RAFAEL ESTEVES (RJ/SPI/SUL)"/>
    <n v="70"/>
    <x v="0"/>
    <n v="150"/>
  </r>
  <r>
    <x v="0"/>
    <x v="0"/>
    <x v="0"/>
    <n v="21109731000140"/>
    <x v="495"/>
    <s v="RIO DE JANEIRO"/>
    <s v="RJ"/>
    <x v="2"/>
    <s v="RAFAEL ESTEVES (RJ/SPI/SUL)"/>
    <n v="73"/>
    <x v="2"/>
    <n v="112"/>
  </r>
  <r>
    <x v="0"/>
    <x v="0"/>
    <x v="0"/>
    <n v="21265360000195"/>
    <x v="466"/>
    <s v="RIO DE JANEIRO"/>
    <s v="RJ"/>
    <x v="2"/>
    <s v="RAFAEL ESTEVES (RJ/SPI/SUL)"/>
    <n v="73"/>
    <x v="2"/>
    <n v="16"/>
  </r>
  <r>
    <x v="0"/>
    <x v="0"/>
    <x v="0"/>
    <n v="24217779000160"/>
    <x v="496"/>
    <s v="RIO DE JANEIRO"/>
    <s v="RJ"/>
    <x v="2"/>
    <s v="RAFAEL ESTEVES (RJ/SPI/SUL)"/>
    <n v="64"/>
    <x v="1"/>
    <n v="6"/>
  </r>
  <r>
    <x v="0"/>
    <x v="0"/>
    <x v="0"/>
    <n v="27901222000131"/>
    <x v="497"/>
    <s v="RIO DE JANEIRO"/>
    <s v="RJ"/>
    <x v="2"/>
    <s v="RAFAEL ESTEVES (RJ/SPI/SUL)"/>
    <n v="62"/>
    <x v="3"/>
    <n v="5"/>
  </r>
  <r>
    <x v="0"/>
    <x v="0"/>
    <x v="0"/>
    <n v="28000107000159"/>
    <x v="498"/>
    <s v="RIO DE JANEIRO"/>
    <s v="RJ"/>
    <x v="2"/>
    <s v="RAFAEL ESTEVES (RJ/SPI/SUL)"/>
    <n v="70"/>
    <x v="0"/>
    <n v="120"/>
  </r>
  <r>
    <x v="0"/>
    <x v="0"/>
    <x v="0"/>
    <n v="28000107000159"/>
    <x v="498"/>
    <s v="RIO DE JANEIRO"/>
    <s v="RJ"/>
    <x v="2"/>
    <s v="RAFAEL ESTEVES (RJ/SPI/SUL)"/>
    <n v="73"/>
    <x v="2"/>
    <n v="150"/>
  </r>
  <r>
    <x v="0"/>
    <x v="0"/>
    <x v="0"/>
    <n v="28602407000108"/>
    <x v="499"/>
    <s v="RIO DE JANEIRO"/>
    <s v="RJ"/>
    <x v="2"/>
    <s v="RAFAEL ESTEVES (RJ/SPI/SUL)"/>
    <n v="64"/>
    <x v="1"/>
    <n v="1"/>
  </r>
  <r>
    <x v="0"/>
    <x v="0"/>
    <x v="0"/>
    <n v="29259736000403"/>
    <x v="467"/>
    <s v="RIO DE JANEIRO"/>
    <s v="RJ"/>
    <x v="2"/>
    <s v="RAFAEL ESTEVES (RJ/SPI/SUL)"/>
    <n v="64"/>
    <x v="1"/>
    <n v="5"/>
  </r>
  <r>
    <x v="0"/>
    <x v="0"/>
    <x v="0"/>
    <n v="29259736000403"/>
    <x v="467"/>
    <s v="RIO DE JANEIRO"/>
    <s v="RJ"/>
    <x v="2"/>
    <s v="RAFAEL ESTEVES (RJ/SPI/SUL)"/>
    <n v="73"/>
    <x v="2"/>
    <n v="40"/>
  </r>
  <r>
    <x v="0"/>
    <x v="0"/>
    <x v="0"/>
    <n v="29435005005198"/>
    <x v="468"/>
    <s v="RIO DE JANEIRO"/>
    <s v="RJ"/>
    <x v="2"/>
    <s v="RAFAEL ESTEVES (RJ/SPI/SUL)"/>
    <n v="62"/>
    <x v="3"/>
    <n v="17"/>
  </r>
  <r>
    <x v="0"/>
    <x v="0"/>
    <x v="0"/>
    <n v="29435005005198"/>
    <x v="468"/>
    <s v="RIO DE JANEIRO"/>
    <s v="RJ"/>
    <x v="2"/>
    <s v="RAFAEL ESTEVES (RJ/SPI/SUL)"/>
    <n v="64"/>
    <x v="1"/>
    <n v="16"/>
  </r>
  <r>
    <x v="0"/>
    <x v="0"/>
    <x v="0"/>
    <n v="29435005005783"/>
    <x v="469"/>
    <s v="RIO DE JANEIRO"/>
    <s v="RJ"/>
    <x v="2"/>
    <s v="RAFAEL ESTEVES (RJ/SPI/SUL)"/>
    <n v="70"/>
    <x v="0"/>
    <n v="225"/>
  </r>
  <r>
    <x v="0"/>
    <x v="0"/>
    <x v="0"/>
    <n v="29435005006160"/>
    <x v="500"/>
    <s v="RIO DE JANEIRO"/>
    <s v="RJ"/>
    <x v="2"/>
    <s v="RAFAEL ESTEVES (RJ/SPI/SUL)"/>
    <n v="62"/>
    <x v="3"/>
    <n v="6"/>
  </r>
  <r>
    <x v="0"/>
    <x v="0"/>
    <x v="0"/>
    <n v="29435005006160"/>
    <x v="500"/>
    <s v="RIO DE JANEIRO"/>
    <s v="RJ"/>
    <x v="2"/>
    <s v="RAFAEL ESTEVES (RJ/SPI/SUL)"/>
    <n v="64"/>
    <x v="1"/>
    <n v="5"/>
  </r>
  <r>
    <x v="0"/>
    <x v="0"/>
    <x v="0"/>
    <n v="29435005006160"/>
    <x v="500"/>
    <s v="RIO DE JANEIRO"/>
    <s v="RJ"/>
    <x v="2"/>
    <s v="RAFAEL ESTEVES (RJ/SPI/SUL)"/>
    <n v="70"/>
    <x v="0"/>
    <n v="50"/>
  </r>
  <r>
    <x v="0"/>
    <x v="0"/>
    <x v="0"/>
    <n v="31635857000101"/>
    <x v="501"/>
    <s v="RIO DE JANEIRO"/>
    <s v="RJ"/>
    <x v="2"/>
    <s v="RAFAEL ESTEVES (RJ/SPI/SUL)"/>
    <n v="62"/>
    <x v="3"/>
    <n v="1"/>
  </r>
  <r>
    <x v="0"/>
    <x v="0"/>
    <x v="0"/>
    <n v="31635857000292"/>
    <x v="502"/>
    <s v="RIO DE JANEIRO"/>
    <s v="RJ"/>
    <x v="2"/>
    <s v="RAFAEL ESTEVES (RJ/SPI/SUL)"/>
    <n v="62"/>
    <x v="3"/>
    <n v="7"/>
  </r>
  <r>
    <x v="0"/>
    <x v="0"/>
    <x v="0"/>
    <n v="31635857000292"/>
    <x v="502"/>
    <s v="RIO DE JANEIRO"/>
    <s v="RJ"/>
    <x v="2"/>
    <s v="RAFAEL ESTEVES (RJ/SPI/SUL)"/>
    <n v="73"/>
    <x v="2"/>
    <n v="12"/>
  </r>
  <r>
    <x v="0"/>
    <x v="0"/>
    <x v="0"/>
    <n v="32154700000127"/>
    <x v="503"/>
    <s v="RIO DE JANEIRO"/>
    <s v="RJ"/>
    <x v="2"/>
    <s v="RAFAEL ESTEVES (RJ/SPI/SUL)"/>
    <n v="62"/>
    <x v="3"/>
    <n v="5"/>
  </r>
  <r>
    <x v="0"/>
    <x v="0"/>
    <x v="0"/>
    <n v="32154700000127"/>
    <x v="503"/>
    <s v="RIO DE JANEIRO"/>
    <s v="RJ"/>
    <x v="2"/>
    <s v="RAFAEL ESTEVES (RJ/SPI/SUL)"/>
    <n v="64"/>
    <x v="1"/>
    <n v="8"/>
  </r>
  <r>
    <x v="0"/>
    <x v="0"/>
    <x v="0"/>
    <n v="33000167000101"/>
    <x v="470"/>
    <s v="RIO DE JANEIRO"/>
    <s v="RJ"/>
    <x v="2"/>
    <s v="RAFAEL ESTEVES (RJ/SPI/SUL)"/>
    <n v="70"/>
    <x v="0"/>
    <n v="140"/>
  </r>
  <r>
    <x v="0"/>
    <x v="0"/>
    <x v="0"/>
    <n v="33419482000259"/>
    <x v="471"/>
    <s v="RIO DE JANEIRO"/>
    <s v="RJ"/>
    <x v="2"/>
    <s v="RAFAEL ESTEVES (RJ/SPI/SUL)"/>
    <n v="62"/>
    <x v="3"/>
    <n v="11"/>
  </r>
  <r>
    <x v="0"/>
    <x v="0"/>
    <x v="0"/>
    <n v="33419482000259"/>
    <x v="471"/>
    <s v="RIO DE JANEIRO"/>
    <s v="RJ"/>
    <x v="2"/>
    <s v="RAFAEL ESTEVES (RJ/SPI/SUL)"/>
    <n v="64"/>
    <x v="1"/>
    <n v="9"/>
  </r>
  <r>
    <x v="0"/>
    <x v="0"/>
    <x v="0"/>
    <n v="33419482000259"/>
    <x v="471"/>
    <s v="RIO DE JANEIRO"/>
    <s v="RJ"/>
    <x v="2"/>
    <s v="RAFAEL ESTEVES (RJ/SPI/SUL)"/>
    <n v="70"/>
    <x v="0"/>
    <n v="10"/>
  </r>
  <r>
    <x v="0"/>
    <x v="0"/>
    <x v="0"/>
    <n v="33663683002674"/>
    <x v="504"/>
    <s v="RIO DE JANEIRO"/>
    <s v="RJ"/>
    <x v="2"/>
    <s v="RAFAEL ESTEVES (RJ/SPI/SUL)"/>
    <n v="64"/>
    <x v="1"/>
    <n v="2"/>
  </r>
  <r>
    <x v="0"/>
    <x v="0"/>
    <x v="0"/>
    <n v="33663683005347"/>
    <x v="505"/>
    <s v="RIO DE JANEIRO"/>
    <s v="RJ"/>
    <x v="2"/>
    <s v="RAFAEL ESTEVES (RJ/SPI/SUL)"/>
    <n v="70"/>
    <x v="0"/>
    <n v="800"/>
  </r>
  <r>
    <x v="0"/>
    <x v="0"/>
    <x v="0"/>
    <n v="33781055000216"/>
    <x v="506"/>
    <s v="RIO DE JANEIRO"/>
    <s v="RJ"/>
    <x v="2"/>
    <s v="RAFAEL ESTEVES (RJ/SPI/SUL)"/>
    <n v="70"/>
    <x v="0"/>
    <n v="270"/>
  </r>
  <r>
    <x v="0"/>
    <x v="0"/>
    <x v="0"/>
    <n v="33927377000140"/>
    <x v="507"/>
    <s v="RIO DE JANEIRO"/>
    <s v="RJ"/>
    <x v="2"/>
    <s v="RAFAEL ESTEVES (RJ/SPI/SUL)"/>
    <n v="70"/>
    <x v="0"/>
    <n v="-5"/>
  </r>
  <r>
    <x v="0"/>
    <x v="0"/>
    <x v="0"/>
    <n v="39086160000130"/>
    <x v="508"/>
    <s v="RIO DE JANEIRO"/>
    <s v="RJ"/>
    <x v="2"/>
    <s v="RAFAEL ESTEVES (RJ/SPI/SUL)"/>
    <n v="70"/>
    <x v="0"/>
    <n v="200"/>
  </r>
  <r>
    <x v="0"/>
    <x v="0"/>
    <x v="0"/>
    <n v="39086160000130"/>
    <x v="508"/>
    <s v="RIO DE JANEIRO"/>
    <s v="RJ"/>
    <x v="2"/>
    <s v="RAFAEL ESTEVES (RJ/SPI/SUL)"/>
    <n v="73"/>
    <x v="2"/>
    <n v="100"/>
  </r>
  <r>
    <x v="0"/>
    <x v="0"/>
    <x v="0"/>
    <n v="53221255004995"/>
    <x v="509"/>
    <s v="RIO DE JANEIRO"/>
    <s v="RJ"/>
    <x v="2"/>
    <s v="RAFAEL ESTEVES (RJ/SPI/SUL)"/>
    <n v="62"/>
    <x v="3"/>
    <n v="2"/>
  </r>
  <r>
    <x v="0"/>
    <x v="0"/>
    <x v="0"/>
    <n v="60884855001630"/>
    <x v="473"/>
    <s v="RIO DE JANEIRO"/>
    <s v="RJ"/>
    <x v="2"/>
    <s v="RAFAEL ESTEVES (RJ/SPI/SUL)"/>
    <n v="62"/>
    <x v="3"/>
    <n v="25"/>
  </r>
  <r>
    <x v="0"/>
    <x v="0"/>
    <x v="0"/>
    <n v="60884855001630"/>
    <x v="473"/>
    <s v="RIO DE JANEIRO"/>
    <s v="RJ"/>
    <x v="2"/>
    <s v="RAFAEL ESTEVES (RJ/SPI/SUL)"/>
    <n v="64"/>
    <x v="1"/>
    <n v="9"/>
  </r>
  <r>
    <x v="0"/>
    <x v="0"/>
    <x v="0"/>
    <n v="60884855001630"/>
    <x v="473"/>
    <s v="RIO DE JANEIRO"/>
    <s v="RJ"/>
    <x v="2"/>
    <s v="RAFAEL ESTEVES (RJ/SPI/SUL)"/>
    <n v="70"/>
    <x v="0"/>
    <n v="375"/>
  </r>
  <r>
    <x v="0"/>
    <x v="0"/>
    <x v="0"/>
    <n v="60922168000348"/>
    <x v="510"/>
    <s v="RIO DE JANEIRO"/>
    <s v="RJ"/>
    <x v="2"/>
    <s v="RAFAEL ESTEVES (RJ/SPI/SUL)"/>
    <n v="62"/>
    <x v="3"/>
    <n v="2"/>
  </r>
  <r>
    <x v="0"/>
    <x v="0"/>
    <x v="0"/>
    <n v="60922168000348"/>
    <x v="510"/>
    <s v="RIO DE JANEIRO"/>
    <s v="RJ"/>
    <x v="2"/>
    <s v="RAFAEL ESTEVES (RJ/SPI/SUL)"/>
    <n v="64"/>
    <x v="1"/>
    <n v="3"/>
  </r>
  <r>
    <x v="0"/>
    <x v="0"/>
    <x v="0"/>
    <n v="60922168000348"/>
    <x v="510"/>
    <s v="RIO DE JANEIRO"/>
    <s v="RJ"/>
    <x v="2"/>
    <s v="RAFAEL ESTEVES (RJ/SPI/SUL)"/>
    <n v="70"/>
    <x v="0"/>
    <n v="330"/>
  </r>
  <r>
    <x v="0"/>
    <x v="0"/>
    <x v="0"/>
    <n v="72101124000506"/>
    <x v="511"/>
    <s v="RIO DE JANEIRO"/>
    <s v="RJ"/>
    <x v="2"/>
    <s v="RAFAEL ESTEVES (RJ/SPI/SUL)"/>
    <n v="73"/>
    <x v="2"/>
    <n v="229"/>
  </r>
  <r>
    <x v="0"/>
    <x v="0"/>
    <x v="0"/>
    <n v="73696718000219"/>
    <x v="512"/>
    <s v="RIO DE JANEIRO"/>
    <s v="RJ"/>
    <x v="2"/>
    <s v="RAFAEL ESTEVES (RJ/SPI/SUL)"/>
    <n v="62"/>
    <x v="3"/>
    <n v="9"/>
  </r>
  <r>
    <x v="0"/>
    <x v="0"/>
    <x v="0"/>
    <n v="73696718000219"/>
    <x v="512"/>
    <s v="RIO DE JANEIRO"/>
    <s v="RJ"/>
    <x v="2"/>
    <s v="RAFAEL ESTEVES (RJ/SPI/SUL)"/>
    <n v="64"/>
    <x v="1"/>
    <n v="3"/>
  </r>
  <r>
    <x v="0"/>
    <x v="1"/>
    <x v="0"/>
    <n v="6047087000996"/>
    <x v="484"/>
    <s v="RIO DE JANEIRO"/>
    <s v="RJ"/>
    <x v="2"/>
    <s v="RAFAEL ESTEVES (RJ/SPI/SUL)"/>
    <n v="62"/>
    <x v="3"/>
    <n v="10"/>
  </r>
  <r>
    <x v="0"/>
    <x v="1"/>
    <x v="0"/>
    <n v="6047087000996"/>
    <x v="484"/>
    <s v="RIO DE JANEIRO"/>
    <s v="RJ"/>
    <x v="2"/>
    <s v="RAFAEL ESTEVES (RJ/SPI/SUL)"/>
    <n v="64"/>
    <x v="1"/>
    <n v="15"/>
  </r>
  <r>
    <x v="0"/>
    <x v="1"/>
    <x v="0"/>
    <n v="6047087001020"/>
    <x v="485"/>
    <s v="RIO DE JANEIRO"/>
    <s v="RJ"/>
    <x v="2"/>
    <s v="RAFAEL ESTEVES (RJ/SPI/SUL)"/>
    <n v="62"/>
    <x v="3"/>
    <n v="120"/>
  </r>
  <r>
    <x v="0"/>
    <x v="1"/>
    <x v="0"/>
    <n v="6047087001020"/>
    <x v="485"/>
    <s v="RIO DE JANEIRO"/>
    <s v="RJ"/>
    <x v="2"/>
    <s v="RAFAEL ESTEVES (RJ/SPI/SUL)"/>
    <n v="64"/>
    <x v="1"/>
    <n v="55"/>
  </r>
  <r>
    <x v="0"/>
    <x v="1"/>
    <x v="0"/>
    <n v="6047087002697"/>
    <x v="486"/>
    <s v="RIO DE JANEIRO"/>
    <s v="RJ"/>
    <x v="2"/>
    <s v="RAFAEL ESTEVES (RJ/SPI/SUL)"/>
    <n v="62"/>
    <x v="3"/>
    <n v="9"/>
  </r>
  <r>
    <x v="0"/>
    <x v="1"/>
    <x v="0"/>
    <n v="6047087002697"/>
    <x v="486"/>
    <s v="RIO DE JANEIRO"/>
    <s v="RJ"/>
    <x v="2"/>
    <s v="RAFAEL ESTEVES (RJ/SPI/SUL)"/>
    <n v="70"/>
    <x v="0"/>
    <n v="75"/>
  </r>
  <r>
    <x v="0"/>
    <x v="1"/>
    <x v="0"/>
    <n v="7794623004896"/>
    <x v="488"/>
    <s v="RIO DE JANEIRO"/>
    <s v="RJ"/>
    <x v="2"/>
    <s v="RAFAEL ESTEVES (RJ/SPI/SUL)"/>
    <n v="70"/>
    <x v="0"/>
    <n v="700"/>
  </r>
  <r>
    <x v="0"/>
    <x v="1"/>
    <x v="0"/>
    <n v="8100676002102"/>
    <x v="489"/>
    <s v="RIO DE JANEIRO"/>
    <s v="RJ"/>
    <x v="2"/>
    <s v="RAFAEL ESTEVES (RJ/SPI/SUL)"/>
    <n v="64"/>
    <x v="1"/>
    <n v="30"/>
  </r>
  <r>
    <x v="0"/>
    <x v="1"/>
    <x v="0"/>
    <n v="8100676002102"/>
    <x v="489"/>
    <s v="RIO DE JANEIRO"/>
    <s v="RJ"/>
    <x v="2"/>
    <s v="RAFAEL ESTEVES (RJ/SPI/SUL)"/>
    <n v="70"/>
    <x v="0"/>
    <n v="400"/>
  </r>
  <r>
    <x v="0"/>
    <x v="1"/>
    <x v="0"/>
    <n v="8850962000222"/>
    <x v="490"/>
    <s v="RIO DE JANEIRO"/>
    <s v="RJ"/>
    <x v="2"/>
    <s v="RAFAEL ESTEVES (RJ/SPI/SUL)"/>
    <n v="62"/>
    <x v="3"/>
    <n v="16"/>
  </r>
  <r>
    <x v="0"/>
    <x v="1"/>
    <x v="0"/>
    <n v="8850962000222"/>
    <x v="490"/>
    <s v="RIO DE JANEIRO"/>
    <s v="RJ"/>
    <x v="2"/>
    <s v="RAFAEL ESTEVES (RJ/SPI/SUL)"/>
    <n v="64"/>
    <x v="1"/>
    <n v="16"/>
  </r>
  <r>
    <x v="0"/>
    <x v="1"/>
    <x v="0"/>
    <n v="9219138000584"/>
    <x v="465"/>
    <s v="RIO DE JANEIRO"/>
    <s v="RJ"/>
    <x v="2"/>
    <s v="RAFAEL ESTEVES (RJ/SPI/SUL)"/>
    <n v="64"/>
    <x v="1"/>
    <n v="4"/>
  </r>
  <r>
    <x v="0"/>
    <x v="1"/>
    <x v="0"/>
    <n v="9219138000584"/>
    <x v="465"/>
    <s v="RIO DE JANEIRO"/>
    <s v="RJ"/>
    <x v="2"/>
    <s v="RAFAEL ESTEVES (RJ/SPI/SUL)"/>
    <n v="70"/>
    <x v="0"/>
    <n v="670"/>
  </r>
  <r>
    <x v="0"/>
    <x v="1"/>
    <x v="0"/>
    <n v="9219138000584"/>
    <x v="465"/>
    <s v="RIO DE JANEIRO"/>
    <s v="RJ"/>
    <x v="2"/>
    <s v="RAFAEL ESTEVES (RJ/SPI/SUL)"/>
    <n v="73"/>
    <x v="2"/>
    <n v="188"/>
  </r>
  <r>
    <x v="0"/>
    <x v="1"/>
    <x v="0"/>
    <n v="9578217000158"/>
    <x v="491"/>
    <s v="RIO DE JANEIRO"/>
    <s v="RJ"/>
    <x v="2"/>
    <s v="RAFAEL ESTEVES (RJ/SPI/SUL)"/>
    <n v="62"/>
    <x v="3"/>
    <n v="3"/>
  </r>
  <r>
    <x v="0"/>
    <x v="1"/>
    <x v="0"/>
    <n v="9578217000158"/>
    <x v="491"/>
    <s v="RIO DE JANEIRO"/>
    <s v="RJ"/>
    <x v="2"/>
    <s v="RAFAEL ESTEVES (RJ/SPI/SUL)"/>
    <n v="64"/>
    <x v="1"/>
    <n v="4"/>
  </r>
  <r>
    <x v="0"/>
    <x v="1"/>
    <x v="0"/>
    <n v="18010750000100"/>
    <x v="494"/>
    <s v="RIO DE JANEIRO"/>
    <s v="RJ"/>
    <x v="2"/>
    <s v="RAFAEL ESTEVES (RJ/SPI/SUL)"/>
    <n v="70"/>
    <x v="0"/>
    <n v="265"/>
  </r>
  <r>
    <x v="0"/>
    <x v="1"/>
    <x v="0"/>
    <n v="21265360000195"/>
    <x v="466"/>
    <s v="RIO DE JANEIRO"/>
    <s v="RJ"/>
    <x v="2"/>
    <s v="RAFAEL ESTEVES (RJ/SPI/SUL)"/>
    <n v="73"/>
    <x v="2"/>
    <n v="16"/>
  </r>
  <r>
    <x v="0"/>
    <x v="1"/>
    <x v="0"/>
    <n v="22400856000197"/>
    <x v="513"/>
    <s v="RIO DE JANEIRO"/>
    <s v="RJ"/>
    <x v="2"/>
    <s v="RAFAEL ESTEVES (RJ/SPI/SUL)"/>
    <n v="70"/>
    <x v="0"/>
    <n v="50"/>
  </r>
  <r>
    <x v="0"/>
    <x v="1"/>
    <x v="0"/>
    <n v="24217779000160"/>
    <x v="496"/>
    <s v="RIO DE JANEIRO"/>
    <s v="RJ"/>
    <x v="2"/>
    <s v="RAFAEL ESTEVES (RJ/SPI/SUL)"/>
    <n v="64"/>
    <x v="1"/>
    <n v="4"/>
  </r>
  <r>
    <x v="0"/>
    <x v="1"/>
    <x v="0"/>
    <n v="28000107000159"/>
    <x v="498"/>
    <s v="RIO DE JANEIRO"/>
    <s v="RJ"/>
    <x v="2"/>
    <s v="RAFAEL ESTEVES (RJ/SPI/SUL)"/>
    <n v="70"/>
    <x v="0"/>
    <n v="90"/>
  </r>
  <r>
    <x v="0"/>
    <x v="1"/>
    <x v="0"/>
    <n v="28000107000159"/>
    <x v="498"/>
    <s v="RIO DE JANEIRO"/>
    <s v="RJ"/>
    <x v="2"/>
    <s v="RAFAEL ESTEVES (RJ/SPI/SUL)"/>
    <n v="73"/>
    <x v="2"/>
    <n v="140"/>
  </r>
  <r>
    <x v="0"/>
    <x v="1"/>
    <x v="0"/>
    <n v="28602407000108"/>
    <x v="499"/>
    <s v="RIO DE JANEIRO"/>
    <s v="RJ"/>
    <x v="2"/>
    <s v="RAFAEL ESTEVES (RJ/SPI/SUL)"/>
    <n v="73"/>
    <x v="2"/>
    <n v="4"/>
  </r>
  <r>
    <x v="0"/>
    <x v="1"/>
    <x v="0"/>
    <n v="29259736000403"/>
    <x v="467"/>
    <s v="RIO DE JANEIRO"/>
    <s v="RJ"/>
    <x v="2"/>
    <s v="RAFAEL ESTEVES (RJ/SPI/SUL)"/>
    <n v="62"/>
    <x v="3"/>
    <n v="56"/>
  </r>
  <r>
    <x v="0"/>
    <x v="1"/>
    <x v="0"/>
    <n v="29259736000403"/>
    <x v="467"/>
    <s v="RIO DE JANEIRO"/>
    <s v="RJ"/>
    <x v="2"/>
    <s v="RAFAEL ESTEVES (RJ/SPI/SUL)"/>
    <n v="64"/>
    <x v="1"/>
    <n v="2"/>
  </r>
  <r>
    <x v="0"/>
    <x v="1"/>
    <x v="0"/>
    <n v="29259736000403"/>
    <x v="467"/>
    <s v="RIO DE JANEIRO"/>
    <s v="RJ"/>
    <x v="2"/>
    <s v="RAFAEL ESTEVES (RJ/SPI/SUL)"/>
    <n v="73"/>
    <x v="2"/>
    <n v="16"/>
  </r>
  <r>
    <x v="0"/>
    <x v="1"/>
    <x v="0"/>
    <n v="29435005005198"/>
    <x v="468"/>
    <s v="RIO DE JANEIRO"/>
    <s v="RJ"/>
    <x v="2"/>
    <s v="RAFAEL ESTEVES (RJ/SPI/SUL)"/>
    <n v="70"/>
    <x v="0"/>
    <n v="200"/>
  </r>
  <r>
    <x v="0"/>
    <x v="1"/>
    <x v="0"/>
    <n v="29435005005279"/>
    <x v="514"/>
    <s v="RIO DE JANEIRO"/>
    <s v="RJ"/>
    <x v="2"/>
    <s v="RAFAEL ESTEVES (RJ/SPI/SUL)"/>
    <n v="64"/>
    <x v="1"/>
    <n v="5"/>
  </r>
  <r>
    <x v="0"/>
    <x v="1"/>
    <x v="0"/>
    <n v="29435005005783"/>
    <x v="469"/>
    <s v="RIO DE JANEIRO"/>
    <s v="RJ"/>
    <x v="2"/>
    <s v="RAFAEL ESTEVES (RJ/SPI/SUL)"/>
    <n v="70"/>
    <x v="0"/>
    <n v="385"/>
  </r>
  <r>
    <x v="0"/>
    <x v="1"/>
    <x v="0"/>
    <n v="29435005006160"/>
    <x v="500"/>
    <s v="RIO DE JANEIRO"/>
    <s v="RJ"/>
    <x v="2"/>
    <s v="RAFAEL ESTEVES (RJ/SPI/SUL)"/>
    <n v="62"/>
    <x v="3"/>
    <n v="4"/>
  </r>
  <r>
    <x v="0"/>
    <x v="1"/>
    <x v="0"/>
    <n v="29435005006160"/>
    <x v="500"/>
    <s v="RIO DE JANEIRO"/>
    <s v="RJ"/>
    <x v="2"/>
    <s v="RAFAEL ESTEVES (RJ/SPI/SUL)"/>
    <n v="64"/>
    <x v="1"/>
    <n v="14"/>
  </r>
  <r>
    <x v="0"/>
    <x v="1"/>
    <x v="0"/>
    <n v="31635857000292"/>
    <x v="502"/>
    <s v="RIO DE JANEIRO"/>
    <s v="RJ"/>
    <x v="2"/>
    <s v="RAFAEL ESTEVES (RJ/SPI/SUL)"/>
    <n v="73"/>
    <x v="2"/>
    <n v="36"/>
  </r>
  <r>
    <x v="0"/>
    <x v="1"/>
    <x v="0"/>
    <n v="33419482000259"/>
    <x v="471"/>
    <s v="RIO DE JANEIRO"/>
    <s v="RJ"/>
    <x v="2"/>
    <s v="RAFAEL ESTEVES (RJ/SPI/SUL)"/>
    <n v="62"/>
    <x v="3"/>
    <n v="9"/>
  </r>
  <r>
    <x v="0"/>
    <x v="1"/>
    <x v="0"/>
    <n v="33419482000259"/>
    <x v="471"/>
    <s v="RIO DE JANEIRO"/>
    <s v="RJ"/>
    <x v="2"/>
    <s v="RAFAEL ESTEVES (RJ/SPI/SUL)"/>
    <n v="64"/>
    <x v="1"/>
    <n v="2"/>
  </r>
  <r>
    <x v="0"/>
    <x v="1"/>
    <x v="0"/>
    <n v="33419482000259"/>
    <x v="471"/>
    <s v="RIO DE JANEIRO"/>
    <s v="RJ"/>
    <x v="2"/>
    <s v="RAFAEL ESTEVES (RJ/SPI/SUL)"/>
    <n v="70"/>
    <x v="0"/>
    <n v="15"/>
  </r>
  <r>
    <x v="0"/>
    <x v="1"/>
    <x v="0"/>
    <n v="33663683005347"/>
    <x v="505"/>
    <s v="RIO DE JANEIRO"/>
    <s v="RJ"/>
    <x v="2"/>
    <s v="RAFAEL ESTEVES (RJ/SPI/SUL)"/>
    <n v="70"/>
    <x v="0"/>
    <n v="800"/>
  </r>
  <r>
    <x v="0"/>
    <x v="1"/>
    <x v="0"/>
    <n v="34058123000103"/>
    <x v="515"/>
    <s v="RIO DE JANEIRO"/>
    <s v="RJ"/>
    <x v="2"/>
    <s v="RAFAEL ESTEVES (RJ/SPI/SUL)"/>
    <n v="62"/>
    <x v="3"/>
    <n v="6"/>
  </r>
  <r>
    <x v="0"/>
    <x v="1"/>
    <x v="0"/>
    <n v="34058123000103"/>
    <x v="515"/>
    <s v="RIO DE JANEIRO"/>
    <s v="RJ"/>
    <x v="2"/>
    <s v="RAFAEL ESTEVES (RJ/SPI/SUL)"/>
    <n v="64"/>
    <x v="1"/>
    <n v="16"/>
  </r>
  <r>
    <x v="0"/>
    <x v="1"/>
    <x v="0"/>
    <n v="39086160000130"/>
    <x v="508"/>
    <s v="RIO DE JANEIRO"/>
    <s v="RJ"/>
    <x v="2"/>
    <s v="RAFAEL ESTEVES (RJ/SPI/SUL)"/>
    <n v="70"/>
    <x v="0"/>
    <n v="150"/>
  </r>
  <r>
    <x v="0"/>
    <x v="1"/>
    <x v="0"/>
    <n v="39086160000130"/>
    <x v="508"/>
    <s v="RIO DE JANEIRO"/>
    <s v="RJ"/>
    <x v="2"/>
    <s v="RAFAEL ESTEVES (RJ/SPI/SUL)"/>
    <n v="73"/>
    <x v="2"/>
    <n v="48"/>
  </r>
  <r>
    <x v="0"/>
    <x v="1"/>
    <x v="0"/>
    <n v="40320103000153"/>
    <x v="516"/>
    <s v="RIO DE JANEIRO"/>
    <s v="RJ"/>
    <x v="2"/>
    <s v="RAFAEL ESTEVES (RJ/SPI/SUL)"/>
    <n v="64"/>
    <x v="1"/>
    <n v="5"/>
  </r>
  <r>
    <x v="0"/>
    <x v="1"/>
    <x v="0"/>
    <n v="42297507000107"/>
    <x v="472"/>
    <s v="RIO DE JANEIRO"/>
    <s v="RJ"/>
    <x v="2"/>
    <s v="RAFAEL ESTEVES (RJ/SPI/SUL)"/>
    <n v="62"/>
    <x v="3"/>
    <n v="4"/>
  </r>
  <r>
    <x v="0"/>
    <x v="1"/>
    <x v="0"/>
    <n v="42297507000107"/>
    <x v="472"/>
    <s v="RIO DE JANEIRO"/>
    <s v="RJ"/>
    <x v="2"/>
    <s v="RAFAEL ESTEVES (RJ/SPI/SUL)"/>
    <n v="64"/>
    <x v="1"/>
    <n v="4"/>
  </r>
  <r>
    <x v="0"/>
    <x v="1"/>
    <x v="0"/>
    <n v="53221255004995"/>
    <x v="509"/>
    <s v="RIO DE JANEIRO"/>
    <s v="RJ"/>
    <x v="2"/>
    <s v="RAFAEL ESTEVES (RJ/SPI/SUL)"/>
    <n v="62"/>
    <x v="3"/>
    <n v="1"/>
  </r>
  <r>
    <x v="0"/>
    <x v="1"/>
    <x v="0"/>
    <n v="60884855001630"/>
    <x v="473"/>
    <s v="RIO DE JANEIRO"/>
    <s v="RJ"/>
    <x v="2"/>
    <s v="RAFAEL ESTEVES (RJ/SPI/SUL)"/>
    <n v="62"/>
    <x v="3"/>
    <n v="10"/>
  </r>
  <r>
    <x v="0"/>
    <x v="1"/>
    <x v="0"/>
    <n v="60884855001630"/>
    <x v="473"/>
    <s v="RIO DE JANEIRO"/>
    <s v="RJ"/>
    <x v="2"/>
    <s v="RAFAEL ESTEVES (RJ/SPI/SUL)"/>
    <n v="64"/>
    <x v="1"/>
    <n v="25"/>
  </r>
  <r>
    <x v="0"/>
    <x v="1"/>
    <x v="0"/>
    <n v="60884855001630"/>
    <x v="473"/>
    <s v="RIO DE JANEIRO"/>
    <s v="RJ"/>
    <x v="2"/>
    <s v="RAFAEL ESTEVES (RJ/SPI/SUL)"/>
    <n v="70"/>
    <x v="0"/>
    <n v="160"/>
  </r>
  <r>
    <x v="0"/>
    <x v="1"/>
    <x v="0"/>
    <n v="60922168000348"/>
    <x v="510"/>
    <s v="RIO DE JANEIRO"/>
    <s v="RJ"/>
    <x v="2"/>
    <s v="RAFAEL ESTEVES (RJ/SPI/SUL)"/>
    <n v="62"/>
    <x v="3"/>
    <n v="9"/>
  </r>
  <r>
    <x v="0"/>
    <x v="1"/>
    <x v="0"/>
    <n v="60922168000348"/>
    <x v="510"/>
    <s v="RIO DE JANEIRO"/>
    <s v="RJ"/>
    <x v="2"/>
    <s v="RAFAEL ESTEVES (RJ/SPI/SUL)"/>
    <n v="64"/>
    <x v="1"/>
    <n v="4"/>
  </r>
  <r>
    <x v="0"/>
    <x v="1"/>
    <x v="0"/>
    <n v="60922168000348"/>
    <x v="510"/>
    <s v="RIO DE JANEIRO"/>
    <s v="RJ"/>
    <x v="2"/>
    <s v="RAFAEL ESTEVES (RJ/SPI/SUL)"/>
    <n v="70"/>
    <x v="0"/>
    <n v="210"/>
  </r>
  <r>
    <x v="0"/>
    <x v="1"/>
    <x v="0"/>
    <n v="72101124000506"/>
    <x v="511"/>
    <s v="RIO DE JANEIRO"/>
    <s v="RJ"/>
    <x v="2"/>
    <s v="RAFAEL ESTEVES (RJ/SPI/SUL)"/>
    <n v="70"/>
    <x v="0"/>
    <n v="175"/>
  </r>
  <r>
    <x v="0"/>
    <x v="1"/>
    <x v="0"/>
    <n v="72101124000506"/>
    <x v="511"/>
    <s v="RIO DE JANEIRO"/>
    <s v="RJ"/>
    <x v="2"/>
    <s v="RAFAEL ESTEVES (RJ/SPI/SUL)"/>
    <n v="73"/>
    <x v="2"/>
    <n v="135"/>
  </r>
  <r>
    <x v="0"/>
    <x v="2"/>
    <x v="0"/>
    <n v="320465020"/>
    <x v="517"/>
    <s v="RIO DE JANEIRO"/>
    <s v="RJ"/>
    <x v="2"/>
    <s v="RAFAEL ESTEVES (RJ/SPI/SUL)"/>
    <n v="66"/>
    <x v="4"/>
    <n v="3"/>
  </r>
  <r>
    <x v="0"/>
    <x v="2"/>
    <x v="0"/>
    <n v="5371944796"/>
    <x v="518"/>
    <s v="RIO DE JANEIRO"/>
    <s v="RJ"/>
    <x v="2"/>
    <s v="RAFAEL ESTEVES (RJ/SPI/SUL)"/>
    <n v="70"/>
    <x v="0"/>
    <n v="20"/>
  </r>
  <r>
    <x v="0"/>
    <x v="2"/>
    <x v="0"/>
    <n v="394502014870"/>
    <x v="480"/>
    <s v="RIO DE JANEIRO"/>
    <s v="RJ"/>
    <x v="2"/>
    <s v="RAFAEL ESTEVES (RJ/SPI/SUL)"/>
    <n v="64"/>
    <x v="1"/>
    <n v="5"/>
  </r>
  <r>
    <x v="0"/>
    <x v="2"/>
    <x v="0"/>
    <n v="394544017150"/>
    <x v="481"/>
    <s v="RIO DE JANEIRO"/>
    <s v="RJ"/>
    <x v="2"/>
    <s v="RAFAEL ESTEVES (RJ/SPI/SUL)"/>
    <n v="64"/>
    <x v="1"/>
    <n v="20"/>
  </r>
  <r>
    <x v="0"/>
    <x v="2"/>
    <x v="0"/>
    <n v="394544020453"/>
    <x v="477"/>
    <s v="RIO DE JANEIRO"/>
    <s v="RJ"/>
    <x v="2"/>
    <s v="RAFAEL ESTEVES (RJ/SPI/SUL)"/>
    <n v="70"/>
    <x v="0"/>
    <n v="200"/>
  </r>
  <r>
    <x v="0"/>
    <x v="2"/>
    <x v="0"/>
    <n v="394544021344"/>
    <x v="479"/>
    <s v="RIO DE JANEIRO"/>
    <s v="RJ"/>
    <x v="2"/>
    <s v="RAFAEL ESTEVES (RJ/SPI/SUL)"/>
    <n v="62"/>
    <x v="3"/>
    <n v="250"/>
  </r>
  <r>
    <x v="0"/>
    <x v="2"/>
    <x v="0"/>
    <n v="394544021344"/>
    <x v="479"/>
    <s v="RIO DE JANEIRO"/>
    <s v="RJ"/>
    <x v="2"/>
    <s v="RAFAEL ESTEVES (RJ/SPI/SUL)"/>
    <n v="64"/>
    <x v="1"/>
    <n v="208"/>
  </r>
  <r>
    <x v="0"/>
    <x v="2"/>
    <x v="0"/>
    <n v="2284062000521"/>
    <x v="482"/>
    <s v="RIO DE JANEIRO"/>
    <s v="RJ"/>
    <x v="2"/>
    <s v="RAFAEL ESTEVES (RJ/SPI/SUL)"/>
    <n v="62"/>
    <x v="3"/>
    <n v="5"/>
  </r>
  <r>
    <x v="0"/>
    <x v="2"/>
    <x v="0"/>
    <n v="2284062000521"/>
    <x v="482"/>
    <s v="RIO DE JANEIRO"/>
    <s v="RJ"/>
    <x v="2"/>
    <s v="RAFAEL ESTEVES (RJ/SPI/SUL)"/>
    <n v="64"/>
    <x v="1"/>
    <n v="13"/>
  </r>
  <r>
    <x v="0"/>
    <x v="2"/>
    <x v="0"/>
    <n v="2864097000106"/>
    <x v="483"/>
    <s v="RIO DE JANEIRO"/>
    <s v="RJ"/>
    <x v="2"/>
    <s v="RAFAEL ESTEVES (RJ/SPI/SUL)"/>
    <n v="70"/>
    <x v="0"/>
    <n v="40"/>
  </r>
  <r>
    <x v="0"/>
    <x v="2"/>
    <x v="0"/>
    <n v="6047087000996"/>
    <x v="484"/>
    <s v="RIO DE JANEIRO"/>
    <s v="RJ"/>
    <x v="2"/>
    <s v="RAFAEL ESTEVES (RJ/SPI/SUL)"/>
    <n v="62"/>
    <x v="3"/>
    <n v="13"/>
  </r>
  <r>
    <x v="0"/>
    <x v="2"/>
    <x v="0"/>
    <n v="6047087000996"/>
    <x v="484"/>
    <s v="RIO DE JANEIRO"/>
    <s v="RJ"/>
    <x v="2"/>
    <s v="RAFAEL ESTEVES (RJ/SPI/SUL)"/>
    <n v="70"/>
    <x v="0"/>
    <n v="225"/>
  </r>
  <r>
    <x v="0"/>
    <x v="2"/>
    <x v="0"/>
    <n v="6047087001020"/>
    <x v="485"/>
    <s v="RIO DE JANEIRO"/>
    <s v="RJ"/>
    <x v="2"/>
    <s v="RAFAEL ESTEVES (RJ/SPI/SUL)"/>
    <n v="62"/>
    <x v="3"/>
    <n v="66"/>
  </r>
  <r>
    <x v="0"/>
    <x v="2"/>
    <x v="0"/>
    <n v="6047087001020"/>
    <x v="485"/>
    <s v="RIO DE JANEIRO"/>
    <s v="RJ"/>
    <x v="2"/>
    <s v="RAFAEL ESTEVES (RJ/SPI/SUL)"/>
    <n v="64"/>
    <x v="1"/>
    <n v="33"/>
  </r>
  <r>
    <x v="0"/>
    <x v="2"/>
    <x v="0"/>
    <n v="6047087002697"/>
    <x v="486"/>
    <s v="RIO DE JANEIRO"/>
    <s v="RJ"/>
    <x v="2"/>
    <s v="RAFAEL ESTEVES (RJ/SPI/SUL)"/>
    <n v="62"/>
    <x v="3"/>
    <n v="10"/>
  </r>
  <r>
    <x v="0"/>
    <x v="2"/>
    <x v="0"/>
    <n v="6047087002697"/>
    <x v="486"/>
    <s v="RIO DE JANEIRO"/>
    <s v="RJ"/>
    <x v="2"/>
    <s v="RAFAEL ESTEVES (RJ/SPI/SUL)"/>
    <n v="64"/>
    <x v="1"/>
    <n v="22"/>
  </r>
  <r>
    <x v="0"/>
    <x v="2"/>
    <x v="0"/>
    <n v="6047087003316"/>
    <x v="487"/>
    <s v="RIO DE JANEIRO"/>
    <s v="RJ"/>
    <x v="2"/>
    <s v="RAFAEL ESTEVES (RJ/SPI/SUL)"/>
    <n v="62"/>
    <x v="3"/>
    <n v="1"/>
  </r>
  <r>
    <x v="0"/>
    <x v="2"/>
    <x v="0"/>
    <n v="7794623004896"/>
    <x v="488"/>
    <s v="RIO DE JANEIRO"/>
    <s v="RJ"/>
    <x v="2"/>
    <s v="RAFAEL ESTEVES (RJ/SPI/SUL)"/>
    <n v="70"/>
    <x v="0"/>
    <n v="1750"/>
  </r>
  <r>
    <x v="0"/>
    <x v="2"/>
    <x v="0"/>
    <n v="8100676002102"/>
    <x v="489"/>
    <s v="RIO DE JANEIRO"/>
    <s v="RJ"/>
    <x v="2"/>
    <s v="RAFAEL ESTEVES (RJ/SPI/SUL)"/>
    <n v="62"/>
    <x v="3"/>
    <n v="16"/>
  </r>
  <r>
    <x v="0"/>
    <x v="2"/>
    <x v="0"/>
    <n v="8100676002102"/>
    <x v="489"/>
    <s v="RIO DE JANEIRO"/>
    <s v="RJ"/>
    <x v="2"/>
    <s v="RAFAEL ESTEVES (RJ/SPI/SUL)"/>
    <n v="64"/>
    <x v="1"/>
    <n v="23"/>
  </r>
  <r>
    <x v="0"/>
    <x v="2"/>
    <x v="0"/>
    <n v="9219138000401"/>
    <x v="519"/>
    <s v="RIO DE JANEIRO"/>
    <s v="RJ"/>
    <x v="2"/>
    <s v="RAFAEL ESTEVES (RJ/SPI/SUL)"/>
    <n v="70"/>
    <x v="0"/>
    <n v="285"/>
  </r>
  <r>
    <x v="0"/>
    <x v="2"/>
    <x v="0"/>
    <n v="9219138000584"/>
    <x v="465"/>
    <s v="RIO DE JANEIRO"/>
    <s v="RJ"/>
    <x v="2"/>
    <s v="RAFAEL ESTEVES (RJ/SPI/SUL)"/>
    <n v="64"/>
    <x v="1"/>
    <n v="2"/>
  </r>
  <r>
    <x v="0"/>
    <x v="2"/>
    <x v="0"/>
    <n v="9219138000584"/>
    <x v="465"/>
    <s v="RIO DE JANEIRO"/>
    <s v="RJ"/>
    <x v="2"/>
    <s v="RAFAEL ESTEVES (RJ/SPI/SUL)"/>
    <n v="70"/>
    <x v="0"/>
    <n v="1455"/>
  </r>
  <r>
    <x v="0"/>
    <x v="2"/>
    <x v="0"/>
    <n v="9219138000584"/>
    <x v="465"/>
    <s v="RIO DE JANEIRO"/>
    <s v="RJ"/>
    <x v="2"/>
    <s v="RAFAEL ESTEVES (RJ/SPI/SUL)"/>
    <n v="73"/>
    <x v="2"/>
    <n v="140"/>
  </r>
  <r>
    <x v="0"/>
    <x v="2"/>
    <x v="0"/>
    <n v="18010750000100"/>
    <x v="494"/>
    <s v="RIO DE JANEIRO"/>
    <s v="RJ"/>
    <x v="2"/>
    <s v="RAFAEL ESTEVES (RJ/SPI/SUL)"/>
    <n v="62"/>
    <x v="3"/>
    <n v="2"/>
  </r>
  <r>
    <x v="0"/>
    <x v="2"/>
    <x v="0"/>
    <n v="18010750000100"/>
    <x v="494"/>
    <s v="RIO DE JANEIRO"/>
    <s v="RJ"/>
    <x v="2"/>
    <s v="RAFAEL ESTEVES (RJ/SPI/SUL)"/>
    <n v="70"/>
    <x v="0"/>
    <n v="290"/>
  </r>
  <r>
    <x v="0"/>
    <x v="2"/>
    <x v="0"/>
    <n v="21109731000140"/>
    <x v="495"/>
    <s v="RIO DE JANEIRO"/>
    <s v="RJ"/>
    <x v="2"/>
    <s v="RAFAEL ESTEVES (RJ/SPI/SUL)"/>
    <n v="73"/>
    <x v="2"/>
    <n v="112"/>
  </r>
  <r>
    <x v="0"/>
    <x v="2"/>
    <x v="0"/>
    <n v="21265360000195"/>
    <x v="466"/>
    <s v="RIO DE JANEIRO"/>
    <s v="RJ"/>
    <x v="2"/>
    <s v="RAFAEL ESTEVES (RJ/SPI/SUL)"/>
    <n v="73"/>
    <x v="2"/>
    <n v="16"/>
  </r>
  <r>
    <x v="0"/>
    <x v="2"/>
    <x v="0"/>
    <n v="24217779000160"/>
    <x v="496"/>
    <s v="RIO DE JANEIRO"/>
    <s v="RJ"/>
    <x v="2"/>
    <s v="RAFAEL ESTEVES (RJ/SPI/SUL)"/>
    <n v="62"/>
    <x v="3"/>
    <n v="14"/>
  </r>
  <r>
    <x v="0"/>
    <x v="2"/>
    <x v="0"/>
    <n v="24217779000160"/>
    <x v="496"/>
    <s v="RIO DE JANEIRO"/>
    <s v="RJ"/>
    <x v="2"/>
    <s v="RAFAEL ESTEVES (RJ/SPI/SUL)"/>
    <n v="64"/>
    <x v="1"/>
    <n v="29"/>
  </r>
  <r>
    <x v="0"/>
    <x v="2"/>
    <x v="0"/>
    <n v="27901222000131"/>
    <x v="497"/>
    <s v="RIO DE JANEIRO"/>
    <s v="RJ"/>
    <x v="2"/>
    <s v="RAFAEL ESTEVES (RJ/SPI/SUL)"/>
    <n v="62"/>
    <x v="3"/>
    <n v="6"/>
  </r>
  <r>
    <x v="0"/>
    <x v="2"/>
    <x v="0"/>
    <n v="28000107000159"/>
    <x v="498"/>
    <s v="RIO DE JANEIRO"/>
    <s v="RJ"/>
    <x v="2"/>
    <s v="RAFAEL ESTEVES (RJ/SPI/SUL)"/>
    <n v="70"/>
    <x v="0"/>
    <n v="150"/>
  </r>
  <r>
    <x v="0"/>
    <x v="2"/>
    <x v="0"/>
    <n v="28000107000159"/>
    <x v="498"/>
    <s v="RIO DE JANEIRO"/>
    <s v="RJ"/>
    <x v="2"/>
    <s v="RAFAEL ESTEVES (RJ/SPI/SUL)"/>
    <n v="73"/>
    <x v="2"/>
    <n v="126"/>
  </r>
  <r>
    <x v="0"/>
    <x v="2"/>
    <x v="0"/>
    <n v="28602407000108"/>
    <x v="499"/>
    <s v="RIO DE JANEIRO"/>
    <s v="RJ"/>
    <x v="2"/>
    <s v="RAFAEL ESTEVES (RJ/SPI/SUL)"/>
    <n v="62"/>
    <x v="3"/>
    <n v="1"/>
  </r>
  <r>
    <x v="0"/>
    <x v="2"/>
    <x v="0"/>
    <n v="28602407000108"/>
    <x v="499"/>
    <s v="RIO DE JANEIRO"/>
    <s v="RJ"/>
    <x v="2"/>
    <s v="RAFAEL ESTEVES (RJ/SPI/SUL)"/>
    <n v="64"/>
    <x v="1"/>
    <n v="5"/>
  </r>
  <r>
    <x v="0"/>
    <x v="2"/>
    <x v="0"/>
    <n v="28602407000108"/>
    <x v="499"/>
    <s v="RIO DE JANEIRO"/>
    <s v="RJ"/>
    <x v="2"/>
    <s v="RAFAEL ESTEVES (RJ/SPI/SUL)"/>
    <n v="73"/>
    <x v="2"/>
    <n v="4"/>
  </r>
  <r>
    <x v="0"/>
    <x v="2"/>
    <x v="0"/>
    <n v="29259736000403"/>
    <x v="467"/>
    <s v="RIO DE JANEIRO"/>
    <s v="RJ"/>
    <x v="2"/>
    <s v="RAFAEL ESTEVES (RJ/SPI/SUL)"/>
    <n v="64"/>
    <x v="1"/>
    <n v="3"/>
  </r>
  <r>
    <x v="0"/>
    <x v="2"/>
    <x v="0"/>
    <n v="29259736000403"/>
    <x v="467"/>
    <s v="RIO DE JANEIRO"/>
    <s v="RJ"/>
    <x v="2"/>
    <s v="RAFAEL ESTEVES (RJ/SPI/SUL)"/>
    <n v="73"/>
    <x v="2"/>
    <n v="1"/>
  </r>
  <r>
    <x v="0"/>
    <x v="2"/>
    <x v="0"/>
    <n v="29435005005198"/>
    <x v="468"/>
    <s v="RIO DE JANEIRO"/>
    <s v="RJ"/>
    <x v="2"/>
    <s v="RAFAEL ESTEVES (RJ/SPI/SUL)"/>
    <n v="62"/>
    <x v="3"/>
    <n v="14"/>
  </r>
  <r>
    <x v="0"/>
    <x v="2"/>
    <x v="0"/>
    <n v="29435005005198"/>
    <x v="468"/>
    <s v="RIO DE JANEIRO"/>
    <s v="RJ"/>
    <x v="2"/>
    <s v="RAFAEL ESTEVES (RJ/SPI/SUL)"/>
    <n v="64"/>
    <x v="1"/>
    <n v="15"/>
  </r>
  <r>
    <x v="0"/>
    <x v="2"/>
    <x v="0"/>
    <n v="29435005005783"/>
    <x v="469"/>
    <s v="RIO DE JANEIRO"/>
    <s v="RJ"/>
    <x v="2"/>
    <s v="RAFAEL ESTEVES (RJ/SPI/SUL)"/>
    <n v="64"/>
    <x v="1"/>
    <n v="1"/>
  </r>
  <r>
    <x v="0"/>
    <x v="2"/>
    <x v="0"/>
    <n v="29435005005783"/>
    <x v="469"/>
    <s v="RIO DE JANEIRO"/>
    <s v="RJ"/>
    <x v="2"/>
    <s v="RAFAEL ESTEVES (RJ/SPI/SUL)"/>
    <n v="70"/>
    <x v="0"/>
    <n v="250"/>
  </r>
  <r>
    <x v="0"/>
    <x v="2"/>
    <x v="0"/>
    <n v="29435005006160"/>
    <x v="500"/>
    <s v="RIO DE JANEIRO"/>
    <s v="RJ"/>
    <x v="2"/>
    <s v="RAFAEL ESTEVES (RJ/SPI/SUL)"/>
    <n v="64"/>
    <x v="1"/>
    <n v="10"/>
  </r>
  <r>
    <x v="0"/>
    <x v="2"/>
    <x v="0"/>
    <n v="29435005006160"/>
    <x v="500"/>
    <s v="RIO DE JANEIRO"/>
    <s v="RJ"/>
    <x v="2"/>
    <s v="RAFAEL ESTEVES (RJ/SPI/SUL)"/>
    <n v="70"/>
    <x v="0"/>
    <n v="80"/>
  </r>
  <r>
    <x v="0"/>
    <x v="2"/>
    <x v="0"/>
    <n v="31635857000292"/>
    <x v="502"/>
    <s v="RIO DE JANEIRO"/>
    <s v="RJ"/>
    <x v="2"/>
    <s v="RAFAEL ESTEVES (RJ/SPI/SUL)"/>
    <n v="73"/>
    <x v="2"/>
    <n v="16"/>
  </r>
  <r>
    <x v="0"/>
    <x v="2"/>
    <x v="0"/>
    <n v="33000167000101"/>
    <x v="470"/>
    <s v="RIO DE JANEIRO"/>
    <s v="RJ"/>
    <x v="2"/>
    <s v="RAFAEL ESTEVES (RJ/SPI/SUL)"/>
    <n v="70"/>
    <x v="0"/>
    <n v="120"/>
  </r>
  <r>
    <x v="0"/>
    <x v="2"/>
    <x v="0"/>
    <n v="33419482000259"/>
    <x v="471"/>
    <s v="RIO DE JANEIRO"/>
    <s v="RJ"/>
    <x v="2"/>
    <s v="RAFAEL ESTEVES (RJ/SPI/SUL)"/>
    <n v="62"/>
    <x v="3"/>
    <n v="7"/>
  </r>
  <r>
    <x v="0"/>
    <x v="2"/>
    <x v="0"/>
    <n v="33419482000259"/>
    <x v="471"/>
    <s v="RIO DE JANEIRO"/>
    <s v="RJ"/>
    <x v="2"/>
    <s v="RAFAEL ESTEVES (RJ/SPI/SUL)"/>
    <n v="64"/>
    <x v="1"/>
    <n v="3"/>
  </r>
  <r>
    <x v="0"/>
    <x v="2"/>
    <x v="0"/>
    <n v="33419482000259"/>
    <x v="471"/>
    <s v="RIO DE JANEIRO"/>
    <s v="RJ"/>
    <x v="2"/>
    <s v="RAFAEL ESTEVES (RJ/SPI/SUL)"/>
    <n v="70"/>
    <x v="0"/>
    <n v="20"/>
  </r>
  <r>
    <x v="0"/>
    <x v="2"/>
    <x v="0"/>
    <n v="33663683005347"/>
    <x v="505"/>
    <s v="RIO DE JANEIRO"/>
    <s v="RJ"/>
    <x v="2"/>
    <s v="RAFAEL ESTEVES (RJ/SPI/SUL)"/>
    <n v="62"/>
    <x v="3"/>
    <n v="24"/>
  </r>
  <r>
    <x v="0"/>
    <x v="2"/>
    <x v="0"/>
    <n v="33663683005347"/>
    <x v="505"/>
    <s v="RIO DE JANEIRO"/>
    <s v="RJ"/>
    <x v="2"/>
    <s v="RAFAEL ESTEVES (RJ/SPI/SUL)"/>
    <n v="64"/>
    <x v="1"/>
    <n v="24"/>
  </r>
  <r>
    <x v="0"/>
    <x v="2"/>
    <x v="0"/>
    <n v="33663683005347"/>
    <x v="505"/>
    <s v="RIO DE JANEIRO"/>
    <s v="RJ"/>
    <x v="2"/>
    <s v="RAFAEL ESTEVES (RJ/SPI/SUL)"/>
    <n v="70"/>
    <x v="0"/>
    <n v="2400"/>
  </r>
  <r>
    <x v="0"/>
    <x v="2"/>
    <x v="0"/>
    <n v="39086160000130"/>
    <x v="508"/>
    <s v="RIO DE JANEIRO"/>
    <s v="RJ"/>
    <x v="2"/>
    <s v="RAFAEL ESTEVES (RJ/SPI/SUL)"/>
    <n v="70"/>
    <x v="0"/>
    <n v="180"/>
  </r>
  <r>
    <x v="0"/>
    <x v="2"/>
    <x v="0"/>
    <n v="39086160000130"/>
    <x v="508"/>
    <s v="RIO DE JANEIRO"/>
    <s v="RJ"/>
    <x v="2"/>
    <s v="RAFAEL ESTEVES (RJ/SPI/SUL)"/>
    <n v="73"/>
    <x v="2"/>
    <n v="88"/>
  </r>
  <r>
    <x v="0"/>
    <x v="2"/>
    <x v="0"/>
    <n v="40226946000276"/>
    <x v="520"/>
    <s v="RIO DE JANEIRO"/>
    <s v="RJ"/>
    <x v="2"/>
    <s v="RAFAEL ESTEVES (RJ/SPI/SUL)"/>
    <n v="64"/>
    <x v="1"/>
    <n v="2"/>
  </r>
  <r>
    <x v="0"/>
    <x v="2"/>
    <x v="0"/>
    <n v="60884855001630"/>
    <x v="473"/>
    <s v="RIO DE JANEIRO"/>
    <s v="RJ"/>
    <x v="2"/>
    <s v="RAFAEL ESTEVES (RJ/SPI/SUL)"/>
    <n v="62"/>
    <x v="3"/>
    <n v="5"/>
  </r>
  <r>
    <x v="0"/>
    <x v="2"/>
    <x v="0"/>
    <n v="60884855001630"/>
    <x v="473"/>
    <s v="RIO DE JANEIRO"/>
    <s v="RJ"/>
    <x v="2"/>
    <s v="RAFAEL ESTEVES (RJ/SPI/SUL)"/>
    <n v="64"/>
    <x v="1"/>
    <n v="7"/>
  </r>
  <r>
    <x v="0"/>
    <x v="2"/>
    <x v="0"/>
    <n v="60884855001630"/>
    <x v="473"/>
    <s v="RIO DE JANEIRO"/>
    <s v="RJ"/>
    <x v="2"/>
    <s v="RAFAEL ESTEVES (RJ/SPI/SUL)"/>
    <n v="70"/>
    <x v="0"/>
    <n v="385"/>
  </r>
  <r>
    <x v="0"/>
    <x v="2"/>
    <x v="0"/>
    <n v="60922168000348"/>
    <x v="510"/>
    <s v="RIO DE JANEIRO"/>
    <s v="RJ"/>
    <x v="2"/>
    <s v="RAFAEL ESTEVES (RJ/SPI/SUL)"/>
    <n v="62"/>
    <x v="3"/>
    <n v="6"/>
  </r>
  <r>
    <x v="0"/>
    <x v="2"/>
    <x v="0"/>
    <n v="60922168000348"/>
    <x v="510"/>
    <s v="RIO DE JANEIRO"/>
    <s v="RJ"/>
    <x v="2"/>
    <s v="RAFAEL ESTEVES (RJ/SPI/SUL)"/>
    <n v="64"/>
    <x v="1"/>
    <n v="3"/>
  </r>
  <r>
    <x v="0"/>
    <x v="2"/>
    <x v="0"/>
    <n v="60922168000348"/>
    <x v="510"/>
    <s v="RIO DE JANEIRO"/>
    <s v="RJ"/>
    <x v="2"/>
    <s v="RAFAEL ESTEVES (RJ/SPI/SUL)"/>
    <n v="70"/>
    <x v="0"/>
    <n v="130"/>
  </r>
  <r>
    <x v="0"/>
    <x v="2"/>
    <x v="0"/>
    <n v="72101124000506"/>
    <x v="511"/>
    <s v="RIO DE JANEIRO"/>
    <s v="RJ"/>
    <x v="2"/>
    <s v="RAFAEL ESTEVES (RJ/SPI/SUL)"/>
    <n v="70"/>
    <x v="0"/>
    <n v="445"/>
  </r>
  <r>
    <x v="0"/>
    <x v="2"/>
    <x v="0"/>
    <n v="72101124000506"/>
    <x v="511"/>
    <s v="RIO DE JANEIRO"/>
    <s v="RJ"/>
    <x v="2"/>
    <s v="RAFAEL ESTEVES (RJ/SPI/SUL)"/>
    <n v="73"/>
    <x v="2"/>
    <n v="214"/>
  </r>
  <r>
    <x v="0"/>
    <x v="2"/>
    <x v="0"/>
    <n v="73696718000219"/>
    <x v="512"/>
    <s v="RIO DE JANEIRO"/>
    <s v="RJ"/>
    <x v="2"/>
    <s v="RAFAEL ESTEVES (RJ/SPI/SUL)"/>
    <n v="62"/>
    <x v="3"/>
    <n v="7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28">
  <r>
    <x v="0"/>
    <x v="0"/>
    <x v="0"/>
    <n v="88317000121"/>
    <x v="0"/>
    <x v="0"/>
    <n v="39454.839999999997"/>
  </r>
  <r>
    <x v="0"/>
    <x v="0"/>
    <x v="0"/>
    <n v="88317000121"/>
    <x v="0"/>
    <x v="1"/>
    <n v="28869.599999999999"/>
  </r>
  <r>
    <x v="0"/>
    <x v="0"/>
    <x v="0"/>
    <n v="394544020100"/>
    <x v="1"/>
    <x v="2"/>
    <n v="137824"/>
  </r>
  <r>
    <x v="0"/>
    <x v="0"/>
    <x v="0"/>
    <n v="394544020291"/>
    <x v="2"/>
    <x v="2"/>
    <n v="207680"/>
  </r>
  <r>
    <x v="0"/>
    <x v="0"/>
    <x v="0"/>
    <n v="394544020291"/>
    <x v="2"/>
    <x v="0"/>
    <n v="50880"/>
  </r>
  <r>
    <x v="0"/>
    <x v="0"/>
    <x v="0"/>
    <n v="394544020372"/>
    <x v="3"/>
    <x v="2"/>
    <n v="48000"/>
  </r>
  <r>
    <x v="0"/>
    <x v="0"/>
    <x v="0"/>
    <n v="394544020372"/>
    <x v="3"/>
    <x v="0"/>
    <n v="67056.600000000006"/>
  </r>
  <r>
    <x v="0"/>
    <x v="0"/>
    <x v="0"/>
    <n v="394544020453"/>
    <x v="4"/>
    <x v="0"/>
    <n v="103164"/>
  </r>
  <r>
    <x v="0"/>
    <x v="0"/>
    <x v="0"/>
    <n v="394544021000"/>
    <x v="5"/>
    <x v="2"/>
    <n v="14160"/>
  </r>
  <r>
    <x v="0"/>
    <x v="0"/>
    <x v="0"/>
    <n v="394544021000"/>
    <x v="5"/>
    <x v="0"/>
    <n v="25791"/>
  </r>
  <r>
    <x v="0"/>
    <x v="0"/>
    <x v="0"/>
    <n v="394544021182"/>
    <x v="6"/>
    <x v="2"/>
    <n v="276000"/>
  </r>
  <r>
    <x v="0"/>
    <x v="0"/>
    <x v="0"/>
    <n v="394544021344"/>
    <x v="7"/>
    <x v="2"/>
    <n v="29866.720000000001"/>
  </r>
  <r>
    <x v="0"/>
    <x v="0"/>
    <x v="0"/>
    <n v="394544021344"/>
    <x v="7"/>
    <x v="0"/>
    <n v="312906.8"/>
  </r>
  <r>
    <x v="0"/>
    <x v="0"/>
    <x v="0"/>
    <n v="1479465000130"/>
    <x v="8"/>
    <x v="0"/>
    <n v="540058.63"/>
  </r>
  <r>
    <x v="0"/>
    <x v="0"/>
    <x v="0"/>
    <n v="2873606000167"/>
    <x v="9"/>
    <x v="0"/>
    <n v="319755.27"/>
  </r>
  <r>
    <x v="0"/>
    <x v="0"/>
    <x v="0"/>
    <n v="4027894000164"/>
    <x v="10"/>
    <x v="0"/>
    <n v="45061.37"/>
  </r>
  <r>
    <x v="0"/>
    <x v="0"/>
    <x v="0"/>
    <n v="4027894000326"/>
    <x v="10"/>
    <x v="0"/>
    <n v="967412.94"/>
  </r>
  <r>
    <x v="0"/>
    <x v="0"/>
    <x v="0"/>
    <n v="4307650001298"/>
    <x v="11"/>
    <x v="0"/>
    <n v="756409.09"/>
  </r>
  <r>
    <x v="0"/>
    <x v="0"/>
    <x v="0"/>
    <n v="4307650001298"/>
    <x v="11"/>
    <x v="1"/>
    <n v="121974.04"/>
  </r>
  <r>
    <x v="0"/>
    <x v="0"/>
    <x v="0"/>
    <n v="4355394000151"/>
    <x v="12"/>
    <x v="2"/>
    <n v="123002.75"/>
  </r>
  <r>
    <x v="0"/>
    <x v="0"/>
    <x v="0"/>
    <n v="4355394000151"/>
    <x v="12"/>
    <x v="0"/>
    <n v="564689.51"/>
  </r>
  <r>
    <x v="0"/>
    <x v="0"/>
    <x v="0"/>
    <n v="4355394000151"/>
    <x v="12"/>
    <x v="1"/>
    <n v="674987.07"/>
  </r>
  <r>
    <x v="0"/>
    <x v="0"/>
    <x v="0"/>
    <n v="5268490000125"/>
    <x v="13"/>
    <x v="2"/>
    <n v="399721.79"/>
  </r>
  <r>
    <x v="0"/>
    <x v="0"/>
    <x v="0"/>
    <n v="5268490000125"/>
    <x v="13"/>
    <x v="0"/>
    <n v="336846.3"/>
  </r>
  <r>
    <x v="0"/>
    <x v="0"/>
    <x v="0"/>
    <n v="5816630000152"/>
    <x v="14"/>
    <x v="0"/>
    <n v="29420.400000000001"/>
  </r>
  <r>
    <x v="0"/>
    <x v="0"/>
    <x v="0"/>
    <n v="6081203000136"/>
    <x v="11"/>
    <x v="0"/>
    <n v="304505.59999999998"/>
  </r>
  <r>
    <x v="0"/>
    <x v="0"/>
    <x v="0"/>
    <n v="6081203000136"/>
    <x v="11"/>
    <x v="1"/>
    <n v="12991.32"/>
  </r>
  <r>
    <x v="0"/>
    <x v="0"/>
    <x v="0"/>
    <n v="6234797000178"/>
    <x v="15"/>
    <x v="0"/>
    <n v="218524.46"/>
  </r>
  <r>
    <x v="0"/>
    <x v="0"/>
    <x v="0"/>
    <n v="6234797000178"/>
    <x v="15"/>
    <x v="1"/>
    <n v="74814.5"/>
  </r>
  <r>
    <x v="0"/>
    <x v="0"/>
    <x v="0"/>
    <n v="7224991001530"/>
    <x v="16"/>
    <x v="0"/>
    <n v="4320.2299999999996"/>
  </r>
  <r>
    <x v="0"/>
    <x v="0"/>
    <x v="0"/>
    <n v="7224991001530"/>
    <x v="16"/>
    <x v="1"/>
    <n v="31686.14"/>
  </r>
  <r>
    <x v="0"/>
    <x v="0"/>
    <x v="0"/>
    <n v="7272636000212"/>
    <x v="17"/>
    <x v="0"/>
    <n v="39500.71"/>
  </r>
  <r>
    <x v="0"/>
    <x v="0"/>
    <x v="0"/>
    <n v="7484373000124"/>
    <x v="18"/>
    <x v="2"/>
    <n v="163569.01"/>
  </r>
  <r>
    <x v="0"/>
    <x v="0"/>
    <x v="0"/>
    <n v="7484373000124"/>
    <x v="18"/>
    <x v="1"/>
    <n v="88650.07"/>
  </r>
  <r>
    <x v="0"/>
    <x v="0"/>
    <x v="0"/>
    <n v="7734165000136"/>
    <x v="19"/>
    <x v="0"/>
    <n v="614961.56000000006"/>
  </r>
  <r>
    <x v="0"/>
    <x v="0"/>
    <x v="0"/>
    <n v="7812105000194"/>
    <x v="20"/>
    <x v="0"/>
    <n v="317153.93"/>
  </r>
  <r>
    <x v="0"/>
    <x v="0"/>
    <x v="0"/>
    <n v="8563277000134"/>
    <x v="21"/>
    <x v="1"/>
    <n v="14962.91"/>
  </r>
  <r>
    <x v="0"/>
    <x v="0"/>
    <x v="0"/>
    <n v="8597121000174"/>
    <x v="22"/>
    <x v="0"/>
    <n v="4544471.97"/>
  </r>
  <r>
    <x v="0"/>
    <x v="0"/>
    <x v="0"/>
    <n v="8618022000121"/>
    <x v="23"/>
    <x v="2"/>
    <n v="560914.75"/>
  </r>
  <r>
    <x v="0"/>
    <x v="0"/>
    <x v="0"/>
    <n v="8618022000121"/>
    <x v="23"/>
    <x v="0"/>
    <n v="872367.9"/>
  </r>
  <r>
    <x v="0"/>
    <x v="0"/>
    <x v="0"/>
    <n v="8618022000121"/>
    <x v="23"/>
    <x v="1"/>
    <n v="556267.81999999995"/>
  </r>
  <r>
    <x v="0"/>
    <x v="0"/>
    <x v="0"/>
    <n v="8719794000150"/>
    <x v="20"/>
    <x v="1"/>
    <n v="39607.699999999997"/>
  </r>
  <r>
    <x v="0"/>
    <x v="0"/>
    <x v="0"/>
    <n v="9053134000226"/>
    <x v="24"/>
    <x v="2"/>
    <n v="537513.76"/>
  </r>
  <r>
    <x v="0"/>
    <x v="0"/>
    <x v="0"/>
    <n v="9053134000226"/>
    <x v="24"/>
    <x v="0"/>
    <n v="263076.8"/>
  </r>
  <r>
    <x v="0"/>
    <x v="0"/>
    <x v="0"/>
    <n v="9053134000226"/>
    <x v="24"/>
    <x v="1"/>
    <n v="230023.84"/>
  </r>
  <r>
    <x v="0"/>
    <x v="0"/>
    <x v="0"/>
    <n v="9613374000157"/>
    <x v="25"/>
    <x v="0"/>
    <n v="476253.24"/>
  </r>
  <r>
    <x v="0"/>
    <x v="0"/>
    <x v="0"/>
    <n v="9660958000345"/>
    <x v="26"/>
    <x v="2"/>
    <n v="91148.18"/>
  </r>
  <r>
    <x v="0"/>
    <x v="0"/>
    <x v="0"/>
    <n v="9660958000345"/>
    <x v="26"/>
    <x v="0"/>
    <n v="301776.48"/>
  </r>
  <r>
    <x v="0"/>
    <x v="0"/>
    <x v="0"/>
    <n v="9660958000345"/>
    <x v="26"/>
    <x v="1"/>
    <n v="167683.16"/>
  </r>
  <r>
    <x v="0"/>
    <x v="0"/>
    <x v="0"/>
    <n v="10572048000209"/>
    <x v="27"/>
    <x v="0"/>
    <n v="247749"/>
  </r>
  <r>
    <x v="0"/>
    <x v="0"/>
    <x v="0"/>
    <n v="11051186000124"/>
    <x v="20"/>
    <x v="1"/>
    <n v="19803.84"/>
  </r>
  <r>
    <x v="0"/>
    <x v="0"/>
    <x v="0"/>
    <n v="11059197000312"/>
    <x v="28"/>
    <x v="0"/>
    <n v="56677.88"/>
  </r>
  <r>
    <x v="0"/>
    <x v="0"/>
    <x v="0"/>
    <n v="12047164000315"/>
    <x v="29"/>
    <x v="1"/>
    <n v="123928.01"/>
  </r>
  <r>
    <x v="0"/>
    <x v="0"/>
    <x v="0"/>
    <n v="12420164000319"/>
    <x v="30"/>
    <x v="2"/>
    <n v="1038426.58"/>
  </r>
  <r>
    <x v="0"/>
    <x v="0"/>
    <x v="0"/>
    <n v="12420164000319"/>
    <x v="30"/>
    <x v="0"/>
    <n v="1859924.23"/>
  </r>
  <r>
    <x v="0"/>
    <x v="0"/>
    <x v="0"/>
    <n v="12420164000319"/>
    <x v="30"/>
    <x v="1"/>
    <n v="134831.31"/>
  </r>
  <r>
    <x v="0"/>
    <x v="0"/>
    <x v="0"/>
    <n v="12420164000904"/>
    <x v="30"/>
    <x v="2"/>
    <n v="527702.6"/>
  </r>
  <r>
    <x v="0"/>
    <x v="0"/>
    <x v="0"/>
    <n v="12420164000904"/>
    <x v="30"/>
    <x v="0"/>
    <n v="1130814.2"/>
  </r>
  <r>
    <x v="0"/>
    <x v="0"/>
    <x v="0"/>
    <n v="12420164000904"/>
    <x v="30"/>
    <x v="1"/>
    <n v="59878.98"/>
  </r>
  <r>
    <x v="0"/>
    <x v="0"/>
    <x v="0"/>
    <n v="12420164001048"/>
    <x v="30"/>
    <x v="2"/>
    <n v="3259.3"/>
  </r>
  <r>
    <x v="0"/>
    <x v="0"/>
    <x v="0"/>
    <n v="12420164001048"/>
    <x v="30"/>
    <x v="0"/>
    <n v="71458.59"/>
  </r>
  <r>
    <x v="0"/>
    <x v="0"/>
    <x v="0"/>
    <n v="12420164001048"/>
    <x v="30"/>
    <x v="1"/>
    <n v="2308.33"/>
  </r>
  <r>
    <x v="0"/>
    <x v="0"/>
    <x v="0"/>
    <n v="12474705000120"/>
    <x v="31"/>
    <x v="0"/>
    <n v="26640"/>
  </r>
  <r>
    <x v="0"/>
    <x v="0"/>
    <x v="0"/>
    <n v="14261377000109"/>
    <x v="32"/>
    <x v="2"/>
    <n v="82001.83"/>
  </r>
  <r>
    <x v="0"/>
    <x v="0"/>
    <x v="0"/>
    <n v="14261377000109"/>
    <x v="32"/>
    <x v="0"/>
    <n v="266731.53000000003"/>
  </r>
  <r>
    <x v="0"/>
    <x v="0"/>
    <x v="0"/>
    <n v="14261377000109"/>
    <x v="32"/>
    <x v="1"/>
    <n v="53514.39"/>
  </r>
  <r>
    <x v="0"/>
    <x v="0"/>
    <x v="0"/>
    <n v="15126437000739"/>
    <x v="33"/>
    <x v="0"/>
    <n v="86920"/>
  </r>
  <r>
    <x v="0"/>
    <x v="0"/>
    <x v="0"/>
    <n v="15126437001972"/>
    <x v="34"/>
    <x v="0"/>
    <n v="12054"/>
  </r>
  <r>
    <x v="0"/>
    <x v="0"/>
    <x v="0"/>
    <n v="15126437002278"/>
    <x v="35"/>
    <x v="2"/>
    <n v="19106"/>
  </r>
  <r>
    <x v="0"/>
    <x v="0"/>
    <x v="0"/>
    <n v="15145035000196"/>
    <x v="36"/>
    <x v="2"/>
    <n v="28290.63"/>
  </r>
  <r>
    <x v="0"/>
    <x v="0"/>
    <x v="0"/>
    <n v="15145035000196"/>
    <x v="36"/>
    <x v="1"/>
    <n v="127919.27"/>
  </r>
  <r>
    <x v="0"/>
    <x v="0"/>
    <x v="0"/>
    <n v="15180714000368"/>
    <x v="37"/>
    <x v="0"/>
    <n v="11143.31"/>
  </r>
  <r>
    <x v="0"/>
    <x v="0"/>
    <x v="0"/>
    <n v="17700763000300"/>
    <x v="38"/>
    <x v="2"/>
    <n v="224334.2"/>
  </r>
  <r>
    <x v="0"/>
    <x v="0"/>
    <x v="0"/>
    <n v="17700763000300"/>
    <x v="38"/>
    <x v="0"/>
    <n v="1004478.49"/>
  </r>
  <r>
    <x v="0"/>
    <x v="0"/>
    <x v="0"/>
    <n v="17700763000300"/>
    <x v="38"/>
    <x v="1"/>
    <n v="140827.29999999999"/>
  </r>
  <r>
    <x v="0"/>
    <x v="0"/>
    <x v="0"/>
    <n v="18269125000187"/>
    <x v="39"/>
    <x v="2"/>
    <n v="754416.85"/>
  </r>
  <r>
    <x v="0"/>
    <x v="0"/>
    <x v="0"/>
    <n v="18269125000187"/>
    <x v="39"/>
    <x v="0"/>
    <n v="796153.23"/>
  </r>
  <r>
    <x v="0"/>
    <x v="0"/>
    <x v="0"/>
    <n v="18269125000187"/>
    <x v="39"/>
    <x v="1"/>
    <n v="216521.99"/>
  </r>
  <r>
    <x v="0"/>
    <x v="0"/>
    <x v="0"/>
    <n v="21895020000148"/>
    <x v="20"/>
    <x v="1"/>
    <n v="26405.13"/>
  </r>
  <r>
    <x v="0"/>
    <x v="0"/>
    <x v="0"/>
    <n v="25211499000107"/>
    <x v="28"/>
    <x v="0"/>
    <n v="29101"/>
  </r>
  <r>
    <x v="0"/>
    <x v="0"/>
    <x v="0"/>
    <n v="25211499000107"/>
    <x v="28"/>
    <x v="1"/>
    <n v="20331.939999999999"/>
  </r>
  <r>
    <x v="0"/>
    <x v="0"/>
    <x v="0"/>
    <n v="25437484000242"/>
    <x v="40"/>
    <x v="2"/>
    <n v="20960.84"/>
  </r>
  <r>
    <x v="0"/>
    <x v="0"/>
    <x v="0"/>
    <n v="25648387000207"/>
    <x v="41"/>
    <x v="2"/>
    <n v="47970"/>
  </r>
  <r>
    <x v="0"/>
    <x v="0"/>
    <x v="0"/>
    <n v="25648387000207"/>
    <x v="41"/>
    <x v="0"/>
    <n v="65513.81"/>
  </r>
  <r>
    <x v="0"/>
    <x v="0"/>
    <x v="0"/>
    <n v="25648387000207"/>
    <x v="41"/>
    <x v="1"/>
    <n v="2886.4"/>
  </r>
  <r>
    <x v="0"/>
    <x v="0"/>
    <x v="0"/>
    <n v="27080605001591"/>
    <x v="42"/>
    <x v="0"/>
    <n v="182234"/>
  </r>
  <r>
    <x v="0"/>
    <x v="0"/>
    <x v="0"/>
    <n v="27191294000132"/>
    <x v="43"/>
    <x v="0"/>
    <n v="8778.51"/>
  </r>
  <r>
    <x v="0"/>
    <x v="0"/>
    <x v="0"/>
    <n v="33663683002674"/>
    <x v="44"/>
    <x v="0"/>
    <n v="1811.92"/>
  </r>
  <r>
    <x v="0"/>
    <x v="0"/>
    <x v="0"/>
    <n v="33663683005347"/>
    <x v="45"/>
    <x v="0"/>
    <n v="137552"/>
  </r>
  <r>
    <x v="0"/>
    <x v="0"/>
    <x v="0"/>
    <n v="33781055000216"/>
    <x v="46"/>
    <x v="2"/>
    <n v="7283.83"/>
  </r>
  <r>
    <x v="0"/>
    <x v="0"/>
    <x v="0"/>
    <n v="33781055000216"/>
    <x v="46"/>
    <x v="0"/>
    <n v="46980"/>
  </r>
  <r>
    <x v="0"/>
    <x v="0"/>
    <x v="0"/>
    <n v="33781055000216"/>
    <x v="46"/>
    <x v="1"/>
    <n v="5596.8"/>
  </r>
  <r>
    <x v="0"/>
    <x v="0"/>
    <x v="0"/>
    <n v="34973438000178"/>
    <x v="47"/>
    <x v="1"/>
    <n v="5237.0200000000004"/>
  </r>
  <r>
    <x v="0"/>
    <x v="0"/>
    <x v="0"/>
    <n v="37396017000624"/>
    <x v="28"/>
    <x v="0"/>
    <n v="232470.35"/>
  </r>
  <r>
    <x v="0"/>
    <x v="0"/>
    <x v="0"/>
    <n v="37396017000624"/>
    <x v="28"/>
    <x v="1"/>
    <n v="22356.68"/>
  </r>
  <r>
    <x v="0"/>
    <x v="0"/>
    <x v="0"/>
    <n v="45780103000150"/>
    <x v="48"/>
    <x v="0"/>
    <n v="143395.35999999999"/>
  </r>
  <r>
    <x v="0"/>
    <x v="0"/>
    <x v="0"/>
    <n v="46068425000133"/>
    <x v="49"/>
    <x v="2"/>
    <n v="24796.799999999999"/>
  </r>
  <r>
    <x v="0"/>
    <x v="0"/>
    <x v="0"/>
    <n v="46374500001670"/>
    <x v="50"/>
    <x v="1"/>
    <n v="6074.28"/>
  </r>
  <r>
    <x v="0"/>
    <x v="0"/>
    <x v="0"/>
    <n v="46374500003533"/>
    <x v="51"/>
    <x v="0"/>
    <n v="204938"/>
  </r>
  <r>
    <x v="0"/>
    <x v="0"/>
    <x v="0"/>
    <n v="46374500011129"/>
    <x v="52"/>
    <x v="1"/>
    <n v="13498.4"/>
  </r>
  <r>
    <x v="0"/>
    <x v="0"/>
    <x v="0"/>
    <n v="46374500011200"/>
    <x v="53"/>
    <x v="1"/>
    <n v="6749.2"/>
  </r>
  <r>
    <x v="0"/>
    <x v="0"/>
    <x v="0"/>
    <n v="46374500011390"/>
    <x v="54"/>
    <x v="1"/>
    <n v="7592.85"/>
  </r>
  <r>
    <x v="0"/>
    <x v="0"/>
    <x v="0"/>
    <n v="46374500011714"/>
    <x v="55"/>
    <x v="1"/>
    <n v="16198.08"/>
  </r>
  <r>
    <x v="0"/>
    <x v="0"/>
    <x v="0"/>
    <n v="46374500012605"/>
    <x v="56"/>
    <x v="1"/>
    <n v="8099.04"/>
  </r>
  <r>
    <x v="0"/>
    <x v="0"/>
    <x v="0"/>
    <n v="46854998000192"/>
    <x v="57"/>
    <x v="2"/>
    <n v="54434.879999999997"/>
  </r>
  <r>
    <x v="0"/>
    <x v="0"/>
    <x v="0"/>
    <n v="48468284000171"/>
    <x v="58"/>
    <x v="0"/>
    <n v="20493.8"/>
  </r>
  <r>
    <x v="0"/>
    <x v="0"/>
    <x v="0"/>
    <n v="51885242000140"/>
    <x v="59"/>
    <x v="0"/>
    <n v="38330.74"/>
  </r>
  <r>
    <x v="0"/>
    <x v="0"/>
    <x v="0"/>
    <n v="56577059000606"/>
    <x v="60"/>
    <x v="2"/>
    <n v="87699"/>
  </r>
  <r>
    <x v="0"/>
    <x v="0"/>
    <x v="0"/>
    <n v="57722118000302"/>
    <x v="61"/>
    <x v="0"/>
    <n v="338147.7"/>
  </r>
  <r>
    <x v="0"/>
    <x v="0"/>
    <x v="0"/>
    <n v="60003761000129"/>
    <x v="62"/>
    <x v="2"/>
    <n v="38950"/>
  </r>
  <r>
    <x v="0"/>
    <x v="0"/>
    <x v="0"/>
    <n v="60003761000129"/>
    <x v="62"/>
    <x v="0"/>
    <n v="7970.4"/>
  </r>
  <r>
    <x v="0"/>
    <x v="0"/>
    <x v="0"/>
    <n v="60448040000122"/>
    <x v="63"/>
    <x v="2"/>
    <n v="305976"/>
  </r>
  <r>
    <x v="0"/>
    <x v="0"/>
    <x v="0"/>
    <n v="60448040000122"/>
    <x v="63"/>
    <x v="0"/>
    <n v="129403.4"/>
  </r>
  <r>
    <x v="0"/>
    <x v="0"/>
    <x v="0"/>
    <n v="60448040000122"/>
    <x v="63"/>
    <x v="1"/>
    <n v="3543.33"/>
  </r>
  <r>
    <x v="0"/>
    <x v="0"/>
    <x v="0"/>
    <n v="60747318000162"/>
    <x v="64"/>
    <x v="1"/>
    <n v="8436.5"/>
  </r>
  <r>
    <x v="0"/>
    <x v="0"/>
    <x v="0"/>
    <n v="61590410000124"/>
    <x v="65"/>
    <x v="0"/>
    <n v="241884.88"/>
  </r>
  <r>
    <x v="0"/>
    <x v="0"/>
    <x v="0"/>
    <n v="61590410000124"/>
    <x v="65"/>
    <x v="1"/>
    <n v="688.82"/>
  </r>
  <r>
    <x v="0"/>
    <x v="0"/>
    <x v="0"/>
    <n v="61590410001287"/>
    <x v="66"/>
    <x v="0"/>
    <n v="112750"/>
  </r>
  <r>
    <x v="0"/>
    <x v="0"/>
    <x v="0"/>
    <n v="61599908000158"/>
    <x v="67"/>
    <x v="0"/>
    <n v="79089"/>
  </r>
  <r>
    <x v="0"/>
    <x v="0"/>
    <x v="0"/>
    <n v="61599908000158"/>
    <x v="67"/>
    <x v="1"/>
    <n v="5405.55"/>
  </r>
  <r>
    <x v="0"/>
    <x v="0"/>
    <x v="0"/>
    <n v="79250676000193"/>
    <x v="24"/>
    <x v="2"/>
    <n v="47151.05"/>
  </r>
  <r>
    <x v="0"/>
    <x v="0"/>
    <x v="0"/>
    <n v="79250676000193"/>
    <x v="24"/>
    <x v="0"/>
    <n v="49199.74"/>
  </r>
  <r>
    <x v="0"/>
    <x v="0"/>
    <x v="0"/>
    <n v="79250676000193"/>
    <x v="24"/>
    <x v="1"/>
    <n v="9671.31"/>
  </r>
  <r>
    <x v="0"/>
    <x v="0"/>
    <x v="0"/>
    <n v="81887838000736"/>
    <x v="68"/>
    <x v="0"/>
    <n v="199921.93"/>
  </r>
  <r>
    <x v="0"/>
    <x v="0"/>
    <x v="0"/>
    <n v="81887838000736"/>
    <x v="68"/>
    <x v="1"/>
    <n v="23915.119999999999"/>
  </r>
  <r>
    <x v="0"/>
    <x v="0"/>
    <x v="0"/>
    <n v="82873068000140"/>
    <x v="69"/>
    <x v="0"/>
    <n v="2981.85"/>
  </r>
  <r>
    <x v="0"/>
    <x v="0"/>
    <x v="0"/>
    <n v="82873068000140"/>
    <x v="69"/>
    <x v="1"/>
    <n v="65572.710000000006"/>
  </r>
  <r>
    <x v="0"/>
    <x v="0"/>
    <x v="0"/>
    <n v="82873068000573"/>
    <x v="69"/>
    <x v="0"/>
    <n v="2762.98"/>
  </r>
  <r>
    <x v="0"/>
    <x v="0"/>
    <x v="0"/>
    <n v="82873068000573"/>
    <x v="69"/>
    <x v="1"/>
    <n v="22444.36"/>
  </r>
  <r>
    <x v="0"/>
    <x v="0"/>
    <x v="0"/>
    <n v="82873068000654"/>
    <x v="69"/>
    <x v="1"/>
    <n v="102099.81"/>
  </r>
  <r>
    <x v="0"/>
    <x v="0"/>
    <x v="0"/>
    <n v="87020517000120"/>
    <x v="70"/>
    <x v="0"/>
    <n v="9610.4"/>
  </r>
  <r>
    <x v="0"/>
    <x v="0"/>
    <x v="0"/>
    <n v="92787118000391"/>
    <x v="71"/>
    <x v="0"/>
    <n v="8885.52"/>
  </r>
  <r>
    <x v="0"/>
    <x v="0"/>
    <x v="0"/>
    <n v="94516671000153"/>
    <x v="72"/>
    <x v="2"/>
    <n v="83641.87"/>
  </r>
  <r>
    <x v="0"/>
    <x v="0"/>
    <x v="0"/>
    <n v="94516671000153"/>
    <x v="72"/>
    <x v="0"/>
    <n v="130288.35"/>
  </r>
  <r>
    <x v="0"/>
    <x v="0"/>
    <x v="0"/>
    <n v="94516671000153"/>
    <x v="72"/>
    <x v="1"/>
    <n v="56330.93"/>
  </r>
  <r>
    <x v="0"/>
    <x v="0"/>
    <x v="0"/>
    <n v="94516671000234"/>
    <x v="72"/>
    <x v="2"/>
    <n v="73801.649999999994"/>
  </r>
  <r>
    <x v="0"/>
    <x v="0"/>
    <x v="0"/>
    <n v="94516671000234"/>
    <x v="72"/>
    <x v="0"/>
    <n v="191784.51"/>
  </r>
  <r>
    <x v="0"/>
    <x v="0"/>
    <x v="0"/>
    <n v="94516671000234"/>
    <x v="72"/>
    <x v="1"/>
    <n v="56330.93"/>
  </r>
  <r>
    <x v="0"/>
    <x v="1"/>
    <x v="0"/>
    <n v="394544000851"/>
    <x v="73"/>
    <x v="0"/>
    <n v="137247.73000000001"/>
  </r>
  <r>
    <x v="0"/>
    <x v="1"/>
    <x v="0"/>
    <n v="394544017150"/>
    <x v="74"/>
    <x v="0"/>
    <n v="17600"/>
  </r>
  <r>
    <x v="0"/>
    <x v="1"/>
    <x v="0"/>
    <n v="735260000105"/>
    <x v="75"/>
    <x v="1"/>
    <n v="5985.15"/>
  </r>
  <r>
    <x v="0"/>
    <x v="1"/>
    <x v="0"/>
    <n v="1479465000130"/>
    <x v="8"/>
    <x v="0"/>
    <n v="540058.64"/>
  </r>
  <r>
    <x v="0"/>
    <x v="1"/>
    <x v="0"/>
    <n v="2873606000167"/>
    <x v="9"/>
    <x v="0"/>
    <n v="23453.46"/>
  </r>
  <r>
    <x v="0"/>
    <x v="1"/>
    <x v="0"/>
    <n v="2873606000167"/>
    <x v="9"/>
    <x v="1"/>
    <n v="50956.61"/>
  </r>
  <r>
    <x v="0"/>
    <x v="1"/>
    <x v="0"/>
    <n v="3866223000124"/>
    <x v="76"/>
    <x v="0"/>
    <n v="229191.12"/>
  </r>
  <r>
    <x v="0"/>
    <x v="1"/>
    <x v="0"/>
    <n v="4027894000326"/>
    <x v="10"/>
    <x v="2"/>
    <n v="208715.05"/>
  </r>
  <r>
    <x v="0"/>
    <x v="1"/>
    <x v="0"/>
    <n v="4027894000326"/>
    <x v="10"/>
    <x v="0"/>
    <n v="762983.1"/>
  </r>
  <r>
    <x v="0"/>
    <x v="1"/>
    <x v="0"/>
    <n v="4027894000326"/>
    <x v="10"/>
    <x v="1"/>
    <n v="172161.46"/>
  </r>
  <r>
    <x v="0"/>
    <x v="1"/>
    <x v="0"/>
    <n v="4307650001298"/>
    <x v="11"/>
    <x v="0"/>
    <n v="639187.74"/>
  </r>
  <r>
    <x v="0"/>
    <x v="1"/>
    <x v="0"/>
    <n v="4307650001298"/>
    <x v="11"/>
    <x v="1"/>
    <n v="103508.06"/>
  </r>
  <r>
    <x v="0"/>
    <x v="1"/>
    <x v="0"/>
    <n v="4355394000151"/>
    <x v="12"/>
    <x v="2"/>
    <n v="145126.54999999999"/>
  </r>
  <r>
    <x v="0"/>
    <x v="1"/>
    <x v="0"/>
    <n v="4355394000151"/>
    <x v="12"/>
    <x v="0"/>
    <n v="781027.64"/>
  </r>
  <r>
    <x v="0"/>
    <x v="1"/>
    <x v="0"/>
    <n v="4355394000151"/>
    <x v="12"/>
    <x v="1"/>
    <n v="72174"/>
  </r>
  <r>
    <x v="0"/>
    <x v="1"/>
    <x v="0"/>
    <n v="5268490000125"/>
    <x v="13"/>
    <x v="2"/>
    <n v="31570.7"/>
  </r>
  <r>
    <x v="0"/>
    <x v="1"/>
    <x v="0"/>
    <n v="5268490000125"/>
    <x v="13"/>
    <x v="0"/>
    <n v="158778.78"/>
  </r>
  <r>
    <x v="0"/>
    <x v="1"/>
    <x v="0"/>
    <n v="5816630000152"/>
    <x v="14"/>
    <x v="0"/>
    <n v="600583"/>
  </r>
  <r>
    <x v="0"/>
    <x v="1"/>
    <x v="0"/>
    <n v="6081203000136"/>
    <x v="11"/>
    <x v="0"/>
    <n v="654865.91"/>
  </r>
  <r>
    <x v="0"/>
    <x v="1"/>
    <x v="0"/>
    <n v="6081203000136"/>
    <x v="11"/>
    <x v="1"/>
    <n v="44360.62"/>
  </r>
  <r>
    <x v="0"/>
    <x v="1"/>
    <x v="0"/>
    <n v="6234797000178"/>
    <x v="15"/>
    <x v="2"/>
    <n v="18860.419999999998"/>
  </r>
  <r>
    <x v="0"/>
    <x v="1"/>
    <x v="0"/>
    <n v="6234797000178"/>
    <x v="15"/>
    <x v="0"/>
    <n v="259722.96"/>
  </r>
  <r>
    <x v="0"/>
    <x v="1"/>
    <x v="0"/>
    <n v="6234797000178"/>
    <x v="15"/>
    <x v="1"/>
    <n v="119703.2"/>
  </r>
  <r>
    <x v="0"/>
    <x v="1"/>
    <x v="0"/>
    <n v="7224991001530"/>
    <x v="16"/>
    <x v="0"/>
    <n v="44331.4"/>
  </r>
  <r>
    <x v="0"/>
    <x v="1"/>
    <x v="0"/>
    <n v="7224991001530"/>
    <x v="16"/>
    <x v="1"/>
    <n v="57492.74"/>
  </r>
  <r>
    <x v="0"/>
    <x v="1"/>
    <x v="0"/>
    <n v="7484373000124"/>
    <x v="18"/>
    <x v="2"/>
    <n v="9922.2199999999993"/>
  </r>
  <r>
    <x v="0"/>
    <x v="1"/>
    <x v="0"/>
    <n v="7484373000124"/>
    <x v="18"/>
    <x v="1"/>
    <n v="85781.77"/>
  </r>
  <r>
    <x v="0"/>
    <x v="1"/>
    <x v="0"/>
    <n v="7734165000136"/>
    <x v="19"/>
    <x v="0"/>
    <n v="409974.38"/>
  </r>
  <r>
    <x v="0"/>
    <x v="1"/>
    <x v="0"/>
    <n v="7812105000194"/>
    <x v="20"/>
    <x v="0"/>
    <n v="416532.63"/>
  </r>
  <r>
    <x v="0"/>
    <x v="1"/>
    <x v="0"/>
    <n v="8597121000174"/>
    <x v="22"/>
    <x v="0"/>
    <n v="-1912472"/>
  </r>
  <r>
    <x v="0"/>
    <x v="1"/>
    <x v="0"/>
    <n v="8618022000121"/>
    <x v="23"/>
    <x v="2"/>
    <n v="237796.02"/>
  </r>
  <r>
    <x v="0"/>
    <x v="1"/>
    <x v="0"/>
    <n v="8618022000121"/>
    <x v="23"/>
    <x v="0"/>
    <n v="1975285.99"/>
  </r>
  <r>
    <x v="0"/>
    <x v="1"/>
    <x v="0"/>
    <n v="8719794000150"/>
    <x v="20"/>
    <x v="0"/>
    <n v="51775.45"/>
  </r>
  <r>
    <x v="0"/>
    <x v="1"/>
    <x v="0"/>
    <n v="9053134000226"/>
    <x v="24"/>
    <x v="0"/>
    <n v="5858.07"/>
  </r>
  <r>
    <x v="0"/>
    <x v="1"/>
    <x v="0"/>
    <n v="9579964000291"/>
    <x v="77"/>
    <x v="0"/>
    <n v="245540"/>
  </r>
  <r>
    <x v="0"/>
    <x v="1"/>
    <x v="0"/>
    <n v="9660958000345"/>
    <x v="26"/>
    <x v="2"/>
    <n v="134995.89000000001"/>
  </r>
  <r>
    <x v="0"/>
    <x v="1"/>
    <x v="0"/>
    <n v="9660958000345"/>
    <x v="26"/>
    <x v="0"/>
    <n v="204103.33"/>
  </r>
  <r>
    <x v="0"/>
    <x v="1"/>
    <x v="0"/>
    <n v="9660958000345"/>
    <x v="26"/>
    <x v="1"/>
    <n v="125709.55"/>
  </r>
  <r>
    <x v="0"/>
    <x v="1"/>
    <x v="0"/>
    <n v="10942995000163"/>
    <x v="78"/>
    <x v="0"/>
    <n v="7383.28"/>
  </r>
  <r>
    <x v="0"/>
    <x v="1"/>
    <x v="0"/>
    <n v="11022597001597"/>
    <x v="79"/>
    <x v="0"/>
    <n v="21422.5"/>
  </r>
  <r>
    <x v="0"/>
    <x v="1"/>
    <x v="0"/>
    <n v="11206099000107"/>
    <x v="80"/>
    <x v="2"/>
    <n v="196804.4"/>
  </r>
  <r>
    <x v="0"/>
    <x v="1"/>
    <x v="0"/>
    <n v="11206099000107"/>
    <x v="80"/>
    <x v="0"/>
    <n v="245998.74"/>
  </r>
  <r>
    <x v="0"/>
    <x v="1"/>
    <x v="0"/>
    <n v="11206099000107"/>
    <x v="80"/>
    <x v="1"/>
    <n v="177442.42"/>
  </r>
  <r>
    <x v="0"/>
    <x v="1"/>
    <x v="0"/>
    <n v="11273170000166"/>
    <x v="81"/>
    <x v="0"/>
    <n v="98216"/>
  </r>
  <r>
    <x v="0"/>
    <x v="1"/>
    <x v="0"/>
    <n v="12420164000319"/>
    <x v="30"/>
    <x v="2"/>
    <n v="615674.61"/>
  </r>
  <r>
    <x v="0"/>
    <x v="1"/>
    <x v="0"/>
    <n v="12420164000319"/>
    <x v="30"/>
    <x v="0"/>
    <n v="1753095.09"/>
  </r>
  <r>
    <x v="0"/>
    <x v="1"/>
    <x v="0"/>
    <n v="12420164000319"/>
    <x v="30"/>
    <x v="1"/>
    <n v="18396.18"/>
  </r>
  <r>
    <x v="0"/>
    <x v="1"/>
    <x v="0"/>
    <n v="12420164000904"/>
    <x v="30"/>
    <x v="2"/>
    <n v="215796.59"/>
  </r>
  <r>
    <x v="0"/>
    <x v="1"/>
    <x v="0"/>
    <n v="12420164000904"/>
    <x v="30"/>
    <x v="0"/>
    <n v="887425.81"/>
  </r>
  <r>
    <x v="0"/>
    <x v="1"/>
    <x v="0"/>
    <n v="12420164000904"/>
    <x v="30"/>
    <x v="1"/>
    <n v="12434.57"/>
  </r>
  <r>
    <x v="0"/>
    <x v="1"/>
    <x v="0"/>
    <n v="12420164001048"/>
    <x v="30"/>
    <x v="2"/>
    <n v="57396.08"/>
  </r>
  <r>
    <x v="0"/>
    <x v="1"/>
    <x v="0"/>
    <n v="12420164001048"/>
    <x v="30"/>
    <x v="0"/>
    <n v="489250.48"/>
  </r>
  <r>
    <x v="0"/>
    <x v="1"/>
    <x v="0"/>
    <n v="12420164001048"/>
    <x v="30"/>
    <x v="1"/>
    <n v="897.69"/>
  </r>
  <r>
    <x v="0"/>
    <x v="1"/>
    <x v="0"/>
    <n v="12474705000120"/>
    <x v="31"/>
    <x v="0"/>
    <n v="26640"/>
  </r>
  <r>
    <x v="0"/>
    <x v="1"/>
    <x v="0"/>
    <n v="12474705000120"/>
    <x v="31"/>
    <x v="1"/>
    <n v="18560.3"/>
  </r>
  <r>
    <x v="0"/>
    <x v="1"/>
    <x v="0"/>
    <n v="12891935000194"/>
    <x v="82"/>
    <x v="0"/>
    <n v="5913.87"/>
  </r>
  <r>
    <x v="0"/>
    <x v="1"/>
    <x v="0"/>
    <n v="14261377000109"/>
    <x v="32"/>
    <x v="2"/>
    <n v="82001.83"/>
  </r>
  <r>
    <x v="0"/>
    <x v="1"/>
    <x v="0"/>
    <n v="14261377000109"/>
    <x v="32"/>
    <x v="0"/>
    <n v="45686.03"/>
  </r>
  <r>
    <x v="0"/>
    <x v="1"/>
    <x v="0"/>
    <n v="14261377000109"/>
    <x v="32"/>
    <x v="1"/>
    <n v="28746.37"/>
  </r>
  <r>
    <x v="0"/>
    <x v="1"/>
    <x v="0"/>
    <n v="15126437000305"/>
    <x v="83"/>
    <x v="0"/>
    <n v="108037.6"/>
  </r>
  <r>
    <x v="0"/>
    <x v="1"/>
    <x v="0"/>
    <n v="15126437001468"/>
    <x v="84"/>
    <x v="0"/>
    <n v="18572.18"/>
  </r>
  <r>
    <x v="0"/>
    <x v="1"/>
    <x v="0"/>
    <n v="15126437002278"/>
    <x v="35"/>
    <x v="2"/>
    <n v="23882.5"/>
  </r>
  <r>
    <x v="0"/>
    <x v="1"/>
    <x v="0"/>
    <n v="15145035000196"/>
    <x v="36"/>
    <x v="2"/>
    <n v="20500.45"/>
  </r>
  <r>
    <x v="0"/>
    <x v="1"/>
    <x v="0"/>
    <n v="15145035000196"/>
    <x v="36"/>
    <x v="0"/>
    <n v="3727.33"/>
  </r>
  <r>
    <x v="0"/>
    <x v="1"/>
    <x v="0"/>
    <n v="15145035000196"/>
    <x v="36"/>
    <x v="1"/>
    <n v="29925.82"/>
  </r>
  <r>
    <x v="0"/>
    <x v="1"/>
    <x v="0"/>
    <n v="17700763000300"/>
    <x v="38"/>
    <x v="2"/>
    <n v="322294.09999999998"/>
  </r>
  <r>
    <x v="0"/>
    <x v="1"/>
    <x v="0"/>
    <n v="17700763000300"/>
    <x v="38"/>
    <x v="0"/>
    <n v="881297.81"/>
  </r>
  <r>
    <x v="0"/>
    <x v="1"/>
    <x v="0"/>
    <n v="17700763000300"/>
    <x v="38"/>
    <x v="1"/>
    <n v="72173.990000000005"/>
  </r>
  <r>
    <x v="0"/>
    <x v="1"/>
    <x v="0"/>
    <n v="18269125000187"/>
    <x v="39"/>
    <x v="0"/>
    <n v="106263.46"/>
  </r>
  <r>
    <x v="0"/>
    <x v="1"/>
    <x v="0"/>
    <n v="21895020000148"/>
    <x v="20"/>
    <x v="0"/>
    <n v="10000.459999999999"/>
  </r>
  <r>
    <x v="0"/>
    <x v="1"/>
    <x v="0"/>
    <n v="24082016000159"/>
    <x v="85"/>
    <x v="0"/>
    <n v="368000"/>
  </r>
  <r>
    <x v="0"/>
    <x v="1"/>
    <x v="0"/>
    <n v="25211499000107"/>
    <x v="28"/>
    <x v="2"/>
    <n v="2838.53"/>
  </r>
  <r>
    <x v="0"/>
    <x v="1"/>
    <x v="0"/>
    <n v="25211499000107"/>
    <x v="28"/>
    <x v="0"/>
    <n v="7978.76"/>
  </r>
  <r>
    <x v="0"/>
    <x v="1"/>
    <x v="0"/>
    <n v="25211499000107"/>
    <x v="28"/>
    <x v="1"/>
    <n v="15491.01"/>
  </r>
  <r>
    <x v="0"/>
    <x v="1"/>
    <x v="0"/>
    <n v="27080605000358"/>
    <x v="86"/>
    <x v="0"/>
    <n v="54670.2"/>
  </r>
  <r>
    <x v="0"/>
    <x v="1"/>
    <x v="0"/>
    <n v="33663683005347"/>
    <x v="45"/>
    <x v="0"/>
    <n v="137552"/>
  </r>
  <r>
    <x v="0"/>
    <x v="1"/>
    <x v="0"/>
    <n v="34023077000280"/>
    <x v="87"/>
    <x v="2"/>
    <n v="963.37"/>
  </r>
  <r>
    <x v="0"/>
    <x v="1"/>
    <x v="0"/>
    <n v="34973438000178"/>
    <x v="47"/>
    <x v="2"/>
    <n v="3198.07"/>
  </r>
  <r>
    <x v="0"/>
    <x v="1"/>
    <x v="0"/>
    <n v="34973438000178"/>
    <x v="47"/>
    <x v="1"/>
    <n v="2244.4299999999998"/>
  </r>
  <r>
    <x v="0"/>
    <x v="1"/>
    <x v="0"/>
    <n v="37396017000624"/>
    <x v="28"/>
    <x v="2"/>
    <n v="378469.96"/>
  </r>
  <r>
    <x v="0"/>
    <x v="1"/>
    <x v="0"/>
    <n v="37396017000624"/>
    <x v="28"/>
    <x v="0"/>
    <n v="168614.95"/>
  </r>
  <r>
    <x v="0"/>
    <x v="1"/>
    <x v="0"/>
    <n v="37396017000624"/>
    <x v="28"/>
    <x v="1"/>
    <n v="24996.86"/>
  </r>
  <r>
    <x v="0"/>
    <x v="1"/>
    <x v="0"/>
    <n v="46068425000133"/>
    <x v="49"/>
    <x v="2"/>
    <n v="55792.800000000003"/>
  </r>
  <r>
    <x v="0"/>
    <x v="1"/>
    <x v="0"/>
    <n v="46374500001247"/>
    <x v="88"/>
    <x v="1"/>
    <n v="3458.96"/>
  </r>
  <r>
    <x v="0"/>
    <x v="1"/>
    <x v="0"/>
    <n v="46374500003886"/>
    <x v="89"/>
    <x v="0"/>
    <n v="24410.36"/>
  </r>
  <r>
    <x v="0"/>
    <x v="1"/>
    <x v="0"/>
    <n v="46374500009060"/>
    <x v="90"/>
    <x v="0"/>
    <n v="61481.4"/>
  </r>
  <r>
    <x v="0"/>
    <x v="1"/>
    <x v="0"/>
    <n v="46374500026231"/>
    <x v="91"/>
    <x v="0"/>
    <n v="3651300"/>
  </r>
  <r>
    <x v="0"/>
    <x v="1"/>
    <x v="0"/>
    <n v="46374500026231"/>
    <x v="91"/>
    <x v="1"/>
    <n v="1053212.6599999999"/>
  </r>
  <r>
    <x v="0"/>
    <x v="1"/>
    <x v="0"/>
    <n v="50311620000209"/>
    <x v="92"/>
    <x v="2"/>
    <n v="78721.759999999995"/>
  </r>
  <r>
    <x v="0"/>
    <x v="1"/>
    <x v="0"/>
    <n v="50311620000209"/>
    <x v="92"/>
    <x v="0"/>
    <n v="196798.99"/>
  </r>
  <r>
    <x v="0"/>
    <x v="1"/>
    <x v="0"/>
    <n v="50311620000209"/>
    <x v="92"/>
    <x v="1"/>
    <n v="73934.33"/>
  </r>
  <r>
    <x v="0"/>
    <x v="1"/>
    <x v="0"/>
    <n v="57722118000302"/>
    <x v="61"/>
    <x v="1"/>
    <n v="8436.5"/>
  </r>
  <r>
    <x v="0"/>
    <x v="1"/>
    <x v="0"/>
    <n v="60003761000129"/>
    <x v="62"/>
    <x v="2"/>
    <n v="75440"/>
  </r>
  <r>
    <x v="0"/>
    <x v="1"/>
    <x v="0"/>
    <n v="60003761000129"/>
    <x v="62"/>
    <x v="0"/>
    <n v="15338.68"/>
  </r>
  <r>
    <x v="0"/>
    <x v="1"/>
    <x v="0"/>
    <n v="60448040000122"/>
    <x v="63"/>
    <x v="2"/>
    <n v="361680"/>
  </r>
  <r>
    <x v="0"/>
    <x v="1"/>
    <x v="0"/>
    <n v="60448040000122"/>
    <x v="63"/>
    <x v="0"/>
    <n v="170832.63"/>
  </r>
  <r>
    <x v="0"/>
    <x v="1"/>
    <x v="0"/>
    <n v="60765823000130"/>
    <x v="93"/>
    <x v="0"/>
    <n v="77818"/>
  </r>
  <r>
    <x v="0"/>
    <x v="1"/>
    <x v="0"/>
    <n v="61590410000124"/>
    <x v="65"/>
    <x v="0"/>
    <n v="589888.77"/>
  </r>
  <r>
    <x v="0"/>
    <x v="1"/>
    <x v="0"/>
    <n v="61590410001287"/>
    <x v="66"/>
    <x v="0"/>
    <n v="461250"/>
  </r>
  <r>
    <x v="0"/>
    <x v="1"/>
    <x v="0"/>
    <n v="61599908000158"/>
    <x v="67"/>
    <x v="0"/>
    <n v="111192"/>
  </r>
  <r>
    <x v="0"/>
    <x v="1"/>
    <x v="0"/>
    <n v="61599908000158"/>
    <x v="67"/>
    <x v="1"/>
    <n v="5405.44"/>
  </r>
  <r>
    <x v="0"/>
    <x v="1"/>
    <x v="0"/>
    <n v="61699567000192"/>
    <x v="94"/>
    <x v="0"/>
    <n v="0"/>
  </r>
  <r>
    <x v="0"/>
    <x v="1"/>
    <x v="0"/>
    <n v="74031865000151"/>
    <x v="95"/>
    <x v="0"/>
    <n v="808651.2"/>
  </r>
  <r>
    <x v="0"/>
    <x v="1"/>
    <x v="0"/>
    <n v="81887838000736"/>
    <x v="68"/>
    <x v="2"/>
    <n v="246005.48"/>
  </r>
  <r>
    <x v="0"/>
    <x v="1"/>
    <x v="0"/>
    <n v="81887838000736"/>
    <x v="68"/>
    <x v="0"/>
    <n v="1531926.94"/>
  </r>
  <r>
    <x v="0"/>
    <x v="1"/>
    <x v="0"/>
    <n v="81887838000736"/>
    <x v="68"/>
    <x v="1"/>
    <n v="139638.23000000001"/>
  </r>
  <r>
    <x v="0"/>
    <x v="1"/>
    <x v="0"/>
    <n v="82873068000140"/>
    <x v="69"/>
    <x v="0"/>
    <n v="597693"/>
  </r>
  <r>
    <x v="0"/>
    <x v="1"/>
    <x v="0"/>
    <n v="82873068000140"/>
    <x v="69"/>
    <x v="1"/>
    <n v="64956.6"/>
  </r>
  <r>
    <x v="0"/>
    <x v="1"/>
    <x v="0"/>
    <n v="82873068000573"/>
    <x v="69"/>
    <x v="2"/>
    <n v="9675.11"/>
  </r>
  <r>
    <x v="0"/>
    <x v="1"/>
    <x v="0"/>
    <n v="82873068000573"/>
    <x v="69"/>
    <x v="0"/>
    <n v="7296.05"/>
  </r>
  <r>
    <x v="0"/>
    <x v="1"/>
    <x v="0"/>
    <n v="82873068000573"/>
    <x v="69"/>
    <x v="1"/>
    <n v="36087"/>
  </r>
  <r>
    <x v="0"/>
    <x v="1"/>
    <x v="0"/>
    <n v="82873068000654"/>
    <x v="69"/>
    <x v="2"/>
    <n v="135451.43"/>
  </r>
  <r>
    <x v="0"/>
    <x v="1"/>
    <x v="0"/>
    <n v="82873068000654"/>
    <x v="69"/>
    <x v="0"/>
    <n v="400894.04"/>
  </r>
  <r>
    <x v="0"/>
    <x v="1"/>
    <x v="0"/>
    <n v="82873068000654"/>
    <x v="69"/>
    <x v="1"/>
    <n v="72173.990000000005"/>
  </r>
  <r>
    <x v="0"/>
    <x v="1"/>
    <x v="0"/>
    <n v="87020517000120"/>
    <x v="70"/>
    <x v="0"/>
    <n v="7688.32"/>
  </r>
  <r>
    <x v="0"/>
    <x v="2"/>
    <x v="0"/>
    <n v="394544000851"/>
    <x v="73"/>
    <x v="0"/>
    <n v="1085548.56"/>
  </r>
  <r>
    <x v="0"/>
    <x v="2"/>
    <x v="0"/>
    <n v="394544011110"/>
    <x v="96"/>
    <x v="0"/>
    <n v="-190972.08"/>
  </r>
  <r>
    <x v="0"/>
    <x v="2"/>
    <x v="0"/>
    <n v="394544017150"/>
    <x v="74"/>
    <x v="0"/>
    <n v="17600"/>
  </r>
  <r>
    <x v="0"/>
    <x v="2"/>
    <x v="0"/>
    <n v="394544019870"/>
    <x v="97"/>
    <x v="0"/>
    <n v="0"/>
  </r>
  <r>
    <x v="0"/>
    <x v="2"/>
    <x v="0"/>
    <n v="394544020453"/>
    <x v="4"/>
    <x v="0"/>
    <n v="34388"/>
  </r>
  <r>
    <x v="0"/>
    <x v="2"/>
    <x v="0"/>
    <n v="394544021344"/>
    <x v="7"/>
    <x v="2"/>
    <n v="103584"/>
  </r>
  <r>
    <x v="0"/>
    <x v="2"/>
    <x v="0"/>
    <n v="394544021344"/>
    <x v="7"/>
    <x v="0"/>
    <n v="509583.66"/>
  </r>
  <r>
    <x v="0"/>
    <x v="2"/>
    <x v="0"/>
    <n v="1479465000130"/>
    <x v="8"/>
    <x v="2"/>
    <n v="-11100"/>
  </r>
  <r>
    <x v="0"/>
    <x v="2"/>
    <x v="0"/>
    <n v="1479465000130"/>
    <x v="8"/>
    <x v="0"/>
    <n v="299819.53999999998"/>
  </r>
  <r>
    <x v="0"/>
    <x v="2"/>
    <x v="0"/>
    <n v="1479465000130"/>
    <x v="8"/>
    <x v="1"/>
    <n v="-3155.43"/>
  </r>
  <r>
    <x v="0"/>
    <x v="2"/>
    <x v="0"/>
    <n v="2873606000167"/>
    <x v="9"/>
    <x v="0"/>
    <n v="944706.37"/>
  </r>
  <r>
    <x v="0"/>
    <x v="2"/>
    <x v="0"/>
    <n v="2873606000167"/>
    <x v="9"/>
    <x v="1"/>
    <n v="36087.22"/>
  </r>
  <r>
    <x v="0"/>
    <x v="2"/>
    <x v="0"/>
    <n v="4027894000326"/>
    <x v="10"/>
    <x v="2"/>
    <n v="208028.16"/>
  </r>
  <r>
    <x v="0"/>
    <x v="2"/>
    <x v="0"/>
    <n v="4027894000326"/>
    <x v="10"/>
    <x v="0"/>
    <n v="585219.52"/>
  </r>
  <r>
    <x v="0"/>
    <x v="2"/>
    <x v="0"/>
    <n v="4027894000326"/>
    <x v="10"/>
    <x v="1"/>
    <n v="111834.43"/>
  </r>
  <r>
    <x v="0"/>
    <x v="2"/>
    <x v="0"/>
    <n v="4307650001298"/>
    <x v="11"/>
    <x v="0"/>
    <n v="528480.93999999994"/>
  </r>
  <r>
    <x v="0"/>
    <x v="2"/>
    <x v="0"/>
    <n v="4307650001298"/>
    <x v="11"/>
    <x v="1"/>
    <n v="149961.37"/>
  </r>
  <r>
    <x v="0"/>
    <x v="2"/>
    <x v="0"/>
    <n v="4355394000151"/>
    <x v="12"/>
    <x v="2"/>
    <n v="145131.16"/>
  </r>
  <r>
    <x v="0"/>
    <x v="2"/>
    <x v="0"/>
    <n v="4355394000151"/>
    <x v="12"/>
    <x v="0"/>
    <n v="688807.27"/>
  </r>
  <r>
    <x v="0"/>
    <x v="2"/>
    <x v="0"/>
    <n v="4355394000151"/>
    <x v="12"/>
    <x v="1"/>
    <n v="803595.4"/>
  </r>
  <r>
    <x v="0"/>
    <x v="2"/>
    <x v="0"/>
    <n v="4949905000163"/>
    <x v="98"/>
    <x v="2"/>
    <n v="58125.2"/>
  </r>
  <r>
    <x v="0"/>
    <x v="2"/>
    <x v="0"/>
    <n v="4949905000163"/>
    <x v="98"/>
    <x v="0"/>
    <n v="1118.28"/>
  </r>
  <r>
    <x v="0"/>
    <x v="2"/>
    <x v="0"/>
    <n v="4949905000163"/>
    <x v="98"/>
    <x v="1"/>
    <n v="29926.75"/>
  </r>
  <r>
    <x v="0"/>
    <x v="2"/>
    <x v="0"/>
    <n v="5055128000257"/>
    <x v="99"/>
    <x v="0"/>
    <n v="14732.1"/>
  </r>
  <r>
    <x v="0"/>
    <x v="2"/>
    <x v="0"/>
    <n v="5268490000125"/>
    <x v="13"/>
    <x v="2"/>
    <n v="63141.82"/>
  </r>
  <r>
    <x v="0"/>
    <x v="2"/>
    <x v="0"/>
    <n v="5268490000125"/>
    <x v="13"/>
    <x v="0"/>
    <n v="396013.5"/>
  </r>
  <r>
    <x v="0"/>
    <x v="2"/>
    <x v="0"/>
    <n v="5816630000152"/>
    <x v="14"/>
    <x v="0"/>
    <n v="132273.4"/>
  </r>
  <r>
    <x v="0"/>
    <x v="2"/>
    <x v="0"/>
    <n v="6081203000136"/>
    <x v="11"/>
    <x v="0"/>
    <n v="392289.04"/>
  </r>
  <r>
    <x v="0"/>
    <x v="2"/>
    <x v="0"/>
    <n v="6081203000136"/>
    <x v="11"/>
    <x v="1"/>
    <n v="82809.070000000007"/>
  </r>
  <r>
    <x v="0"/>
    <x v="2"/>
    <x v="0"/>
    <n v="6234797000178"/>
    <x v="15"/>
    <x v="0"/>
    <n v="71416.55"/>
  </r>
  <r>
    <x v="0"/>
    <x v="2"/>
    <x v="0"/>
    <n v="6234797000178"/>
    <x v="15"/>
    <x v="1"/>
    <n v="19452.38"/>
  </r>
  <r>
    <x v="0"/>
    <x v="2"/>
    <x v="0"/>
    <n v="7224991001530"/>
    <x v="16"/>
    <x v="2"/>
    <n v="77593.63"/>
  </r>
  <r>
    <x v="0"/>
    <x v="2"/>
    <x v="0"/>
    <n v="7224991001530"/>
    <x v="16"/>
    <x v="0"/>
    <n v="9290.81"/>
  </r>
  <r>
    <x v="0"/>
    <x v="2"/>
    <x v="0"/>
    <n v="7224991001530"/>
    <x v="16"/>
    <x v="1"/>
    <n v="16087.76"/>
  </r>
  <r>
    <x v="0"/>
    <x v="2"/>
    <x v="0"/>
    <n v="7272636000212"/>
    <x v="17"/>
    <x v="0"/>
    <n v="142664.71"/>
  </r>
  <r>
    <x v="0"/>
    <x v="2"/>
    <x v="0"/>
    <n v="7484373000124"/>
    <x v="18"/>
    <x v="2"/>
    <n v="90407.6"/>
  </r>
  <r>
    <x v="0"/>
    <x v="2"/>
    <x v="0"/>
    <n v="7484373000124"/>
    <x v="18"/>
    <x v="1"/>
    <n v="10967.62"/>
  </r>
  <r>
    <x v="0"/>
    <x v="2"/>
    <x v="0"/>
    <n v="7734165000136"/>
    <x v="19"/>
    <x v="0"/>
    <n v="374982.24"/>
  </r>
  <r>
    <x v="0"/>
    <x v="2"/>
    <x v="0"/>
    <n v="7812105000194"/>
    <x v="20"/>
    <x v="0"/>
    <n v="23769.94"/>
  </r>
  <r>
    <x v="0"/>
    <x v="2"/>
    <x v="0"/>
    <n v="8597121000174"/>
    <x v="22"/>
    <x v="0"/>
    <n v="114765.28"/>
  </r>
  <r>
    <x v="0"/>
    <x v="2"/>
    <x v="0"/>
    <n v="8618022000121"/>
    <x v="23"/>
    <x v="2"/>
    <n v="282800.11"/>
  </r>
  <r>
    <x v="0"/>
    <x v="2"/>
    <x v="0"/>
    <n v="8618022000121"/>
    <x v="23"/>
    <x v="0"/>
    <n v="1010515.38"/>
  </r>
  <r>
    <x v="0"/>
    <x v="2"/>
    <x v="0"/>
    <n v="8618022000121"/>
    <x v="23"/>
    <x v="1"/>
    <n v="176793.08"/>
  </r>
  <r>
    <x v="0"/>
    <x v="2"/>
    <x v="0"/>
    <n v="8719794000150"/>
    <x v="20"/>
    <x v="0"/>
    <n v="167119.59"/>
  </r>
  <r>
    <x v="0"/>
    <x v="2"/>
    <x v="0"/>
    <n v="9007162000126"/>
    <x v="100"/>
    <x v="2"/>
    <n v="51251.47"/>
  </r>
  <r>
    <x v="0"/>
    <x v="2"/>
    <x v="0"/>
    <n v="9007162000126"/>
    <x v="100"/>
    <x v="1"/>
    <n v="132029.76999999999"/>
  </r>
  <r>
    <x v="0"/>
    <x v="2"/>
    <x v="0"/>
    <n v="9053134000226"/>
    <x v="24"/>
    <x v="0"/>
    <n v="11716.17"/>
  </r>
  <r>
    <x v="0"/>
    <x v="2"/>
    <x v="0"/>
    <n v="9613374000157"/>
    <x v="25"/>
    <x v="0"/>
    <n v="158751.44"/>
  </r>
  <r>
    <x v="0"/>
    <x v="2"/>
    <x v="0"/>
    <n v="9660958000345"/>
    <x v="26"/>
    <x v="2"/>
    <n v="331147.63"/>
  </r>
  <r>
    <x v="0"/>
    <x v="2"/>
    <x v="0"/>
    <n v="9660958000345"/>
    <x v="26"/>
    <x v="0"/>
    <n v="115094.17"/>
  </r>
  <r>
    <x v="0"/>
    <x v="2"/>
    <x v="0"/>
    <n v="9660958000345"/>
    <x v="26"/>
    <x v="1"/>
    <n v="45077.52"/>
  </r>
  <r>
    <x v="0"/>
    <x v="2"/>
    <x v="0"/>
    <n v="10586940000168"/>
    <x v="101"/>
    <x v="2"/>
    <n v="50700.38"/>
  </r>
  <r>
    <x v="0"/>
    <x v="2"/>
    <x v="0"/>
    <n v="10586940000168"/>
    <x v="101"/>
    <x v="0"/>
    <n v="313509.48"/>
  </r>
  <r>
    <x v="0"/>
    <x v="2"/>
    <x v="0"/>
    <n v="10586940000168"/>
    <x v="101"/>
    <x v="1"/>
    <n v="15521.78"/>
  </r>
  <r>
    <x v="0"/>
    <x v="2"/>
    <x v="0"/>
    <n v="10942995000163"/>
    <x v="78"/>
    <x v="0"/>
    <n v="36016"/>
  </r>
  <r>
    <x v="0"/>
    <x v="2"/>
    <x v="0"/>
    <n v="11022597001597"/>
    <x v="79"/>
    <x v="0"/>
    <n v="93125"/>
  </r>
  <r>
    <x v="0"/>
    <x v="2"/>
    <x v="0"/>
    <n v="11206099000107"/>
    <x v="80"/>
    <x v="2"/>
    <n v="196810.64"/>
  </r>
  <r>
    <x v="0"/>
    <x v="2"/>
    <x v="0"/>
    <n v="12420164000319"/>
    <x v="30"/>
    <x v="2"/>
    <n v="278374.63"/>
  </r>
  <r>
    <x v="0"/>
    <x v="2"/>
    <x v="0"/>
    <n v="12420164000319"/>
    <x v="30"/>
    <x v="0"/>
    <n v="1609821.48"/>
  </r>
  <r>
    <x v="0"/>
    <x v="2"/>
    <x v="0"/>
    <n v="12420164000319"/>
    <x v="30"/>
    <x v="1"/>
    <n v="19153.150000000001"/>
  </r>
  <r>
    <x v="0"/>
    <x v="2"/>
    <x v="0"/>
    <n v="12420164000904"/>
    <x v="30"/>
    <x v="2"/>
    <n v="160219.51"/>
  </r>
  <r>
    <x v="0"/>
    <x v="2"/>
    <x v="0"/>
    <n v="12420164000904"/>
    <x v="30"/>
    <x v="0"/>
    <n v="789980.97"/>
  </r>
  <r>
    <x v="0"/>
    <x v="2"/>
    <x v="0"/>
    <n v="12420164000904"/>
    <x v="30"/>
    <x v="1"/>
    <n v="8977.76"/>
  </r>
  <r>
    <x v="0"/>
    <x v="2"/>
    <x v="0"/>
    <n v="12420164001048"/>
    <x v="30"/>
    <x v="2"/>
    <n v="6133.12"/>
  </r>
  <r>
    <x v="0"/>
    <x v="2"/>
    <x v="0"/>
    <n v="12420164001048"/>
    <x v="30"/>
    <x v="0"/>
    <n v="152993.22"/>
  </r>
  <r>
    <x v="0"/>
    <x v="2"/>
    <x v="0"/>
    <n v="12420164001048"/>
    <x v="30"/>
    <x v="1"/>
    <n v="17625.36"/>
  </r>
  <r>
    <x v="0"/>
    <x v="2"/>
    <x v="0"/>
    <n v="12474705000120"/>
    <x v="31"/>
    <x v="0"/>
    <n v="82270"/>
  </r>
  <r>
    <x v="0"/>
    <x v="2"/>
    <x v="0"/>
    <n v="12891935000194"/>
    <x v="82"/>
    <x v="0"/>
    <n v="19808.28"/>
  </r>
  <r>
    <x v="0"/>
    <x v="2"/>
    <x v="0"/>
    <n v="14261377000109"/>
    <x v="32"/>
    <x v="0"/>
    <n v="31842.7"/>
  </r>
  <r>
    <x v="0"/>
    <x v="2"/>
    <x v="0"/>
    <n v="15126437000496"/>
    <x v="102"/>
    <x v="0"/>
    <n v="102469"/>
  </r>
  <r>
    <x v="0"/>
    <x v="2"/>
    <x v="0"/>
    <n v="15126437000739"/>
    <x v="33"/>
    <x v="0"/>
    <n v="37925"/>
  </r>
  <r>
    <x v="0"/>
    <x v="2"/>
    <x v="0"/>
    <n v="15126437002278"/>
    <x v="35"/>
    <x v="2"/>
    <n v="5825"/>
  </r>
  <r>
    <x v="0"/>
    <x v="2"/>
    <x v="0"/>
    <n v="15145035000196"/>
    <x v="36"/>
    <x v="0"/>
    <n v="30855.33"/>
  </r>
  <r>
    <x v="0"/>
    <x v="2"/>
    <x v="0"/>
    <n v="15180714000520"/>
    <x v="103"/>
    <x v="0"/>
    <n v="26333.81"/>
  </r>
  <r>
    <x v="0"/>
    <x v="2"/>
    <x v="0"/>
    <n v="17700763000300"/>
    <x v="38"/>
    <x v="2"/>
    <n v="156051.06"/>
  </r>
  <r>
    <x v="0"/>
    <x v="2"/>
    <x v="0"/>
    <n v="17700763000300"/>
    <x v="38"/>
    <x v="0"/>
    <n v="694304.52"/>
  </r>
  <r>
    <x v="0"/>
    <x v="2"/>
    <x v="0"/>
    <n v="17700763000300"/>
    <x v="38"/>
    <x v="1"/>
    <n v="38804.449999999997"/>
  </r>
  <r>
    <x v="0"/>
    <x v="2"/>
    <x v="0"/>
    <n v="18269125000187"/>
    <x v="39"/>
    <x v="0"/>
    <n v="197051.81"/>
  </r>
  <r>
    <x v="0"/>
    <x v="2"/>
    <x v="0"/>
    <n v="25053117000164"/>
    <x v="104"/>
    <x v="1"/>
    <n v="109560.53"/>
  </r>
  <r>
    <x v="0"/>
    <x v="2"/>
    <x v="0"/>
    <n v="25211499000107"/>
    <x v="28"/>
    <x v="0"/>
    <n v="53576.800000000003"/>
  </r>
  <r>
    <x v="0"/>
    <x v="2"/>
    <x v="0"/>
    <n v="25211499000107"/>
    <x v="28"/>
    <x v="1"/>
    <n v="67481.88"/>
  </r>
  <r>
    <x v="0"/>
    <x v="2"/>
    <x v="0"/>
    <n v="25648387000207"/>
    <x v="41"/>
    <x v="0"/>
    <n v="128528.4"/>
  </r>
  <r>
    <x v="0"/>
    <x v="2"/>
    <x v="0"/>
    <n v="27080605000358"/>
    <x v="86"/>
    <x v="0"/>
    <n v="36446.800000000003"/>
  </r>
  <r>
    <x v="0"/>
    <x v="2"/>
    <x v="0"/>
    <n v="27191294000132"/>
    <x v="43"/>
    <x v="0"/>
    <n v="4998.49"/>
  </r>
  <r>
    <x v="0"/>
    <x v="2"/>
    <x v="0"/>
    <n v="28523215000378"/>
    <x v="105"/>
    <x v="0"/>
    <n v="58929.599999999999"/>
  </r>
  <r>
    <x v="0"/>
    <x v="2"/>
    <x v="0"/>
    <n v="28523215000378"/>
    <x v="105"/>
    <x v="1"/>
    <n v="3040"/>
  </r>
  <r>
    <x v="0"/>
    <x v="2"/>
    <x v="0"/>
    <n v="33663683005347"/>
    <x v="45"/>
    <x v="0"/>
    <n v="463837.8"/>
  </r>
  <r>
    <x v="0"/>
    <x v="2"/>
    <x v="0"/>
    <n v="34023077000280"/>
    <x v="87"/>
    <x v="2"/>
    <n v="14450.4"/>
  </r>
  <r>
    <x v="0"/>
    <x v="2"/>
    <x v="0"/>
    <n v="37396017000624"/>
    <x v="28"/>
    <x v="2"/>
    <n v="161101.98000000001"/>
  </r>
  <r>
    <x v="0"/>
    <x v="2"/>
    <x v="0"/>
    <n v="37396017000624"/>
    <x v="28"/>
    <x v="0"/>
    <n v="169932.67"/>
  </r>
  <r>
    <x v="0"/>
    <x v="2"/>
    <x v="0"/>
    <n v="37396017000624"/>
    <x v="28"/>
    <x v="1"/>
    <n v="19012.29"/>
  </r>
  <r>
    <x v="0"/>
    <x v="2"/>
    <x v="0"/>
    <n v="42498733000148"/>
    <x v="106"/>
    <x v="2"/>
    <n v="55500"/>
  </r>
  <r>
    <x v="0"/>
    <x v="2"/>
    <x v="0"/>
    <n v="45780103000150"/>
    <x v="48"/>
    <x v="0"/>
    <n v="120805.68"/>
  </r>
  <r>
    <x v="0"/>
    <x v="2"/>
    <x v="0"/>
    <n v="46068425000133"/>
    <x v="49"/>
    <x v="2"/>
    <n v="30996"/>
  </r>
  <r>
    <x v="0"/>
    <x v="2"/>
    <x v="0"/>
    <n v="46374500001670"/>
    <x v="50"/>
    <x v="1"/>
    <n v="5399.36"/>
  </r>
  <r>
    <x v="0"/>
    <x v="2"/>
    <x v="0"/>
    <n v="46374500003533"/>
    <x v="51"/>
    <x v="0"/>
    <n v="204938"/>
  </r>
  <r>
    <x v="0"/>
    <x v="2"/>
    <x v="0"/>
    <n v="46374500005234"/>
    <x v="107"/>
    <x v="1"/>
    <n v="8436.5"/>
  </r>
  <r>
    <x v="0"/>
    <x v="2"/>
    <x v="0"/>
    <n v="46374500008845"/>
    <x v="108"/>
    <x v="0"/>
    <n v="40987.599999999999"/>
  </r>
  <r>
    <x v="0"/>
    <x v="2"/>
    <x v="0"/>
    <n v="46374500008845"/>
    <x v="108"/>
    <x v="1"/>
    <n v="8099.04"/>
  </r>
  <r>
    <x v="0"/>
    <x v="2"/>
    <x v="0"/>
    <n v="46374500009221"/>
    <x v="109"/>
    <x v="0"/>
    <n v="184444.2"/>
  </r>
  <r>
    <x v="0"/>
    <x v="2"/>
    <x v="0"/>
    <n v="46374500010823"/>
    <x v="110"/>
    <x v="0"/>
    <n v="30740.7"/>
  </r>
  <r>
    <x v="0"/>
    <x v="2"/>
    <x v="0"/>
    <n v="46374500011129"/>
    <x v="52"/>
    <x v="1"/>
    <n v="13498.4"/>
  </r>
  <r>
    <x v="0"/>
    <x v="2"/>
    <x v="0"/>
    <n v="46374500011200"/>
    <x v="53"/>
    <x v="1"/>
    <n v="6749.2"/>
  </r>
  <r>
    <x v="0"/>
    <x v="2"/>
    <x v="0"/>
    <n v="46374500012362"/>
    <x v="111"/>
    <x v="1"/>
    <n v="2530.9499999999998"/>
  </r>
  <r>
    <x v="0"/>
    <x v="2"/>
    <x v="0"/>
    <n v="46374500013091"/>
    <x v="112"/>
    <x v="1"/>
    <n v="8436.5"/>
  </r>
  <r>
    <x v="0"/>
    <x v="2"/>
    <x v="0"/>
    <n v="46374500026231"/>
    <x v="91"/>
    <x v="0"/>
    <n v="102052.28"/>
  </r>
  <r>
    <x v="0"/>
    <x v="2"/>
    <x v="0"/>
    <n v="46643466000106"/>
    <x v="113"/>
    <x v="0"/>
    <n v="137502.39999999999"/>
  </r>
  <r>
    <x v="0"/>
    <x v="2"/>
    <x v="0"/>
    <n v="48468284000171"/>
    <x v="58"/>
    <x v="0"/>
    <n v="40987.599999999999"/>
  </r>
  <r>
    <x v="0"/>
    <x v="2"/>
    <x v="0"/>
    <n v="50311620000209"/>
    <x v="92"/>
    <x v="2"/>
    <n v="78722.27"/>
  </r>
  <r>
    <x v="0"/>
    <x v="2"/>
    <x v="0"/>
    <n v="50311620000209"/>
    <x v="92"/>
    <x v="0"/>
    <n v="196802.26"/>
  </r>
  <r>
    <x v="0"/>
    <x v="2"/>
    <x v="0"/>
    <n v="50311620000209"/>
    <x v="92"/>
    <x v="1"/>
    <n v="73936.67"/>
  </r>
  <r>
    <x v="0"/>
    <x v="2"/>
    <x v="0"/>
    <n v="51885242000140"/>
    <x v="59"/>
    <x v="0"/>
    <n v="25000.16"/>
  </r>
  <r>
    <x v="0"/>
    <x v="2"/>
    <x v="0"/>
    <n v="56577059000100"/>
    <x v="114"/>
    <x v="0"/>
    <n v="27666.63"/>
  </r>
  <r>
    <x v="0"/>
    <x v="2"/>
    <x v="0"/>
    <n v="57722118000302"/>
    <x v="61"/>
    <x v="0"/>
    <n v="0"/>
  </r>
  <r>
    <x v="0"/>
    <x v="2"/>
    <x v="0"/>
    <n v="60003761000129"/>
    <x v="62"/>
    <x v="2"/>
    <n v="95940"/>
  </r>
  <r>
    <x v="0"/>
    <x v="2"/>
    <x v="0"/>
    <n v="60003761000129"/>
    <x v="62"/>
    <x v="0"/>
    <n v="16626.87"/>
  </r>
  <r>
    <x v="0"/>
    <x v="2"/>
    <x v="0"/>
    <n v="60448040000122"/>
    <x v="63"/>
    <x v="2"/>
    <n v="344872"/>
  </r>
  <r>
    <x v="0"/>
    <x v="2"/>
    <x v="0"/>
    <n v="60448040000122"/>
    <x v="63"/>
    <x v="0"/>
    <n v="163611.49"/>
  </r>
  <r>
    <x v="0"/>
    <x v="2"/>
    <x v="0"/>
    <n v="60448040000122"/>
    <x v="63"/>
    <x v="1"/>
    <n v="2362.2199999999998"/>
  </r>
  <r>
    <x v="0"/>
    <x v="2"/>
    <x v="0"/>
    <n v="60765823000130"/>
    <x v="93"/>
    <x v="0"/>
    <n v="15785.9"/>
  </r>
  <r>
    <x v="0"/>
    <x v="2"/>
    <x v="0"/>
    <n v="60765823000130"/>
    <x v="93"/>
    <x v="1"/>
    <n v="8896.94"/>
  </r>
  <r>
    <x v="0"/>
    <x v="2"/>
    <x v="0"/>
    <n v="61590410000124"/>
    <x v="65"/>
    <x v="0"/>
    <n v="67451.73"/>
  </r>
  <r>
    <x v="0"/>
    <x v="2"/>
    <x v="0"/>
    <n v="61590410000124"/>
    <x v="65"/>
    <x v="1"/>
    <n v="413.3"/>
  </r>
  <r>
    <x v="0"/>
    <x v="2"/>
    <x v="0"/>
    <n v="61590410001287"/>
    <x v="66"/>
    <x v="0"/>
    <n v="42500"/>
  </r>
  <r>
    <x v="0"/>
    <x v="2"/>
    <x v="0"/>
    <n v="61599908000158"/>
    <x v="67"/>
    <x v="0"/>
    <n v="118367"/>
  </r>
  <r>
    <x v="0"/>
    <x v="2"/>
    <x v="0"/>
    <n v="61599908000158"/>
    <x v="67"/>
    <x v="1"/>
    <n v="6756.8"/>
  </r>
  <r>
    <x v="0"/>
    <x v="2"/>
    <x v="0"/>
    <n v="74031865000151"/>
    <x v="95"/>
    <x v="2"/>
    <n v="280840"/>
  </r>
  <r>
    <x v="0"/>
    <x v="2"/>
    <x v="0"/>
    <n v="81887838000736"/>
    <x v="68"/>
    <x v="2"/>
    <n v="167298.73000000001"/>
  </r>
  <r>
    <x v="0"/>
    <x v="2"/>
    <x v="0"/>
    <n v="81887838000736"/>
    <x v="68"/>
    <x v="0"/>
    <n v="1156499.53"/>
  </r>
  <r>
    <x v="0"/>
    <x v="2"/>
    <x v="0"/>
    <n v="81887838000736"/>
    <x v="68"/>
    <x v="1"/>
    <n v="100059.39"/>
  </r>
  <r>
    <x v="0"/>
    <x v="2"/>
    <x v="0"/>
    <n v="82873068000140"/>
    <x v="69"/>
    <x v="0"/>
    <n v="3648.06"/>
  </r>
  <r>
    <x v="0"/>
    <x v="2"/>
    <x v="0"/>
    <n v="82873068000140"/>
    <x v="69"/>
    <x v="1"/>
    <n v="72174.44"/>
  </r>
  <r>
    <x v="0"/>
    <x v="2"/>
    <x v="0"/>
    <n v="82873068000573"/>
    <x v="69"/>
    <x v="0"/>
    <n v="107355.38"/>
  </r>
  <r>
    <x v="0"/>
    <x v="2"/>
    <x v="0"/>
    <n v="82873068000573"/>
    <x v="69"/>
    <x v="1"/>
    <n v="14434.89"/>
  </r>
  <r>
    <x v="0"/>
    <x v="2"/>
    <x v="0"/>
    <n v="82873068000654"/>
    <x v="69"/>
    <x v="0"/>
    <n v="113653.43"/>
  </r>
  <r>
    <x v="0"/>
    <x v="2"/>
    <x v="0"/>
    <n v="82873068000654"/>
    <x v="69"/>
    <x v="1"/>
    <n v="77608.899999999994"/>
  </r>
  <r>
    <x v="0"/>
    <x v="2"/>
    <x v="0"/>
    <n v="87020517000120"/>
    <x v="70"/>
    <x v="2"/>
    <n v="14000"/>
  </r>
  <r>
    <x v="0"/>
    <x v="2"/>
    <x v="0"/>
    <n v="87020517000120"/>
    <x v="70"/>
    <x v="0"/>
    <n v="12704"/>
  </r>
  <r>
    <x v="0"/>
    <x v="3"/>
    <x v="1"/>
    <n v="394544020453"/>
    <x v="4"/>
    <x v="2"/>
    <n v="12948"/>
  </r>
  <r>
    <x v="0"/>
    <x v="3"/>
    <x v="1"/>
    <n v="394544021000"/>
    <x v="5"/>
    <x v="2"/>
    <n v="28320"/>
  </r>
  <r>
    <x v="0"/>
    <x v="3"/>
    <x v="1"/>
    <n v="3568867000136"/>
    <x v="115"/>
    <x v="0"/>
    <n v="88123.34"/>
  </r>
  <r>
    <x v="0"/>
    <x v="3"/>
    <x v="1"/>
    <n v="4027894000164"/>
    <x v="10"/>
    <x v="0"/>
    <n v="11731.59"/>
  </r>
  <r>
    <x v="0"/>
    <x v="3"/>
    <x v="1"/>
    <n v="4355394000151"/>
    <x v="12"/>
    <x v="0"/>
    <n v="19716.96"/>
  </r>
  <r>
    <x v="0"/>
    <x v="3"/>
    <x v="1"/>
    <n v="6234797000178"/>
    <x v="15"/>
    <x v="2"/>
    <n v="2451.87"/>
  </r>
  <r>
    <x v="0"/>
    <x v="3"/>
    <x v="1"/>
    <n v="6234797000178"/>
    <x v="15"/>
    <x v="0"/>
    <n v="219745.18"/>
  </r>
  <r>
    <x v="0"/>
    <x v="3"/>
    <x v="1"/>
    <n v="6234797000178"/>
    <x v="15"/>
    <x v="1"/>
    <n v="36660.269999999997"/>
  </r>
  <r>
    <x v="0"/>
    <x v="3"/>
    <x v="1"/>
    <n v="7734165000136"/>
    <x v="19"/>
    <x v="0"/>
    <n v="204990.28"/>
  </r>
  <r>
    <x v="0"/>
    <x v="3"/>
    <x v="1"/>
    <n v="8563277000134"/>
    <x v="21"/>
    <x v="0"/>
    <n v="5330.07"/>
  </r>
  <r>
    <x v="0"/>
    <x v="3"/>
    <x v="1"/>
    <n v="8563277000134"/>
    <x v="21"/>
    <x v="1"/>
    <n v="14963.37"/>
  </r>
  <r>
    <x v="0"/>
    <x v="3"/>
    <x v="1"/>
    <n v="9007162000126"/>
    <x v="100"/>
    <x v="1"/>
    <n v="132029.76999999999"/>
  </r>
  <r>
    <x v="0"/>
    <x v="3"/>
    <x v="1"/>
    <n v="9660958000345"/>
    <x v="26"/>
    <x v="1"/>
    <n v="84454.16"/>
  </r>
  <r>
    <x v="0"/>
    <x v="3"/>
    <x v="1"/>
    <n v="11022597001597"/>
    <x v="79"/>
    <x v="0"/>
    <n v="21422.5"/>
  </r>
  <r>
    <x v="0"/>
    <x v="3"/>
    <x v="1"/>
    <n v="12420164000904"/>
    <x v="30"/>
    <x v="2"/>
    <n v="189334.47"/>
  </r>
  <r>
    <x v="0"/>
    <x v="3"/>
    <x v="1"/>
    <n v="12420164000904"/>
    <x v="30"/>
    <x v="0"/>
    <n v="1079894.67"/>
  </r>
  <r>
    <x v="0"/>
    <x v="3"/>
    <x v="1"/>
    <n v="12420164000904"/>
    <x v="30"/>
    <x v="1"/>
    <n v="13463.48"/>
  </r>
  <r>
    <x v="0"/>
    <x v="3"/>
    <x v="1"/>
    <n v="12420164001048"/>
    <x v="30"/>
    <x v="2"/>
    <n v="3666.73"/>
  </r>
  <r>
    <x v="0"/>
    <x v="3"/>
    <x v="1"/>
    <n v="12420164001048"/>
    <x v="30"/>
    <x v="0"/>
    <n v="135002.68"/>
  </r>
  <r>
    <x v="0"/>
    <x v="3"/>
    <x v="1"/>
    <n v="12420164001048"/>
    <x v="30"/>
    <x v="1"/>
    <n v="2821.39"/>
  </r>
  <r>
    <x v="0"/>
    <x v="3"/>
    <x v="1"/>
    <n v="14261377000109"/>
    <x v="32"/>
    <x v="0"/>
    <n v="17389.89"/>
  </r>
  <r>
    <x v="0"/>
    <x v="3"/>
    <x v="1"/>
    <n v="14361780000100"/>
    <x v="116"/>
    <x v="0"/>
    <n v="5298.82"/>
  </r>
  <r>
    <x v="0"/>
    <x v="3"/>
    <x v="1"/>
    <n v="32319972000130"/>
    <x v="117"/>
    <x v="0"/>
    <n v="15212.01"/>
  </r>
  <r>
    <x v="0"/>
    <x v="3"/>
    <x v="1"/>
    <n v="37396017000624"/>
    <x v="28"/>
    <x v="0"/>
    <n v="58315.54"/>
  </r>
  <r>
    <x v="0"/>
    <x v="3"/>
    <x v="1"/>
    <n v="46068425000133"/>
    <x v="49"/>
    <x v="2"/>
    <n v="73504.800000000003"/>
  </r>
  <r>
    <x v="0"/>
    <x v="3"/>
    <x v="1"/>
    <n v="46643466000106"/>
    <x v="113"/>
    <x v="0"/>
    <n v="137502.39999999999"/>
  </r>
  <r>
    <x v="0"/>
    <x v="3"/>
    <x v="1"/>
    <n v="57722118000302"/>
    <x v="61"/>
    <x v="0"/>
    <n v="-431.02"/>
  </r>
  <r>
    <x v="0"/>
    <x v="3"/>
    <x v="1"/>
    <n v="60003761000129"/>
    <x v="62"/>
    <x v="0"/>
    <n v="6976.56"/>
  </r>
  <r>
    <x v="0"/>
    <x v="3"/>
    <x v="1"/>
    <n v="60448040000122"/>
    <x v="63"/>
    <x v="0"/>
    <n v="90974.399999999994"/>
  </r>
  <r>
    <x v="0"/>
    <x v="3"/>
    <x v="1"/>
    <n v="60747318000162"/>
    <x v="64"/>
    <x v="1"/>
    <n v="5061.8999999999996"/>
  </r>
  <r>
    <x v="0"/>
    <x v="3"/>
    <x v="1"/>
    <n v="61590410000124"/>
    <x v="65"/>
    <x v="0"/>
    <n v="14235.43"/>
  </r>
  <r>
    <x v="0"/>
    <x v="3"/>
    <x v="1"/>
    <n v="61599908000158"/>
    <x v="67"/>
    <x v="0"/>
    <n v="12628"/>
  </r>
  <r>
    <x v="0"/>
    <x v="3"/>
    <x v="1"/>
    <n v="81887838000736"/>
    <x v="68"/>
    <x v="2"/>
    <n v="0"/>
  </r>
  <r>
    <x v="0"/>
    <x v="3"/>
    <x v="1"/>
    <n v="81887838000736"/>
    <x v="68"/>
    <x v="0"/>
    <n v="362814.31"/>
  </r>
  <r>
    <x v="0"/>
    <x v="3"/>
    <x v="1"/>
    <n v="81887838000736"/>
    <x v="68"/>
    <x v="1"/>
    <n v="42143.91"/>
  </r>
  <r>
    <x v="0"/>
    <x v="3"/>
    <x v="1"/>
    <n v="82873068000654"/>
    <x v="69"/>
    <x v="2"/>
    <n v="47151.35"/>
  </r>
  <r>
    <x v="0"/>
    <x v="3"/>
    <x v="1"/>
    <n v="87020517000120"/>
    <x v="70"/>
    <x v="0"/>
    <n v="7688.32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66">
  <r>
    <x v="0"/>
    <x v="0"/>
    <x v="0"/>
    <n v="1454407000151"/>
    <x v="0"/>
    <s v="MACEIO"/>
    <s v="AL"/>
    <s v="1-Setorizado"/>
    <n v="2"/>
    <x v="0"/>
    <s v="VALERIA BRAGA - ESP - (CE/MA/PI/BA/AL/SE/PB/PE/RN)"/>
    <s v="Especialidade"/>
    <s v="fernando.leony@cslbehring.com"/>
    <s v="FERNANDO LEONY (CO/NO/NE)"/>
    <n v="0"/>
    <n v="0"/>
    <n v="0"/>
    <n v="0"/>
    <n v="480"/>
  </r>
  <r>
    <x v="0"/>
    <x v="0"/>
    <x v="0"/>
    <n v="1454407000151"/>
    <x v="0"/>
    <s v="MACEIO"/>
    <s v="AL"/>
    <s v="1-Setorizado"/>
    <n v="2"/>
    <x v="1"/>
    <s v="LAIS MAGALHAES - HSP - BA/AL/SE"/>
    <s v="Hospitalar"/>
    <s v="fernando.leony@cslbehring.com"/>
    <s v="FERNANDO LEONY (CO/NO/NE)"/>
    <n v="0"/>
    <n v="0"/>
    <n v="0"/>
    <n v="0"/>
    <n v="480"/>
  </r>
  <r>
    <x v="0"/>
    <x v="0"/>
    <x v="0"/>
    <n v="12442737000496"/>
    <x v="1"/>
    <s v="MACEIO"/>
    <s v="AL"/>
    <s v="1-Setorizado"/>
    <n v="2"/>
    <x v="0"/>
    <s v="VALERIA BRAGA - ESP - (CE/MA/PI/BA/AL/SE/PB/PE/RN)"/>
    <s v="Especialidade"/>
    <s v="fernando.leony@cslbehring.com"/>
    <s v="FERNANDO LEONY (CO/NO/NE)"/>
    <n v="0"/>
    <n v="0"/>
    <n v="0"/>
    <n v="0"/>
    <n v="400"/>
  </r>
  <r>
    <x v="0"/>
    <x v="0"/>
    <x v="0"/>
    <n v="12442737000496"/>
    <x v="1"/>
    <s v="MACEIO"/>
    <s v="AL"/>
    <s v="1-Setorizado"/>
    <n v="2"/>
    <x v="1"/>
    <s v="LAIS MAGALHAES - HSP - BA/AL/SE"/>
    <s v="Hospitalar"/>
    <s v="fernando.leony@cslbehring.com"/>
    <s v="FERNANDO LEONY (CO/NO/NE)"/>
    <n v="0"/>
    <n v="0"/>
    <n v="0"/>
    <n v="0"/>
    <n v="400"/>
  </r>
  <r>
    <x v="0"/>
    <x v="0"/>
    <x v="0"/>
    <n v="24464109000229"/>
    <x v="2"/>
    <s v="MACEIO"/>
    <s v="AL"/>
    <s v="1-Setorizado"/>
    <n v="2"/>
    <x v="0"/>
    <s v="VALERIA BRAGA - ESP - (CE/MA/PI/BA/AL/SE/PB/PE/RN)"/>
    <s v="Especialidade"/>
    <s v="fernando.leony@cslbehring.com"/>
    <s v="FERNANDO LEONY (CO/NO/NE)"/>
    <n v="50"/>
    <n v="0"/>
    <n v="0"/>
    <n v="0"/>
    <n v="0"/>
  </r>
  <r>
    <x v="0"/>
    <x v="0"/>
    <x v="0"/>
    <n v="24464109000229"/>
    <x v="2"/>
    <s v="MACEIO"/>
    <s v="AL"/>
    <s v="1-Setorizado"/>
    <n v="2"/>
    <x v="1"/>
    <s v="LAIS MAGALHAES - HSP - BA/AL/SE"/>
    <s v="Hospitalar"/>
    <s v="fernando.leony@cslbehring.com"/>
    <s v="FERNANDO LEONY (CO/NO/NE)"/>
    <n v="0"/>
    <n v="0"/>
    <n v="0"/>
    <n v="0"/>
    <n v="0"/>
  </r>
  <r>
    <x v="0"/>
    <x v="0"/>
    <x v="0"/>
    <n v="12361267011632"/>
    <x v="3"/>
    <s v="MANAUS"/>
    <s v="AM"/>
    <s v="1-Setorizado"/>
    <n v="1"/>
    <x v="2"/>
    <s v="WLADIMIR CAMPELO - ESP/HSP - AC/AM/AP/PA/RO/RR/DF"/>
    <s v="Hosp-Esp"/>
    <s v="fernando.leony@cslbehring.com"/>
    <s v="FERNANDO LEONY (CO/NO/NE)"/>
    <n v="0"/>
    <n v="0"/>
    <n v="0"/>
    <n v="0"/>
    <n v="125"/>
  </r>
  <r>
    <x v="0"/>
    <x v="0"/>
    <x v="0"/>
    <n v="6070425000153"/>
    <x v="4"/>
    <s v="MACAPA"/>
    <s v="AP"/>
    <s v="1-Setorizado"/>
    <n v="1"/>
    <x v="2"/>
    <s v="WLADIMIR CAMPELO - ESP/HSP - AC/AM/AP/PA/RO/RR/DF"/>
    <s v="Hosp-Esp"/>
    <s v="fernando.leony@cslbehring.com"/>
    <s v="FERNANDO LEONY (CO/NO/NE)"/>
    <n v="0"/>
    <n v="0"/>
    <n v="0"/>
    <n v="12"/>
    <n v="0"/>
  </r>
  <r>
    <x v="0"/>
    <x v="0"/>
    <x v="0"/>
    <n v="14074546000100"/>
    <x v="5"/>
    <s v="FEIRA DE SANTANA"/>
    <s v="BA"/>
    <s v="1-Setorizado"/>
    <n v="2"/>
    <x v="0"/>
    <s v="VALERIA BRAGA - ESP - (CE/MA/PI/BA/AL/SE/PB/PE/RN)"/>
    <s v="Especialidade"/>
    <s v="fernando.leony@cslbehring.com"/>
    <s v="FERNANDO LEONY (CO/NO/NE)"/>
    <n v="0"/>
    <n v="0"/>
    <n v="0"/>
    <n v="0"/>
    <n v="0"/>
  </r>
  <r>
    <x v="0"/>
    <x v="0"/>
    <x v="0"/>
    <n v="14074546000100"/>
    <x v="5"/>
    <s v="FEIRA DE SANTANA"/>
    <s v="BA"/>
    <s v="1-Setorizado"/>
    <n v="2"/>
    <x v="1"/>
    <s v="LAIS MAGALHAES - HSP - BA/AL/SE"/>
    <s v="Hospitalar"/>
    <s v="fernando.leony@cslbehring.com"/>
    <s v="FERNANDO LEONY (CO/NO/NE)"/>
    <n v="0"/>
    <n v="1"/>
    <n v="0"/>
    <n v="0"/>
    <n v="0"/>
  </r>
  <r>
    <x v="0"/>
    <x v="0"/>
    <x v="0"/>
    <n v="15170723000530"/>
    <x v="6"/>
    <s v="FEIRA DE SANTANA"/>
    <s v="BA"/>
    <s v="1-Setorizado"/>
    <n v="2"/>
    <x v="0"/>
    <s v="VALERIA BRAGA - ESP - (CE/MA/PI/BA/AL/SE/PB/PE/RN)"/>
    <s v="Especialidade"/>
    <s v="fernando.leony@cslbehring.com"/>
    <s v="FERNANDO LEONY (CO/NO/NE)"/>
    <n v="0"/>
    <n v="0"/>
    <n v="0"/>
    <n v="0"/>
    <n v="0"/>
  </r>
  <r>
    <x v="0"/>
    <x v="0"/>
    <x v="0"/>
    <n v="15170723000530"/>
    <x v="6"/>
    <s v="FEIRA DE SANTANA"/>
    <s v="BA"/>
    <s v="1-Setorizado"/>
    <n v="2"/>
    <x v="1"/>
    <s v="LAIS MAGALHAES - HSP - BA/AL/SE"/>
    <s v="Hospitalar"/>
    <s v="fernando.leony@cslbehring.com"/>
    <s v="FERNANDO LEONY (CO/NO/NE)"/>
    <n v="0"/>
    <n v="1"/>
    <n v="0"/>
    <n v="0"/>
    <n v="0"/>
  </r>
  <r>
    <x v="0"/>
    <x v="0"/>
    <x v="0"/>
    <n v="4602792000125"/>
    <x v="7"/>
    <s v="LAURO DE FREITAS"/>
    <s v="BA"/>
    <s v="1-Setorizado"/>
    <n v="2"/>
    <x v="0"/>
    <s v="VALERIA BRAGA - ESP - (CE/MA/PI/BA/AL/SE/PB/PE/RN)"/>
    <s v="Especialidade"/>
    <s v="fernando.leony@cslbehring.com"/>
    <s v="FERNANDO LEONY (CO/NO/NE)"/>
    <n v="0"/>
    <n v="0"/>
    <n v="0"/>
    <n v="0"/>
    <n v="0"/>
  </r>
  <r>
    <x v="0"/>
    <x v="0"/>
    <x v="0"/>
    <n v="4602792000125"/>
    <x v="7"/>
    <s v="LAURO DE FREITAS"/>
    <s v="BA"/>
    <s v="1-Setorizado"/>
    <n v="2"/>
    <x v="1"/>
    <s v="LAIS MAGALHAES - HSP - BA/AL/SE"/>
    <s v="Hospitalar"/>
    <s v="fernando.leony@cslbehring.com"/>
    <s v="FERNANDO LEONY (CO/NO/NE)"/>
    <n v="0"/>
    <n v="2"/>
    <n v="0"/>
    <n v="0"/>
    <n v="0"/>
  </r>
  <r>
    <x v="0"/>
    <x v="0"/>
    <x v="0"/>
    <n v="13952064000134"/>
    <x v="8"/>
    <s v="SALVADOR"/>
    <s v="BA"/>
    <s v="1-Setorizado"/>
    <n v="2"/>
    <x v="0"/>
    <s v="VALERIA BRAGA - ESP - (CE/MA/PI/BA/AL/SE/PB/PE/RN)"/>
    <s v="Especialidade"/>
    <s v="fernando.leony@cslbehring.com"/>
    <s v="FERNANDO LEONY (CO/NO/NE)"/>
    <n v="0"/>
    <n v="0"/>
    <n v="0"/>
    <n v="0"/>
    <n v="0"/>
  </r>
  <r>
    <x v="0"/>
    <x v="0"/>
    <x v="0"/>
    <n v="13952064000134"/>
    <x v="8"/>
    <s v="SALVADOR"/>
    <s v="BA"/>
    <s v="1-Setorizado"/>
    <n v="2"/>
    <x v="1"/>
    <s v="LAIS MAGALHAES - HSP - BA/AL/SE"/>
    <s v="Hospitalar"/>
    <s v="fernando.leony@cslbehring.com"/>
    <s v="FERNANDO LEONY (CO/NO/NE)"/>
    <n v="0"/>
    <n v="0"/>
    <n v="3"/>
    <n v="0"/>
    <n v="0"/>
  </r>
  <r>
    <x v="0"/>
    <x v="0"/>
    <x v="0"/>
    <n v="5816630000152"/>
    <x v="9"/>
    <s v="SALVADOR"/>
    <s v="BA"/>
    <s v="1-Setorizado"/>
    <n v="2"/>
    <x v="0"/>
    <s v="VALERIA BRAGA - ESP - (CE/MA/PI/BA/AL/SE/PB/PE/RN)"/>
    <s v="Especialidade"/>
    <s v="fernando.leony@cslbehring.com"/>
    <s v="FERNANDO LEONY (CO/NO/NE)"/>
    <n v="0"/>
    <n v="0"/>
    <n v="0"/>
    <n v="0"/>
    <n v="150"/>
  </r>
  <r>
    <x v="0"/>
    <x v="0"/>
    <x v="0"/>
    <n v="5816630000152"/>
    <x v="9"/>
    <s v="SALVADOR"/>
    <s v="BA"/>
    <s v="1-Setorizado"/>
    <n v="2"/>
    <x v="1"/>
    <s v="LAIS MAGALHAES - HSP - BA/AL/SE"/>
    <s v="Hospitalar"/>
    <s v="fernando.leony@cslbehring.com"/>
    <s v="FERNANDO LEONY (CO/NO/NE)"/>
    <n v="0"/>
    <n v="18"/>
    <n v="0"/>
    <n v="0"/>
    <n v="150"/>
  </r>
  <r>
    <x v="0"/>
    <x v="0"/>
    <x v="0"/>
    <n v="15194004000125"/>
    <x v="10"/>
    <s v="SALVADOR"/>
    <s v="BA"/>
    <s v="1-Setorizado"/>
    <n v="2"/>
    <x v="0"/>
    <s v="VALERIA BRAGA - ESP - (CE/MA/PI/BA/AL/SE/PB/PE/RN)"/>
    <s v="Especialidade"/>
    <s v="fernando.leony@cslbehring.com"/>
    <s v="FERNANDO LEONY (CO/NO/NE)"/>
    <n v="0"/>
    <n v="0"/>
    <n v="0"/>
    <n v="0"/>
    <n v="0"/>
  </r>
  <r>
    <x v="0"/>
    <x v="0"/>
    <x v="0"/>
    <n v="15194004000125"/>
    <x v="10"/>
    <s v="SALVADOR"/>
    <s v="BA"/>
    <s v="1-Setorizado"/>
    <n v="2"/>
    <x v="1"/>
    <s v="LAIS MAGALHAES - HSP - BA/AL/SE"/>
    <s v="Hospitalar"/>
    <s v="fernando.leony@cslbehring.com"/>
    <s v="FERNANDO LEONY (CO/NO/NE)"/>
    <n v="0"/>
    <n v="2"/>
    <n v="0"/>
    <n v="0"/>
    <n v="0"/>
  </r>
  <r>
    <x v="0"/>
    <x v="0"/>
    <x v="0"/>
    <n v="5469172000122"/>
    <x v="11"/>
    <s v="SALVADOR"/>
    <s v="BA"/>
    <s v="1-Setorizado"/>
    <n v="2"/>
    <x v="0"/>
    <s v="VALERIA BRAGA - ESP - (CE/MA/PI/BA/AL/SE/PB/PE/RN)"/>
    <s v="Especialidade"/>
    <s v="fernando.leony@cslbehring.com"/>
    <s v="FERNANDO LEONY (CO/NO/NE)"/>
    <n v="0"/>
    <n v="0"/>
    <n v="0"/>
    <n v="0"/>
    <n v="0"/>
  </r>
  <r>
    <x v="0"/>
    <x v="0"/>
    <x v="0"/>
    <n v="5469172000122"/>
    <x v="11"/>
    <s v="SALVADOR"/>
    <s v="BA"/>
    <s v="1-Setorizado"/>
    <n v="2"/>
    <x v="1"/>
    <s v="LAIS MAGALHAES - HSP - BA/AL/SE"/>
    <s v="Hospitalar"/>
    <s v="fernando.leony@cslbehring.com"/>
    <s v="FERNANDO LEONY (CO/NO/NE)"/>
    <n v="0"/>
    <n v="6"/>
    <n v="0"/>
    <n v="0"/>
    <n v="0"/>
  </r>
  <r>
    <x v="0"/>
    <x v="0"/>
    <x v="0"/>
    <n v="13016092000140"/>
    <x v="12"/>
    <s v="SALVADOR"/>
    <s v="BA"/>
    <s v="1-Setorizado"/>
    <n v="2"/>
    <x v="0"/>
    <s v="VALERIA BRAGA - ESP - (CE/MA/PI/BA/AL/SE/PB/PE/RN)"/>
    <s v="Especialidade"/>
    <s v="fernando.leony@cslbehring.com"/>
    <s v="FERNANDO LEONY (CO/NO/NE)"/>
    <n v="0"/>
    <n v="0"/>
    <n v="0"/>
    <n v="0"/>
    <n v="0"/>
  </r>
  <r>
    <x v="0"/>
    <x v="0"/>
    <x v="0"/>
    <n v="13016092000140"/>
    <x v="12"/>
    <s v="SALVADOR"/>
    <s v="BA"/>
    <s v="1-Setorizado"/>
    <n v="2"/>
    <x v="1"/>
    <s v="LAIS MAGALHAES - HSP - BA/AL/SE"/>
    <s v="Hospitalar"/>
    <s v="fernando.leony@cslbehring.com"/>
    <s v="FERNANDO LEONY (CO/NO/NE)"/>
    <n v="0"/>
    <n v="10"/>
    <n v="0"/>
    <n v="0"/>
    <n v="0"/>
  </r>
  <r>
    <x v="0"/>
    <x v="0"/>
    <x v="0"/>
    <n v="15153745002705"/>
    <x v="13"/>
    <s v="SALVADOR"/>
    <s v="BA"/>
    <s v="1-Setorizado"/>
    <n v="2"/>
    <x v="0"/>
    <s v="VALERIA BRAGA - ESP - (CE/MA/PI/BA/AL/SE/PB/PE/RN)"/>
    <s v="Especialidade"/>
    <s v="fernando.leony@cslbehring.com"/>
    <s v="FERNANDO LEONY (CO/NO/NE)"/>
    <n v="0"/>
    <n v="0"/>
    <n v="0"/>
    <n v="0"/>
    <n v="0"/>
  </r>
  <r>
    <x v="0"/>
    <x v="0"/>
    <x v="0"/>
    <n v="15153745002705"/>
    <x v="13"/>
    <s v="SALVADOR"/>
    <s v="BA"/>
    <s v="1-Setorizado"/>
    <n v="2"/>
    <x v="1"/>
    <s v="LAIS MAGALHAES - HSP - BA/AL/SE"/>
    <s v="Hospitalar"/>
    <s v="fernando.leony@cslbehring.com"/>
    <s v="FERNANDO LEONY (CO/NO/NE)"/>
    <n v="0"/>
    <n v="11"/>
    <n v="0"/>
    <n v="0"/>
    <n v="0"/>
  </r>
  <r>
    <x v="0"/>
    <x v="0"/>
    <x v="0"/>
    <n v="15166416000151"/>
    <x v="14"/>
    <s v="SALVADOR"/>
    <s v="BA"/>
    <s v="1-Setorizado"/>
    <n v="2"/>
    <x v="0"/>
    <s v="VALERIA BRAGA - ESP - (CE/MA/PI/BA/AL/SE/PB/PE/RN)"/>
    <s v="Especialidade"/>
    <s v="fernando.leony@cslbehring.com"/>
    <s v="FERNANDO LEONY (CO/NO/NE)"/>
    <n v="0"/>
    <n v="0"/>
    <n v="0"/>
    <n v="0"/>
    <n v="0"/>
  </r>
  <r>
    <x v="0"/>
    <x v="0"/>
    <x v="0"/>
    <n v="15166416000151"/>
    <x v="14"/>
    <s v="SALVADOR"/>
    <s v="BA"/>
    <s v="1-Setorizado"/>
    <n v="2"/>
    <x v="1"/>
    <s v="LAIS MAGALHAES - HSP - BA/AL/SE"/>
    <s v="Hospitalar"/>
    <s v="fernando.leony@cslbehring.com"/>
    <s v="FERNANDO LEONY (CO/NO/NE)"/>
    <n v="0"/>
    <n v="17"/>
    <n v="11"/>
    <n v="0"/>
    <n v="0"/>
  </r>
  <r>
    <x v="0"/>
    <x v="0"/>
    <x v="0"/>
    <n v="15153745000249"/>
    <x v="15"/>
    <s v="SALVADOR"/>
    <s v="BA"/>
    <s v="1-Setorizado"/>
    <n v="2"/>
    <x v="0"/>
    <s v="VALERIA BRAGA - ESP - (CE/MA/PI/BA/AL/SE/PB/PE/RN)"/>
    <s v="Especialidade"/>
    <s v="fernando.leony@cslbehring.com"/>
    <s v="FERNANDO LEONY (CO/NO/NE)"/>
    <n v="0"/>
    <n v="0"/>
    <n v="0"/>
    <n v="0"/>
    <n v="0"/>
  </r>
  <r>
    <x v="0"/>
    <x v="0"/>
    <x v="0"/>
    <n v="15153745000249"/>
    <x v="15"/>
    <s v="SALVADOR"/>
    <s v="BA"/>
    <s v="1-Setorizado"/>
    <n v="2"/>
    <x v="1"/>
    <s v="LAIS MAGALHAES - HSP - BA/AL/SE"/>
    <s v="Hospitalar"/>
    <s v="fernando.leony@cslbehring.com"/>
    <s v="FERNANDO LEONY (CO/NO/NE)"/>
    <n v="0"/>
    <n v="0"/>
    <n v="2"/>
    <n v="0"/>
    <n v="0"/>
  </r>
  <r>
    <x v="0"/>
    <x v="0"/>
    <x v="0"/>
    <n v="27372066000169"/>
    <x v="16"/>
    <s v="SALVADOR"/>
    <s v="BA"/>
    <s v="1-Setorizado"/>
    <n v="2"/>
    <x v="0"/>
    <s v="VALERIA BRAGA - ESP - (CE/MA/PI/BA/AL/SE/PB/PE/RN)"/>
    <s v="Especialidade"/>
    <s v="fernando.leony@cslbehring.com"/>
    <s v="FERNANDO LEONY (CO/NO/NE)"/>
    <n v="0"/>
    <n v="0"/>
    <n v="0"/>
    <n v="0"/>
    <n v="0"/>
  </r>
  <r>
    <x v="0"/>
    <x v="0"/>
    <x v="0"/>
    <n v="27372066000169"/>
    <x v="16"/>
    <s v="SALVADOR"/>
    <s v="BA"/>
    <s v="1-Setorizado"/>
    <n v="2"/>
    <x v="1"/>
    <s v="LAIS MAGALHAES - HSP - BA/AL/SE"/>
    <s v="Hospitalar"/>
    <s v="fernando.leony@cslbehring.com"/>
    <s v="FERNANDO LEONY (CO/NO/NE)"/>
    <n v="0"/>
    <n v="17"/>
    <n v="0"/>
    <n v="0"/>
    <n v="0"/>
  </r>
  <r>
    <x v="0"/>
    <x v="0"/>
    <x v="0"/>
    <n v="12361267010318"/>
    <x v="17"/>
    <s v="SALVADOR"/>
    <s v="BA"/>
    <s v="1-Setorizado"/>
    <n v="2"/>
    <x v="0"/>
    <s v="VALERIA BRAGA - ESP - (CE/MA/PI/BA/AL/SE/PB/PE/RN)"/>
    <s v="Especialidade"/>
    <s v="fernando.leony@cslbehring.com"/>
    <s v="FERNANDO LEONY (CO/NO/NE)"/>
    <n v="0"/>
    <n v="0"/>
    <n v="0"/>
    <n v="0"/>
    <n v="290"/>
  </r>
  <r>
    <x v="0"/>
    <x v="0"/>
    <x v="0"/>
    <n v="12361267010318"/>
    <x v="17"/>
    <s v="SALVADOR"/>
    <s v="BA"/>
    <s v="1-Setorizado"/>
    <n v="2"/>
    <x v="1"/>
    <s v="LAIS MAGALHAES - HSP - BA/AL/SE"/>
    <s v="Hospitalar"/>
    <s v="fernando.leony@cslbehring.com"/>
    <s v="FERNANDO LEONY (CO/NO/NE)"/>
    <n v="0"/>
    <n v="7"/>
    <n v="0"/>
    <n v="0"/>
    <n v="290"/>
  </r>
  <r>
    <x v="0"/>
    <x v="0"/>
    <x v="0"/>
    <n v="15170723000106"/>
    <x v="18"/>
    <s v="SALVADOR"/>
    <s v="BA"/>
    <s v="1-Setorizado"/>
    <n v="2"/>
    <x v="0"/>
    <s v="VALERIA BRAGA - ESP - (CE/MA/PI/BA/AL/SE/PB/PE/RN)"/>
    <s v="Especialidade"/>
    <s v="fernando.leony@cslbehring.com"/>
    <s v="FERNANDO LEONY (CO/NO/NE)"/>
    <n v="0"/>
    <n v="0"/>
    <n v="0"/>
    <n v="0"/>
    <n v="300"/>
  </r>
  <r>
    <x v="0"/>
    <x v="0"/>
    <x v="0"/>
    <n v="15170723000106"/>
    <x v="18"/>
    <s v="SALVADOR"/>
    <s v="BA"/>
    <s v="1-Setorizado"/>
    <n v="2"/>
    <x v="1"/>
    <s v="LAIS MAGALHAES - HSP - BA/AL/SE"/>
    <s v="Hospitalar"/>
    <s v="fernando.leony@cslbehring.com"/>
    <s v="FERNANDO LEONY (CO/NO/NE)"/>
    <n v="0"/>
    <n v="11"/>
    <n v="1"/>
    <n v="0"/>
    <n v="300"/>
  </r>
  <r>
    <x v="0"/>
    <x v="0"/>
    <x v="0"/>
    <n v="15180714000368"/>
    <x v="19"/>
    <s v="SALVADOR"/>
    <s v="BA"/>
    <s v="1-Setorizado"/>
    <n v="2"/>
    <x v="0"/>
    <s v="VALERIA BRAGA - ESP - (CE/MA/PI/BA/AL/SE/PB/PE/RN)"/>
    <s v="Especialidade"/>
    <s v="fernando.leony@cslbehring.com"/>
    <s v="FERNANDO LEONY (CO/NO/NE)"/>
    <n v="0"/>
    <n v="0"/>
    <n v="0"/>
    <n v="0"/>
    <n v="0"/>
  </r>
  <r>
    <x v="0"/>
    <x v="0"/>
    <x v="0"/>
    <n v="15180714000368"/>
    <x v="19"/>
    <s v="SALVADOR"/>
    <s v="BA"/>
    <s v="1-Setorizado"/>
    <n v="2"/>
    <x v="1"/>
    <s v="LAIS MAGALHAES - HSP - BA/AL/SE"/>
    <s v="Hospitalar"/>
    <s v="fernando.leony@cslbehring.com"/>
    <s v="FERNANDO LEONY (CO/NO/NE)"/>
    <n v="0"/>
    <n v="12"/>
    <n v="0"/>
    <n v="0"/>
    <n v="0"/>
  </r>
  <r>
    <x v="0"/>
    <x v="0"/>
    <x v="0"/>
    <n v="15242761000127"/>
    <x v="20"/>
    <s v="SALVADOR"/>
    <s v="BA"/>
    <s v="1-Setorizado"/>
    <n v="2"/>
    <x v="0"/>
    <s v="VALERIA BRAGA - ESP - (CE/MA/PI/BA/AL/SE/PB/PE/RN)"/>
    <s v="Especialidade"/>
    <s v="fernando.leony@cslbehring.com"/>
    <s v="FERNANDO LEONY (CO/NO/NE)"/>
    <n v="0"/>
    <n v="0"/>
    <n v="0"/>
    <n v="114"/>
    <n v="100"/>
  </r>
  <r>
    <x v="0"/>
    <x v="0"/>
    <x v="0"/>
    <n v="15242761000127"/>
    <x v="20"/>
    <s v="SALVADOR"/>
    <s v="BA"/>
    <s v="1-Setorizado"/>
    <n v="2"/>
    <x v="1"/>
    <s v="LAIS MAGALHAES - HSP - BA/AL/SE"/>
    <s v="Hospitalar"/>
    <s v="fernando.leony@cslbehring.com"/>
    <s v="FERNANDO LEONY (CO/NO/NE)"/>
    <n v="0"/>
    <n v="0"/>
    <n v="0"/>
    <n v="0"/>
    <n v="100"/>
  </r>
  <r>
    <x v="0"/>
    <x v="0"/>
    <x v="0"/>
    <n v="15180714000520"/>
    <x v="21"/>
    <s v="SALVADOR"/>
    <s v="BA"/>
    <s v="1-Setorizado"/>
    <n v="2"/>
    <x v="0"/>
    <s v="VALERIA BRAGA - ESP - (CE/MA/PI/BA/AL/SE/PB/PE/RN)"/>
    <s v="Especialidade"/>
    <s v="fernando.leony@cslbehring.com"/>
    <s v="FERNANDO LEONY (CO/NO/NE)"/>
    <n v="0"/>
    <n v="0"/>
    <n v="0"/>
    <n v="0"/>
    <n v="0"/>
  </r>
  <r>
    <x v="0"/>
    <x v="0"/>
    <x v="0"/>
    <n v="15180714000520"/>
    <x v="21"/>
    <s v="SALVADOR"/>
    <s v="BA"/>
    <s v="1-Setorizado"/>
    <n v="2"/>
    <x v="1"/>
    <s v="LAIS MAGALHAES - HSP - BA/AL/SE"/>
    <s v="Hospitalar"/>
    <s v="fernando.leony@cslbehring.com"/>
    <s v="FERNANDO LEONY (CO/NO/NE)"/>
    <n v="0"/>
    <n v="0"/>
    <n v="5"/>
    <n v="0"/>
    <n v="0"/>
  </r>
  <r>
    <x v="0"/>
    <x v="0"/>
    <x v="0"/>
    <n v="13284872000170"/>
    <x v="22"/>
    <s v="VITORIA DA CONQUISTA"/>
    <s v="BA"/>
    <s v="1-Setorizado"/>
    <n v="2"/>
    <x v="0"/>
    <s v="VALERIA BRAGA - ESP - (CE/MA/PI/BA/AL/SE/PB/PE/RN)"/>
    <s v="Especialidade"/>
    <s v="fernando.leony@cslbehring.com"/>
    <s v="FERNANDO LEONY (CO/NO/NE)"/>
    <n v="0"/>
    <n v="0"/>
    <n v="0"/>
    <n v="0"/>
    <n v="5"/>
  </r>
  <r>
    <x v="0"/>
    <x v="0"/>
    <x v="0"/>
    <n v="13284872000170"/>
    <x v="22"/>
    <s v="VITORIA DA CONQUISTA"/>
    <s v="BA"/>
    <s v="1-Setorizado"/>
    <n v="2"/>
    <x v="1"/>
    <s v="LAIS MAGALHAES - HSP - BA/AL/SE"/>
    <s v="Hospitalar"/>
    <s v="fernando.leony@cslbehring.com"/>
    <s v="FERNANDO LEONY (CO/NO/NE)"/>
    <n v="0"/>
    <n v="0"/>
    <n v="0"/>
    <n v="0"/>
    <n v="5"/>
  </r>
  <r>
    <x v="0"/>
    <x v="0"/>
    <x v="0"/>
    <n v="12361267011802"/>
    <x v="23"/>
    <s v="FORTALEZA"/>
    <s v="CE"/>
    <s v="1-Setorizado"/>
    <n v="2"/>
    <x v="0"/>
    <s v="VALERIA BRAGA - ESP - (CE/MA/PI/BA/AL/SE/PB/PE/RN)"/>
    <s v="Especialidade"/>
    <s v="fernando.leony@cslbehring.com"/>
    <s v="FERNANDO LEONY (CO/NO/NE)"/>
    <n v="0"/>
    <n v="0"/>
    <n v="0"/>
    <n v="0"/>
    <n v="0"/>
  </r>
  <r>
    <x v="0"/>
    <x v="0"/>
    <x v="0"/>
    <n v="12361267011802"/>
    <x v="23"/>
    <s v="FORTALEZA"/>
    <s v="CE"/>
    <s v="1-Setorizado"/>
    <n v="2"/>
    <x v="3"/>
    <s v="KLEBER SILVA - HSP - CE/MA/PI"/>
    <s v="Hospitalar"/>
    <s v="fernando.leony@cslbehring.com"/>
    <s v="FERNANDO LEONY (CO/NO/NE)"/>
    <n v="0"/>
    <n v="4"/>
    <n v="6"/>
    <n v="0"/>
    <n v="0"/>
  </r>
  <r>
    <x v="0"/>
    <x v="0"/>
    <x v="0"/>
    <n v="74031865000151"/>
    <x v="24"/>
    <s v="FORTALEZA"/>
    <s v="CE"/>
    <s v="1-Setorizado"/>
    <n v="2"/>
    <x v="0"/>
    <s v="VALERIA BRAGA - ESP - (CE/MA/PI/BA/AL/SE/PB/PE/RN)"/>
    <s v="Especialidade"/>
    <s v="fernando.leony@cslbehring.com"/>
    <s v="FERNANDO LEONY (CO/NO/NE)"/>
    <n v="0"/>
    <n v="0"/>
    <n v="0"/>
    <n v="0"/>
    <n v="0"/>
  </r>
  <r>
    <x v="0"/>
    <x v="0"/>
    <x v="0"/>
    <n v="74031865000151"/>
    <x v="24"/>
    <s v="FORTALEZA"/>
    <s v="CE"/>
    <s v="1-Setorizado"/>
    <n v="2"/>
    <x v="3"/>
    <s v="KLEBER SILVA - HSP - CE/MA/PI"/>
    <s v="Hospitalar"/>
    <s v="fernando.leony@cslbehring.com"/>
    <s v="FERNANDO LEONY (CO/NO/NE)"/>
    <n v="0"/>
    <n v="100"/>
    <n v="420"/>
    <n v="0"/>
    <n v="0"/>
  </r>
  <r>
    <x v="0"/>
    <x v="0"/>
    <x v="0"/>
    <n v="7272404000183"/>
    <x v="25"/>
    <s v="FORTALEZA"/>
    <s v="CE"/>
    <s v="1-Setorizado"/>
    <n v="2"/>
    <x v="0"/>
    <s v="VALERIA BRAGA - ESP - (CE/MA/PI/BA/AL/SE/PB/PE/RN)"/>
    <s v="Especialidade"/>
    <s v="fernando.leony@cslbehring.com"/>
    <s v="FERNANDO LEONY (CO/NO/NE)"/>
    <n v="0"/>
    <n v="0"/>
    <n v="0"/>
    <n v="0"/>
    <n v="120"/>
  </r>
  <r>
    <x v="0"/>
    <x v="0"/>
    <x v="0"/>
    <n v="7272404000183"/>
    <x v="25"/>
    <s v="FORTALEZA"/>
    <s v="CE"/>
    <s v="1-Setorizado"/>
    <n v="2"/>
    <x v="3"/>
    <s v="KLEBER SILVA - HSP - CE/MA/PI"/>
    <s v="Hospitalar"/>
    <s v="fernando.leony@cslbehring.com"/>
    <s v="FERNANDO LEONY (CO/NO/NE)"/>
    <n v="0"/>
    <n v="0"/>
    <n v="0"/>
    <n v="0"/>
    <n v="120"/>
  </r>
  <r>
    <x v="0"/>
    <x v="0"/>
    <x v="0"/>
    <n v="5874946000109"/>
    <x v="26"/>
    <s v="FORTALEZA"/>
    <s v="CE"/>
    <s v="1-Setorizado"/>
    <n v="2"/>
    <x v="0"/>
    <s v="VALERIA BRAGA - ESP - (CE/MA/PI/BA/AL/SE/PB/PE/RN)"/>
    <s v="Especialidade"/>
    <s v="fernando.leony@cslbehring.com"/>
    <s v="FERNANDO LEONY (CO/NO/NE)"/>
    <n v="0"/>
    <n v="0"/>
    <n v="0"/>
    <n v="0"/>
    <n v="0"/>
  </r>
  <r>
    <x v="0"/>
    <x v="0"/>
    <x v="0"/>
    <n v="5874946000109"/>
    <x v="26"/>
    <s v="FORTALEZA"/>
    <s v="CE"/>
    <s v="1-Setorizado"/>
    <n v="2"/>
    <x v="3"/>
    <s v="KLEBER SILVA - HSP - CE/MA/PI"/>
    <s v="Hospitalar"/>
    <s v="fernando.leony@cslbehring.com"/>
    <s v="FERNANDO LEONY (CO/NO/NE)"/>
    <n v="0"/>
    <n v="2"/>
    <n v="6"/>
    <n v="0"/>
    <n v="0"/>
  </r>
  <r>
    <x v="0"/>
    <x v="0"/>
    <x v="0"/>
    <n v="60975737003509"/>
    <x v="27"/>
    <s v="FORTALEZA"/>
    <s v="CE"/>
    <s v="1-Setorizado"/>
    <n v="2"/>
    <x v="0"/>
    <s v="VALERIA BRAGA - ESP - (CE/MA/PI/BA/AL/SE/PB/PE/RN)"/>
    <s v="Especialidade"/>
    <s v="fernando.leony@cslbehring.com"/>
    <s v="FERNANDO LEONY (CO/NO/NE)"/>
    <n v="0"/>
    <n v="0"/>
    <n v="0"/>
    <n v="0"/>
    <n v="0"/>
  </r>
  <r>
    <x v="0"/>
    <x v="0"/>
    <x v="0"/>
    <n v="60975737003509"/>
    <x v="27"/>
    <s v="FORTALEZA"/>
    <s v="CE"/>
    <s v="1-Setorizado"/>
    <n v="2"/>
    <x v="3"/>
    <s v="KLEBER SILVA - HSP - CE/MA/PI"/>
    <s v="Hospitalar"/>
    <s v="fernando.leony@cslbehring.com"/>
    <s v="FERNANDO LEONY (CO/NO/NE)"/>
    <n v="0"/>
    <n v="4"/>
    <n v="12"/>
    <n v="0"/>
    <n v="0"/>
  </r>
  <r>
    <x v="0"/>
    <x v="0"/>
    <x v="0"/>
    <n v="5868278000280"/>
    <x v="28"/>
    <s v="FORTALEZA"/>
    <s v="CE"/>
    <s v="1-Setorizado"/>
    <n v="2"/>
    <x v="0"/>
    <s v="VALERIA BRAGA - ESP - (CE/MA/PI/BA/AL/SE/PB/PE/RN)"/>
    <s v="Especialidade"/>
    <s v="fernando.leony@cslbehring.com"/>
    <s v="FERNANDO LEONY (CO/NO/NE)"/>
    <n v="0"/>
    <n v="0"/>
    <n v="0"/>
    <n v="16"/>
    <n v="80"/>
  </r>
  <r>
    <x v="0"/>
    <x v="0"/>
    <x v="0"/>
    <n v="5868278000280"/>
    <x v="28"/>
    <s v="FORTALEZA"/>
    <s v="CE"/>
    <s v="1-Setorizado"/>
    <n v="2"/>
    <x v="3"/>
    <s v="KLEBER SILVA - HSP - CE/MA/PI"/>
    <s v="Hospitalar"/>
    <s v="fernando.leony@cslbehring.com"/>
    <s v="FERNANDO LEONY (CO/NO/NE)"/>
    <n v="0"/>
    <n v="20"/>
    <n v="0"/>
    <n v="0"/>
    <n v="80"/>
  </r>
  <r>
    <x v="0"/>
    <x v="0"/>
    <x v="0"/>
    <n v="7272636000212"/>
    <x v="29"/>
    <s v="FORTALEZA"/>
    <s v="CE"/>
    <s v="1-Setorizado"/>
    <n v="2"/>
    <x v="0"/>
    <s v="VALERIA BRAGA - ESP - (CE/MA/PI/BA/AL/SE/PB/PE/RN)"/>
    <s v="Especialidade"/>
    <s v="fernando.leony@cslbehring.com"/>
    <s v="FERNANDO LEONY (CO/NO/NE)"/>
    <n v="0"/>
    <n v="0"/>
    <n v="0"/>
    <n v="0"/>
    <n v="0"/>
  </r>
  <r>
    <x v="0"/>
    <x v="0"/>
    <x v="0"/>
    <n v="7272636000212"/>
    <x v="29"/>
    <s v="FORTALEZA"/>
    <s v="CE"/>
    <s v="1-Setorizado"/>
    <n v="2"/>
    <x v="3"/>
    <s v="KLEBER SILVA - HSP - CE/MA/PI"/>
    <s v="Hospitalar"/>
    <s v="fernando.leony@cslbehring.com"/>
    <s v="FERNANDO LEONY (CO/NO/NE)"/>
    <n v="0"/>
    <n v="0"/>
    <n v="30"/>
    <n v="0"/>
    <n v="0"/>
  </r>
  <r>
    <x v="0"/>
    <x v="0"/>
    <x v="0"/>
    <n v="7835044000180"/>
    <x v="30"/>
    <s v="FORTALEZA"/>
    <s v="CE"/>
    <s v="1-Setorizado"/>
    <n v="2"/>
    <x v="0"/>
    <s v="VALERIA BRAGA - ESP - (CE/MA/PI/BA/AL/SE/PB/PE/RN)"/>
    <s v="Especialidade"/>
    <s v="fernando.leony@cslbehring.com"/>
    <s v="FERNANDO LEONY (CO/NO/NE)"/>
    <n v="0"/>
    <n v="0"/>
    <n v="0"/>
    <n v="0"/>
    <n v="0"/>
  </r>
  <r>
    <x v="0"/>
    <x v="0"/>
    <x v="0"/>
    <n v="7835044000180"/>
    <x v="30"/>
    <s v="FORTALEZA"/>
    <s v="CE"/>
    <s v="1-Setorizado"/>
    <n v="2"/>
    <x v="3"/>
    <s v="KLEBER SILVA - HSP - CE/MA/PI"/>
    <s v="Hospitalar"/>
    <s v="fernando.leony@cslbehring.com"/>
    <s v="FERNANDO LEONY (CO/NO/NE)"/>
    <n v="0"/>
    <n v="0"/>
    <n v="10"/>
    <n v="0"/>
    <n v="0"/>
  </r>
  <r>
    <x v="0"/>
    <x v="0"/>
    <x v="0"/>
    <n v="12568570000161"/>
    <x v="31"/>
    <s v="FORTALEZA"/>
    <s v="CE"/>
    <s v="1-Setorizado"/>
    <n v="2"/>
    <x v="0"/>
    <s v="VALERIA BRAGA - ESP - (CE/MA/PI/BA/AL/SE/PB/PE/RN)"/>
    <s v="Especialidade"/>
    <s v="fernando.leony@cslbehring.com"/>
    <s v="FERNANDO LEONY (CO/NO/NE)"/>
    <n v="0"/>
    <n v="0"/>
    <n v="0"/>
    <n v="0"/>
    <n v="130"/>
  </r>
  <r>
    <x v="0"/>
    <x v="0"/>
    <x v="0"/>
    <n v="12568570000161"/>
    <x v="31"/>
    <s v="FORTALEZA"/>
    <s v="CE"/>
    <s v="1-Setorizado"/>
    <n v="2"/>
    <x v="3"/>
    <s v="KLEBER SILVA - HSP - CE/MA/PI"/>
    <s v="Hospitalar"/>
    <s v="fernando.leony@cslbehring.com"/>
    <s v="FERNANDO LEONY (CO/NO/NE)"/>
    <n v="0"/>
    <n v="0"/>
    <n v="0"/>
    <n v="0"/>
    <n v="130"/>
  </r>
  <r>
    <x v="0"/>
    <x v="0"/>
    <x v="0"/>
    <n v="5867015000175"/>
    <x v="32"/>
    <s v="FORTALEZA"/>
    <s v="CE"/>
    <s v="1-Setorizado"/>
    <n v="2"/>
    <x v="0"/>
    <s v="VALERIA BRAGA - ESP - (CE/MA/PI/BA/AL/SE/PB/PE/RN)"/>
    <s v="Especialidade"/>
    <s v="fernando.leony@cslbehring.com"/>
    <s v="FERNANDO LEONY (CO/NO/NE)"/>
    <n v="0"/>
    <n v="0"/>
    <n v="0"/>
    <n v="8"/>
    <n v="0"/>
  </r>
  <r>
    <x v="0"/>
    <x v="0"/>
    <x v="0"/>
    <n v="5867015000175"/>
    <x v="32"/>
    <s v="FORTALEZA"/>
    <s v="CE"/>
    <s v="1-Setorizado"/>
    <n v="2"/>
    <x v="3"/>
    <s v="KLEBER SILVA - HSP - CE/MA/PI"/>
    <s v="Hospitalar"/>
    <s v="fernando.leony@cslbehring.com"/>
    <s v="FERNANDO LEONY (CO/NO/NE)"/>
    <n v="0"/>
    <n v="0"/>
    <n v="0"/>
    <n v="0"/>
    <n v="0"/>
  </r>
  <r>
    <x v="0"/>
    <x v="0"/>
    <x v="0"/>
    <n v="29435005007484"/>
    <x v="33"/>
    <s v="FORTALEZA "/>
    <s v="CE"/>
    <s v="1-Setorizado"/>
    <n v="2"/>
    <x v="0"/>
    <s v="VALERIA BRAGA - ESP - (CE/MA/PI/BA/AL/SE/PB/PE/RN)"/>
    <s v="Especialidade"/>
    <s v="fernando.leony@cslbehring.com"/>
    <s v="FERNANDO LEONY (CO/NO/NE)"/>
    <n v="0"/>
    <n v="0"/>
    <n v="0"/>
    <n v="0"/>
    <n v="15"/>
  </r>
  <r>
    <x v="0"/>
    <x v="0"/>
    <x v="0"/>
    <n v="29435005007484"/>
    <x v="33"/>
    <s v="FORTALEZA "/>
    <s v="CE"/>
    <s v="1-Setorizado"/>
    <n v="2"/>
    <x v="3"/>
    <s v="KLEBER SILVA - HSP - CE/MA/PI"/>
    <s v="Hospitalar"/>
    <s v="fernando.leony@cslbehring.com"/>
    <s v="FERNANDO LEONY (CO/NO/NE)"/>
    <n v="0"/>
    <n v="36"/>
    <n v="7"/>
    <n v="0"/>
    <n v="15"/>
  </r>
  <r>
    <x v="0"/>
    <x v="0"/>
    <x v="0"/>
    <n v="9104513000974"/>
    <x v="34"/>
    <s v="BRASILIA"/>
    <s v="DF"/>
    <s v="1-Setorizado"/>
    <n v="2"/>
    <x v="2"/>
    <s v="WLADIMIR CAMPELO - ESP/HSP - AC/AM/AP/PA/RO/RR/DF"/>
    <s v="Hosp-Esp"/>
    <s v="fernando.leony@cslbehring.com"/>
    <s v="FERNANDO LEONY (CO/NO/NE)"/>
    <n v="0"/>
    <n v="0"/>
    <n v="0"/>
    <n v="0"/>
    <n v="505"/>
  </r>
  <r>
    <x v="0"/>
    <x v="0"/>
    <x v="0"/>
    <n v="9104513000974"/>
    <x v="34"/>
    <s v="BRASILIA"/>
    <s v="DF"/>
    <s v="1-Setorizado"/>
    <n v="2"/>
    <x v="4"/>
    <s v="KAREN ROSA - HSP - DF/GO/MS/MT/TO"/>
    <s v="Hospitalar"/>
    <s v="fernando.leony@cslbehring.com"/>
    <s v="FERNANDO LEONY (CO/NO/NE)"/>
    <n v="0"/>
    <n v="0"/>
    <n v="0"/>
    <n v="0"/>
    <n v="505"/>
  </r>
  <r>
    <x v="0"/>
    <x v="0"/>
    <x v="0"/>
    <n v="7794623005191"/>
    <x v="35"/>
    <s v="BRASILIA"/>
    <s v="DF"/>
    <s v="1-Setorizado"/>
    <n v="2"/>
    <x v="2"/>
    <s v="WLADIMIR CAMPELO - ESP/HSP - AC/AM/AP/PA/RO/RR/DF"/>
    <s v="Hosp-Esp"/>
    <s v="fernando.leony@cslbehring.com"/>
    <s v="FERNANDO LEONY (CO/NO/NE)"/>
    <n v="0"/>
    <n v="0"/>
    <n v="0"/>
    <n v="0"/>
    <n v="25"/>
  </r>
  <r>
    <x v="0"/>
    <x v="0"/>
    <x v="0"/>
    <n v="7794623005191"/>
    <x v="35"/>
    <s v="BRASILIA"/>
    <s v="DF"/>
    <s v="1-Setorizado"/>
    <n v="2"/>
    <x v="4"/>
    <s v="KAREN ROSA - HSP - DF/GO/MS/MT/TO"/>
    <s v="Hospitalar"/>
    <s v="fernando.leony@cslbehring.com"/>
    <s v="FERNANDO LEONY (CO/NO/NE)"/>
    <n v="0"/>
    <n v="0"/>
    <n v="0"/>
    <n v="0"/>
    <n v="25"/>
  </r>
  <r>
    <x v="0"/>
    <x v="0"/>
    <x v="0"/>
    <n v="520237000101"/>
    <x v="36"/>
    <s v="BRASILIA"/>
    <s v="DF"/>
    <s v="1-Setorizado"/>
    <n v="2"/>
    <x v="2"/>
    <s v="WLADIMIR CAMPELO - ESP/HSP - AC/AM/AP/PA/RO/RR/DF"/>
    <s v="Hosp-Esp"/>
    <s v="fernando.leony@cslbehring.com"/>
    <s v="FERNANDO LEONY (CO/NO/NE)"/>
    <n v="0"/>
    <n v="0"/>
    <n v="0"/>
    <n v="102"/>
    <n v="35"/>
  </r>
  <r>
    <x v="0"/>
    <x v="0"/>
    <x v="0"/>
    <n v="520237000101"/>
    <x v="36"/>
    <s v="BRASILIA"/>
    <s v="DF"/>
    <s v="1-Setorizado"/>
    <n v="2"/>
    <x v="4"/>
    <s v="KAREN ROSA - HSP - DF/GO/MS/MT/TO"/>
    <s v="Hospitalar"/>
    <s v="fernando.leony@cslbehring.com"/>
    <s v="FERNANDO LEONY (CO/NO/NE)"/>
    <n v="0"/>
    <n v="0"/>
    <n v="0"/>
    <n v="0"/>
    <n v="35"/>
  </r>
  <r>
    <x v="0"/>
    <x v="0"/>
    <x v="0"/>
    <n v="3989821000190"/>
    <x v="37"/>
    <s v="BRASILIA"/>
    <s v="DF"/>
    <s v="1-Setorizado"/>
    <n v="2"/>
    <x v="2"/>
    <s v="WLADIMIR CAMPELO - ESP/HSP - AC/AM/AP/PA/RO/RR/DF"/>
    <s v="Hosp-Esp"/>
    <s v="fernando.leony@cslbehring.com"/>
    <s v="FERNANDO LEONY (CO/NO/NE)"/>
    <n v="0"/>
    <n v="0"/>
    <n v="0"/>
    <n v="0"/>
    <n v="245"/>
  </r>
  <r>
    <x v="0"/>
    <x v="0"/>
    <x v="0"/>
    <n v="3989821000190"/>
    <x v="37"/>
    <s v="BRASILIA"/>
    <s v="DF"/>
    <s v="1-Setorizado"/>
    <n v="2"/>
    <x v="4"/>
    <s v="KAREN ROSA - HSP - DF/GO/MS/MT/TO"/>
    <s v="Hospitalar"/>
    <s v="fernando.leony@cslbehring.com"/>
    <s v="FERNANDO LEONY (CO/NO/NE)"/>
    <n v="0"/>
    <n v="0"/>
    <n v="0"/>
    <n v="0"/>
    <n v="245"/>
  </r>
  <r>
    <x v="0"/>
    <x v="0"/>
    <x v="0"/>
    <n v="37108388000159"/>
    <x v="38"/>
    <s v="BRASILIA"/>
    <s v="DF"/>
    <s v="1-Setorizado"/>
    <n v="2"/>
    <x v="2"/>
    <s v="WLADIMIR CAMPELO - ESP/HSP - AC/AM/AP/PA/RO/RR/DF"/>
    <s v="Hosp-Esp"/>
    <s v="fernando.leony@cslbehring.com"/>
    <s v="FERNANDO LEONY (CO/NO/NE)"/>
    <n v="0"/>
    <n v="0"/>
    <n v="0"/>
    <n v="0"/>
    <n v="0"/>
  </r>
  <r>
    <x v="0"/>
    <x v="0"/>
    <x v="0"/>
    <n v="37108388000159"/>
    <x v="38"/>
    <s v="BRASILIA"/>
    <s v="DF"/>
    <s v="1-Setorizado"/>
    <n v="2"/>
    <x v="4"/>
    <s v="KAREN ROSA - HSP - DF/GO/MS/MT/TO"/>
    <s v="Hospitalar"/>
    <s v="fernando.leony@cslbehring.com"/>
    <s v="FERNANDO LEONY (CO/NO/NE)"/>
    <n v="0"/>
    <n v="37"/>
    <n v="15"/>
    <n v="0"/>
    <n v="0"/>
  </r>
  <r>
    <x v="0"/>
    <x v="0"/>
    <x v="0"/>
    <n v="29435005004620"/>
    <x v="39"/>
    <s v="BRASILIA"/>
    <s v="DF"/>
    <s v="1-Setorizado"/>
    <n v="2"/>
    <x v="2"/>
    <s v="WLADIMIR CAMPELO - ESP/HSP - AC/AM/AP/PA/RO/RR/DF"/>
    <s v="Hosp-Esp"/>
    <s v="fernando.leony@cslbehring.com"/>
    <s v="FERNANDO LEONY (CO/NO/NE)"/>
    <n v="0"/>
    <n v="0"/>
    <n v="0"/>
    <n v="0"/>
    <n v="0"/>
  </r>
  <r>
    <x v="0"/>
    <x v="0"/>
    <x v="0"/>
    <n v="29435005004620"/>
    <x v="39"/>
    <s v="BRASILIA"/>
    <s v="DF"/>
    <s v="1-Setorizado"/>
    <n v="2"/>
    <x v="4"/>
    <s v="KAREN ROSA - HSP - DF/GO/MS/MT/TO"/>
    <s v="Hospitalar"/>
    <s v="fernando.leony@cslbehring.com"/>
    <s v="FERNANDO LEONY (CO/NO/NE)"/>
    <n v="0"/>
    <n v="10"/>
    <n v="5"/>
    <n v="0"/>
    <n v="0"/>
  </r>
  <r>
    <x v="0"/>
    <x v="0"/>
    <x v="0"/>
    <n v="2560878000107"/>
    <x v="40"/>
    <s v="BRASILIA"/>
    <s v="DF"/>
    <s v="1-Setorizado"/>
    <n v="2"/>
    <x v="2"/>
    <s v="WLADIMIR CAMPELO - ESP/HSP - AC/AM/AP/PA/RO/RR/DF"/>
    <s v="Hosp-Esp"/>
    <s v="fernando.leony@cslbehring.com"/>
    <s v="FERNANDO LEONY (CO/NO/NE)"/>
    <n v="0"/>
    <n v="0"/>
    <n v="0"/>
    <n v="0"/>
    <n v="275"/>
  </r>
  <r>
    <x v="0"/>
    <x v="0"/>
    <x v="0"/>
    <n v="2560878000107"/>
    <x v="40"/>
    <s v="BRASILIA"/>
    <s v="DF"/>
    <s v="1-Setorizado"/>
    <n v="2"/>
    <x v="4"/>
    <s v="KAREN ROSA - HSP - DF/GO/MS/MT/TO"/>
    <s v="Hospitalar"/>
    <s v="fernando.leony@cslbehring.com"/>
    <s v="FERNANDO LEONY (CO/NO/NE)"/>
    <n v="0"/>
    <n v="7"/>
    <n v="1"/>
    <n v="0"/>
    <n v="275"/>
  </r>
  <r>
    <x v="0"/>
    <x v="0"/>
    <x v="0"/>
    <n v="60884855002289"/>
    <x v="41"/>
    <s v="BRASILIA"/>
    <s v="DF"/>
    <s v="1-Setorizado"/>
    <n v="2"/>
    <x v="2"/>
    <s v="WLADIMIR CAMPELO - ESP/HSP - AC/AM/AP/PA/RO/RR/DF"/>
    <s v="Hosp-Esp"/>
    <s v="fernando.leony@cslbehring.com"/>
    <s v="FERNANDO LEONY (CO/NO/NE)"/>
    <n v="0"/>
    <n v="0"/>
    <n v="0"/>
    <n v="0"/>
    <n v="370"/>
  </r>
  <r>
    <x v="0"/>
    <x v="0"/>
    <x v="0"/>
    <n v="60884855002289"/>
    <x v="41"/>
    <s v="BRASILIA"/>
    <s v="DF"/>
    <s v="1-Setorizado"/>
    <n v="2"/>
    <x v="4"/>
    <s v="KAREN ROSA - HSP - DF/GO/MS/MT/TO"/>
    <s v="Hospitalar"/>
    <s v="fernando.leony@cslbehring.com"/>
    <s v="FERNANDO LEONY (CO/NO/NE)"/>
    <n v="0"/>
    <n v="90"/>
    <n v="11"/>
    <n v="0"/>
    <n v="370"/>
  </r>
  <r>
    <x v="0"/>
    <x v="0"/>
    <x v="0"/>
    <n v="6047087004207"/>
    <x v="42"/>
    <s v="BRASILIA"/>
    <s v="DF"/>
    <s v="1-Setorizado"/>
    <n v="2"/>
    <x v="2"/>
    <s v="WLADIMIR CAMPELO - ESP/HSP - AC/AM/AP/PA/RO/RR/DF"/>
    <s v="Hosp-Esp"/>
    <s v="fernando.leony@cslbehring.com"/>
    <s v="FERNANDO LEONY (CO/NO/NE)"/>
    <n v="0"/>
    <n v="0"/>
    <n v="0"/>
    <n v="0"/>
    <n v="0"/>
  </r>
  <r>
    <x v="0"/>
    <x v="0"/>
    <x v="0"/>
    <n v="6047087004207"/>
    <x v="42"/>
    <s v="BRASILIA"/>
    <s v="DF"/>
    <s v="1-Setorizado"/>
    <n v="2"/>
    <x v="4"/>
    <s v="KAREN ROSA - HSP - DF/GO/MS/MT/TO"/>
    <s v="Hospitalar"/>
    <s v="fernando.leony@cslbehring.com"/>
    <s v="FERNANDO LEONY (CO/NO/NE)"/>
    <n v="0"/>
    <n v="45"/>
    <n v="0"/>
    <n v="0"/>
    <n v="0"/>
  </r>
  <r>
    <x v="0"/>
    <x v="0"/>
    <x v="0"/>
    <n v="38000485000196"/>
    <x v="43"/>
    <s v="BRASILIA"/>
    <s v="DF"/>
    <s v="1-Setorizado"/>
    <n v="2"/>
    <x v="2"/>
    <s v="WLADIMIR CAMPELO - ESP/HSP - AC/AM/AP/PA/RO/RR/DF"/>
    <s v="Hosp-Esp"/>
    <s v="fernando.leony@cslbehring.com"/>
    <s v="FERNANDO LEONY (CO/NO/NE)"/>
    <n v="0"/>
    <n v="0"/>
    <n v="0"/>
    <n v="0"/>
    <n v="0"/>
  </r>
  <r>
    <x v="0"/>
    <x v="0"/>
    <x v="0"/>
    <n v="38000485000196"/>
    <x v="43"/>
    <s v="BRASILIA"/>
    <s v="DF"/>
    <s v="1-Setorizado"/>
    <n v="2"/>
    <x v="4"/>
    <s v="KAREN ROSA - HSP - DF/GO/MS/MT/TO"/>
    <s v="Hospitalar"/>
    <s v="fernando.leony@cslbehring.com"/>
    <s v="FERNANDO LEONY (CO/NO/NE)"/>
    <n v="0"/>
    <n v="3"/>
    <n v="0"/>
    <n v="0"/>
    <n v="0"/>
  </r>
  <r>
    <x v="0"/>
    <x v="0"/>
    <x v="0"/>
    <n v="6047087004126"/>
    <x v="44"/>
    <s v="BRASILIA"/>
    <s v="DF"/>
    <s v="1-Setorizado"/>
    <n v="2"/>
    <x v="2"/>
    <s v="WLADIMIR CAMPELO - ESP/HSP - AC/AM/AP/PA/RO/RR/DF"/>
    <s v="Hosp-Esp"/>
    <s v="fernando.leony@cslbehring.com"/>
    <s v="FERNANDO LEONY (CO/NO/NE)"/>
    <n v="0"/>
    <n v="0"/>
    <n v="0"/>
    <n v="0"/>
    <n v="0"/>
  </r>
  <r>
    <x v="0"/>
    <x v="0"/>
    <x v="0"/>
    <n v="6047087004126"/>
    <x v="44"/>
    <s v="BRASILIA"/>
    <s v="DF"/>
    <s v="1-Setorizado"/>
    <n v="2"/>
    <x v="4"/>
    <s v="KAREN ROSA - HSP - DF/GO/MS/MT/TO"/>
    <s v="Hospitalar"/>
    <s v="fernando.leony@cslbehring.com"/>
    <s v="FERNANDO LEONY (CO/NO/NE)"/>
    <n v="0"/>
    <n v="3"/>
    <n v="0"/>
    <n v="0"/>
    <n v="0"/>
  </r>
  <r>
    <x v="0"/>
    <x v="0"/>
    <x v="0"/>
    <n v="610980000144"/>
    <x v="45"/>
    <s v="BRASILIA"/>
    <s v="DF"/>
    <s v="1-Setorizado"/>
    <n v="2"/>
    <x v="2"/>
    <s v="WLADIMIR CAMPELO - ESP/HSP - AC/AM/AP/PA/RO/RR/DF"/>
    <s v="Hosp-Esp"/>
    <s v="fernando.leony@cslbehring.com"/>
    <s v="FERNANDO LEONY (CO/NO/NE)"/>
    <n v="0"/>
    <n v="0"/>
    <n v="0"/>
    <n v="0"/>
    <n v="0"/>
  </r>
  <r>
    <x v="0"/>
    <x v="0"/>
    <x v="0"/>
    <n v="610980000144"/>
    <x v="45"/>
    <s v="BRASILIA"/>
    <s v="DF"/>
    <s v="1-Setorizado"/>
    <n v="2"/>
    <x v="4"/>
    <s v="KAREN ROSA - HSP - DF/GO/MS/MT/TO"/>
    <s v="Hospitalar"/>
    <s v="fernando.leony@cslbehring.com"/>
    <s v="FERNANDO LEONY (CO/NO/NE)"/>
    <n v="0"/>
    <n v="24"/>
    <n v="0"/>
    <n v="0"/>
    <n v="0"/>
  </r>
  <r>
    <x v="0"/>
    <x v="0"/>
    <x v="0"/>
    <n v="61590410000558"/>
    <x v="46"/>
    <s v="BRASILIA"/>
    <s v="DF"/>
    <s v="1-Setorizado"/>
    <n v="2"/>
    <x v="2"/>
    <s v="WLADIMIR CAMPELO - ESP/HSP - AC/AM/AP/PA/RO/RR/DF"/>
    <s v="Hosp-Esp"/>
    <s v="fernando.leony@cslbehring.com"/>
    <s v="FERNANDO LEONY (CO/NO/NE)"/>
    <n v="0"/>
    <n v="0"/>
    <n v="0"/>
    <n v="16"/>
    <n v="0"/>
  </r>
  <r>
    <x v="0"/>
    <x v="0"/>
    <x v="0"/>
    <n v="61590410000558"/>
    <x v="46"/>
    <s v="BRASILIA"/>
    <s v="DF"/>
    <s v="1-Setorizado"/>
    <n v="2"/>
    <x v="4"/>
    <s v="KAREN ROSA - HSP - DF/GO/MS/MT/TO"/>
    <s v="Hospitalar"/>
    <s v="fernando.leony@cslbehring.com"/>
    <s v="FERNANDO LEONY (CO/NO/NE)"/>
    <n v="0"/>
    <n v="0"/>
    <n v="0"/>
    <n v="0"/>
    <n v="0"/>
  </r>
  <r>
    <x v="0"/>
    <x v="0"/>
    <x v="0"/>
    <n v="28481233000172"/>
    <x v="47"/>
    <s v="BRASILIA"/>
    <s v="DF"/>
    <s v="1-Setorizado"/>
    <n v="2"/>
    <x v="2"/>
    <s v="WLADIMIR CAMPELO - ESP/HSP - AC/AM/AP/PA/RO/RR/DF"/>
    <s v="Hosp-Esp"/>
    <s v="fernando.leony@cslbehring.com"/>
    <s v="FERNANDO LEONY (CO/NO/NE)"/>
    <n v="0"/>
    <n v="0"/>
    <n v="0"/>
    <n v="0"/>
    <n v="0"/>
  </r>
  <r>
    <x v="0"/>
    <x v="0"/>
    <x v="0"/>
    <n v="28481233000172"/>
    <x v="47"/>
    <s v="BRASILIA"/>
    <s v="DF"/>
    <s v="1-Setorizado"/>
    <n v="2"/>
    <x v="4"/>
    <s v="KAREN ROSA - HSP - DF/GO/MS/MT/TO"/>
    <s v="Hospitalar"/>
    <s v="fernando.leony@cslbehring.com"/>
    <s v="FERNANDO LEONY (CO/NO/NE)"/>
    <n v="0"/>
    <n v="130"/>
    <n v="0"/>
    <n v="0"/>
    <n v="0"/>
  </r>
  <r>
    <x v="0"/>
    <x v="0"/>
    <x v="0"/>
    <n v="11859927000106"/>
    <x v="48"/>
    <s v="BRASILIA"/>
    <s v="DF"/>
    <s v="1-Setorizado"/>
    <n v="2"/>
    <x v="2"/>
    <s v="WLADIMIR CAMPELO - ESP/HSP - AC/AM/AP/PA/RO/RR/DF"/>
    <s v="Hosp-Esp"/>
    <s v="fernando.leony@cslbehring.com"/>
    <s v="FERNANDO LEONY (CO/NO/NE)"/>
    <n v="0"/>
    <n v="0"/>
    <n v="0"/>
    <n v="44"/>
    <n v="0"/>
  </r>
  <r>
    <x v="0"/>
    <x v="0"/>
    <x v="0"/>
    <n v="11859927000106"/>
    <x v="48"/>
    <s v="BRASILIA"/>
    <s v="DF"/>
    <s v="1-Setorizado"/>
    <n v="2"/>
    <x v="4"/>
    <s v="KAREN ROSA - HSP - DF/GO/MS/MT/TO"/>
    <s v="Hospitalar"/>
    <s v="fernando.leony@cslbehring.com"/>
    <s v="FERNANDO LEONY (CO/NO/NE)"/>
    <n v="0"/>
    <n v="0"/>
    <n v="0"/>
    <n v="0"/>
    <n v="0"/>
  </r>
  <r>
    <x v="0"/>
    <x v="0"/>
    <x v="0"/>
    <n v="92898550000600"/>
    <x v="49"/>
    <s v="BRASILIA"/>
    <s v="DF"/>
    <s v="1-Setorizado"/>
    <n v="2"/>
    <x v="2"/>
    <s v="WLADIMIR CAMPELO - ESP/HSP - AC/AM/AP/PA/RO/RR/DF"/>
    <s v="Hosp-Esp"/>
    <s v="fernando.leony@cslbehring.com"/>
    <s v="FERNANDO LEONY (CO/NO/NE)"/>
    <n v="0"/>
    <n v="0"/>
    <n v="0"/>
    <n v="0"/>
    <n v="0"/>
  </r>
  <r>
    <x v="0"/>
    <x v="0"/>
    <x v="0"/>
    <n v="92898550000600"/>
    <x v="49"/>
    <s v="BRASILIA"/>
    <s v="DF"/>
    <s v="1-Setorizado"/>
    <n v="2"/>
    <x v="4"/>
    <s v="KAREN ROSA - HSP - DF/GO/MS/MT/TO"/>
    <s v="Hospitalar"/>
    <s v="fernando.leony@cslbehring.com"/>
    <s v="FERNANDO LEONY (CO/NO/NE)"/>
    <n v="0"/>
    <n v="4"/>
    <n v="0"/>
    <n v="0"/>
    <n v="0"/>
  </r>
  <r>
    <x v="0"/>
    <x v="0"/>
    <x v="0"/>
    <n v="1682668000129"/>
    <x v="50"/>
    <s v="BRASILIA"/>
    <s v="DF"/>
    <s v="1-Setorizado"/>
    <n v="2"/>
    <x v="2"/>
    <s v="WLADIMIR CAMPELO - ESP/HSP - AC/AM/AP/PA/RO/RR/DF"/>
    <s v="Hosp-Esp"/>
    <s v="fernando.leony@cslbehring.com"/>
    <s v="FERNANDO LEONY (CO/NO/NE)"/>
    <n v="0"/>
    <n v="0"/>
    <n v="0"/>
    <n v="0"/>
    <n v="50"/>
  </r>
  <r>
    <x v="0"/>
    <x v="0"/>
    <x v="0"/>
    <n v="1682668000129"/>
    <x v="50"/>
    <s v="BRASILIA"/>
    <s v="DF"/>
    <s v="1-Setorizado"/>
    <n v="2"/>
    <x v="4"/>
    <s v="KAREN ROSA - HSP - DF/GO/MS/MT/TO"/>
    <s v="Hospitalar"/>
    <s v="fernando.leony@cslbehring.com"/>
    <s v="FERNANDO LEONY (CO/NO/NE)"/>
    <n v="0"/>
    <n v="0"/>
    <n v="0"/>
    <n v="0"/>
    <n v="50"/>
  </r>
  <r>
    <x v="0"/>
    <x v="0"/>
    <x v="0"/>
    <n v="16739984000167"/>
    <x v="51"/>
    <s v="BRASILIA"/>
    <s v="DF"/>
    <s v="1-Setorizado"/>
    <n v="2"/>
    <x v="2"/>
    <s v="WLADIMIR CAMPELO - ESP/HSP - AC/AM/AP/PA/RO/RR/DF"/>
    <s v="Hosp-Esp"/>
    <s v="fernando.leony@cslbehring.com"/>
    <s v="FERNANDO LEONY (CO/NO/NE)"/>
    <n v="0"/>
    <n v="0"/>
    <n v="0"/>
    <n v="41"/>
    <n v="0"/>
  </r>
  <r>
    <x v="0"/>
    <x v="0"/>
    <x v="0"/>
    <n v="16739984000167"/>
    <x v="51"/>
    <s v="BRASILIA"/>
    <s v="DF"/>
    <s v="1-Setorizado"/>
    <n v="2"/>
    <x v="4"/>
    <s v="KAREN ROSA - HSP - DF/GO/MS/MT/TO"/>
    <s v="Hospitalar"/>
    <s v="fernando.leony@cslbehring.com"/>
    <s v="FERNANDO LEONY (CO/NO/NE)"/>
    <n v="0"/>
    <n v="0"/>
    <n v="0"/>
    <n v="0"/>
    <n v="0"/>
  </r>
  <r>
    <x v="0"/>
    <x v="0"/>
    <x v="0"/>
    <n v="511816000180"/>
    <x v="52"/>
    <s v="BRASILIA"/>
    <s v="DF"/>
    <s v="1-Setorizado"/>
    <n v="2"/>
    <x v="2"/>
    <s v="WLADIMIR CAMPELO - ESP/HSP - AC/AM/AP/PA/RO/RR/DF"/>
    <s v="Hosp-Esp"/>
    <s v="fernando.leony@cslbehring.com"/>
    <s v="FERNANDO LEONY (CO/NO/NE)"/>
    <n v="0"/>
    <n v="0"/>
    <n v="0"/>
    <n v="0"/>
    <n v="0"/>
  </r>
  <r>
    <x v="0"/>
    <x v="0"/>
    <x v="0"/>
    <n v="511816000180"/>
    <x v="52"/>
    <s v="BRASILIA"/>
    <s v="DF"/>
    <s v="1-Setorizado"/>
    <n v="2"/>
    <x v="4"/>
    <s v="KAREN ROSA - HSP - DF/GO/MS/MT/TO"/>
    <s v="Hospitalar"/>
    <s v="fernando.leony@cslbehring.com"/>
    <s v="FERNANDO LEONY (CO/NO/NE)"/>
    <n v="0"/>
    <n v="8"/>
    <n v="0"/>
    <n v="0"/>
    <n v="0"/>
  </r>
  <r>
    <x v="0"/>
    <x v="0"/>
    <x v="0"/>
    <n v="49791000144"/>
    <x v="53"/>
    <s v="BRASILIA"/>
    <s v="DF"/>
    <s v="1-Setorizado"/>
    <n v="2"/>
    <x v="2"/>
    <s v="WLADIMIR CAMPELO - ESP/HSP - AC/AM/AP/PA/RO/RR/DF"/>
    <s v="Hosp-Esp"/>
    <s v="fernando.leony@cslbehring.com"/>
    <s v="FERNANDO LEONY (CO/NO/NE)"/>
    <n v="0"/>
    <n v="0"/>
    <n v="0"/>
    <n v="0"/>
    <n v="0"/>
  </r>
  <r>
    <x v="0"/>
    <x v="0"/>
    <x v="0"/>
    <n v="49791000144"/>
    <x v="53"/>
    <s v="BRASILIA"/>
    <s v="DF"/>
    <s v="1-Setorizado"/>
    <n v="2"/>
    <x v="4"/>
    <s v="KAREN ROSA - HSP - DF/GO/MS/MT/TO"/>
    <s v="Hospitalar"/>
    <s v="fernando.leony@cslbehring.com"/>
    <s v="FERNANDO LEONY (CO/NO/NE)"/>
    <n v="0"/>
    <n v="13"/>
    <n v="4"/>
    <n v="0"/>
    <n v="0"/>
  </r>
  <r>
    <x v="0"/>
    <x v="0"/>
    <x v="0"/>
    <n v="61590410001287"/>
    <x v="54"/>
    <s v="BRASILIA"/>
    <s v="DF"/>
    <s v="1-Setorizado"/>
    <n v="2"/>
    <x v="2"/>
    <s v="WLADIMIR CAMPELO - ESP/HSP - AC/AM/AP/PA/RO/RR/DF"/>
    <s v="Hosp-Esp"/>
    <s v="fernando.leony@cslbehring.com"/>
    <s v="FERNANDO LEONY (CO/NO/NE)"/>
    <n v="0"/>
    <n v="0"/>
    <n v="0"/>
    <n v="0"/>
    <n v="610"/>
  </r>
  <r>
    <x v="0"/>
    <x v="0"/>
    <x v="0"/>
    <n v="61590410001287"/>
    <x v="54"/>
    <s v="BRASILIA"/>
    <s v="DF"/>
    <s v="1-Setorizado"/>
    <n v="2"/>
    <x v="4"/>
    <s v="KAREN ROSA - HSP - DF/GO/MS/MT/TO"/>
    <s v="Hospitalar"/>
    <s v="fernando.leony@cslbehring.com"/>
    <s v="FERNANDO LEONY (CO/NO/NE)"/>
    <n v="0"/>
    <n v="0"/>
    <n v="0"/>
    <n v="0"/>
    <n v="610"/>
  </r>
  <r>
    <x v="0"/>
    <x v="0"/>
    <x v="0"/>
    <n v="7039651000134"/>
    <x v="55"/>
    <s v="COLATINA"/>
    <s v="ES"/>
    <s v="1-Setorizado"/>
    <n v="1"/>
    <x v="5"/>
    <s v="IWENS SILVA - HSP - MG/ES"/>
    <s v="Hosp-Esp"/>
    <s v="rafael.esteves@cslbehring.com"/>
    <s v="RAFAEL ESTEVES (RJ/SPI/SUL)"/>
    <n v="0"/>
    <n v="0"/>
    <n v="0"/>
    <n v="0"/>
    <n v="15"/>
  </r>
  <r>
    <x v="0"/>
    <x v="0"/>
    <x v="0"/>
    <n v="1396804000114"/>
    <x v="56"/>
    <s v="SERRA"/>
    <s v="ES"/>
    <s v="1-Setorizado"/>
    <n v="1"/>
    <x v="5"/>
    <s v="IWENS SILVA - HSP - MG/ES"/>
    <s v="Hosp-Esp"/>
    <s v="rafael.esteves@cslbehring.com"/>
    <s v="RAFAEL ESTEVES (RJ/SPI/SUL)"/>
    <n v="0"/>
    <n v="0"/>
    <n v="0"/>
    <n v="0"/>
    <n v="40"/>
  </r>
  <r>
    <x v="0"/>
    <x v="0"/>
    <x v="0"/>
    <n v="27080605001591"/>
    <x v="57"/>
    <s v="SERRA"/>
    <s v="ES"/>
    <s v="1-Setorizado"/>
    <n v="1"/>
    <x v="5"/>
    <s v="IWENS SILVA - HSP - MG/ES"/>
    <s v="Hosp-Esp"/>
    <s v="rafael.esteves@cslbehring.com"/>
    <s v="RAFAEL ESTEVES (RJ/SPI/SUL)"/>
    <n v="0"/>
    <n v="0"/>
    <n v="0"/>
    <n v="0"/>
    <n v="1000"/>
  </r>
  <r>
    <x v="0"/>
    <x v="0"/>
    <x v="0"/>
    <n v="28137925000106"/>
    <x v="58"/>
    <s v="VITORIA"/>
    <s v="ES"/>
    <s v="1-Setorizado"/>
    <n v="1"/>
    <x v="5"/>
    <s v="IWENS SILVA - HSP - MG/ES"/>
    <s v="Hosp-Esp"/>
    <s v="rafael.esteves@cslbehring.com"/>
    <s v="RAFAEL ESTEVES (RJ/SPI/SUL)"/>
    <n v="0"/>
    <n v="0"/>
    <n v="0"/>
    <n v="0"/>
    <n v="100"/>
  </r>
  <r>
    <x v="0"/>
    <x v="0"/>
    <x v="0"/>
    <n v="39387477000107"/>
    <x v="59"/>
    <s v="VITORIA"/>
    <s v="ES"/>
    <s v="1-Setorizado"/>
    <n v="1"/>
    <x v="5"/>
    <s v="IWENS SILVA - HSP - MG/ES"/>
    <s v="Hosp-Esp"/>
    <s v="rafael.esteves@cslbehring.com"/>
    <s v="RAFAEL ESTEVES (RJ/SPI/SUL)"/>
    <n v="0"/>
    <n v="0"/>
    <n v="0"/>
    <n v="0"/>
    <n v="180"/>
  </r>
  <r>
    <x v="0"/>
    <x v="0"/>
    <x v="0"/>
    <n v="1326206000179"/>
    <x v="60"/>
    <s v="CATALAO"/>
    <s v="GO"/>
    <s v="1-Setorizado"/>
    <n v="2"/>
    <x v="6"/>
    <s v="XXX-ESP-VAGO NO (DF/GO/MS/MT/TO)"/>
    <s v="Especialidade"/>
    <s v="fernando.leony@cslbehring.com"/>
    <s v="FERNANDO LEONY (CO/NO/NE)"/>
    <n v="0"/>
    <n v="0"/>
    <n v="0"/>
    <n v="10"/>
    <n v="0"/>
  </r>
  <r>
    <x v="0"/>
    <x v="0"/>
    <x v="0"/>
    <n v="1326206000179"/>
    <x v="60"/>
    <s v="CATALAO"/>
    <s v="GO"/>
    <s v="1-Setorizado"/>
    <n v="2"/>
    <x v="4"/>
    <s v="KAREN ROSA - HSP - DF/GO/MS/MT/TO"/>
    <s v="Hospitalar"/>
    <s v="fernando.leony@cslbehring.com"/>
    <s v="FERNANDO LEONY (CO/NO/NE)"/>
    <n v="0"/>
    <n v="0"/>
    <n v="0"/>
    <n v="0"/>
    <n v="0"/>
  </r>
  <r>
    <x v="0"/>
    <x v="0"/>
    <x v="0"/>
    <n v="2476067000394"/>
    <x v="61"/>
    <s v="GOIANIA"/>
    <s v="GO"/>
    <s v="1-Setorizado"/>
    <n v="2"/>
    <x v="6"/>
    <s v="XXX-ESP-VAGO NO (DF/GO/MS/MT/TO)"/>
    <s v="Especialidade"/>
    <s v="fernando.leony@cslbehring.com"/>
    <s v="FERNANDO LEONY (CO/NO/NE)"/>
    <n v="0"/>
    <n v="0"/>
    <n v="0"/>
    <n v="0"/>
    <n v="118"/>
  </r>
  <r>
    <x v="0"/>
    <x v="0"/>
    <x v="0"/>
    <n v="2476067000394"/>
    <x v="61"/>
    <s v="GOIANIA"/>
    <s v="GO"/>
    <s v="1-Setorizado"/>
    <n v="2"/>
    <x v="4"/>
    <s v="KAREN ROSA - HSP - DF/GO/MS/MT/TO"/>
    <s v="Hospitalar"/>
    <s v="fernando.leony@cslbehring.com"/>
    <s v="FERNANDO LEONY (CO/NO/NE)"/>
    <n v="0"/>
    <n v="0"/>
    <n v="0"/>
    <n v="0"/>
    <n v="118"/>
  </r>
  <r>
    <x v="0"/>
    <x v="0"/>
    <x v="0"/>
    <n v="418954000119"/>
    <x v="62"/>
    <s v="GOIANIA"/>
    <s v="GO"/>
    <s v="1-Setorizado"/>
    <n v="2"/>
    <x v="6"/>
    <s v="XXX-ESP-VAGO NO (DF/GO/MS/MT/TO)"/>
    <s v="Especialidade"/>
    <s v="fernando.leony@cslbehring.com"/>
    <s v="FERNANDO LEONY (CO/NO/NE)"/>
    <n v="0"/>
    <n v="0"/>
    <n v="0"/>
    <n v="0"/>
    <n v="0"/>
  </r>
  <r>
    <x v="0"/>
    <x v="0"/>
    <x v="0"/>
    <n v="418954000119"/>
    <x v="62"/>
    <s v="GOIANIA"/>
    <s v="GO"/>
    <s v="1-Setorizado"/>
    <n v="2"/>
    <x v="4"/>
    <s v="KAREN ROSA - HSP - DF/GO/MS/MT/TO"/>
    <s v="Hospitalar"/>
    <s v="fernando.leony@cslbehring.com"/>
    <s v="FERNANDO LEONY (CO/NO/NE)"/>
    <n v="0"/>
    <n v="10"/>
    <n v="0"/>
    <n v="0"/>
    <n v="0"/>
  </r>
  <r>
    <x v="0"/>
    <x v="0"/>
    <x v="0"/>
    <n v="1011865000116"/>
    <x v="63"/>
    <s v="GOIANIA"/>
    <s v="GO"/>
    <s v="1-Setorizado"/>
    <n v="2"/>
    <x v="6"/>
    <s v="XXX-ESP-VAGO NO (DF/GO/MS/MT/TO)"/>
    <s v="Especialidade"/>
    <s v="fernando.leony@cslbehring.com"/>
    <s v="FERNANDO LEONY (CO/NO/NE)"/>
    <n v="0"/>
    <n v="0"/>
    <n v="0"/>
    <n v="0"/>
    <n v="350"/>
  </r>
  <r>
    <x v="0"/>
    <x v="0"/>
    <x v="0"/>
    <n v="1011865000116"/>
    <x v="63"/>
    <s v="GOIANIA"/>
    <s v="GO"/>
    <s v="1-Setorizado"/>
    <n v="2"/>
    <x v="4"/>
    <s v="KAREN ROSA - HSP - DF/GO/MS/MT/TO"/>
    <s v="Hospitalar"/>
    <s v="fernando.leony@cslbehring.com"/>
    <s v="FERNANDO LEONY (CO/NO/NE)"/>
    <n v="0"/>
    <n v="0"/>
    <n v="0"/>
    <n v="0"/>
    <n v="350"/>
  </r>
  <r>
    <x v="0"/>
    <x v="0"/>
    <x v="0"/>
    <n v="2476067000203"/>
    <x v="64"/>
    <s v="GOIANIA"/>
    <s v="GO"/>
    <s v="1-Setorizado"/>
    <n v="2"/>
    <x v="6"/>
    <s v="XXX-ESP-VAGO NO (DF/GO/MS/MT/TO)"/>
    <s v="Especialidade"/>
    <s v="fernando.leony@cslbehring.com"/>
    <s v="FERNANDO LEONY (CO/NO/NE)"/>
    <n v="0"/>
    <n v="0"/>
    <n v="0"/>
    <n v="20"/>
    <n v="0"/>
  </r>
  <r>
    <x v="0"/>
    <x v="0"/>
    <x v="0"/>
    <n v="2476067000203"/>
    <x v="64"/>
    <s v="GOIANIA"/>
    <s v="GO"/>
    <s v="1-Setorizado"/>
    <n v="2"/>
    <x v="4"/>
    <s v="KAREN ROSA - HSP - DF/GO/MS/MT/TO"/>
    <s v="Hospitalar"/>
    <s v="fernando.leony@cslbehring.com"/>
    <s v="FERNANDO LEONY (CO/NO/NE)"/>
    <n v="0"/>
    <n v="0"/>
    <n v="0"/>
    <n v="0"/>
    <n v="0"/>
  </r>
  <r>
    <x v="0"/>
    <x v="0"/>
    <x v="0"/>
    <n v="2476067000122"/>
    <x v="65"/>
    <s v="GOIANIA"/>
    <s v="GO"/>
    <s v="1-Setorizado"/>
    <n v="2"/>
    <x v="6"/>
    <s v="XXX-ESP-VAGO NO (DF/GO/MS/MT/TO)"/>
    <s v="Especialidade"/>
    <s v="fernando.leony@cslbehring.com"/>
    <s v="FERNANDO LEONY (CO/NO/NE)"/>
    <n v="0"/>
    <n v="0"/>
    <n v="0"/>
    <n v="0"/>
    <n v="15"/>
  </r>
  <r>
    <x v="0"/>
    <x v="0"/>
    <x v="0"/>
    <n v="2476067000122"/>
    <x v="65"/>
    <s v="GOIANIA"/>
    <s v="GO"/>
    <s v="1-Setorizado"/>
    <n v="2"/>
    <x v="4"/>
    <s v="KAREN ROSA - HSP - DF/GO/MS/MT/TO"/>
    <s v="Hospitalar"/>
    <s v="fernando.leony@cslbehring.com"/>
    <s v="FERNANDO LEONY (CO/NO/NE)"/>
    <n v="0"/>
    <n v="0"/>
    <n v="0"/>
    <n v="0"/>
    <n v="15"/>
  </r>
  <r>
    <x v="0"/>
    <x v="0"/>
    <x v="0"/>
    <n v="6190522000180"/>
    <x v="66"/>
    <s v="RIO VERDE"/>
    <s v="GO"/>
    <s v="1-Setorizado"/>
    <n v="2"/>
    <x v="6"/>
    <s v="XXX-ESP-VAGO NO (DF/GO/MS/MT/TO)"/>
    <s v="Especialidade"/>
    <s v="fernando.leony@cslbehring.com"/>
    <s v="FERNANDO LEONY (CO/NO/NE)"/>
    <n v="24"/>
    <n v="0"/>
    <n v="0"/>
    <n v="0"/>
    <n v="0"/>
  </r>
  <r>
    <x v="0"/>
    <x v="0"/>
    <x v="0"/>
    <n v="6190522000180"/>
    <x v="66"/>
    <s v="RIO VERDE"/>
    <s v="GO"/>
    <s v="1-Setorizado"/>
    <n v="2"/>
    <x v="4"/>
    <s v="KAREN ROSA - HSP - DF/GO/MS/MT/TO"/>
    <s v="Hospitalar"/>
    <s v="fernando.leony@cslbehring.com"/>
    <s v="FERNANDO LEONY (CO/NO/NE)"/>
    <n v="0"/>
    <n v="0"/>
    <n v="0"/>
    <n v="0"/>
    <n v="0"/>
  </r>
  <r>
    <x v="0"/>
    <x v="0"/>
    <x v="0"/>
    <n v="2284062001170"/>
    <x v="67"/>
    <s v="JARACATY"/>
    <s v="MA"/>
    <s v="1-Setorizado"/>
    <n v="2"/>
    <x v="0"/>
    <s v="VALERIA BRAGA - ESP - (CE/MA/PI/BA/AL/SE/PB/PE/RN)"/>
    <s v="Especialidade"/>
    <s v="fernando.leony@cslbehring.com"/>
    <s v="FERNANDO LEONY (CO/NO/NE)"/>
    <n v="0"/>
    <n v="0"/>
    <n v="0"/>
    <n v="0"/>
    <n v="0"/>
  </r>
  <r>
    <x v="0"/>
    <x v="0"/>
    <x v="0"/>
    <n v="2284062001170"/>
    <x v="67"/>
    <s v="JARACATY"/>
    <s v="MA"/>
    <s v="1-Setorizado"/>
    <n v="2"/>
    <x v="3"/>
    <s v="KLEBER SILVA - HSP - CE/MA/PI"/>
    <s v="Hospitalar"/>
    <s v="fernando.leony@cslbehring.com"/>
    <s v="FERNANDO LEONY (CO/NO/NE)"/>
    <n v="0"/>
    <n v="0"/>
    <n v="5"/>
    <n v="0"/>
    <n v="0"/>
  </r>
  <r>
    <x v="0"/>
    <x v="0"/>
    <x v="0"/>
    <n v="15126437000496"/>
    <x v="68"/>
    <s v="SAO LUIS"/>
    <s v="MA"/>
    <s v="1-Setorizado"/>
    <n v="2"/>
    <x v="0"/>
    <s v="VALERIA BRAGA - ESP - (CE/MA/PI/BA/AL/SE/PB/PE/RN)"/>
    <s v="Especialidade"/>
    <s v="fernando.leony@cslbehring.com"/>
    <s v="FERNANDO LEONY (CO/NO/NE)"/>
    <n v="0"/>
    <n v="0"/>
    <n v="0"/>
    <n v="0"/>
    <n v="0"/>
  </r>
  <r>
    <x v="0"/>
    <x v="0"/>
    <x v="0"/>
    <n v="15126437000496"/>
    <x v="68"/>
    <s v="SAO LUIS"/>
    <s v="MA"/>
    <s v="1-Setorizado"/>
    <n v="2"/>
    <x v="3"/>
    <s v="KLEBER SILVA - HSP - CE/MA/PI"/>
    <s v="Hospitalar"/>
    <s v="fernando.leony@cslbehring.com"/>
    <s v="FERNANDO LEONY (CO/NO/NE)"/>
    <n v="0"/>
    <n v="0"/>
    <n v="1"/>
    <n v="0"/>
    <n v="0"/>
  </r>
  <r>
    <x v="0"/>
    <x v="0"/>
    <x v="0"/>
    <n v="11006293000130"/>
    <x v="69"/>
    <s v="SAO LUIS"/>
    <s v="MA"/>
    <s v="1-Setorizado"/>
    <n v="2"/>
    <x v="0"/>
    <s v="VALERIA BRAGA - ESP - (CE/MA/PI/BA/AL/SE/PB/PE/RN)"/>
    <s v="Especialidade"/>
    <s v="fernando.leony@cslbehring.com"/>
    <s v="FERNANDO LEONY (CO/NO/NE)"/>
    <n v="0"/>
    <n v="0"/>
    <n v="0"/>
    <n v="40"/>
    <n v="500"/>
  </r>
  <r>
    <x v="0"/>
    <x v="0"/>
    <x v="0"/>
    <n v="11006293000130"/>
    <x v="69"/>
    <s v="SAO LUIS"/>
    <s v="MA"/>
    <s v="1-Setorizado"/>
    <n v="2"/>
    <x v="3"/>
    <s v="KLEBER SILVA - HSP - CE/MA/PI"/>
    <s v="Hospitalar"/>
    <s v="fernando.leony@cslbehring.com"/>
    <s v="FERNANDO LEONY (CO/NO/NE)"/>
    <n v="0"/>
    <n v="0"/>
    <n v="0"/>
    <n v="0"/>
    <n v="500"/>
  </r>
  <r>
    <x v="0"/>
    <x v="0"/>
    <x v="0"/>
    <n v="17214149000176"/>
    <x v="70"/>
    <s v="BELO HORIZONTE"/>
    <s v="MG"/>
    <s v="1-Setorizado"/>
    <n v="1"/>
    <x v="5"/>
    <s v="IWENS SILVA - HSP - MG/ES"/>
    <s v="Hosp-Esp"/>
    <s v="rafael.esteves@cslbehring.com"/>
    <s v="RAFAEL ESTEVES (RJ/SPI/SUL)"/>
    <n v="0"/>
    <n v="0"/>
    <n v="10"/>
    <n v="0"/>
    <n v="0"/>
  </r>
  <r>
    <x v="0"/>
    <x v="0"/>
    <x v="0"/>
    <n v="410960000120"/>
    <x v="71"/>
    <s v="BELO HORIZONTE"/>
    <s v="MG"/>
    <s v="1-Setorizado"/>
    <n v="1"/>
    <x v="5"/>
    <s v="IWENS SILVA - HSP - MG/ES"/>
    <s v="Hosp-Esp"/>
    <s v="rafael.esteves@cslbehring.com"/>
    <s v="RAFAEL ESTEVES (RJ/SPI/SUL)"/>
    <n v="0"/>
    <n v="0"/>
    <n v="0"/>
    <n v="36"/>
    <n v="882"/>
  </r>
  <r>
    <x v="0"/>
    <x v="0"/>
    <x v="0"/>
    <n v="16676520000159"/>
    <x v="72"/>
    <s v="BELO HORIZONTE"/>
    <s v="MG"/>
    <s v="1-Setorizado"/>
    <n v="1"/>
    <x v="5"/>
    <s v="IWENS SILVA - HSP - MG/ES"/>
    <s v="Hosp-Esp"/>
    <s v="rafael.esteves@cslbehring.com"/>
    <s v="RAFAEL ESTEVES (RJ/SPI/SUL)"/>
    <n v="2"/>
    <n v="0"/>
    <n v="0"/>
    <n v="0"/>
    <n v="0"/>
  </r>
  <r>
    <x v="0"/>
    <x v="0"/>
    <x v="0"/>
    <n v="2623693000102"/>
    <x v="73"/>
    <s v="BELO HORIZONTE"/>
    <s v="MG"/>
    <s v="1-Setorizado"/>
    <n v="1"/>
    <x v="5"/>
    <s v="IWENS SILVA - HSP - MG/ES"/>
    <s v="Hosp-Esp"/>
    <s v="rafael.esteves@cslbehring.com"/>
    <s v="RAFAEL ESTEVES (RJ/SPI/SUL)"/>
    <n v="0"/>
    <n v="0"/>
    <n v="0"/>
    <n v="0"/>
    <n v="20"/>
  </r>
  <r>
    <x v="0"/>
    <x v="0"/>
    <x v="0"/>
    <n v="132229000180"/>
    <x v="74"/>
    <s v="BELO HORIZONTE"/>
    <s v="MG"/>
    <s v="1-Setorizado"/>
    <n v="1"/>
    <x v="5"/>
    <s v="IWENS SILVA - HSP - MG/ES"/>
    <s v="Hosp-Esp"/>
    <s v="rafael.esteves@cslbehring.com"/>
    <s v="RAFAEL ESTEVES (RJ/SPI/SUL)"/>
    <n v="0"/>
    <n v="0"/>
    <n v="0"/>
    <n v="0"/>
    <n v="120"/>
  </r>
  <r>
    <x v="0"/>
    <x v="0"/>
    <x v="0"/>
    <n v="17376968601"/>
    <x v="75"/>
    <s v="CONSELHEIRO LAFAIETE"/>
    <s v="MG"/>
    <s v="1-Setorizado"/>
    <n v="1"/>
    <x v="5"/>
    <s v="IWENS SILVA - HSP - MG/ES"/>
    <s v="Hosp-Esp"/>
    <s v="rafael.esteves@cslbehring.com"/>
    <s v="RAFAEL ESTEVES (RJ/SPI/SUL)"/>
    <n v="24"/>
    <n v="0"/>
    <n v="0"/>
    <n v="0"/>
    <n v="0"/>
  </r>
  <r>
    <x v="0"/>
    <x v="0"/>
    <x v="0"/>
    <n v="19878404000100"/>
    <x v="76"/>
    <s v="IPATINGA"/>
    <s v="MG"/>
    <s v="1-Setorizado"/>
    <n v="1"/>
    <x v="5"/>
    <s v="IWENS SILVA - HSP - MG/ES"/>
    <s v="Hosp-Esp"/>
    <s v="rafael.esteves@cslbehring.com"/>
    <s v="RAFAEL ESTEVES (RJ/SPI/SUL)"/>
    <n v="0"/>
    <n v="0"/>
    <n v="0"/>
    <n v="120"/>
    <n v="0"/>
  </r>
  <r>
    <x v="0"/>
    <x v="0"/>
    <x v="0"/>
    <n v="21040696000311"/>
    <x v="77"/>
    <s v="ITAJUBA"/>
    <s v="MG"/>
    <s v="1-Setorizado"/>
    <n v="1"/>
    <x v="5"/>
    <s v="IWENS SILVA - HSP - MG/ES"/>
    <s v="Hosp-Esp"/>
    <s v="rafael.esteves@cslbehring.com"/>
    <s v="RAFAEL ESTEVES (RJ/SPI/SUL)"/>
    <n v="0"/>
    <n v="0"/>
    <n v="2"/>
    <n v="0"/>
    <n v="0"/>
  </r>
  <r>
    <x v="0"/>
    <x v="0"/>
    <x v="0"/>
    <n v="17689407000928"/>
    <x v="78"/>
    <s v="JUIZ DE FORA"/>
    <s v="MG"/>
    <s v="1-Setorizado"/>
    <n v="1"/>
    <x v="5"/>
    <s v="IWENS SILVA - HSP - MG/ES"/>
    <s v="Hosp-Esp"/>
    <s v="rafael.esteves@cslbehring.com"/>
    <s v="RAFAEL ESTEVES (RJ/SPI/SUL)"/>
    <n v="0"/>
    <n v="0"/>
    <n v="0"/>
    <n v="4"/>
    <n v="0"/>
  </r>
  <r>
    <x v="0"/>
    <x v="0"/>
    <x v="0"/>
    <n v="23278898000160"/>
    <x v="79"/>
    <s v="PASSOS"/>
    <s v="MG"/>
    <s v="1-Setorizado"/>
    <n v="1"/>
    <x v="5"/>
    <s v="IWENS SILVA - HSP - MG/ES"/>
    <s v="Hosp-Esp"/>
    <s v="rafael.esteves@cslbehring.com"/>
    <s v="RAFAEL ESTEVES (RJ/SPI/SUL)"/>
    <n v="0"/>
    <n v="0"/>
    <n v="0"/>
    <n v="0"/>
    <n v="120"/>
  </r>
  <r>
    <x v="0"/>
    <x v="0"/>
    <x v="0"/>
    <n v="23338387000196"/>
    <x v="80"/>
    <s v="PATOS DE MINAS"/>
    <s v="MG"/>
    <s v="1-Setorizado"/>
    <n v="1"/>
    <x v="5"/>
    <s v="IWENS SILVA - HSP - MG/ES"/>
    <s v="Hosp-Esp"/>
    <s v="rafael.esteves@cslbehring.com"/>
    <s v="RAFAEL ESTEVES (RJ/SPI/SUL)"/>
    <n v="0"/>
    <n v="0"/>
    <n v="0"/>
    <n v="10"/>
    <n v="0"/>
  </r>
  <r>
    <x v="0"/>
    <x v="0"/>
    <x v="0"/>
    <n v="41781949000234"/>
    <x v="81"/>
    <s v="POCOS DE CALDAS"/>
    <s v="MG"/>
    <s v="1-Setorizado"/>
    <n v="1"/>
    <x v="5"/>
    <s v="IWENS SILVA - HSP - MG/ES"/>
    <s v="Hosp-Esp"/>
    <s v="rafael.esteves@cslbehring.com"/>
    <s v="RAFAEL ESTEVES (RJ/SPI/SUL)"/>
    <n v="0"/>
    <n v="0"/>
    <n v="0"/>
    <n v="0"/>
    <n v="150"/>
  </r>
  <r>
    <x v="0"/>
    <x v="0"/>
    <x v="0"/>
    <n v="20207543000191"/>
    <x v="82"/>
    <s v="UBERLANDIA"/>
    <s v="MG"/>
    <s v="1-Setorizado"/>
    <n v="1"/>
    <x v="5"/>
    <s v="IWENS SILVA - HSP - MG/ES"/>
    <s v="Hosp-Esp"/>
    <s v="rafael.esteves@cslbehring.com"/>
    <s v="RAFAEL ESTEVES (RJ/SPI/SUL)"/>
    <n v="0"/>
    <n v="0"/>
    <n v="0"/>
    <n v="0"/>
    <n v="310"/>
  </r>
  <r>
    <x v="0"/>
    <x v="0"/>
    <x v="0"/>
    <n v="25648387000207"/>
    <x v="83"/>
    <s v="UBERLANDIA"/>
    <s v="MG"/>
    <s v="1-Setorizado"/>
    <n v="1"/>
    <x v="5"/>
    <s v="IWENS SILVA - HSP - MG/ES"/>
    <s v="Hosp-Esp"/>
    <s v="rafael.esteves@cslbehring.com"/>
    <s v="RAFAEL ESTEVES (RJ/SPI/SUL)"/>
    <n v="0"/>
    <n v="0"/>
    <n v="0"/>
    <n v="0"/>
    <n v="400"/>
  </r>
  <r>
    <x v="0"/>
    <x v="0"/>
    <x v="0"/>
    <n v="20150900000122"/>
    <x v="84"/>
    <s v="UBERLANDIA"/>
    <s v="MG"/>
    <s v="1-Setorizado"/>
    <n v="1"/>
    <x v="5"/>
    <s v="IWENS SILVA - HSP - MG/ES"/>
    <s v="Hosp-Esp"/>
    <s v="rafael.esteves@cslbehring.com"/>
    <s v="RAFAEL ESTEVES (RJ/SPI/SUL)"/>
    <n v="0"/>
    <n v="0"/>
    <n v="0"/>
    <n v="6"/>
    <n v="0"/>
  </r>
  <r>
    <x v="0"/>
    <x v="0"/>
    <x v="0"/>
    <n v="18484378000173"/>
    <x v="85"/>
    <s v="UBERLANDIA"/>
    <s v="MG"/>
    <s v="1-Setorizado"/>
    <n v="1"/>
    <x v="5"/>
    <s v="IWENS SILVA - HSP - MG/ES"/>
    <s v="Hosp-Esp"/>
    <s v="rafael.esteves@cslbehring.com"/>
    <s v="RAFAEL ESTEVES (RJ/SPI/SUL)"/>
    <n v="0"/>
    <n v="0"/>
    <n v="3"/>
    <n v="0"/>
    <n v="0"/>
  </r>
  <r>
    <x v="0"/>
    <x v="0"/>
    <x v="0"/>
    <n v="17087591000189"/>
    <x v="86"/>
    <s v="UBERLANDIA"/>
    <s v="MG"/>
    <s v="1-Setorizado"/>
    <n v="1"/>
    <x v="5"/>
    <s v="IWENS SILVA - HSP - MG/ES"/>
    <s v="Hosp-Esp"/>
    <s v="rafael.esteves@cslbehring.com"/>
    <s v="RAFAEL ESTEVES (RJ/SPI/SUL)"/>
    <n v="0"/>
    <n v="0"/>
    <n v="7"/>
    <n v="0"/>
    <n v="0"/>
  </r>
  <r>
    <x v="0"/>
    <x v="0"/>
    <x v="0"/>
    <n v="14408631000159"/>
    <x v="87"/>
    <s v="VICOSA"/>
    <s v="MG"/>
    <s v="1-Setorizado"/>
    <n v="1"/>
    <x v="5"/>
    <s v="IWENS SILVA - HSP - MG/ES"/>
    <s v="Hosp-Esp"/>
    <s v="rafael.esteves@cslbehring.com"/>
    <s v="RAFAEL ESTEVES (RJ/SPI/SUL)"/>
    <n v="0"/>
    <n v="0"/>
    <n v="0"/>
    <n v="8"/>
    <n v="0"/>
  </r>
  <r>
    <x v="0"/>
    <x v="0"/>
    <x v="0"/>
    <n v="860841000179"/>
    <x v="88"/>
    <s v="CAMPO GRANDE"/>
    <s v="MS"/>
    <s v="1-Setorizado"/>
    <n v="2"/>
    <x v="6"/>
    <s v="XXX-ESP-VAGO NO (DF/GO/MS/MT/TO)"/>
    <s v="Especialidade"/>
    <s v="fernando.leony@cslbehring.com"/>
    <s v="FERNANDO LEONY (CO/NO/NE)"/>
    <n v="0"/>
    <n v="0"/>
    <n v="0"/>
    <n v="0"/>
    <n v="0"/>
  </r>
  <r>
    <x v="0"/>
    <x v="0"/>
    <x v="0"/>
    <n v="860841000179"/>
    <x v="88"/>
    <s v="CAMPO GRANDE"/>
    <s v="MS"/>
    <s v="1-Setorizado"/>
    <n v="2"/>
    <x v="4"/>
    <s v="KAREN ROSA - HSP - DF/GO/MS/MT/TO"/>
    <s v="Hospitalar"/>
    <s v="fernando.leony@cslbehring.com"/>
    <s v="FERNANDO LEONY (CO/NO/NE)"/>
    <n v="0"/>
    <n v="2"/>
    <n v="0"/>
    <n v="0"/>
    <n v="0"/>
  </r>
  <r>
    <x v="0"/>
    <x v="0"/>
    <x v="0"/>
    <n v="3533726001583"/>
    <x v="89"/>
    <s v="CUIABA"/>
    <s v="MT"/>
    <s v="1-Setorizado"/>
    <n v="2"/>
    <x v="6"/>
    <s v="XXX-ESP-VAGO NO (DF/GO/MS/MT/TO)"/>
    <s v="Especialidade"/>
    <s v="fernando.leony@cslbehring.com"/>
    <s v="FERNANDO LEONY (CO/NO/NE)"/>
    <n v="0"/>
    <n v="0"/>
    <n v="0"/>
    <n v="36"/>
    <n v="130"/>
  </r>
  <r>
    <x v="0"/>
    <x v="0"/>
    <x v="0"/>
    <n v="3533726001583"/>
    <x v="89"/>
    <s v="CUIABA"/>
    <s v="MT"/>
    <s v="1-Setorizado"/>
    <n v="2"/>
    <x v="4"/>
    <s v="KAREN ROSA - HSP - DF/GO/MS/MT/TO"/>
    <s v="Hospitalar"/>
    <s v="fernando.leony@cslbehring.com"/>
    <s v="FERNANDO LEONY (CO/NO/NE)"/>
    <n v="0"/>
    <n v="0"/>
    <n v="0"/>
    <n v="0"/>
    <n v="130"/>
  </r>
  <r>
    <x v="0"/>
    <x v="0"/>
    <x v="0"/>
    <n v="15016827000160"/>
    <x v="90"/>
    <s v="CUIABA"/>
    <s v="MT"/>
    <s v="1-Setorizado"/>
    <n v="2"/>
    <x v="6"/>
    <s v="XXX-ESP-VAGO NO (DF/GO/MS/MT/TO)"/>
    <s v="Especialidade"/>
    <s v="fernando.leony@cslbehring.com"/>
    <s v="FERNANDO LEONY (CO/NO/NE)"/>
    <n v="0"/>
    <n v="0"/>
    <n v="0"/>
    <n v="0"/>
    <n v="0"/>
  </r>
  <r>
    <x v="0"/>
    <x v="0"/>
    <x v="0"/>
    <n v="15016827000160"/>
    <x v="90"/>
    <s v="CUIABA"/>
    <s v="MT"/>
    <s v="1-Setorizado"/>
    <n v="2"/>
    <x v="4"/>
    <s v="KAREN ROSA - HSP - DF/GO/MS/MT/TO"/>
    <s v="Hospitalar"/>
    <s v="fernando.leony@cslbehring.com"/>
    <s v="FERNANDO LEONY (CO/NO/NE)"/>
    <n v="0"/>
    <n v="10"/>
    <n v="4"/>
    <n v="0"/>
    <n v="0"/>
  </r>
  <r>
    <x v="0"/>
    <x v="0"/>
    <x v="0"/>
    <n v="1757351000104"/>
    <x v="91"/>
    <s v="CUIABA"/>
    <s v="MT"/>
    <s v="1-Setorizado"/>
    <n v="2"/>
    <x v="6"/>
    <s v="XXX-ESP-VAGO NO (DF/GO/MS/MT/TO)"/>
    <s v="Especialidade"/>
    <s v="fernando.leony@cslbehring.com"/>
    <s v="FERNANDO LEONY (CO/NO/NE)"/>
    <n v="0"/>
    <n v="0"/>
    <n v="0"/>
    <n v="0"/>
    <n v="0"/>
  </r>
  <r>
    <x v="0"/>
    <x v="0"/>
    <x v="0"/>
    <n v="1757351000104"/>
    <x v="91"/>
    <s v="CUIABA"/>
    <s v="MT"/>
    <s v="1-Setorizado"/>
    <n v="2"/>
    <x v="4"/>
    <s v="KAREN ROSA - HSP - DF/GO/MS/MT/TO"/>
    <s v="Hospitalar"/>
    <s v="fernando.leony@cslbehring.com"/>
    <s v="FERNANDO LEONY (CO/NO/NE)"/>
    <n v="0"/>
    <n v="6"/>
    <n v="0"/>
    <n v="0"/>
    <n v="0"/>
  </r>
  <r>
    <x v="0"/>
    <x v="0"/>
    <x v="0"/>
    <n v="3925419000142"/>
    <x v="92"/>
    <s v="CUIABA"/>
    <s v="MT"/>
    <s v="1-Setorizado"/>
    <n v="2"/>
    <x v="6"/>
    <s v="XXX-ESP-VAGO NO (DF/GO/MS/MT/TO)"/>
    <s v="Especialidade"/>
    <s v="fernando.leony@cslbehring.com"/>
    <s v="FERNANDO LEONY (CO/NO/NE)"/>
    <n v="0"/>
    <n v="0"/>
    <n v="0"/>
    <n v="0"/>
    <n v="0"/>
  </r>
  <r>
    <x v="0"/>
    <x v="0"/>
    <x v="0"/>
    <n v="3925419000142"/>
    <x v="92"/>
    <s v="CUIABA"/>
    <s v="MT"/>
    <s v="1-Setorizado"/>
    <n v="2"/>
    <x v="4"/>
    <s v="KAREN ROSA - HSP - DF/GO/MS/MT/TO"/>
    <s v="Hospitalar"/>
    <s v="fernando.leony@cslbehring.com"/>
    <s v="FERNANDO LEONY (CO/NO/NE)"/>
    <n v="0"/>
    <n v="13"/>
    <n v="0"/>
    <n v="0"/>
    <n v="0"/>
  </r>
  <r>
    <x v="0"/>
    <x v="0"/>
    <x v="0"/>
    <n v="3533726000773"/>
    <x v="93"/>
    <s v="CUIABA"/>
    <s v="MT"/>
    <s v="1-Setorizado"/>
    <n v="2"/>
    <x v="6"/>
    <s v="XXX-ESP-VAGO NO (DF/GO/MS/MT/TO)"/>
    <s v="Especialidade"/>
    <s v="fernando.leony@cslbehring.com"/>
    <s v="FERNANDO LEONY (CO/NO/NE)"/>
    <n v="0"/>
    <n v="0"/>
    <n v="0"/>
    <n v="0"/>
    <n v="30"/>
  </r>
  <r>
    <x v="0"/>
    <x v="0"/>
    <x v="0"/>
    <n v="3533726000773"/>
    <x v="93"/>
    <s v="CUIABA"/>
    <s v="MT"/>
    <s v="1-Setorizado"/>
    <n v="2"/>
    <x v="4"/>
    <s v="KAREN ROSA - HSP - DF/GO/MS/MT/TO"/>
    <s v="Hospitalar"/>
    <s v="fernando.leony@cslbehring.com"/>
    <s v="FERNANDO LEONY (CO/NO/NE)"/>
    <n v="0"/>
    <n v="0"/>
    <n v="0"/>
    <n v="0"/>
    <n v="30"/>
  </r>
  <r>
    <x v="0"/>
    <x v="0"/>
    <x v="0"/>
    <n v="1383835000130"/>
    <x v="94"/>
    <s v="PRIMAVERA DO LESTE"/>
    <s v="MT"/>
    <s v="1-Setorizado"/>
    <n v="2"/>
    <x v="6"/>
    <s v="XXX-ESP-VAGO NO (DF/GO/MS/MT/TO)"/>
    <s v="Especialidade"/>
    <s v="fernando.leony@cslbehring.com"/>
    <s v="FERNANDO LEONY (CO/NO/NE)"/>
    <n v="0"/>
    <n v="0"/>
    <n v="0"/>
    <n v="0"/>
    <n v="30"/>
  </r>
  <r>
    <x v="0"/>
    <x v="0"/>
    <x v="0"/>
    <n v="1383835000130"/>
    <x v="94"/>
    <s v="PRIMAVERA DO LESTE"/>
    <s v="MT"/>
    <s v="1-Setorizado"/>
    <n v="2"/>
    <x v="4"/>
    <s v="KAREN ROSA - HSP - DF/GO/MS/MT/TO"/>
    <s v="Hospitalar"/>
    <s v="fernando.leony@cslbehring.com"/>
    <s v="FERNANDO LEONY (CO/NO/NE)"/>
    <n v="0"/>
    <n v="0"/>
    <n v="0"/>
    <n v="0"/>
    <n v="30"/>
  </r>
  <r>
    <x v="0"/>
    <x v="0"/>
    <x v="0"/>
    <n v="24676884000752"/>
    <x v="95"/>
    <s v="RONDONOPOLIS"/>
    <s v="MT"/>
    <s v="1-Setorizado"/>
    <n v="2"/>
    <x v="6"/>
    <s v="XXX-ESP-VAGO NO (DF/GO/MS/MT/TO)"/>
    <s v="Especialidade"/>
    <s v="fernando.leony@cslbehring.com"/>
    <s v="FERNANDO LEONY (CO/NO/NE)"/>
    <n v="0"/>
    <n v="0"/>
    <n v="0"/>
    <n v="0"/>
    <n v="25"/>
  </r>
  <r>
    <x v="0"/>
    <x v="0"/>
    <x v="0"/>
    <n v="24676884000752"/>
    <x v="95"/>
    <s v="RONDONOPOLIS"/>
    <s v="MT"/>
    <s v="1-Setorizado"/>
    <n v="2"/>
    <x v="4"/>
    <s v="KAREN ROSA - HSP - DF/GO/MS/MT/TO"/>
    <s v="Hospitalar"/>
    <s v="fernando.leony@cslbehring.com"/>
    <s v="FERNANDO LEONY (CO/NO/NE)"/>
    <n v="0"/>
    <n v="0"/>
    <n v="0"/>
    <n v="0"/>
    <n v="25"/>
  </r>
  <r>
    <x v="0"/>
    <x v="0"/>
    <x v="0"/>
    <n v="4966545000370"/>
    <x v="96"/>
    <s v="BELEM"/>
    <s v="PA"/>
    <s v="1-Setorizado"/>
    <n v="1"/>
    <x v="2"/>
    <s v="WLADIMIR CAMPELO - ESP/HSP - AC/AM/AP/PA/RO/RR/DF"/>
    <s v="Hosp-Esp"/>
    <s v="fernando.leony@cslbehring.com"/>
    <s v="FERNANDO LEONY (CO/NO/NE)"/>
    <n v="0"/>
    <n v="0"/>
    <n v="0"/>
    <n v="0"/>
    <n v="80"/>
  </r>
  <r>
    <x v="0"/>
    <x v="0"/>
    <x v="0"/>
    <n v="83367342000252"/>
    <x v="97"/>
    <s v="BELEM"/>
    <s v="PA"/>
    <s v="1-Setorizado"/>
    <n v="1"/>
    <x v="2"/>
    <s v="WLADIMIR CAMPELO - ESP/HSP - AC/AM/AP/PA/RO/RR/DF"/>
    <s v="Hosp-Esp"/>
    <s v="fernando.leony@cslbehring.com"/>
    <s v="FERNANDO LEONY (CO/NO/NE)"/>
    <n v="0"/>
    <n v="0"/>
    <n v="0"/>
    <n v="0"/>
    <n v="25"/>
  </r>
  <r>
    <x v="0"/>
    <x v="0"/>
    <x v="0"/>
    <n v="91777186234"/>
    <x v="98"/>
    <s v="BELEM"/>
    <s v="PA"/>
    <s v="1-Setorizado"/>
    <n v="1"/>
    <x v="2"/>
    <s v="WLADIMIR CAMPELO - ESP/HSP - AC/AM/AP/PA/RO/RR/DF"/>
    <s v="Hosp-Esp"/>
    <s v="fernando.leony@cslbehring.com"/>
    <s v="FERNANDO LEONY (CO/NO/NE)"/>
    <n v="0"/>
    <n v="0"/>
    <n v="0"/>
    <n v="36"/>
    <n v="0"/>
  </r>
  <r>
    <x v="0"/>
    <x v="0"/>
    <x v="0"/>
    <n v="12371009253"/>
    <x v="99"/>
    <s v="BELEM"/>
    <s v="PA"/>
    <s v="1-Setorizado"/>
    <n v="1"/>
    <x v="2"/>
    <s v="WLADIMIR CAMPELO - ESP/HSP - AC/AM/AP/PA/RO/RR/DF"/>
    <s v="Hosp-Esp"/>
    <s v="fernando.leony@cslbehring.com"/>
    <s v="FERNANDO LEONY (CO/NO/NE)"/>
    <n v="0"/>
    <n v="0"/>
    <n v="0"/>
    <n v="24"/>
    <n v="0"/>
  </r>
  <r>
    <x v="0"/>
    <x v="0"/>
    <x v="0"/>
    <n v="4201372001028"/>
    <x v="100"/>
    <s v="BELEM"/>
    <s v="PA"/>
    <s v="1-Setorizado"/>
    <n v="1"/>
    <x v="2"/>
    <s v="WLADIMIR CAMPELO - ESP/HSP - AC/AM/AP/PA/RO/RR/DF"/>
    <s v="Hosp-Esp"/>
    <s v="fernando.leony@cslbehring.com"/>
    <s v="FERNANDO LEONY (CO/NO/NE)"/>
    <n v="0"/>
    <n v="0"/>
    <n v="0"/>
    <n v="40"/>
    <n v="0"/>
  </r>
  <r>
    <x v="0"/>
    <x v="0"/>
    <x v="0"/>
    <n v="24232886008303"/>
    <x v="101"/>
    <s v="SANTAREM"/>
    <s v="PA"/>
    <s v="1-Setorizado"/>
    <n v="1"/>
    <x v="2"/>
    <s v="WLADIMIR CAMPELO - ESP/HSP - AC/AM/AP/PA/RO/RR/DF"/>
    <s v="Hosp-Esp"/>
    <s v="fernando.leony@cslbehring.com"/>
    <s v="FERNANDO LEONY (CO/NO/NE)"/>
    <n v="0"/>
    <n v="3"/>
    <n v="3"/>
    <n v="0"/>
    <n v="0"/>
  </r>
  <r>
    <x v="0"/>
    <x v="0"/>
    <x v="0"/>
    <n v="83925694404"/>
    <x v="102"/>
    <s v="JOAO PESSOA"/>
    <s v="PB"/>
    <s v="1-Setorizado"/>
    <n v="2"/>
    <x v="0"/>
    <s v="VALERIA BRAGA - ESP - (CE/MA/PI/BA/AL/SE/PB/PE/RN)"/>
    <s v="Especialidade"/>
    <s v="fernando.leony@cslbehring.com"/>
    <s v="FERNANDO LEONY (CO/NO/NE)"/>
    <n v="24"/>
    <n v="0"/>
    <n v="0"/>
    <n v="0"/>
    <n v="0"/>
  </r>
  <r>
    <x v="0"/>
    <x v="0"/>
    <x v="0"/>
    <n v="83925694404"/>
    <x v="102"/>
    <s v="JOAO PESSOA"/>
    <s v="PB"/>
    <s v="1-Setorizado"/>
    <n v="2"/>
    <x v="7"/>
    <s v="LENILSON SILVA - HSP - PB/PE/RN"/>
    <s v="Hospitalar"/>
    <s v="fernando.leony@cslbehring.com"/>
    <s v="FERNANDO LEONY (CO/NO/NE)"/>
    <n v="0"/>
    <n v="0"/>
    <n v="0"/>
    <n v="0"/>
    <n v="0"/>
  </r>
  <r>
    <x v="0"/>
    <x v="0"/>
    <x v="0"/>
    <n v="8680639000681"/>
    <x v="103"/>
    <s v="JOAO PESSOA"/>
    <s v="PB"/>
    <s v="1-Setorizado"/>
    <n v="2"/>
    <x v="0"/>
    <s v="VALERIA BRAGA - ESP - (CE/MA/PI/BA/AL/SE/PB/PE/RN)"/>
    <s v="Especialidade"/>
    <s v="fernando.leony@cslbehring.com"/>
    <s v="FERNANDO LEONY (CO/NO/NE)"/>
    <n v="0"/>
    <n v="0"/>
    <n v="0"/>
    <n v="36"/>
    <n v="80"/>
  </r>
  <r>
    <x v="0"/>
    <x v="0"/>
    <x v="0"/>
    <n v="8680639000681"/>
    <x v="103"/>
    <s v="JOAO PESSOA"/>
    <s v="PB"/>
    <s v="1-Setorizado"/>
    <n v="2"/>
    <x v="7"/>
    <s v="LENILSON SILVA - HSP - PB/PE/RN"/>
    <s v="Hospitalar"/>
    <s v="fernando.leony@cslbehring.com"/>
    <s v="FERNANDO LEONY (CO/NO/NE)"/>
    <n v="0"/>
    <n v="0"/>
    <n v="0"/>
    <n v="0"/>
    <n v="80"/>
  </r>
  <r>
    <x v="0"/>
    <x v="0"/>
    <x v="0"/>
    <n v="3858924000111"/>
    <x v="104"/>
    <s v="GARANHUNS"/>
    <s v="PE"/>
    <s v="1-Setorizado"/>
    <n v="2"/>
    <x v="0"/>
    <s v="VALERIA BRAGA - ESP - (CE/MA/PI/BA/AL/SE/PB/PE/RN)"/>
    <s v="Especialidade"/>
    <s v="fernando.leony@cslbehring.com"/>
    <s v="FERNANDO LEONY (CO/NO/NE)"/>
    <n v="0"/>
    <n v="0"/>
    <n v="0"/>
    <n v="0"/>
    <n v="120"/>
  </r>
  <r>
    <x v="0"/>
    <x v="0"/>
    <x v="0"/>
    <n v="3858924000111"/>
    <x v="104"/>
    <s v="GARANHUNS"/>
    <s v="PE"/>
    <s v="1-Setorizado"/>
    <n v="2"/>
    <x v="7"/>
    <s v="LENILSON SILVA - HSP - PB/PE/RN"/>
    <s v="Hospitalar"/>
    <s v="fernando.leony@cslbehring.com"/>
    <s v="FERNANDO LEONY (CO/NO/NE)"/>
    <n v="0"/>
    <n v="0"/>
    <n v="0"/>
    <n v="0"/>
    <n v="120"/>
  </r>
  <r>
    <x v="0"/>
    <x v="0"/>
    <x v="0"/>
    <n v="10572048000209"/>
    <x v="105"/>
    <s v="RECIFE"/>
    <s v="PE"/>
    <s v="1-Setorizado"/>
    <n v="2"/>
    <x v="0"/>
    <s v="VALERIA BRAGA - ESP - (CE/MA/PI/BA/AL/SE/PB/PE/RN)"/>
    <s v="Especialidade"/>
    <s v="fernando.leony@cslbehring.com"/>
    <s v="FERNANDO LEONY (CO/NO/NE)"/>
    <n v="0"/>
    <n v="0"/>
    <n v="0"/>
    <n v="0"/>
    <n v="1535"/>
  </r>
  <r>
    <x v="0"/>
    <x v="0"/>
    <x v="0"/>
    <n v="10572048000209"/>
    <x v="105"/>
    <s v="RECIFE"/>
    <s v="PE"/>
    <s v="1-Setorizado"/>
    <n v="2"/>
    <x v="7"/>
    <s v="LENILSON SILVA - HSP - PB/PE/RN"/>
    <s v="Hospitalar"/>
    <s v="fernando.leony@cslbehring.com"/>
    <s v="FERNANDO LEONY (CO/NO/NE)"/>
    <n v="0"/>
    <n v="0"/>
    <n v="0"/>
    <n v="0"/>
    <n v="1535"/>
  </r>
  <r>
    <x v="0"/>
    <x v="0"/>
    <x v="0"/>
    <n v="11452240000143"/>
    <x v="106"/>
    <s v="RECIFE"/>
    <s v="PE"/>
    <s v="1-Setorizado"/>
    <n v="2"/>
    <x v="0"/>
    <s v="VALERIA BRAGA - ESP - (CE/MA/PI/BA/AL/SE/PB/PE/RN)"/>
    <s v="Especialidade"/>
    <s v="fernando.leony@cslbehring.com"/>
    <s v="FERNANDO LEONY (CO/NO/NE)"/>
    <n v="0"/>
    <n v="0"/>
    <n v="0"/>
    <n v="0"/>
    <n v="0"/>
  </r>
  <r>
    <x v="0"/>
    <x v="0"/>
    <x v="0"/>
    <n v="11452240000143"/>
    <x v="106"/>
    <s v="RECIFE"/>
    <s v="PE"/>
    <s v="1-Setorizado"/>
    <n v="2"/>
    <x v="7"/>
    <s v="LENILSON SILVA - HSP - PB/PE/RN"/>
    <s v="Hospitalar"/>
    <s v="fernando.leony@cslbehring.com"/>
    <s v="FERNANDO LEONY (CO/NO/NE)"/>
    <n v="0"/>
    <n v="0"/>
    <n v="6"/>
    <n v="0"/>
    <n v="0"/>
  </r>
  <r>
    <x v="0"/>
    <x v="0"/>
    <x v="0"/>
    <n v="6047087009276"/>
    <x v="107"/>
    <s v="RECIFE"/>
    <s v="PE"/>
    <s v="1-Setorizado"/>
    <n v="2"/>
    <x v="0"/>
    <s v="VALERIA BRAGA - ESP - (CE/MA/PI/BA/AL/SE/PB/PE/RN)"/>
    <s v="Especialidade"/>
    <s v="fernando.leony@cslbehring.com"/>
    <s v="FERNANDO LEONY (CO/NO/NE)"/>
    <n v="0"/>
    <n v="0"/>
    <n v="0"/>
    <n v="0"/>
    <n v="300"/>
  </r>
  <r>
    <x v="0"/>
    <x v="0"/>
    <x v="0"/>
    <n v="6047087009276"/>
    <x v="107"/>
    <s v="RECIFE"/>
    <s v="PE"/>
    <s v="1-Setorizado"/>
    <n v="2"/>
    <x v="7"/>
    <s v="LENILSON SILVA - HSP - PB/PE/RN"/>
    <s v="Hospitalar"/>
    <s v="fernando.leony@cslbehring.com"/>
    <s v="FERNANDO LEONY (CO/NO/NE)"/>
    <n v="0"/>
    <n v="0"/>
    <n v="0"/>
    <n v="0"/>
    <n v="300"/>
  </r>
  <r>
    <x v="0"/>
    <x v="0"/>
    <x v="0"/>
    <n v="10892164000124"/>
    <x v="108"/>
    <s v="RECIFE"/>
    <s v="PE"/>
    <s v="1-Setorizado"/>
    <n v="2"/>
    <x v="0"/>
    <s v="VALERIA BRAGA - ESP - (CE/MA/PI/BA/AL/SE/PB/PE/RN)"/>
    <s v="Especialidade"/>
    <s v="fernando.leony@cslbehring.com"/>
    <s v="FERNANDO LEONY (CO/NO/NE)"/>
    <n v="0"/>
    <n v="0"/>
    <n v="0"/>
    <n v="0"/>
    <n v="0"/>
  </r>
  <r>
    <x v="0"/>
    <x v="0"/>
    <x v="0"/>
    <n v="10892164000124"/>
    <x v="108"/>
    <s v="RECIFE"/>
    <s v="PE"/>
    <s v="1-Setorizado"/>
    <n v="2"/>
    <x v="7"/>
    <s v="LENILSON SILVA - HSP - PB/PE/RN"/>
    <s v="Hospitalar"/>
    <s v="fernando.leony@cslbehring.com"/>
    <s v="FERNANDO LEONY (CO/NO/NE)"/>
    <n v="0"/>
    <n v="45"/>
    <n v="17"/>
    <n v="0"/>
    <n v="0"/>
  </r>
  <r>
    <x v="0"/>
    <x v="0"/>
    <x v="0"/>
    <n v="2284062000440"/>
    <x v="109"/>
    <s v="RECIFE"/>
    <s v="PE"/>
    <s v="1-Setorizado"/>
    <n v="2"/>
    <x v="0"/>
    <s v="VALERIA BRAGA - ESP - (CE/MA/PI/BA/AL/SE/PB/PE/RN)"/>
    <s v="Especialidade"/>
    <s v="fernando.leony@cslbehring.com"/>
    <s v="FERNANDO LEONY (CO/NO/NE)"/>
    <n v="0"/>
    <n v="0"/>
    <n v="0"/>
    <n v="0"/>
    <n v="0"/>
  </r>
  <r>
    <x v="0"/>
    <x v="0"/>
    <x v="0"/>
    <n v="2284062000440"/>
    <x v="109"/>
    <s v="RECIFE"/>
    <s v="PE"/>
    <s v="1-Setorizado"/>
    <n v="2"/>
    <x v="7"/>
    <s v="LENILSON SILVA - HSP - PB/PE/RN"/>
    <s v="Hospitalar"/>
    <s v="fernando.leony@cslbehring.com"/>
    <s v="FERNANDO LEONY (CO/NO/NE)"/>
    <n v="0"/>
    <n v="21"/>
    <n v="0"/>
    <n v="0"/>
    <n v="0"/>
  </r>
  <r>
    <x v="0"/>
    <x v="0"/>
    <x v="0"/>
    <n v="10988301000129"/>
    <x v="110"/>
    <s v="RECIFE"/>
    <s v="PE"/>
    <s v="1-Setorizado"/>
    <n v="2"/>
    <x v="0"/>
    <s v="VALERIA BRAGA - ESP - (CE/MA/PI/BA/AL/SE/PB/PE/RN)"/>
    <s v="Especialidade"/>
    <s v="fernando.leony@cslbehring.com"/>
    <s v="FERNANDO LEONY (CO/NO/NE)"/>
    <n v="0"/>
    <n v="0"/>
    <n v="0"/>
    <n v="0"/>
    <n v="0"/>
  </r>
  <r>
    <x v="0"/>
    <x v="0"/>
    <x v="0"/>
    <n v="10988301000129"/>
    <x v="110"/>
    <s v="RECIFE"/>
    <s v="PE"/>
    <s v="1-Setorizado"/>
    <n v="2"/>
    <x v="7"/>
    <s v="LENILSON SILVA - HSP - PB/PE/RN"/>
    <s v="Hospitalar"/>
    <s v="fernando.leony@cslbehring.com"/>
    <s v="FERNANDO LEONY (CO/NO/NE)"/>
    <n v="0"/>
    <n v="10"/>
    <n v="0"/>
    <n v="0"/>
    <n v="0"/>
  </r>
  <r>
    <x v="0"/>
    <x v="0"/>
    <x v="0"/>
    <n v="10839561000132"/>
    <x v="111"/>
    <s v="RECIFE"/>
    <s v="PE"/>
    <s v="1-Setorizado"/>
    <n v="2"/>
    <x v="0"/>
    <s v="VALERIA BRAGA - ESP - (CE/MA/PI/BA/AL/SE/PB/PE/RN)"/>
    <s v="Especialidade"/>
    <s v="fernando.leony@cslbehring.com"/>
    <s v="FERNANDO LEONY (CO/NO/NE)"/>
    <n v="0"/>
    <n v="0"/>
    <n v="0"/>
    <n v="60"/>
    <n v="0"/>
  </r>
  <r>
    <x v="0"/>
    <x v="0"/>
    <x v="0"/>
    <n v="10839561000132"/>
    <x v="111"/>
    <s v="RECIFE"/>
    <s v="PE"/>
    <s v="1-Setorizado"/>
    <n v="2"/>
    <x v="7"/>
    <s v="LENILSON SILVA - HSP - PB/PE/RN"/>
    <s v="Hospitalar"/>
    <s v="fernando.leony@cslbehring.com"/>
    <s v="FERNANDO LEONY (CO/NO/NE)"/>
    <n v="0"/>
    <n v="0"/>
    <n v="0"/>
    <n v="0"/>
    <n v="0"/>
  </r>
  <r>
    <x v="0"/>
    <x v="0"/>
    <x v="0"/>
    <n v="15126437000224"/>
    <x v="112"/>
    <s v="TERESINA"/>
    <s v="PI"/>
    <s v="1-Setorizado"/>
    <n v="2"/>
    <x v="0"/>
    <s v="VALERIA BRAGA - ESP - (CE/MA/PI/BA/AL/SE/PB/PE/RN)"/>
    <s v="Especialidade"/>
    <s v="fernando.leony@cslbehring.com"/>
    <s v="FERNANDO LEONY (CO/NO/NE)"/>
    <n v="0"/>
    <n v="0"/>
    <n v="0"/>
    <n v="0"/>
    <n v="0"/>
  </r>
  <r>
    <x v="0"/>
    <x v="0"/>
    <x v="0"/>
    <n v="15126437000224"/>
    <x v="112"/>
    <s v="TERESINA"/>
    <s v="PI"/>
    <s v="1-Setorizado"/>
    <n v="2"/>
    <x v="3"/>
    <s v="KLEBER SILVA - HSP - CE/MA/PI"/>
    <s v="Hospitalar"/>
    <s v="fernando.leony@cslbehring.com"/>
    <s v="FERNANDO LEONY (CO/NO/NE)"/>
    <n v="0"/>
    <n v="5"/>
    <n v="0"/>
    <n v="0"/>
    <n v="0"/>
  </r>
  <r>
    <x v="0"/>
    <x v="0"/>
    <x v="0"/>
    <n v="63326243000487"/>
    <x v="113"/>
    <s v="TERESINA"/>
    <s v="PI"/>
    <s v="1-Setorizado"/>
    <n v="2"/>
    <x v="0"/>
    <s v="VALERIA BRAGA - ESP - (CE/MA/PI/BA/AL/SE/PB/PE/RN)"/>
    <s v="Especialidade"/>
    <s v="fernando.leony@cslbehring.com"/>
    <s v="FERNANDO LEONY (CO/NO/NE)"/>
    <n v="0"/>
    <n v="0"/>
    <n v="0"/>
    <n v="0"/>
    <n v="2"/>
  </r>
  <r>
    <x v="0"/>
    <x v="0"/>
    <x v="0"/>
    <n v="63326243000487"/>
    <x v="113"/>
    <s v="TERESINA"/>
    <s v="PI"/>
    <s v="1-Setorizado"/>
    <n v="2"/>
    <x v="3"/>
    <s v="KLEBER SILVA - HSP - CE/MA/PI"/>
    <s v="Hospitalar"/>
    <s v="fernando.leony@cslbehring.com"/>
    <s v="FERNANDO LEONY (CO/NO/NE)"/>
    <n v="0"/>
    <n v="0"/>
    <n v="0"/>
    <n v="0"/>
    <n v="2"/>
  </r>
  <r>
    <x v="0"/>
    <x v="0"/>
    <x v="0"/>
    <n v="6555031000276"/>
    <x v="114"/>
    <s v="TERESINA"/>
    <s v="PI"/>
    <s v="1-Setorizado"/>
    <n v="2"/>
    <x v="0"/>
    <s v="VALERIA BRAGA - ESP - (CE/MA/PI/BA/AL/SE/PB/PE/RN)"/>
    <s v="Especialidade"/>
    <s v="fernando.leony@cslbehring.com"/>
    <s v="FERNANDO LEONY (CO/NO/NE)"/>
    <n v="0"/>
    <n v="0"/>
    <n v="0"/>
    <n v="12"/>
    <n v="0"/>
  </r>
  <r>
    <x v="0"/>
    <x v="0"/>
    <x v="0"/>
    <n v="6555031000276"/>
    <x v="114"/>
    <s v="TERESINA"/>
    <s v="PI"/>
    <s v="1-Setorizado"/>
    <n v="2"/>
    <x v="3"/>
    <s v="KLEBER SILVA - HSP - CE/MA/PI"/>
    <s v="Hospitalar"/>
    <s v="fernando.leony@cslbehring.com"/>
    <s v="FERNANDO LEONY (CO/NO/NE)"/>
    <n v="0"/>
    <n v="0"/>
    <n v="0"/>
    <n v="0"/>
    <n v="0"/>
  </r>
  <r>
    <x v="0"/>
    <x v="0"/>
    <x v="0"/>
    <n v="7088017000191"/>
    <x v="115"/>
    <s v="CAMPINA GRANDE DO SUL"/>
    <s v="PR"/>
    <s v="1-Setorizado"/>
    <n v="2"/>
    <x v="8"/>
    <s v="MICHELE MORAES - ESP - PR/SC/RS"/>
    <s v="Especialidade"/>
    <s v="rafael.esteves@cslbehring.com"/>
    <s v="RAFAEL ESTEVES (RJ/SPI/SUL)"/>
    <n v="0"/>
    <n v="0"/>
    <n v="0"/>
    <n v="0"/>
    <n v="120"/>
  </r>
  <r>
    <x v="0"/>
    <x v="0"/>
    <x v="0"/>
    <n v="7088017000191"/>
    <x v="115"/>
    <s v="CAMPINA GRANDE DO SUL"/>
    <s v="PR"/>
    <s v="1-Setorizado"/>
    <n v="2"/>
    <x v="9"/>
    <s v="FERNANDA BORNHAUSEN - HSP - SC/PR"/>
    <s v="Hospitalar"/>
    <s v="rafael.esteves@cslbehring.com"/>
    <s v="RAFAEL ESTEVES (RJ/SPI/SUL)"/>
    <n v="0"/>
    <n v="0"/>
    <n v="0"/>
    <n v="0"/>
    <n v="120"/>
  </r>
  <r>
    <x v="0"/>
    <x v="0"/>
    <x v="0"/>
    <n v="21998635000108"/>
    <x v="116"/>
    <s v="CASCAVEL"/>
    <s v="PR"/>
    <s v="1-Setorizado"/>
    <n v="2"/>
    <x v="8"/>
    <s v="MICHELE MORAES - ESP - PR/SC/RS"/>
    <s v="Especialidade"/>
    <s v="rafael.esteves@cslbehring.com"/>
    <s v="RAFAEL ESTEVES (RJ/SPI/SUL)"/>
    <n v="0"/>
    <n v="0"/>
    <n v="0"/>
    <n v="0"/>
    <n v="20"/>
  </r>
  <r>
    <x v="0"/>
    <x v="0"/>
    <x v="0"/>
    <n v="21998635000108"/>
    <x v="116"/>
    <s v="CASCAVEL"/>
    <s v="PR"/>
    <s v="1-Setorizado"/>
    <n v="2"/>
    <x v="9"/>
    <s v="FERNANDA BORNHAUSEN - HSP - SC/PR"/>
    <s v="Hospitalar"/>
    <s v="rafael.esteves@cslbehring.com"/>
    <s v="RAFAEL ESTEVES (RJ/SPI/SUL)"/>
    <n v="0"/>
    <n v="0"/>
    <n v="0"/>
    <n v="0"/>
    <n v="20"/>
  </r>
  <r>
    <x v="0"/>
    <x v="0"/>
    <x v="0"/>
    <n v="7734165000136"/>
    <x v="117"/>
    <s v="CURITIBA"/>
    <s v="PR"/>
    <s v="1-Setorizado"/>
    <n v="2"/>
    <x v="8"/>
    <s v="MICHELE MORAES - ESP - PR/SC/RS"/>
    <s v="Especialidade"/>
    <s v="rafael.esteves@cslbehring.com"/>
    <s v="RAFAEL ESTEVES (RJ/SPI/SUL)"/>
    <n v="0"/>
    <n v="0"/>
    <n v="0"/>
    <n v="0"/>
    <n v="4500"/>
  </r>
  <r>
    <x v="0"/>
    <x v="0"/>
    <x v="0"/>
    <n v="7734165000136"/>
    <x v="117"/>
    <s v="CURITIBA"/>
    <s v="PR"/>
    <s v="1-Setorizado"/>
    <n v="2"/>
    <x v="9"/>
    <s v="FERNANDA BORNHAUSEN - HSP - SC/PR"/>
    <s v="Hospitalar"/>
    <s v="rafael.esteves@cslbehring.com"/>
    <s v="RAFAEL ESTEVES (RJ/SPI/SUL)"/>
    <n v="0"/>
    <n v="0"/>
    <n v="0"/>
    <n v="0"/>
    <n v="4500"/>
  </r>
  <r>
    <x v="0"/>
    <x v="0"/>
    <x v="0"/>
    <n v="7404052000172"/>
    <x v="118"/>
    <s v="CURITIBA"/>
    <s v="PR"/>
    <s v="1-Setorizado"/>
    <n v="2"/>
    <x v="8"/>
    <s v="MICHELE MORAES - ESP - PR/SC/RS"/>
    <s v="Especialidade"/>
    <s v="rafael.esteves@cslbehring.com"/>
    <s v="RAFAEL ESTEVES (RJ/SPI/SUL)"/>
    <n v="0"/>
    <n v="0"/>
    <n v="0"/>
    <n v="0"/>
    <n v="105"/>
  </r>
  <r>
    <x v="0"/>
    <x v="0"/>
    <x v="0"/>
    <n v="7404052000172"/>
    <x v="118"/>
    <s v="CURITIBA"/>
    <s v="PR"/>
    <s v="1-Setorizado"/>
    <n v="2"/>
    <x v="9"/>
    <s v="FERNANDA BORNHAUSEN - HSP - SC/PR"/>
    <s v="Hospitalar"/>
    <s v="rafael.esteves@cslbehring.com"/>
    <s v="RAFAEL ESTEVES (RJ/SPI/SUL)"/>
    <n v="0"/>
    <n v="0"/>
    <n v="0"/>
    <n v="0"/>
    <n v="105"/>
  </r>
  <r>
    <x v="0"/>
    <x v="0"/>
    <x v="0"/>
    <n v="8597121000174"/>
    <x v="119"/>
    <s v="CURITIBA"/>
    <s v="PR"/>
    <s v="1-Setorizado"/>
    <n v="2"/>
    <x v="8"/>
    <s v="MICHELE MORAES - ESP - PR/SC/RS"/>
    <s v="Especialidade"/>
    <s v="rafael.esteves@cslbehring.com"/>
    <s v="RAFAEL ESTEVES (RJ/SPI/SUL)"/>
    <n v="0"/>
    <n v="0"/>
    <n v="0"/>
    <n v="0"/>
    <n v="14000"/>
  </r>
  <r>
    <x v="0"/>
    <x v="0"/>
    <x v="0"/>
    <n v="8597121000174"/>
    <x v="119"/>
    <s v="CURITIBA"/>
    <s v="PR"/>
    <s v="1-Setorizado"/>
    <n v="2"/>
    <x v="9"/>
    <s v="FERNANDA BORNHAUSEN - HSP - SC/PR"/>
    <s v="Hospitalar"/>
    <s v="rafael.esteves@cslbehring.com"/>
    <s v="RAFAEL ESTEVES (RJ/SPI/SUL)"/>
    <n v="0"/>
    <n v="0"/>
    <n v="0"/>
    <n v="0"/>
    <n v="14000"/>
  </r>
  <r>
    <x v="0"/>
    <x v="0"/>
    <x v="0"/>
    <n v="942063000167"/>
    <x v="120"/>
    <s v="CURITIBA"/>
    <s v="PR"/>
    <s v="1-Setorizado"/>
    <n v="2"/>
    <x v="8"/>
    <s v="MICHELE MORAES - ESP - PR/SC/RS"/>
    <s v="Especialidade"/>
    <s v="rafael.esteves@cslbehring.com"/>
    <s v="RAFAEL ESTEVES (RJ/SPI/SUL)"/>
    <n v="0"/>
    <n v="0"/>
    <n v="0"/>
    <n v="0"/>
    <n v="1115"/>
  </r>
  <r>
    <x v="0"/>
    <x v="0"/>
    <x v="0"/>
    <n v="942063000167"/>
    <x v="120"/>
    <s v="CURITIBA"/>
    <s v="PR"/>
    <s v="1-Setorizado"/>
    <n v="2"/>
    <x v="9"/>
    <s v="FERNANDA BORNHAUSEN - HSP - SC/PR"/>
    <s v="Hospitalar"/>
    <s v="rafael.esteves@cslbehring.com"/>
    <s v="RAFAEL ESTEVES (RJ/SPI/SUL)"/>
    <n v="0"/>
    <n v="0"/>
    <n v="0"/>
    <n v="0"/>
    <n v="1115"/>
  </r>
  <r>
    <x v="0"/>
    <x v="0"/>
    <x v="0"/>
    <n v="76591569000130"/>
    <x v="121"/>
    <s v="CURITIBA"/>
    <s v="PR"/>
    <s v="1-Setorizado"/>
    <n v="2"/>
    <x v="8"/>
    <s v="MICHELE MORAES - ESP - PR/SC/RS"/>
    <s v="Especialidade"/>
    <s v="rafael.esteves@cslbehring.com"/>
    <s v="RAFAEL ESTEVES (RJ/SPI/SUL)"/>
    <n v="0"/>
    <n v="0"/>
    <n v="0"/>
    <n v="24"/>
    <n v="200"/>
  </r>
  <r>
    <x v="0"/>
    <x v="0"/>
    <x v="0"/>
    <n v="76591569000130"/>
    <x v="121"/>
    <s v="CURITIBA"/>
    <s v="PR"/>
    <s v="1-Setorizado"/>
    <n v="2"/>
    <x v="9"/>
    <s v="FERNANDA BORNHAUSEN - HSP - SC/PR"/>
    <s v="Hospitalar"/>
    <s v="rafael.esteves@cslbehring.com"/>
    <s v="RAFAEL ESTEVES (RJ/SPI/SUL)"/>
    <n v="0"/>
    <n v="0"/>
    <n v="0"/>
    <n v="0"/>
    <n v="200"/>
  </r>
  <r>
    <x v="0"/>
    <x v="0"/>
    <x v="0"/>
    <n v="76659820002367"/>
    <x v="122"/>
    <s v="CURITIBA"/>
    <s v="PR"/>
    <s v="1-Setorizado"/>
    <n v="2"/>
    <x v="8"/>
    <s v="MICHELE MORAES - ESP - PR/SC/RS"/>
    <s v="Especialidade"/>
    <s v="rafael.esteves@cslbehring.com"/>
    <s v="RAFAEL ESTEVES (RJ/SPI/SUL)"/>
    <n v="0"/>
    <n v="0"/>
    <n v="0"/>
    <n v="0"/>
    <n v="40"/>
  </r>
  <r>
    <x v="0"/>
    <x v="0"/>
    <x v="0"/>
    <n v="76659820002367"/>
    <x v="122"/>
    <s v="CURITIBA"/>
    <s v="PR"/>
    <s v="1-Setorizado"/>
    <n v="2"/>
    <x v="9"/>
    <s v="FERNANDA BORNHAUSEN - HSP - SC/PR"/>
    <s v="Hospitalar"/>
    <s v="rafael.esteves@cslbehring.com"/>
    <s v="RAFAEL ESTEVES (RJ/SPI/SUL)"/>
    <n v="0"/>
    <n v="0"/>
    <n v="0"/>
    <n v="0"/>
    <n v="40"/>
  </r>
  <r>
    <x v="0"/>
    <x v="0"/>
    <x v="0"/>
    <n v="76562198000169"/>
    <x v="123"/>
    <s v="CURITIBA"/>
    <s v="PR"/>
    <s v="1-Setorizado"/>
    <n v="2"/>
    <x v="8"/>
    <s v="MICHELE MORAES - ESP - PR/SC/RS"/>
    <s v="Especialidade"/>
    <s v="rafael.esteves@cslbehring.com"/>
    <s v="RAFAEL ESTEVES (RJ/SPI/SUL)"/>
    <n v="0"/>
    <n v="0"/>
    <n v="0"/>
    <n v="0"/>
    <n v="28"/>
  </r>
  <r>
    <x v="0"/>
    <x v="0"/>
    <x v="0"/>
    <n v="76562198000169"/>
    <x v="123"/>
    <s v="CURITIBA"/>
    <s v="PR"/>
    <s v="1-Setorizado"/>
    <n v="2"/>
    <x v="9"/>
    <s v="FERNANDA BORNHAUSEN - HSP - SC/PR"/>
    <s v="Hospitalar"/>
    <s v="rafael.esteves@cslbehring.com"/>
    <s v="RAFAEL ESTEVES (RJ/SPI/SUL)"/>
    <n v="0"/>
    <n v="0"/>
    <n v="0"/>
    <n v="0"/>
    <n v="28"/>
  </r>
  <r>
    <x v="0"/>
    <x v="0"/>
    <x v="0"/>
    <n v="76555069000143"/>
    <x v="124"/>
    <s v="CURITIBA"/>
    <s v="PR"/>
    <s v="1-Setorizado"/>
    <n v="2"/>
    <x v="8"/>
    <s v="MICHELE MORAES - ESP - PR/SC/RS"/>
    <s v="Especialidade"/>
    <s v="rafael.esteves@cslbehring.com"/>
    <s v="RAFAEL ESTEVES (RJ/SPI/SUL)"/>
    <n v="0"/>
    <n v="0"/>
    <n v="0"/>
    <n v="0"/>
    <n v="0"/>
  </r>
  <r>
    <x v="0"/>
    <x v="0"/>
    <x v="0"/>
    <n v="76555069000143"/>
    <x v="124"/>
    <s v="CURITIBA"/>
    <s v="PR"/>
    <s v="1-Setorizado"/>
    <n v="2"/>
    <x v="9"/>
    <s v="FERNANDA BORNHAUSEN - HSP - SC/PR"/>
    <s v="Hospitalar"/>
    <s v="rafael.esteves@cslbehring.com"/>
    <s v="RAFAEL ESTEVES (RJ/SPI/SUL)"/>
    <n v="0"/>
    <n v="0"/>
    <n v="2"/>
    <n v="0"/>
    <n v="0"/>
  </r>
  <r>
    <x v="0"/>
    <x v="0"/>
    <x v="0"/>
    <n v="29435005005600"/>
    <x v="125"/>
    <s v="CURITIBA"/>
    <s v="PR"/>
    <s v="1-Setorizado"/>
    <n v="2"/>
    <x v="8"/>
    <s v="MICHELE MORAES - ESP - PR/SC/RS"/>
    <s v="Especialidade"/>
    <s v="rafael.esteves@cslbehring.com"/>
    <s v="RAFAEL ESTEVES (RJ/SPI/SUL)"/>
    <n v="0"/>
    <n v="0"/>
    <n v="0"/>
    <n v="0"/>
    <n v="180"/>
  </r>
  <r>
    <x v="0"/>
    <x v="0"/>
    <x v="0"/>
    <n v="29435005005600"/>
    <x v="125"/>
    <s v="CURITIBA"/>
    <s v="PR"/>
    <s v="1-Setorizado"/>
    <n v="2"/>
    <x v="9"/>
    <s v="FERNANDA BORNHAUSEN - HSP - SC/PR"/>
    <s v="Hospitalar"/>
    <s v="rafael.esteves@cslbehring.com"/>
    <s v="RAFAEL ESTEVES (RJ/SPI/SUL)"/>
    <n v="0"/>
    <n v="0"/>
    <n v="0"/>
    <n v="0"/>
    <n v="180"/>
  </r>
  <r>
    <x v="0"/>
    <x v="0"/>
    <x v="0"/>
    <n v="3824198000116"/>
    <x v="126"/>
    <s v="CURITIBA"/>
    <s v="PR"/>
    <s v="1-Setorizado"/>
    <n v="2"/>
    <x v="8"/>
    <s v="MICHELE MORAES - ESP - PR/SC/RS"/>
    <s v="Especialidade"/>
    <s v="rafael.esteves@cslbehring.com"/>
    <s v="RAFAEL ESTEVES (RJ/SPI/SUL)"/>
    <n v="0"/>
    <n v="0"/>
    <n v="0"/>
    <n v="0"/>
    <n v="250"/>
  </r>
  <r>
    <x v="0"/>
    <x v="0"/>
    <x v="0"/>
    <n v="3824198000116"/>
    <x v="126"/>
    <s v="CURITIBA"/>
    <s v="PR"/>
    <s v="1-Setorizado"/>
    <n v="2"/>
    <x v="9"/>
    <s v="FERNANDA BORNHAUSEN - HSP - SC/PR"/>
    <s v="Hospitalar"/>
    <s v="rafael.esteves@cslbehring.com"/>
    <s v="RAFAEL ESTEVES (RJ/SPI/SUL)"/>
    <n v="0"/>
    <n v="0"/>
    <n v="0"/>
    <n v="0"/>
    <n v="250"/>
  </r>
  <r>
    <x v="0"/>
    <x v="0"/>
    <x v="0"/>
    <n v="3850913000195"/>
    <x v="127"/>
    <s v="CURITIBA"/>
    <s v="PR"/>
    <s v="1-Setorizado"/>
    <n v="2"/>
    <x v="8"/>
    <s v="MICHELE MORAES - ESP - PR/SC/RS"/>
    <s v="Especialidade"/>
    <s v="rafael.esteves@cslbehring.com"/>
    <s v="RAFAEL ESTEVES (RJ/SPI/SUL)"/>
    <n v="0"/>
    <n v="0"/>
    <n v="0"/>
    <n v="0"/>
    <n v="665"/>
  </r>
  <r>
    <x v="0"/>
    <x v="0"/>
    <x v="0"/>
    <n v="3850913000195"/>
    <x v="127"/>
    <s v="CURITIBA"/>
    <s v="PR"/>
    <s v="1-Setorizado"/>
    <n v="2"/>
    <x v="9"/>
    <s v="FERNANDA BORNHAUSEN - HSP - SC/PR"/>
    <s v="Hospitalar"/>
    <s v="rafael.esteves@cslbehring.com"/>
    <s v="RAFAEL ESTEVES (RJ/SPI/SUL)"/>
    <n v="0"/>
    <n v="0"/>
    <n v="0"/>
    <n v="0"/>
    <n v="665"/>
  </r>
  <r>
    <x v="0"/>
    <x v="0"/>
    <x v="0"/>
    <n v="2862447000286"/>
    <x v="128"/>
    <s v="CURITIBA"/>
    <s v="PR"/>
    <s v="1-Setorizado"/>
    <n v="2"/>
    <x v="8"/>
    <s v="MICHELE MORAES - ESP - PR/SC/RS"/>
    <s v="Especialidade"/>
    <s v="rafael.esteves@cslbehring.com"/>
    <s v="RAFAEL ESTEVES (RJ/SPI/SUL)"/>
    <n v="0"/>
    <n v="0"/>
    <n v="0"/>
    <n v="0"/>
    <n v="40"/>
  </r>
  <r>
    <x v="0"/>
    <x v="0"/>
    <x v="0"/>
    <n v="2862447000286"/>
    <x v="128"/>
    <s v="CURITIBA"/>
    <s v="PR"/>
    <s v="1-Setorizado"/>
    <n v="2"/>
    <x v="9"/>
    <s v="FERNANDA BORNHAUSEN - HSP - SC/PR"/>
    <s v="Hospitalar"/>
    <s v="rafael.esteves@cslbehring.com"/>
    <s v="RAFAEL ESTEVES (RJ/SPI/SUL)"/>
    <n v="0"/>
    <n v="0"/>
    <n v="0"/>
    <n v="0"/>
    <n v="40"/>
  </r>
  <r>
    <x v="0"/>
    <x v="0"/>
    <x v="0"/>
    <n v="30117769000155"/>
    <x v="129"/>
    <s v="CURITIBA"/>
    <s v="PR"/>
    <s v="1-Setorizado"/>
    <n v="2"/>
    <x v="8"/>
    <s v="MICHELE MORAES - ESP - PR/SC/RS"/>
    <s v="Especialidade"/>
    <s v="rafael.esteves@cslbehring.com"/>
    <s v="RAFAEL ESTEVES (RJ/SPI/SUL)"/>
    <n v="0"/>
    <n v="0"/>
    <n v="0"/>
    <n v="0"/>
    <n v="265"/>
  </r>
  <r>
    <x v="0"/>
    <x v="0"/>
    <x v="0"/>
    <n v="30117769000155"/>
    <x v="129"/>
    <s v="CURITIBA"/>
    <s v="PR"/>
    <s v="1-Setorizado"/>
    <n v="2"/>
    <x v="9"/>
    <s v="FERNANDA BORNHAUSEN - HSP - SC/PR"/>
    <s v="Hospitalar"/>
    <s v="rafael.esteves@cslbehring.com"/>
    <s v="RAFAEL ESTEVES (RJ/SPI/SUL)"/>
    <n v="0"/>
    <n v="0"/>
    <n v="0"/>
    <n v="0"/>
    <n v="265"/>
  </r>
  <r>
    <x v="0"/>
    <x v="0"/>
    <x v="0"/>
    <n v="304148000110"/>
    <x v="130"/>
    <s v="FOZ DO IGUACU"/>
    <s v="PR"/>
    <s v="1-Setorizado"/>
    <n v="2"/>
    <x v="8"/>
    <s v="MICHELE MORAES - ESP - PR/SC/RS"/>
    <s v="Especialidade"/>
    <s v="rafael.esteves@cslbehring.com"/>
    <s v="RAFAEL ESTEVES (RJ/SPI/SUL)"/>
    <n v="0"/>
    <n v="0"/>
    <n v="0"/>
    <n v="48"/>
    <n v="0"/>
  </r>
  <r>
    <x v="0"/>
    <x v="0"/>
    <x v="0"/>
    <n v="304148000110"/>
    <x v="130"/>
    <s v="FOZ DO IGUACU"/>
    <s v="PR"/>
    <s v="1-Setorizado"/>
    <n v="2"/>
    <x v="9"/>
    <s v="FERNANDA BORNHAUSEN - HSP - SC/PR"/>
    <s v="Hospitalar"/>
    <s v="rafael.esteves@cslbehring.com"/>
    <s v="RAFAEL ESTEVES (RJ/SPI/SUL)"/>
    <n v="0"/>
    <n v="0"/>
    <n v="0"/>
    <n v="0"/>
    <n v="0"/>
  </r>
  <r>
    <x v="0"/>
    <x v="0"/>
    <x v="0"/>
    <n v="73863342000109"/>
    <x v="131"/>
    <s v="LONDRINA"/>
    <s v="PR"/>
    <s v="1-Setorizado"/>
    <n v="2"/>
    <x v="8"/>
    <s v="MICHELE MORAES - ESP - PR/SC/RS"/>
    <s v="Especialidade"/>
    <s v="rafael.esteves@cslbehring.com"/>
    <s v="RAFAEL ESTEVES (RJ/SPI/SUL)"/>
    <n v="0"/>
    <n v="0"/>
    <n v="0"/>
    <n v="0"/>
    <n v="10"/>
  </r>
  <r>
    <x v="0"/>
    <x v="0"/>
    <x v="0"/>
    <n v="73863342000109"/>
    <x v="131"/>
    <s v="LONDRINA"/>
    <s v="PR"/>
    <s v="1-Setorizado"/>
    <n v="2"/>
    <x v="9"/>
    <s v="FERNANDA BORNHAUSEN - HSP - SC/PR"/>
    <s v="Hospitalar"/>
    <s v="rafael.esteves@cslbehring.com"/>
    <s v="RAFAEL ESTEVES (RJ/SPI/SUL)"/>
    <n v="0"/>
    <n v="0"/>
    <n v="0"/>
    <n v="0"/>
    <n v="10"/>
  </r>
  <r>
    <x v="0"/>
    <x v="0"/>
    <x v="0"/>
    <n v="75222224001895"/>
    <x v="132"/>
    <s v="LONDRINA"/>
    <s v="PR"/>
    <s v="1-Setorizado"/>
    <n v="2"/>
    <x v="8"/>
    <s v="MICHELE MORAES - ESP - PR/SC/RS"/>
    <s v="Especialidade"/>
    <s v="rafael.esteves@cslbehring.com"/>
    <s v="RAFAEL ESTEVES (RJ/SPI/SUL)"/>
    <n v="0"/>
    <n v="0"/>
    <n v="0"/>
    <n v="0"/>
    <n v="600"/>
  </r>
  <r>
    <x v="0"/>
    <x v="0"/>
    <x v="0"/>
    <n v="75222224001895"/>
    <x v="132"/>
    <s v="LONDRINA"/>
    <s v="PR"/>
    <s v="1-Setorizado"/>
    <n v="2"/>
    <x v="9"/>
    <s v="FERNANDA BORNHAUSEN - HSP - SC/PR"/>
    <s v="Hospitalar"/>
    <s v="rafael.esteves@cslbehring.com"/>
    <s v="RAFAEL ESTEVES (RJ/SPI/SUL)"/>
    <n v="0"/>
    <n v="0"/>
    <n v="0"/>
    <n v="0"/>
    <n v="600"/>
  </r>
  <r>
    <x v="0"/>
    <x v="0"/>
    <x v="0"/>
    <n v="77265361000194"/>
    <x v="133"/>
    <s v="MARINGA"/>
    <s v="PR"/>
    <s v="1-Setorizado"/>
    <n v="2"/>
    <x v="8"/>
    <s v="MICHELE MORAES - ESP - PR/SC/RS"/>
    <s v="Especialidade"/>
    <s v="rafael.esteves@cslbehring.com"/>
    <s v="RAFAEL ESTEVES (RJ/SPI/SUL)"/>
    <n v="0"/>
    <n v="0"/>
    <n v="0"/>
    <n v="0"/>
    <n v="100"/>
  </r>
  <r>
    <x v="0"/>
    <x v="0"/>
    <x v="0"/>
    <n v="77265361000194"/>
    <x v="133"/>
    <s v="MARINGA"/>
    <s v="PR"/>
    <s v="1-Setorizado"/>
    <n v="2"/>
    <x v="9"/>
    <s v="FERNANDA BORNHAUSEN - HSP - SC/PR"/>
    <s v="Hospitalar"/>
    <s v="rafael.esteves@cslbehring.com"/>
    <s v="RAFAEL ESTEVES (RJ/SPI/SUL)"/>
    <n v="0"/>
    <n v="0"/>
    <n v="0"/>
    <n v="0"/>
    <n v="100"/>
  </r>
  <r>
    <x v="0"/>
    <x v="0"/>
    <x v="0"/>
    <n v="7794623002257"/>
    <x v="134"/>
    <s v="SAO JOSE DOS PINHAIS"/>
    <s v="PR"/>
    <s v="1-Setorizado"/>
    <n v="2"/>
    <x v="8"/>
    <s v="MICHELE MORAES - ESP - PR/SC/RS"/>
    <s v="Especialidade"/>
    <s v="rafael.esteves@cslbehring.com"/>
    <s v="RAFAEL ESTEVES (RJ/SPI/SUL)"/>
    <n v="0"/>
    <n v="0"/>
    <n v="0"/>
    <n v="0"/>
    <n v="515"/>
  </r>
  <r>
    <x v="0"/>
    <x v="0"/>
    <x v="0"/>
    <n v="7794623002257"/>
    <x v="134"/>
    <s v="SAO JOSE DOS PINHAIS"/>
    <s v="PR"/>
    <s v="1-Setorizado"/>
    <n v="2"/>
    <x v="9"/>
    <s v="FERNANDA BORNHAUSEN - HSP - SC/PR"/>
    <s v="Hospitalar"/>
    <s v="rafael.esteves@cslbehring.com"/>
    <s v="RAFAEL ESTEVES (RJ/SPI/SUL)"/>
    <n v="0"/>
    <n v="0"/>
    <n v="0"/>
    <n v="0"/>
    <n v="515"/>
  </r>
  <r>
    <x v="0"/>
    <x v="0"/>
    <x v="0"/>
    <n v="6047087001372"/>
    <x v="135"/>
    <s v="DUQUE DE CAXIAS"/>
    <s v="RJ"/>
    <s v="1-Setorizado"/>
    <n v="2"/>
    <x v="10"/>
    <s v="EVELINE GOULART - ESP - RJ"/>
    <s v="Especialidade"/>
    <s v="rafael.esteves@cslbehring.com"/>
    <s v="RAFAEL ESTEVES (RJ/SPI/SUL)"/>
    <n v="0"/>
    <n v="0"/>
    <n v="0"/>
    <n v="0"/>
    <n v="0"/>
  </r>
  <r>
    <x v="0"/>
    <x v="0"/>
    <x v="0"/>
    <n v="6047087001372"/>
    <x v="135"/>
    <s v="DUQUE DE CAXIAS"/>
    <s v="RJ"/>
    <s v="1-Setorizado"/>
    <n v="2"/>
    <x v="11"/>
    <s v="ROMEU SOARES - HSP - RJ"/>
    <s v="Hospitalar"/>
    <s v="rafael.esteves@cslbehring.com"/>
    <s v="RAFAEL ESTEVES (RJ/SPI/SUL)"/>
    <n v="0"/>
    <n v="0"/>
    <n v="12"/>
    <n v="0"/>
    <n v="0"/>
  </r>
  <r>
    <x v="0"/>
    <x v="0"/>
    <x v="0"/>
    <n v="35830868000446"/>
    <x v="136"/>
    <s v="MACAE"/>
    <s v="RJ"/>
    <s v="1-Setorizado"/>
    <n v="2"/>
    <x v="10"/>
    <s v="EVELINE GOULART - ESP - RJ"/>
    <s v="Especialidade"/>
    <s v="rafael.esteves@cslbehring.com"/>
    <s v="RAFAEL ESTEVES (RJ/SPI/SUL)"/>
    <n v="0"/>
    <n v="0"/>
    <n v="0"/>
    <n v="0"/>
    <n v="0"/>
  </r>
  <r>
    <x v="0"/>
    <x v="0"/>
    <x v="0"/>
    <n v="35830868000446"/>
    <x v="136"/>
    <s v="MACAE"/>
    <s v="RJ"/>
    <s v="1-Setorizado"/>
    <n v="2"/>
    <x v="12"/>
    <s v="MARCUS BASTOS - HSP - RJ"/>
    <s v="Hospitalar"/>
    <s v="rafael.esteves@cslbehring.com"/>
    <s v="RAFAEL ESTEVES (RJ/SPI/SUL)"/>
    <n v="0"/>
    <n v="3"/>
    <n v="0"/>
    <n v="0"/>
    <n v="0"/>
  </r>
  <r>
    <x v="0"/>
    <x v="0"/>
    <x v="0"/>
    <n v="437007000175"/>
    <x v="137"/>
    <s v="NITEROI"/>
    <s v="RJ"/>
    <s v="1-Setorizado"/>
    <n v="2"/>
    <x v="10"/>
    <s v="EVELINE GOULART - ESP - RJ"/>
    <s v="Especialidade"/>
    <s v="rafael.esteves@cslbehring.com"/>
    <s v="RAFAEL ESTEVES (RJ/SPI/SUL)"/>
    <n v="0"/>
    <n v="0"/>
    <n v="0"/>
    <n v="358"/>
    <n v="420"/>
  </r>
  <r>
    <x v="0"/>
    <x v="0"/>
    <x v="0"/>
    <n v="437007000175"/>
    <x v="137"/>
    <s v="NITEROI"/>
    <s v="RJ"/>
    <s v="1-Setorizado"/>
    <n v="2"/>
    <x v="11"/>
    <s v="ROMEU SOARES - HSP - RJ"/>
    <s v="Hospitalar"/>
    <s v="rafael.esteves@cslbehring.com"/>
    <s v="RAFAEL ESTEVES (RJ/SPI/SUL)"/>
    <n v="0"/>
    <n v="0"/>
    <n v="0"/>
    <n v="0"/>
    <n v="420"/>
  </r>
  <r>
    <x v="0"/>
    <x v="0"/>
    <x v="0"/>
    <n v="60884855001207"/>
    <x v="138"/>
    <s v="NITEROI"/>
    <s v="RJ"/>
    <s v="1-Setorizado"/>
    <n v="2"/>
    <x v="10"/>
    <s v="EVELINE GOULART - ESP - RJ"/>
    <s v="Especialidade"/>
    <s v="rafael.esteves@cslbehring.com"/>
    <s v="RAFAEL ESTEVES (RJ/SPI/SUL)"/>
    <n v="0"/>
    <n v="0"/>
    <n v="0"/>
    <n v="18"/>
    <n v="440"/>
  </r>
  <r>
    <x v="0"/>
    <x v="0"/>
    <x v="0"/>
    <n v="60884855001207"/>
    <x v="138"/>
    <s v="NITEROI"/>
    <s v="RJ"/>
    <s v="1-Setorizado"/>
    <n v="2"/>
    <x v="11"/>
    <s v="ROMEU SOARES - HSP - RJ"/>
    <s v="Hospitalar"/>
    <s v="rafael.esteves@cslbehring.com"/>
    <s v="RAFAEL ESTEVES (RJ/SPI/SUL)"/>
    <n v="0"/>
    <n v="83"/>
    <n v="24"/>
    <n v="0"/>
    <n v="440"/>
  </r>
  <r>
    <x v="0"/>
    <x v="0"/>
    <x v="0"/>
    <n v="521197000104"/>
    <x v="139"/>
    <s v="NITEROI"/>
    <s v="RJ"/>
    <s v="1-Setorizado"/>
    <n v="2"/>
    <x v="10"/>
    <s v="EVELINE GOULART - ESP - RJ"/>
    <s v="Especialidade"/>
    <s v="rafael.esteves@cslbehring.com"/>
    <s v="RAFAEL ESTEVES (RJ/SPI/SUL)"/>
    <n v="0"/>
    <n v="0"/>
    <n v="0"/>
    <n v="0"/>
    <n v="238"/>
  </r>
  <r>
    <x v="0"/>
    <x v="0"/>
    <x v="0"/>
    <n v="521197000104"/>
    <x v="139"/>
    <s v="NITEROI"/>
    <s v="RJ"/>
    <s v="1-Setorizado"/>
    <n v="2"/>
    <x v="12"/>
    <s v="MARCUS BASTOS - HSP - RJ"/>
    <s v="Hospitalar"/>
    <s v="rafael.esteves@cslbehring.com"/>
    <s v="RAFAEL ESTEVES (RJ/SPI/SUL)"/>
    <n v="0"/>
    <n v="0"/>
    <n v="0"/>
    <n v="0"/>
    <n v="238"/>
  </r>
  <r>
    <x v="0"/>
    <x v="0"/>
    <x v="0"/>
    <n v="29135795000208"/>
    <x v="140"/>
    <s v="NOVA FRIBURGO"/>
    <s v="RJ"/>
    <s v="1-Setorizado"/>
    <n v="2"/>
    <x v="10"/>
    <s v="EVELINE GOULART - ESP - RJ"/>
    <s v="Especialidade"/>
    <s v="rafael.esteves@cslbehring.com"/>
    <s v="RAFAEL ESTEVES (RJ/SPI/SUL)"/>
    <n v="0"/>
    <n v="0"/>
    <n v="0"/>
    <n v="0"/>
    <n v="100"/>
  </r>
  <r>
    <x v="0"/>
    <x v="0"/>
    <x v="0"/>
    <n v="29135795000208"/>
    <x v="140"/>
    <s v="NOVA FRIBURGO"/>
    <s v="RJ"/>
    <s v="1-Setorizado"/>
    <n v="2"/>
    <x v="12"/>
    <s v="MARCUS BASTOS - HSP - RJ"/>
    <s v="Hospitalar"/>
    <s v="rafael.esteves@cslbehring.com"/>
    <s v="RAFAEL ESTEVES (RJ/SPI/SUL)"/>
    <n v="0"/>
    <n v="0"/>
    <n v="0"/>
    <n v="0"/>
    <n v="100"/>
  </r>
  <r>
    <x v="0"/>
    <x v="0"/>
    <x v="0"/>
    <n v="7794623001528"/>
    <x v="141"/>
    <s v="NOVA IGUACU"/>
    <s v="RJ"/>
    <s v="1-Setorizado"/>
    <n v="2"/>
    <x v="10"/>
    <s v="EVELINE GOULART - ESP - RJ"/>
    <s v="Especialidade"/>
    <s v="rafael.esteves@cslbehring.com"/>
    <s v="RAFAEL ESTEVES (RJ/SPI/SUL)"/>
    <n v="0"/>
    <n v="0"/>
    <n v="0"/>
    <n v="28"/>
    <n v="0"/>
  </r>
  <r>
    <x v="0"/>
    <x v="0"/>
    <x v="0"/>
    <n v="7794623001528"/>
    <x v="141"/>
    <s v="NOVA IGUACU"/>
    <s v="RJ"/>
    <s v="1-Setorizado"/>
    <n v="2"/>
    <x v="11"/>
    <s v="ROMEU SOARES - HSP - RJ"/>
    <s v="Hospitalar"/>
    <s v="rafael.esteves@cslbehring.com"/>
    <s v="RAFAEL ESTEVES (RJ/SPI/SUL)"/>
    <n v="0"/>
    <n v="0"/>
    <n v="0"/>
    <n v="0"/>
    <n v="0"/>
  </r>
  <r>
    <x v="0"/>
    <x v="0"/>
    <x v="0"/>
    <n v="28806545000532"/>
    <x v="142"/>
    <s v="PETROPOLIS"/>
    <s v="RJ"/>
    <s v="1-Setorizado"/>
    <n v="2"/>
    <x v="10"/>
    <s v="EVELINE GOULART - ESP - RJ"/>
    <s v="Especialidade"/>
    <s v="rafael.esteves@cslbehring.com"/>
    <s v="RAFAEL ESTEVES (RJ/SPI/SUL)"/>
    <n v="0"/>
    <n v="0"/>
    <n v="0"/>
    <n v="128"/>
    <n v="0"/>
  </r>
  <r>
    <x v="0"/>
    <x v="0"/>
    <x v="0"/>
    <n v="28806545000532"/>
    <x v="142"/>
    <s v="PETROPOLIS"/>
    <s v="RJ"/>
    <s v="1-Setorizado"/>
    <n v="2"/>
    <x v="12"/>
    <s v="MARCUS BASTOS - HSP - RJ"/>
    <s v="Hospitalar"/>
    <s v="rafael.esteves@cslbehring.com"/>
    <s v="RAFAEL ESTEVES (RJ/SPI/SUL)"/>
    <n v="0"/>
    <n v="0"/>
    <n v="0"/>
    <n v="0"/>
    <n v="0"/>
  </r>
  <r>
    <x v="0"/>
    <x v="0"/>
    <x v="0"/>
    <n v="68709211000212"/>
    <x v="143"/>
    <s v="RESENDE"/>
    <s v="RJ"/>
    <s v="1-Setorizado"/>
    <n v="2"/>
    <x v="10"/>
    <s v="EVELINE GOULART - ESP - RJ"/>
    <s v="Especialidade"/>
    <s v="rafael.esteves@cslbehring.com"/>
    <s v="RAFAEL ESTEVES (RJ/SPI/SUL)"/>
    <n v="0"/>
    <n v="0"/>
    <n v="0"/>
    <n v="0"/>
    <n v="300"/>
  </r>
  <r>
    <x v="0"/>
    <x v="0"/>
    <x v="0"/>
    <n v="68709211000212"/>
    <x v="143"/>
    <s v="RESENDE"/>
    <s v="RJ"/>
    <s v="1-Setorizado"/>
    <n v="2"/>
    <x v="12"/>
    <s v="MARCUS BASTOS - HSP - RJ"/>
    <s v="Hospitalar"/>
    <s v="rafael.esteves@cslbehring.com"/>
    <s v="RAFAEL ESTEVES (RJ/SPI/SUL)"/>
    <n v="0"/>
    <n v="0"/>
    <n v="0"/>
    <n v="0"/>
    <n v="300"/>
  </r>
  <r>
    <x v="0"/>
    <x v="0"/>
    <x v="0"/>
    <n v="29072642000188"/>
    <x v="144"/>
    <s v="RESENDE"/>
    <s v="RJ"/>
    <s v="1-Setorizado"/>
    <n v="2"/>
    <x v="10"/>
    <s v="EVELINE GOULART - ESP - RJ"/>
    <s v="Especialidade"/>
    <s v="rafael.esteves@cslbehring.com"/>
    <s v="RAFAEL ESTEVES (RJ/SPI/SUL)"/>
    <n v="0"/>
    <n v="0"/>
    <n v="0"/>
    <n v="0"/>
    <n v="0"/>
  </r>
  <r>
    <x v="0"/>
    <x v="0"/>
    <x v="0"/>
    <n v="29072642000188"/>
    <x v="144"/>
    <s v="RESENDE"/>
    <s v="RJ"/>
    <s v="1-Setorizado"/>
    <n v="2"/>
    <x v="12"/>
    <s v="MARCUS BASTOS - HSP - RJ"/>
    <s v="Hospitalar"/>
    <s v="rafael.esteves@cslbehring.com"/>
    <s v="RAFAEL ESTEVES (RJ/SPI/SUL)"/>
    <n v="0"/>
    <n v="2"/>
    <n v="0"/>
    <n v="0"/>
    <n v="0"/>
  </r>
  <r>
    <x v="0"/>
    <x v="0"/>
    <x v="0"/>
    <n v="21109731000140"/>
    <x v="145"/>
    <s v="RIO DE JANEIRO"/>
    <s v="RJ"/>
    <s v="1-Setorizado"/>
    <n v="2"/>
    <x v="10"/>
    <s v="EVELINE GOULART - ESP - RJ"/>
    <s v="Especialidade"/>
    <s v="rafael.esteves@cslbehring.com"/>
    <s v="RAFAEL ESTEVES (RJ/SPI/SUL)"/>
    <n v="0"/>
    <n v="0"/>
    <n v="0"/>
    <n v="112"/>
    <n v="0"/>
  </r>
  <r>
    <x v="0"/>
    <x v="0"/>
    <x v="0"/>
    <n v="21109731000140"/>
    <x v="145"/>
    <s v="RIO DE JANEIRO"/>
    <s v="RJ"/>
    <s v="1-Setorizado"/>
    <n v="2"/>
    <x v="11"/>
    <s v="ROMEU SOARES - HSP - RJ"/>
    <s v="Hospitalar"/>
    <s v="rafael.esteves@cslbehring.com"/>
    <s v="RAFAEL ESTEVES (RJ/SPI/SUL)"/>
    <n v="0"/>
    <n v="0"/>
    <n v="0"/>
    <n v="0"/>
    <n v="0"/>
  </r>
  <r>
    <x v="0"/>
    <x v="0"/>
    <x v="0"/>
    <n v="60922168000348"/>
    <x v="146"/>
    <s v="RIO DE JANEIRO"/>
    <s v="RJ"/>
    <s v="1-Setorizado"/>
    <n v="2"/>
    <x v="10"/>
    <s v="EVELINE GOULART - ESP - RJ"/>
    <s v="Especialidade"/>
    <s v="rafael.esteves@cslbehring.com"/>
    <s v="RAFAEL ESTEVES (RJ/SPI/SUL)"/>
    <n v="0"/>
    <n v="0"/>
    <n v="0"/>
    <n v="0"/>
    <n v="330"/>
  </r>
  <r>
    <x v="0"/>
    <x v="0"/>
    <x v="0"/>
    <n v="60922168000348"/>
    <x v="146"/>
    <s v="RIO DE JANEIRO"/>
    <s v="RJ"/>
    <s v="1-Setorizado"/>
    <n v="2"/>
    <x v="11"/>
    <s v="ROMEU SOARES - HSP - RJ"/>
    <s v="Hospitalar"/>
    <s v="rafael.esteves@cslbehring.com"/>
    <s v="RAFAEL ESTEVES (RJ/SPI/SUL)"/>
    <n v="0"/>
    <n v="3"/>
    <n v="2"/>
    <n v="0"/>
    <n v="330"/>
  </r>
  <r>
    <x v="0"/>
    <x v="0"/>
    <x v="0"/>
    <n v="7794623004896"/>
    <x v="147"/>
    <s v="RIO DE JANEIRO"/>
    <s v="RJ"/>
    <s v="1-Setorizado"/>
    <n v="2"/>
    <x v="10"/>
    <s v="EVELINE GOULART - ESP - RJ"/>
    <s v="Especialidade"/>
    <s v="rafael.esteves@cslbehring.com"/>
    <s v="RAFAEL ESTEVES (RJ/SPI/SUL)"/>
    <n v="0"/>
    <n v="0"/>
    <n v="0"/>
    <n v="0"/>
    <n v="1850"/>
  </r>
  <r>
    <x v="0"/>
    <x v="0"/>
    <x v="0"/>
    <n v="7794623004896"/>
    <x v="147"/>
    <s v="RIO DE JANEIRO"/>
    <s v="RJ"/>
    <s v="1-Setorizado"/>
    <n v="2"/>
    <x v="11"/>
    <s v="ROMEU SOARES - HSP - RJ"/>
    <s v="Hospitalar"/>
    <s v="rafael.esteves@cslbehring.com"/>
    <s v="RAFAEL ESTEVES (RJ/SPI/SUL)"/>
    <n v="0"/>
    <n v="0"/>
    <n v="0"/>
    <n v="0"/>
    <n v="1850"/>
  </r>
  <r>
    <x v="0"/>
    <x v="0"/>
    <x v="0"/>
    <n v="33927377000140"/>
    <x v="148"/>
    <s v="RIO DE JANEIRO"/>
    <s v="RJ"/>
    <s v="1-Setorizado"/>
    <n v="2"/>
    <x v="10"/>
    <s v="EVELINE GOULART - ESP - RJ"/>
    <s v="Especialidade"/>
    <s v="rafael.esteves@cslbehring.com"/>
    <s v="RAFAEL ESTEVES (RJ/SPI/SUL)"/>
    <n v="0"/>
    <n v="0"/>
    <n v="0"/>
    <n v="0"/>
    <n v="-5"/>
  </r>
  <r>
    <x v="0"/>
    <x v="0"/>
    <x v="0"/>
    <n v="33927377000140"/>
    <x v="148"/>
    <s v="RIO DE JANEIRO"/>
    <s v="RJ"/>
    <s v="1-Setorizado"/>
    <n v="2"/>
    <x v="11"/>
    <s v="ROMEU SOARES - HSP - RJ"/>
    <s v="Hospitalar"/>
    <s v="rafael.esteves@cslbehring.com"/>
    <s v="RAFAEL ESTEVES (RJ/SPI/SUL)"/>
    <n v="0"/>
    <n v="0"/>
    <n v="0"/>
    <n v="0"/>
    <n v="-5"/>
  </r>
  <r>
    <x v="0"/>
    <x v="0"/>
    <x v="0"/>
    <n v="2864097000106"/>
    <x v="149"/>
    <s v="RIO DE JANEIRO"/>
    <s v="RJ"/>
    <s v="1-Setorizado"/>
    <n v="2"/>
    <x v="10"/>
    <s v="EVELINE GOULART - ESP - RJ"/>
    <s v="Especialidade"/>
    <s v="rafael.esteves@cslbehring.com"/>
    <s v="RAFAEL ESTEVES (RJ/SPI/SUL)"/>
    <n v="0"/>
    <n v="0"/>
    <n v="0"/>
    <n v="0"/>
    <n v="315"/>
  </r>
  <r>
    <x v="0"/>
    <x v="0"/>
    <x v="0"/>
    <n v="2864097000106"/>
    <x v="149"/>
    <s v="RIO DE JANEIRO"/>
    <s v="RJ"/>
    <s v="1-Setorizado"/>
    <n v="2"/>
    <x v="11"/>
    <s v="ROMEU SOARES - HSP - RJ"/>
    <s v="Hospitalar"/>
    <s v="rafael.esteves@cslbehring.com"/>
    <s v="RAFAEL ESTEVES (RJ/SPI/SUL)"/>
    <n v="0"/>
    <n v="0"/>
    <n v="0"/>
    <n v="0"/>
    <n v="315"/>
  </r>
  <r>
    <x v="0"/>
    <x v="0"/>
    <x v="0"/>
    <n v="31635857000101"/>
    <x v="150"/>
    <s v="RIO DE JANEIRO"/>
    <s v="RJ"/>
    <s v="1-Setorizado"/>
    <n v="2"/>
    <x v="10"/>
    <s v="EVELINE GOULART - ESP - RJ"/>
    <s v="Especialidade"/>
    <s v="rafael.esteves@cslbehring.com"/>
    <s v="RAFAEL ESTEVES (RJ/SPI/SUL)"/>
    <n v="0"/>
    <n v="0"/>
    <n v="0"/>
    <n v="0"/>
    <n v="0"/>
  </r>
  <r>
    <x v="0"/>
    <x v="0"/>
    <x v="0"/>
    <n v="31635857000101"/>
    <x v="150"/>
    <s v="RIO DE JANEIRO"/>
    <s v="RJ"/>
    <s v="1-Setorizado"/>
    <n v="2"/>
    <x v="12"/>
    <s v="MARCUS BASTOS - HSP - RJ"/>
    <s v="Hospitalar"/>
    <s v="rafael.esteves@cslbehring.com"/>
    <s v="RAFAEL ESTEVES (RJ/SPI/SUL)"/>
    <n v="0"/>
    <n v="0"/>
    <n v="1"/>
    <n v="0"/>
    <n v="0"/>
  </r>
  <r>
    <x v="0"/>
    <x v="0"/>
    <x v="0"/>
    <n v="39086160000130"/>
    <x v="151"/>
    <s v="RIO DE JANEIRO"/>
    <s v="RJ"/>
    <s v="1-Setorizado"/>
    <n v="2"/>
    <x v="10"/>
    <s v="EVELINE GOULART - ESP - RJ"/>
    <s v="Especialidade"/>
    <s v="rafael.esteves@cslbehring.com"/>
    <s v="RAFAEL ESTEVES (RJ/SPI/SUL)"/>
    <n v="0"/>
    <n v="0"/>
    <n v="0"/>
    <n v="100"/>
    <n v="200"/>
  </r>
  <r>
    <x v="0"/>
    <x v="0"/>
    <x v="0"/>
    <n v="39086160000130"/>
    <x v="151"/>
    <s v="RIO DE JANEIRO"/>
    <s v="RJ"/>
    <s v="1-Setorizado"/>
    <n v="2"/>
    <x v="11"/>
    <s v="ROMEU SOARES - HSP - RJ"/>
    <s v="Hospitalar"/>
    <s v="rafael.esteves@cslbehring.com"/>
    <s v="RAFAEL ESTEVES (RJ/SPI/SUL)"/>
    <n v="0"/>
    <n v="0"/>
    <n v="0"/>
    <n v="0"/>
    <n v="200"/>
  </r>
  <r>
    <x v="0"/>
    <x v="0"/>
    <x v="0"/>
    <n v="21265360000195"/>
    <x v="152"/>
    <s v="RIO DE JANEIRO"/>
    <s v="RJ"/>
    <s v="1-Setorizado"/>
    <n v="2"/>
    <x v="10"/>
    <s v="EVELINE GOULART - ESP - RJ"/>
    <s v="Especialidade"/>
    <s v="rafael.esteves@cslbehring.com"/>
    <s v="RAFAEL ESTEVES (RJ/SPI/SUL)"/>
    <n v="0"/>
    <n v="0"/>
    <n v="0"/>
    <n v="16"/>
    <n v="0"/>
  </r>
  <r>
    <x v="0"/>
    <x v="0"/>
    <x v="0"/>
    <n v="21265360000195"/>
    <x v="152"/>
    <s v="RIO DE JANEIRO"/>
    <s v="RJ"/>
    <s v="1-Setorizado"/>
    <n v="2"/>
    <x v="12"/>
    <s v="MARCUS BASTOS - HSP - RJ"/>
    <s v="Hospitalar"/>
    <s v="rafael.esteves@cslbehring.com"/>
    <s v="RAFAEL ESTEVES (RJ/SPI/SUL)"/>
    <n v="0"/>
    <n v="0"/>
    <n v="0"/>
    <n v="0"/>
    <n v="0"/>
  </r>
  <r>
    <x v="0"/>
    <x v="0"/>
    <x v="0"/>
    <n v="31635857000292"/>
    <x v="153"/>
    <s v="RIO DE JANEIRO"/>
    <s v="RJ"/>
    <s v="1-Setorizado"/>
    <n v="2"/>
    <x v="10"/>
    <s v="EVELINE GOULART - ESP - RJ"/>
    <s v="Especialidade"/>
    <s v="rafael.esteves@cslbehring.com"/>
    <s v="RAFAEL ESTEVES (RJ/SPI/SUL)"/>
    <n v="0"/>
    <n v="0"/>
    <n v="0"/>
    <n v="12"/>
    <n v="0"/>
  </r>
  <r>
    <x v="0"/>
    <x v="0"/>
    <x v="0"/>
    <n v="31635857000292"/>
    <x v="153"/>
    <s v="RIO DE JANEIRO"/>
    <s v="RJ"/>
    <s v="1-Setorizado"/>
    <n v="2"/>
    <x v="11"/>
    <s v="ROMEU SOARES - HSP - RJ"/>
    <s v="Hospitalar"/>
    <s v="rafael.esteves@cslbehring.com"/>
    <s v="RAFAEL ESTEVES (RJ/SPI/SUL)"/>
    <n v="0"/>
    <n v="0"/>
    <n v="7"/>
    <n v="0"/>
    <n v="0"/>
  </r>
  <r>
    <x v="0"/>
    <x v="0"/>
    <x v="0"/>
    <n v="73696718000219"/>
    <x v="154"/>
    <s v="RIO DE JANEIRO"/>
    <s v="RJ"/>
    <s v="1-Setorizado"/>
    <n v="2"/>
    <x v="10"/>
    <s v="EVELINE GOULART - ESP - RJ"/>
    <s v="Especialidade"/>
    <s v="rafael.esteves@cslbehring.com"/>
    <s v="RAFAEL ESTEVES (RJ/SPI/SUL)"/>
    <n v="0"/>
    <n v="0"/>
    <n v="0"/>
    <n v="0"/>
    <n v="0"/>
  </r>
  <r>
    <x v="0"/>
    <x v="0"/>
    <x v="0"/>
    <n v="73696718000219"/>
    <x v="154"/>
    <s v="RIO DE JANEIRO"/>
    <s v="RJ"/>
    <s v="1-Setorizado"/>
    <n v="2"/>
    <x v="12"/>
    <s v="MARCUS BASTOS - HSP - RJ"/>
    <s v="Hospitalar"/>
    <s v="rafael.esteves@cslbehring.com"/>
    <s v="RAFAEL ESTEVES (RJ/SPI/SUL)"/>
    <n v="0"/>
    <n v="3"/>
    <n v="9"/>
    <n v="0"/>
    <n v="0"/>
  </r>
  <r>
    <x v="0"/>
    <x v="0"/>
    <x v="0"/>
    <n v="2284062000521"/>
    <x v="155"/>
    <s v="RIO DE JANEIRO"/>
    <s v="RJ"/>
    <s v="1-Setorizado"/>
    <n v="2"/>
    <x v="10"/>
    <s v="EVELINE GOULART - ESP - RJ"/>
    <s v="Especialidade"/>
    <s v="rafael.esteves@cslbehring.com"/>
    <s v="RAFAEL ESTEVES (RJ/SPI/SUL)"/>
    <n v="0"/>
    <n v="0"/>
    <n v="0"/>
    <n v="0"/>
    <n v="0"/>
  </r>
  <r>
    <x v="0"/>
    <x v="0"/>
    <x v="0"/>
    <n v="2284062000521"/>
    <x v="155"/>
    <s v="RIO DE JANEIRO"/>
    <s v="RJ"/>
    <s v="1-Setorizado"/>
    <n v="2"/>
    <x v="12"/>
    <s v="MARCUS BASTOS - HSP - RJ"/>
    <s v="Hospitalar"/>
    <s v="rafael.esteves@cslbehring.com"/>
    <s v="RAFAEL ESTEVES (RJ/SPI/SUL)"/>
    <n v="0"/>
    <n v="8"/>
    <n v="1"/>
    <n v="0"/>
    <n v="0"/>
  </r>
  <r>
    <x v="0"/>
    <x v="0"/>
    <x v="0"/>
    <n v="24217779000160"/>
    <x v="156"/>
    <s v="RIO DE JANEIRO"/>
    <s v="RJ"/>
    <s v="1-Setorizado"/>
    <n v="2"/>
    <x v="10"/>
    <s v="EVELINE GOULART - ESP - RJ"/>
    <s v="Especialidade"/>
    <s v="rafael.esteves@cslbehring.com"/>
    <s v="RAFAEL ESTEVES (RJ/SPI/SUL)"/>
    <n v="0"/>
    <n v="0"/>
    <n v="0"/>
    <n v="0"/>
    <n v="0"/>
  </r>
  <r>
    <x v="0"/>
    <x v="0"/>
    <x v="0"/>
    <n v="24217779000160"/>
    <x v="156"/>
    <s v="RIO DE JANEIRO"/>
    <s v="RJ"/>
    <s v="1-Setorizado"/>
    <n v="2"/>
    <x v="12"/>
    <s v="MARCUS BASTOS - HSP - RJ"/>
    <s v="Hospitalar"/>
    <s v="rafael.esteves@cslbehring.com"/>
    <s v="RAFAEL ESTEVES (RJ/SPI/SUL)"/>
    <n v="0"/>
    <n v="6"/>
    <n v="0"/>
    <n v="0"/>
    <n v="0"/>
  </r>
  <r>
    <x v="0"/>
    <x v="0"/>
    <x v="0"/>
    <n v="11279865000155"/>
    <x v="157"/>
    <s v="RIO DE JANEIRO"/>
    <s v="RJ"/>
    <s v="1-Setorizado"/>
    <n v="2"/>
    <x v="10"/>
    <s v="EVELINE GOULART - ESP - RJ"/>
    <s v="Especialidade"/>
    <s v="rafael.esteves@cslbehring.com"/>
    <s v="RAFAEL ESTEVES (RJ/SPI/SUL)"/>
    <n v="0"/>
    <n v="0"/>
    <n v="0"/>
    <n v="0"/>
    <n v="0"/>
  </r>
  <r>
    <x v="0"/>
    <x v="0"/>
    <x v="0"/>
    <n v="11279865000155"/>
    <x v="157"/>
    <s v="RIO DE JANEIRO"/>
    <s v="RJ"/>
    <s v="1-Setorizado"/>
    <n v="2"/>
    <x v="12"/>
    <s v="MARCUS BASTOS - HSP - RJ"/>
    <s v="Hospitalar"/>
    <s v="rafael.esteves@cslbehring.com"/>
    <s v="RAFAEL ESTEVES (RJ/SPI/SUL)"/>
    <n v="0"/>
    <n v="8"/>
    <n v="0"/>
    <n v="0"/>
    <n v="0"/>
  </r>
  <r>
    <x v="0"/>
    <x v="0"/>
    <x v="0"/>
    <n v="9609235000230"/>
    <x v="158"/>
    <s v="RIO DE JANEIRO"/>
    <s v="RJ"/>
    <s v="1-Setorizado"/>
    <n v="2"/>
    <x v="10"/>
    <s v="EVELINE GOULART - ESP - RJ"/>
    <s v="Especialidade"/>
    <s v="rafael.esteves@cslbehring.com"/>
    <s v="RAFAEL ESTEVES (RJ/SPI/SUL)"/>
    <n v="0"/>
    <n v="0"/>
    <n v="0"/>
    <n v="0"/>
    <n v="450"/>
  </r>
  <r>
    <x v="0"/>
    <x v="0"/>
    <x v="0"/>
    <n v="9609235000230"/>
    <x v="158"/>
    <s v="RIO DE JANEIRO"/>
    <s v="RJ"/>
    <s v="1-Setorizado"/>
    <n v="2"/>
    <x v="12"/>
    <s v="MARCUS BASTOS - HSP - RJ"/>
    <s v="Hospitalar"/>
    <s v="rafael.esteves@cslbehring.com"/>
    <s v="RAFAEL ESTEVES (RJ/SPI/SUL)"/>
    <n v="0"/>
    <n v="0"/>
    <n v="0"/>
    <n v="0"/>
    <n v="450"/>
  </r>
  <r>
    <x v="0"/>
    <x v="0"/>
    <x v="0"/>
    <n v="6047087000996"/>
    <x v="159"/>
    <s v="RIO DE JANEIRO"/>
    <s v="RJ"/>
    <s v="1-Setorizado"/>
    <n v="2"/>
    <x v="10"/>
    <s v="EVELINE GOULART - ESP - RJ"/>
    <s v="Especialidade"/>
    <s v="rafael.esteves@cslbehring.com"/>
    <s v="RAFAEL ESTEVES (RJ/SPI/SUL)"/>
    <n v="0"/>
    <n v="0"/>
    <n v="0"/>
    <n v="0"/>
    <n v="0"/>
  </r>
  <r>
    <x v="0"/>
    <x v="0"/>
    <x v="0"/>
    <n v="6047087000996"/>
    <x v="159"/>
    <s v="RIO DE JANEIRO"/>
    <s v="RJ"/>
    <s v="1-Setorizado"/>
    <n v="2"/>
    <x v="11"/>
    <s v="ROMEU SOARES - HSP - RJ"/>
    <s v="Hospitalar"/>
    <s v="rafael.esteves@cslbehring.com"/>
    <s v="RAFAEL ESTEVES (RJ/SPI/SUL)"/>
    <n v="0"/>
    <n v="30"/>
    <n v="20"/>
    <n v="0"/>
    <n v="0"/>
  </r>
  <r>
    <x v="0"/>
    <x v="0"/>
    <x v="0"/>
    <n v="6047087002697"/>
    <x v="160"/>
    <s v="RIO DE JANEIRO"/>
    <s v="RJ"/>
    <s v="1-Setorizado"/>
    <n v="2"/>
    <x v="10"/>
    <s v="EVELINE GOULART - ESP - RJ"/>
    <s v="Especialidade"/>
    <s v="rafael.esteves@cslbehring.com"/>
    <s v="RAFAEL ESTEVES (RJ/SPI/SUL)"/>
    <n v="0"/>
    <n v="0"/>
    <n v="0"/>
    <n v="0"/>
    <n v="0"/>
  </r>
  <r>
    <x v="0"/>
    <x v="0"/>
    <x v="0"/>
    <n v="6047087002697"/>
    <x v="160"/>
    <s v="RIO DE JANEIRO"/>
    <s v="RJ"/>
    <s v="1-Setorizado"/>
    <n v="2"/>
    <x v="11"/>
    <s v="ROMEU SOARES - HSP - RJ"/>
    <s v="Hospitalar"/>
    <s v="rafael.esteves@cslbehring.com"/>
    <s v="RAFAEL ESTEVES (RJ/SPI/SUL)"/>
    <n v="0"/>
    <n v="8"/>
    <n v="14"/>
    <n v="0"/>
    <n v="0"/>
  </r>
  <r>
    <x v="0"/>
    <x v="0"/>
    <x v="0"/>
    <n v="394544020453"/>
    <x v="161"/>
    <s v="RIO DE JANEIRO"/>
    <s v="RJ"/>
    <s v="1-Setorizado"/>
    <n v="2"/>
    <x v="10"/>
    <s v="EVELINE GOULART - ESP - RJ"/>
    <s v="Especialidade"/>
    <s v="rafael.esteves@cslbehring.com"/>
    <s v="RAFAEL ESTEVES (RJ/SPI/SUL)"/>
    <n v="0"/>
    <n v="0"/>
    <n v="0"/>
    <n v="0"/>
    <n v="600"/>
  </r>
  <r>
    <x v="0"/>
    <x v="0"/>
    <x v="0"/>
    <n v="394544020453"/>
    <x v="161"/>
    <s v="RIO DE JANEIRO"/>
    <s v="RJ"/>
    <s v="1-Setorizado"/>
    <n v="2"/>
    <x v="11"/>
    <s v="ROMEU SOARES - HSP - RJ"/>
    <s v="Hospitalar"/>
    <s v="rafael.esteves@cslbehring.com"/>
    <s v="RAFAEL ESTEVES (RJ/SPI/SUL)"/>
    <n v="0"/>
    <n v="0"/>
    <n v="0"/>
    <n v="0"/>
    <n v="600"/>
  </r>
  <r>
    <x v="0"/>
    <x v="0"/>
    <x v="0"/>
    <n v="32154700000127"/>
    <x v="162"/>
    <s v="RIO DE JANEIRO"/>
    <s v="RJ"/>
    <s v="1-Setorizado"/>
    <n v="2"/>
    <x v="10"/>
    <s v="EVELINE GOULART - ESP - RJ"/>
    <s v="Especialidade"/>
    <s v="rafael.esteves@cslbehring.com"/>
    <s v="RAFAEL ESTEVES (RJ/SPI/SUL)"/>
    <n v="0"/>
    <n v="0"/>
    <n v="0"/>
    <n v="0"/>
    <n v="0"/>
  </r>
  <r>
    <x v="0"/>
    <x v="0"/>
    <x v="0"/>
    <n v="32154700000127"/>
    <x v="162"/>
    <s v="RIO DE JANEIRO"/>
    <s v="RJ"/>
    <s v="1-Setorizado"/>
    <n v="2"/>
    <x v="11"/>
    <s v="ROMEU SOARES - HSP - RJ"/>
    <s v="Hospitalar"/>
    <s v="rafael.esteves@cslbehring.com"/>
    <s v="RAFAEL ESTEVES (RJ/SPI/SUL)"/>
    <n v="0"/>
    <n v="8"/>
    <n v="5"/>
    <n v="0"/>
    <n v="0"/>
  </r>
  <r>
    <x v="0"/>
    <x v="0"/>
    <x v="0"/>
    <n v="27901222000131"/>
    <x v="163"/>
    <s v="RIO DE JANEIRO"/>
    <s v="RJ"/>
    <s v="1-Setorizado"/>
    <n v="2"/>
    <x v="10"/>
    <s v="EVELINE GOULART - ESP - RJ"/>
    <s v="Especialidade"/>
    <s v="rafael.esteves@cslbehring.com"/>
    <s v="RAFAEL ESTEVES (RJ/SPI/SUL)"/>
    <n v="0"/>
    <n v="0"/>
    <n v="0"/>
    <n v="0"/>
    <n v="0"/>
  </r>
  <r>
    <x v="0"/>
    <x v="0"/>
    <x v="0"/>
    <n v="27901222000131"/>
    <x v="163"/>
    <s v="RIO DE JANEIRO"/>
    <s v="RJ"/>
    <s v="1-Setorizado"/>
    <n v="2"/>
    <x v="11"/>
    <s v="ROMEU SOARES - HSP - RJ"/>
    <s v="Hospitalar"/>
    <s v="rafael.esteves@cslbehring.com"/>
    <s v="RAFAEL ESTEVES (RJ/SPI/SUL)"/>
    <n v="0"/>
    <n v="0"/>
    <n v="5"/>
    <n v="0"/>
    <n v="0"/>
  </r>
  <r>
    <x v="0"/>
    <x v="0"/>
    <x v="0"/>
    <n v="394544020372"/>
    <x v="164"/>
    <s v="RIO DE JANEIRO"/>
    <s v="RJ"/>
    <s v="1-Setorizado"/>
    <n v="2"/>
    <x v="10"/>
    <s v="EVELINE GOULART - ESP - RJ"/>
    <s v="Especialidade"/>
    <s v="rafael.esteves@cslbehring.com"/>
    <s v="RAFAEL ESTEVES (RJ/SPI/SUL)"/>
    <n v="0"/>
    <n v="0"/>
    <n v="0"/>
    <n v="0"/>
    <n v="390"/>
  </r>
  <r>
    <x v="0"/>
    <x v="0"/>
    <x v="0"/>
    <n v="394544020372"/>
    <x v="164"/>
    <s v="RIO DE JANEIRO"/>
    <s v="RJ"/>
    <s v="1-Setorizado"/>
    <n v="2"/>
    <x v="11"/>
    <s v="ROMEU SOARES - HSP - RJ"/>
    <s v="Hospitalar"/>
    <s v="rafael.esteves@cslbehring.com"/>
    <s v="RAFAEL ESTEVES (RJ/SPI/SUL)"/>
    <n v="0"/>
    <n v="0"/>
    <n v="0"/>
    <n v="0"/>
    <n v="390"/>
  </r>
  <r>
    <x v="0"/>
    <x v="0"/>
    <x v="0"/>
    <n v="394544020291"/>
    <x v="165"/>
    <s v="RIO DE JANEIRO"/>
    <s v="RJ"/>
    <s v="1-Setorizado"/>
    <n v="2"/>
    <x v="10"/>
    <s v="EVELINE GOULART - ESP - RJ"/>
    <s v="Especialidade"/>
    <s v="rafael.esteves@cslbehring.com"/>
    <s v="RAFAEL ESTEVES (RJ/SPI/SUL)"/>
    <n v="0"/>
    <n v="0"/>
    <n v="0"/>
    <n v="0"/>
    <n v="0"/>
  </r>
  <r>
    <x v="0"/>
    <x v="0"/>
    <x v="0"/>
    <n v="394544020291"/>
    <x v="165"/>
    <s v="RIO DE JANEIRO"/>
    <s v="RJ"/>
    <s v="1-Setorizado"/>
    <n v="2"/>
    <x v="12"/>
    <s v="MARCUS BASTOS - HSP - RJ"/>
    <s v="Hospitalar"/>
    <s v="rafael.esteves@cslbehring.com"/>
    <s v="RAFAEL ESTEVES (RJ/SPI/SUL)"/>
    <n v="0"/>
    <n v="60"/>
    <n v="0"/>
    <n v="0"/>
    <n v="0"/>
  </r>
  <r>
    <x v="0"/>
    <x v="0"/>
    <x v="0"/>
    <n v="394544021000"/>
    <x v="166"/>
    <s v="RIO DE JANEIRO"/>
    <s v="RJ"/>
    <s v="1-Setorizado"/>
    <n v="2"/>
    <x v="10"/>
    <s v="EVELINE GOULART - ESP - RJ"/>
    <s v="Especialidade"/>
    <s v="rafael.esteves@cslbehring.com"/>
    <s v="RAFAEL ESTEVES (RJ/SPI/SUL)"/>
    <n v="0"/>
    <n v="0"/>
    <n v="0"/>
    <n v="0"/>
    <n v="150"/>
  </r>
  <r>
    <x v="0"/>
    <x v="0"/>
    <x v="0"/>
    <n v="394544021000"/>
    <x v="166"/>
    <s v="RIO DE JANEIRO"/>
    <s v="RJ"/>
    <s v="1-Setorizado"/>
    <n v="2"/>
    <x v="11"/>
    <s v="ROMEU SOARES - HSP - RJ"/>
    <s v="Hospitalar"/>
    <s v="rafael.esteves@cslbehring.com"/>
    <s v="RAFAEL ESTEVES (RJ/SPI/SUL)"/>
    <n v="0"/>
    <n v="0"/>
    <n v="0"/>
    <n v="0"/>
    <n v="150"/>
  </r>
  <r>
    <x v="0"/>
    <x v="0"/>
    <x v="0"/>
    <n v="9578217000158"/>
    <x v="167"/>
    <s v="RIO DE JANEIRO"/>
    <s v="RJ"/>
    <s v="1-Setorizado"/>
    <n v="2"/>
    <x v="10"/>
    <s v="EVELINE GOULART - ESP - RJ"/>
    <s v="Especialidade"/>
    <s v="rafael.esteves@cslbehring.com"/>
    <s v="RAFAEL ESTEVES (RJ/SPI/SUL)"/>
    <n v="0"/>
    <n v="0"/>
    <n v="0"/>
    <n v="0"/>
    <n v="0"/>
  </r>
  <r>
    <x v="0"/>
    <x v="0"/>
    <x v="0"/>
    <n v="9578217000158"/>
    <x v="167"/>
    <s v="RIO DE JANEIRO"/>
    <s v="RJ"/>
    <s v="1-Setorizado"/>
    <n v="2"/>
    <x v="11"/>
    <s v="ROMEU SOARES - HSP - RJ"/>
    <s v="Hospitalar"/>
    <s v="rafael.esteves@cslbehring.com"/>
    <s v="RAFAEL ESTEVES (RJ/SPI/SUL)"/>
    <n v="0"/>
    <n v="3"/>
    <n v="4"/>
    <n v="0"/>
    <n v="0"/>
  </r>
  <r>
    <x v="0"/>
    <x v="0"/>
    <x v="0"/>
    <n v="6047087003316"/>
    <x v="168"/>
    <s v="RIO DE JANEIRO"/>
    <s v="RJ"/>
    <s v="1-Setorizado"/>
    <n v="2"/>
    <x v="10"/>
    <s v="EVELINE GOULART - ESP - RJ"/>
    <s v="Especialidade"/>
    <s v="rafael.esteves@cslbehring.com"/>
    <s v="RAFAEL ESTEVES (RJ/SPI/SUL)"/>
    <n v="0"/>
    <n v="0"/>
    <n v="0"/>
    <n v="0"/>
    <n v="0"/>
  </r>
  <r>
    <x v="0"/>
    <x v="0"/>
    <x v="0"/>
    <n v="6047087003316"/>
    <x v="168"/>
    <s v="RIO DE JANEIRO"/>
    <s v="RJ"/>
    <s v="1-Setorizado"/>
    <n v="2"/>
    <x v="11"/>
    <s v="ROMEU SOARES - HSP - RJ"/>
    <s v="Hospitalar"/>
    <s v="rafael.esteves@cslbehring.com"/>
    <s v="RAFAEL ESTEVES (RJ/SPI/SUL)"/>
    <n v="0"/>
    <n v="3"/>
    <n v="1"/>
    <n v="0"/>
    <n v="0"/>
  </r>
  <r>
    <x v="0"/>
    <x v="0"/>
    <x v="0"/>
    <n v="29435005005783"/>
    <x v="169"/>
    <s v="RIO DE JANEIRO"/>
    <s v="RJ"/>
    <s v="1-Setorizado"/>
    <n v="2"/>
    <x v="10"/>
    <s v="EVELINE GOULART - ESP - RJ"/>
    <s v="Especialidade"/>
    <s v="rafael.esteves@cslbehring.com"/>
    <s v="RAFAEL ESTEVES (RJ/SPI/SUL)"/>
    <n v="0"/>
    <n v="0"/>
    <n v="0"/>
    <n v="0"/>
    <n v="225"/>
  </r>
  <r>
    <x v="0"/>
    <x v="0"/>
    <x v="0"/>
    <n v="29435005005783"/>
    <x v="169"/>
    <s v="RIO DE JANEIRO"/>
    <s v="RJ"/>
    <s v="1-Setorizado"/>
    <n v="2"/>
    <x v="12"/>
    <s v="MARCUS BASTOS - HSP - RJ"/>
    <s v="Hospitalar"/>
    <s v="rafael.esteves@cslbehring.com"/>
    <s v="RAFAEL ESTEVES (RJ/SPI/SUL)"/>
    <n v="0"/>
    <n v="0"/>
    <n v="0"/>
    <n v="0"/>
    <n v="225"/>
  </r>
  <r>
    <x v="0"/>
    <x v="0"/>
    <x v="0"/>
    <n v="29435005005198"/>
    <x v="170"/>
    <s v="RIO DE JANEIRO"/>
    <s v="RJ"/>
    <s v="1-Setorizado"/>
    <n v="2"/>
    <x v="10"/>
    <s v="EVELINE GOULART - ESP - RJ"/>
    <s v="Especialidade"/>
    <s v="rafael.esteves@cslbehring.com"/>
    <s v="RAFAEL ESTEVES (RJ/SPI/SUL)"/>
    <n v="0"/>
    <n v="0"/>
    <n v="0"/>
    <n v="0"/>
    <n v="0"/>
  </r>
  <r>
    <x v="0"/>
    <x v="0"/>
    <x v="0"/>
    <n v="29435005005198"/>
    <x v="170"/>
    <s v="RIO DE JANEIRO"/>
    <s v="RJ"/>
    <s v="1-Setorizado"/>
    <n v="2"/>
    <x v="11"/>
    <s v="ROMEU SOARES - HSP - RJ"/>
    <s v="Hospitalar"/>
    <s v="rafael.esteves@cslbehring.com"/>
    <s v="RAFAEL ESTEVES (RJ/SPI/SUL)"/>
    <n v="0"/>
    <n v="16"/>
    <n v="17"/>
    <n v="0"/>
    <n v="0"/>
  </r>
  <r>
    <x v="0"/>
    <x v="0"/>
    <x v="0"/>
    <n v="6047087001020"/>
    <x v="171"/>
    <s v="RIO DE JANEIRO"/>
    <s v="RJ"/>
    <s v="1-Setorizado"/>
    <n v="2"/>
    <x v="10"/>
    <s v="EVELINE GOULART - ESP - RJ"/>
    <s v="Especialidade"/>
    <s v="rafael.esteves@cslbehring.com"/>
    <s v="RAFAEL ESTEVES (RJ/SPI/SUL)"/>
    <n v="0"/>
    <n v="0"/>
    <n v="0"/>
    <n v="0"/>
    <n v="0"/>
  </r>
  <r>
    <x v="0"/>
    <x v="0"/>
    <x v="0"/>
    <n v="6047087001020"/>
    <x v="171"/>
    <s v="RIO DE JANEIRO"/>
    <s v="RJ"/>
    <s v="1-Setorizado"/>
    <n v="2"/>
    <x v="11"/>
    <s v="ROMEU SOARES - HSP - RJ"/>
    <s v="Hospitalar"/>
    <s v="rafael.esteves@cslbehring.com"/>
    <s v="RAFAEL ESTEVES (RJ/SPI/SUL)"/>
    <n v="0"/>
    <n v="80"/>
    <n v="100"/>
    <n v="0"/>
    <n v="0"/>
  </r>
  <r>
    <x v="0"/>
    <x v="0"/>
    <x v="0"/>
    <n v="29259736000403"/>
    <x v="172"/>
    <s v="RIO DE JANEIRO"/>
    <s v="RJ"/>
    <s v="1-Setorizado"/>
    <n v="2"/>
    <x v="10"/>
    <s v="EVELINE GOULART - ESP - RJ"/>
    <s v="Especialidade"/>
    <s v="rafael.esteves@cslbehring.com"/>
    <s v="RAFAEL ESTEVES (RJ/SPI/SUL)"/>
    <n v="0"/>
    <n v="0"/>
    <n v="0"/>
    <n v="40"/>
    <n v="0"/>
  </r>
  <r>
    <x v="0"/>
    <x v="0"/>
    <x v="0"/>
    <n v="29259736000403"/>
    <x v="172"/>
    <s v="RIO DE JANEIRO"/>
    <s v="RJ"/>
    <s v="1-Setorizado"/>
    <n v="2"/>
    <x v="11"/>
    <s v="ROMEU SOARES - HSP - RJ"/>
    <s v="Hospitalar"/>
    <s v="rafael.esteves@cslbehring.com"/>
    <s v="RAFAEL ESTEVES (RJ/SPI/SUL)"/>
    <n v="0"/>
    <n v="5"/>
    <n v="0"/>
    <n v="0"/>
    <n v="0"/>
  </r>
  <r>
    <x v="0"/>
    <x v="0"/>
    <x v="0"/>
    <n v="8100676002102"/>
    <x v="173"/>
    <s v="RIO DE JANEIRO"/>
    <s v="RJ"/>
    <s v="1-Setorizado"/>
    <n v="2"/>
    <x v="10"/>
    <s v="EVELINE GOULART - ESP - RJ"/>
    <s v="Especialidade"/>
    <s v="rafael.esteves@cslbehring.com"/>
    <s v="RAFAEL ESTEVES (RJ/SPI/SUL)"/>
    <n v="0"/>
    <n v="0"/>
    <n v="0"/>
    <n v="0"/>
    <n v="0"/>
  </r>
  <r>
    <x v="0"/>
    <x v="0"/>
    <x v="0"/>
    <n v="8100676002102"/>
    <x v="173"/>
    <s v="RIO DE JANEIRO"/>
    <s v="RJ"/>
    <s v="1-Setorizado"/>
    <n v="2"/>
    <x v="11"/>
    <s v="ROMEU SOARES - HSP - RJ"/>
    <s v="Hospitalar"/>
    <s v="rafael.esteves@cslbehring.com"/>
    <s v="RAFAEL ESTEVES (RJ/SPI/SUL)"/>
    <n v="0"/>
    <n v="31"/>
    <n v="19"/>
    <n v="0"/>
    <n v="0"/>
  </r>
  <r>
    <x v="0"/>
    <x v="0"/>
    <x v="0"/>
    <n v="29435005006160"/>
    <x v="174"/>
    <s v="RIO DE JANEIRO"/>
    <s v="RJ"/>
    <s v="1-Setorizado"/>
    <n v="2"/>
    <x v="10"/>
    <s v="EVELINE GOULART - ESP - RJ"/>
    <s v="Especialidade"/>
    <s v="rafael.esteves@cslbehring.com"/>
    <s v="RAFAEL ESTEVES (RJ/SPI/SUL)"/>
    <n v="0"/>
    <n v="0"/>
    <n v="0"/>
    <n v="0"/>
    <n v="50"/>
  </r>
  <r>
    <x v="0"/>
    <x v="0"/>
    <x v="0"/>
    <n v="29435005006160"/>
    <x v="174"/>
    <s v="RIO DE JANEIRO"/>
    <s v="RJ"/>
    <s v="1-Setorizado"/>
    <n v="2"/>
    <x v="11"/>
    <s v="ROMEU SOARES - HSP - RJ"/>
    <s v="Hospitalar"/>
    <s v="rafael.esteves@cslbehring.com"/>
    <s v="RAFAEL ESTEVES (RJ/SPI/SUL)"/>
    <n v="0"/>
    <n v="5"/>
    <n v="6"/>
    <n v="0"/>
    <n v="50"/>
  </r>
  <r>
    <x v="0"/>
    <x v="0"/>
    <x v="0"/>
    <n v="53221255004995"/>
    <x v="175"/>
    <s v="RIO DE JANEIRO"/>
    <s v="RJ"/>
    <s v="1-Setorizado"/>
    <n v="2"/>
    <x v="10"/>
    <s v="EVELINE GOULART - ESP - RJ"/>
    <s v="Especialidade"/>
    <s v="rafael.esteves@cslbehring.com"/>
    <s v="RAFAEL ESTEVES (RJ/SPI/SUL)"/>
    <n v="0"/>
    <n v="0"/>
    <n v="0"/>
    <n v="0"/>
    <n v="0"/>
  </r>
  <r>
    <x v="0"/>
    <x v="0"/>
    <x v="0"/>
    <n v="53221255004995"/>
    <x v="175"/>
    <s v="RIO DE JANEIRO"/>
    <s v="RJ"/>
    <s v="1-Setorizado"/>
    <n v="2"/>
    <x v="11"/>
    <s v="ROMEU SOARES - HSP - RJ"/>
    <s v="Hospitalar"/>
    <s v="rafael.esteves@cslbehring.com"/>
    <s v="RAFAEL ESTEVES (RJ/SPI/SUL)"/>
    <n v="0"/>
    <n v="0"/>
    <n v="2"/>
    <n v="0"/>
    <n v="0"/>
  </r>
  <r>
    <x v="0"/>
    <x v="0"/>
    <x v="0"/>
    <n v="60884855001630"/>
    <x v="176"/>
    <s v="RIO DE JANEIRO"/>
    <s v="RJ"/>
    <s v="1-Setorizado"/>
    <n v="2"/>
    <x v="10"/>
    <s v="EVELINE GOULART - ESP - RJ"/>
    <s v="Especialidade"/>
    <s v="rafael.esteves@cslbehring.com"/>
    <s v="RAFAEL ESTEVES (RJ/SPI/SUL)"/>
    <n v="0"/>
    <n v="0"/>
    <n v="0"/>
    <n v="0"/>
    <n v="375"/>
  </r>
  <r>
    <x v="0"/>
    <x v="0"/>
    <x v="0"/>
    <n v="60884855001630"/>
    <x v="176"/>
    <s v="RIO DE JANEIRO"/>
    <s v="RJ"/>
    <s v="1-Setorizado"/>
    <n v="2"/>
    <x v="12"/>
    <s v="MARCUS BASTOS - HSP - RJ"/>
    <s v="Hospitalar"/>
    <s v="rafael.esteves@cslbehring.com"/>
    <s v="RAFAEL ESTEVES (RJ/SPI/SUL)"/>
    <n v="0"/>
    <n v="9"/>
    <n v="25"/>
    <n v="0"/>
    <n v="375"/>
  </r>
  <r>
    <x v="0"/>
    <x v="0"/>
    <x v="0"/>
    <n v="18010750000100"/>
    <x v="177"/>
    <s v="RIO DE JANEIRO"/>
    <s v="RJ"/>
    <s v="1-Setorizado"/>
    <n v="2"/>
    <x v="10"/>
    <s v="EVELINE GOULART - ESP - RJ"/>
    <s v="Especialidade"/>
    <s v="rafael.esteves@cslbehring.com"/>
    <s v="RAFAEL ESTEVES (RJ/SPI/SUL)"/>
    <n v="0"/>
    <n v="0"/>
    <n v="0"/>
    <n v="0"/>
    <n v="150"/>
  </r>
  <r>
    <x v="0"/>
    <x v="0"/>
    <x v="0"/>
    <n v="18010750000100"/>
    <x v="177"/>
    <s v="RIO DE JANEIRO"/>
    <s v="RJ"/>
    <s v="1-Setorizado"/>
    <n v="2"/>
    <x v="12"/>
    <s v="MARCUS BASTOS - HSP - RJ"/>
    <s v="Hospitalar"/>
    <s v="rafael.esteves@cslbehring.com"/>
    <s v="RAFAEL ESTEVES (RJ/SPI/SUL)"/>
    <n v="0"/>
    <n v="0"/>
    <n v="0"/>
    <n v="0"/>
    <n v="150"/>
  </r>
  <r>
    <x v="0"/>
    <x v="0"/>
    <x v="0"/>
    <n v="33663683005347"/>
    <x v="178"/>
    <s v="RIO DE JANEIRO"/>
    <s v="RJ"/>
    <s v="1-Setorizado"/>
    <n v="2"/>
    <x v="10"/>
    <s v="EVELINE GOULART - ESP - RJ"/>
    <s v="Especialidade"/>
    <s v="rafael.esteves@cslbehring.com"/>
    <s v="RAFAEL ESTEVES (RJ/SPI/SUL)"/>
    <n v="0"/>
    <n v="0"/>
    <n v="0"/>
    <n v="0"/>
    <n v="800"/>
  </r>
  <r>
    <x v="0"/>
    <x v="0"/>
    <x v="0"/>
    <n v="33663683005347"/>
    <x v="178"/>
    <s v="RIO DE JANEIRO"/>
    <s v="RJ"/>
    <s v="1-Setorizado"/>
    <n v="2"/>
    <x v="12"/>
    <s v="MARCUS BASTOS - HSP - RJ"/>
    <s v="Hospitalar"/>
    <s v="rafael.esteves@cslbehring.com"/>
    <s v="RAFAEL ESTEVES (RJ/SPI/SUL)"/>
    <n v="0"/>
    <n v="0"/>
    <n v="0"/>
    <n v="0"/>
    <n v="800"/>
  </r>
  <r>
    <x v="0"/>
    <x v="0"/>
    <x v="0"/>
    <n v="33663683002674"/>
    <x v="179"/>
    <s v="RIO DE JANEIRO"/>
    <s v="RJ"/>
    <s v="1-Setorizado"/>
    <n v="2"/>
    <x v="10"/>
    <s v="EVELINE GOULART - ESP - RJ"/>
    <s v="Especialidade"/>
    <s v="rafael.esteves@cslbehring.com"/>
    <s v="RAFAEL ESTEVES (RJ/SPI/SUL)"/>
    <n v="0"/>
    <n v="0"/>
    <n v="0"/>
    <n v="0"/>
    <n v="0"/>
  </r>
  <r>
    <x v="0"/>
    <x v="0"/>
    <x v="0"/>
    <n v="33663683002674"/>
    <x v="179"/>
    <s v="RIO DE JANEIRO"/>
    <s v="RJ"/>
    <s v="1-Setorizado"/>
    <n v="2"/>
    <x v="11"/>
    <s v="ROMEU SOARES - HSP - RJ"/>
    <s v="Hospitalar"/>
    <s v="rafael.esteves@cslbehring.com"/>
    <s v="RAFAEL ESTEVES (RJ/SPI/SUL)"/>
    <n v="0"/>
    <n v="2"/>
    <n v="0"/>
    <n v="0"/>
    <n v="0"/>
  </r>
  <r>
    <x v="0"/>
    <x v="0"/>
    <x v="0"/>
    <n v="8850962000222"/>
    <x v="180"/>
    <s v="RIO DE JANEIRO"/>
    <s v="RJ"/>
    <s v="1-Setorizado"/>
    <n v="2"/>
    <x v="10"/>
    <s v="EVELINE GOULART - ESP - RJ"/>
    <s v="Especialidade"/>
    <s v="rafael.esteves@cslbehring.com"/>
    <s v="RAFAEL ESTEVES (RJ/SPI/SUL)"/>
    <n v="0"/>
    <n v="0"/>
    <n v="0"/>
    <n v="0"/>
    <n v="0"/>
  </r>
  <r>
    <x v="0"/>
    <x v="0"/>
    <x v="0"/>
    <n v="8850962000222"/>
    <x v="180"/>
    <s v="RIO DE JANEIRO"/>
    <s v="RJ"/>
    <s v="1-Setorizado"/>
    <n v="2"/>
    <x v="11"/>
    <s v="ROMEU SOARES - HSP - RJ"/>
    <s v="Hospitalar"/>
    <s v="rafael.esteves@cslbehring.com"/>
    <s v="RAFAEL ESTEVES (RJ/SPI/SUL)"/>
    <n v="0"/>
    <n v="1"/>
    <n v="1"/>
    <n v="0"/>
    <n v="0"/>
  </r>
  <r>
    <x v="0"/>
    <x v="0"/>
    <x v="0"/>
    <n v="33781055000216"/>
    <x v="181"/>
    <s v="RIO DE JANEIRO"/>
    <s v="RJ"/>
    <s v="1-Setorizado"/>
    <n v="2"/>
    <x v="10"/>
    <s v="EVELINE GOULART - ESP - RJ"/>
    <s v="Especialidade"/>
    <s v="rafael.esteves@cslbehring.com"/>
    <s v="RAFAEL ESTEVES (RJ/SPI/SUL)"/>
    <n v="0"/>
    <n v="0"/>
    <n v="0"/>
    <n v="0"/>
    <n v="270"/>
  </r>
  <r>
    <x v="0"/>
    <x v="0"/>
    <x v="0"/>
    <n v="33781055000216"/>
    <x v="181"/>
    <s v="RIO DE JANEIRO"/>
    <s v="RJ"/>
    <s v="1-Setorizado"/>
    <n v="2"/>
    <x v="11"/>
    <s v="ROMEU SOARES - HSP - RJ"/>
    <s v="Hospitalar"/>
    <s v="rafael.esteves@cslbehring.com"/>
    <s v="RAFAEL ESTEVES (RJ/SPI/SUL)"/>
    <n v="0"/>
    <n v="0"/>
    <n v="0"/>
    <n v="0"/>
    <n v="270"/>
  </r>
  <r>
    <x v="0"/>
    <x v="0"/>
    <x v="0"/>
    <n v="394544021344"/>
    <x v="182"/>
    <s v="RIO DE JANEIRO"/>
    <s v="RJ"/>
    <s v="1-Setorizado"/>
    <n v="2"/>
    <x v="10"/>
    <s v="EVELINE GOULART - ESP - RJ"/>
    <s v="Especialidade"/>
    <s v="rafael.esteves@cslbehring.com"/>
    <s v="RAFAEL ESTEVES (RJ/SPI/SUL)"/>
    <n v="0"/>
    <n v="0"/>
    <n v="0"/>
    <n v="0"/>
    <n v="0"/>
  </r>
  <r>
    <x v="0"/>
    <x v="0"/>
    <x v="0"/>
    <n v="394544021344"/>
    <x v="182"/>
    <s v="RIO DE JANEIRO"/>
    <s v="RJ"/>
    <s v="1-Setorizado"/>
    <n v="2"/>
    <x v="11"/>
    <s v="ROMEU SOARES - HSP - RJ"/>
    <s v="Hospitalar"/>
    <s v="rafael.esteves@cslbehring.com"/>
    <s v="RAFAEL ESTEVES (RJ/SPI/SUL)"/>
    <n v="0"/>
    <n v="70"/>
    <n v="190"/>
    <n v="0"/>
    <n v="0"/>
  </r>
  <r>
    <x v="0"/>
    <x v="0"/>
    <x v="0"/>
    <n v="33419482000259"/>
    <x v="183"/>
    <s v="RIO DE JANEIRO"/>
    <s v="RJ"/>
    <s v="1-Setorizado"/>
    <n v="2"/>
    <x v="10"/>
    <s v="EVELINE GOULART - ESP - RJ"/>
    <s v="Especialidade"/>
    <s v="rafael.esteves@cslbehring.com"/>
    <s v="RAFAEL ESTEVES (RJ/SPI/SUL)"/>
    <n v="0"/>
    <n v="0"/>
    <n v="0"/>
    <n v="0"/>
    <n v="10"/>
  </r>
  <r>
    <x v="0"/>
    <x v="0"/>
    <x v="0"/>
    <n v="33419482000259"/>
    <x v="183"/>
    <s v="RIO DE JANEIRO"/>
    <s v="RJ"/>
    <s v="1-Setorizado"/>
    <n v="2"/>
    <x v="11"/>
    <s v="ROMEU SOARES - HSP - RJ"/>
    <s v="Hospitalar"/>
    <s v="rafael.esteves@cslbehring.com"/>
    <s v="RAFAEL ESTEVES (RJ/SPI/SUL)"/>
    <n v="0"/>
    <n v="9"/>
    <n v="11"/>
    <n v="0"/>
    <n v="10"/>
  </r>
  <r>
    <x v="0"/>
    <x v="0"/>
    <x v="0"/>
    <n v="11114987760"/>
    <x v="184"/>
    <s v="RIO DE JANEIRO"/>
    <s v="RJ"/>
    <s v="1-Setorizado"/>
    <n v="2"/>
    <x v="10"/>
    <s v="EVELINE GOULART - ESP - RJ"/>
    <s v="Especialidade"/>
    <s v="rafael.esteves@cslbehring.com"/>
    <s v="RAFAEL ESTEVES (RJ/SPI/SUL)"/>
    <n v="0"/>
    <n v="0"/>
    <n v="0"/>
    <n v="0"/>
    <n v="15"/>
  </r>
  <r>
    <x v="0"/>
    <x v="0"/>
    <x v="0"/>
    <n v="11114987760"/>
    <x v="184"/>
    <s v="RIO DE JANEIRO"/>
    <s v="RJ"/>
    <s v="1-Setorizado"/>
    <n v="2"/>
    <x v="12"/>
    <s v="MARCUS BASTOS - HSP - RJ"/>
    <s v="Hospitalar"/>
    <s v="rafael.esteves@cslbehring.com"/>
    <s v="RAFAEL ESTEVES (RJ/SPI/SUL)"/>
    <n v="0"/>
    <n v="0"/>
    <n v="0"/>
    <n v="0"/>
    <n v="15"/>
  </r>
  <r>
    <x v="0"/>
    <x v="0"/>
    <x v="0"/>
    <n v="72101124000506"/>
    <x v="185"/>
    <s v="RIO DE JANEIRO"/>
    <s v="RJ"/>
    <s v="1-Setorizado"/>
    <n v="2"/>
    <x v="10"/>
    <s v="EVELINE GOULART - ESP - RJ"/>
    <s v="Especialidade"/>
    <s v="rafael.esteves@cslbehring.com"/>
    <s v="RAFAEL ESTEVES (RJ/SPI/SUL)"/>
    <n v="0"/>
    <n v="0"/>
    <n v="0"/>
    <n v="229"/>
    <n v="0"/>
  </r>
  <r>
    <x v="0"/>
    <x v="0"/>
    <x v="0"/>
    <n v="72101124000506"/>
    <x v="185"/>
    <s v="RIO DE JANEIRO"/>
    <s v="RJ"/>
    <s v="1-Setorizado"/>
    <n v="2"/>
    <x v="11"/>
    <s v="ROMEU SOARES - HSP - RJ"/>
    <s v="Hospitalar"/>
    <s v="rafael.esteves@cslbehring.com"/>
    <s v="RAFAEL ESTEVES (RJ/SPI/SUL)"/>
    <n v="0"/>
    <n v="0"/>
    <n v="0"/>
    <n v="0"/>
    <n v="0"/>
  </r>
  <r>
    <x v="0"/>
    <x v="0"/>
    <x v="0"/>
    <n v="28000107000159"/>
    <x v="186"/>
    <s v="RIO DE JANEIRO"/>
    <s v="RJ"/>
    <s v="1-Setorizado"/>
    <n v="2"/>
    <x v="10"/>
    <s v="EVELINE GOULART - ESP - RJ"/>
    <s v="Especialidade"/>
    <s v="rafael.esteves@cslbehring.com"/>
    <s v="RAFAEL ESTEVES (RJ/SPI/SUL)"/>
    <n v="0"/>
    <n v="0"/>
    <n v="0"/>
    <n v="150"/>
    <n v="120"/>
  </r>
  <r>
    <x v="0"/>
    <x v="0"/>
    <x v="0"/>
    <n v="28000107000159"/>
    <x v="186"/>
    <s v="RIO DE JANEIRO"/>
    <s v="RJ"/>
    <s v="1-Setorizado"/>
    <n v="2"/>
    <x v="11"/>
    <s v="ROMEU SOARES - HSP - RJ"/>
    <s v="Hospitalar"/>
    <s v="rafael.esteves@cslbehring.com"/>
    <s v="RAFAEL ESTEVES (RJ/SPI/SUL)"/>
    <n v="0"/>
    <n v="0"/>
    <n v="0"/>
    <n v="0"/>
    <n v="120"/>
  </r>
  <r>
    <x v="0"/>
    <x v="0"/>
    <x v="0"/>
    <n v="33000167000101"/>
    <x v="187"/>
    <s v="RIO DE JANEIRO"/>
    <s v="RJ"/>
    <s v="1-Setorizado"/>
    <n v="2"/>
    <x v="10"/>
    <s v="EVELINE GOULART - ESP - RJ"/>
    <s v="Especialidade"/>
    <s v="rafael.esteves@cslbehring.com"/>
    <s v="RAFAEL ESTEVES (RJ/SPI/SUL)"/>
    <n v="0"/>
    <n v="0"/>
    <n v="0"/>
    <n v="0"/>
    <n v="140"/>
  </r>
  <r>
    <x v="0"/>
    <x v="0"/>
    <x v="0"/>
    <n v="33000167000101"/>
    <x v="187"/>
    <s v="RIO DE JANEIRO"/>
    <s v="RJ"/>
    <s v="1-Setorizado"/>
    <n v="2"/>
    <x v="11"/>
    <s v="ROMEU SOARES - HSP - RJ"/>
    <s v="Hospitalar"/>
    <s v="rafael.esteves@cslbehring.com"/>
    <s v="RAFAEL ESTEVES (RJ/SPI/SUL)"/>
    <n v="0"/>
    <n v="0"/>
    <n v="0"/>
    <n v="0"/>
    <n v="140"/>
  </r>
  <r>
    <x v="0"/>
    <x v="0"/>
    <x v="0"/>
    <n v="9219138000584"/>
    <x v="188"/>
    <s v="RIO DE JANEIRO"/>
    <s v="RJ"/>
    <s v="1-Setorizado"/>
    <n v="2"/>
    <x v="10"/>
    <s v="EVELINE GOULART - ESP - RJ"/>
    <s v="Especialidade"/>
    <s v="rafael.esteves@cslbehring.com"/>
    <s v="RAFAEL ESTEVES (RJ/SPI/SUL)"/>
    <n v="0"/>
    <n v="0"/>
    <n v="0"/>
    <n v="84"/>
    <n v="420"/>
  </r>
  <r>
    <x v="0"/>
    <x v="0"/>
    <x v="0"/>
    <n v="9219138000584"/>
    <x v="188"/>
    <s v="RIO DE JANEIRO"/>
    <s v="RJ"/>
    <s v="1-Setorizado"/>
    <n v="2"/>
    <x v="12"/>
    <s v="MARCUS BASTOS - HSP - RJ"/>
    <s v="Hospitalar"/>
    <s v="rafael.esteves@cslbehring.com"/>
    <s v="RAFAEL ESTEVES (RJ/SPI/SUL)"/>
    <n v="0"/>
    <n v="0"/>
    <n v="4"/>
    <n v="0"/>
    <n v="420"/>
  </r>
  <r>
    <x v="0"/>
    <x v="0"/>
    <x v="0"/>
    <n v="28602407000108"/>
    <x v="189"/>
    <s v="RIO DE JANEIRO"/>
    <s v="RJ"/>
    <s v="1-Setorizado"/>
    <n v="2"/>
    <x v="10"/>
    <s v="EVELINE GOULART - ESP - RJ"/>
    <s v="Especialidade"/>
    <s v="rafael.esteves@cslbehring.com"/>
    <s v="RAFAEL ESTEVES (RJ/SPI/SUL)"/>
    <n v="0"/>
    <n v="0"/>
    <n v="0"/>
    <n v="0"/>
    <n v="0"/>
  </r>
  <r>
    <x v="0"/>
    <x v="0"/>
    <x v="0"/>
    <n v="28602407000108"/>
    <x v="189"/>
    <s v="RIO DE JANEIRO"/>
    <s v="RJ"/>
    <s v="1-Setorizado"/>
    <n v="2"/>
    <x v="11"/>
    <s v="ROMEU SOARES - HSP - RJ"/>
    <s v="Hospitalar"/>
    <s v="rafael.esteves@cslbehring.com"/>
    <s v="RAFAEL ESTEVES (RJ/SPI/SUL)"/>
    <n v="0"/>
    <n v="1"/>
    <n v="0"/>
    <n v="0"/>
    <n v="0"/>
  </r>
  <r>
    <x v="0"/>
    <x v="0"/>
    <x v="0"/>
    <n v="12361267009140"/>
    <x v="190"/>
    <s v="MOSSORO"/>
    <s v="RN"/>
    <s v="1-Setorizado"/>
    <n v="2"/>
    <x v="0"/>
    <s v="VALERIA BRAGA - ESP - (CE/MA/PI/BA/AL/SE/PB/PE/RN)"/>
    <s v="Especialidade"/>
    <s v="fernando.leony@cslbehring.com"/>
    <s v="FERNANDO LEONY (CO/NO/NE)"/>
    <n v="0"/>
    <n v="0"/>
    <n v="0"/>
    <n v="0"/>
    <n v="10"/>
  </r>
  <r>
    <x v="0"/>
    <x v="0"/>
    <x v="0"/>
    <n v="12361267009140"/>
    <x v="190"/>
    <s v="MOSSORO"/>
    <s v="RN"/>
    <s v="1-Setorizado"/>
    <n v="2"/>
    <x v="7"/>
    <s v="LENILSON SILVA - HSP - PB/PE/RN"/>
    <s v="Hospitalar"/>
    <s v="fernando.leony@cslbehring.com"/>
    <s v="FERNANDO LEONY (CO/NO/NE)"/>
    <n v="0"/>
    <n v="0"/>
    <n v="0"/>
    <n v="0"/>
    <n v="10"/>
  </r>
  <r>
    <x v="0"/>
    <x v="0"/>
    <x v="0"/>
    <n v="8319329000121"/>
    <x v="191"/>
    <s v="NATAL"/>
    <s v="RN"/>
    <s v="1-Setorizado"/>
    <n v="2"/>
    <x v="0"/>
    <s v="VALERIA BRAGA - ESP - (CE/MA/PI/BA/AL/SE/PB/PE/RN)"/>
    <s v="Especialidade"/>
    <s v="fernando.leony@cslbehring.com"/>
    <s v="FERNANDO LEONY (CO/NO/NE)"/>
    <n v="0"/>
    <n v="0"/>
    <n v="0"/>
    <n v="0"/>
    <n v="0"/>
  </r>
  <r>
    <x v="0"/>
    <x v="0"/>
    <x v="0"/>
    <n v="8319329000121"/>
    <x v="191"/>
    <s v="NATAL"/>
    <s v="RN"/>
    <s v="1-Setorizado"/>
    <n v="2"/>
    <x v="7"/>
    <s v="LENILSON SILVA - HSP - PB/PE/RN"/>
    <s v="Hospitalar"/>
    <s v="fernando.leony@cslbehring.com"/>
    <s v="FERNANDO LEONY (CO/NO/NE)"/>
    <n v="0"/>
    <n v="4"/>
    <n v="0"/>
    <n v="0"/>
    <n v="0"/>
  </r>
  <r>
    <x v="0"/>
    <x v="0"/>
    <x v="0"/>
    <n v="15126437000739"/>
    <x v="192"/>
    <s v="NATAL"/>
    <s v="RN"/>
    <s v="1-Setorizado"/>
    <n v="2"/>
    <x v="0"/>
    <s v="VALERIA BRAGA - ESP - (CE/MA/PI/BA/AL/SE/PB/PE/RN)"/>
    <s v="Especialidade"/>
    <s v="fernando.leony@cslbehring.com"/>
    <s v="FERNANDO LEONY (CO/NO/NE)"/>
    <n v="0"/>
    <n v="0"/>
    <n v="0"/>
    <n v="0"/>
    <n v="0"/>
  </r>
  <r>
    <x v="0"/>
    <x v="0"/>
    <x v="0"/>
    <n v="15126437000739"/>
    <x v="192"/>
    <s v="NATAL"/>
    <s v="RN"/>
    <s v="1-Setorizado"/>
    <n v="2"/>
    <x v="7"/>
    <s v="LENILSON SILVA - HSP - PB/PE/RN"/>
    <s v="Hospitalar"/>
    <s v="fernando.leony@cslbehring.com"/>
    <s v="FERNANDO LEONY (CO/NO/NE)"/>
    <n v="0"/>
    <n v="100"/>
    <n v="0"/>
    <n v="0"/>
    <n v="0"/>
  </r>
  <r>
    <x v="0"/>
    <x v="0"/>
    <x v="0"/>
    <n v="29435005009851"/>
    <x v="193"/>
    <s v="NATAL"/>
    <s v="RN"/>
    <s v="1-Setorizado"/>
    <n v="2"/>
    <x v="0"/>
    <s v="VALERIA BRAGA - ESP - (CE/MA/PI/BA/AL/SE/PB/PE/RN)"/>
    <s v="Especialidade"/>
    <s v="fernando.leony@cslbehring.com"/>
    <s v="FERNANDO LEONY (CO/NO/NE)"/>
    <n v="0"/>
    <n v="0"/>
    <n v="0"/>
    <n v="0"/>
    <n v="175"/>
  </r>
  <r>
    <x v="0"/>
    <x v="0"/>
    <x v="0"/>
    <n v="29435005009851"/>
    <x v="193"/>
    <s v="NATAL"/>
    <s v="RN"/>
    <s v="1-Setorizado"/>
    <n v="2"/>
    <x v="7"/>
    <s v="LENILSON SILVA - HSP - PB/PE/RN"/>
    <s v="Hospitalar"/>
    <s v="fernando.leony@cslbehring.com"/>
    <s v="FERNANDO LEONY (CO/NO/NE)"/>
    <n v="0"/>
    <n v="15"/>
    <n v="0"/>
    <n v="0"/>
    <n v="175"/>
  </r>
  <r>
    <x v="0"/>
    <x v="0"/>
    <x v="0"/>
    <n v="8337586000196"/>
    <x v="194"/>
    <s v="NATAL"/>
    <s v="RN"/>
    <s v="1-Setorizado"/>
    <n v="2"/>
    <x v="0"/>
    <s v="VALERIA BRAGA - ESP - (CE/MA/PI/BA/AL/SE/PB/PE/RN)"/>
    <s v="Especialidade"/>
    <s v="fernando.leony@cslbehring.com"/>
    <s v="FERNANDO LEONY (CO/NO/NE)"/>
    <n v="0"/>
    <n v="0"/>
    <n v="0"/>
    <n v="0"/>
    <n v="0"/>
  </r>
  <r>
    <x v="0"/>
    <x v="0"/>
    <x v="0"/>
    <n v="8337586000196"/>
    <x v="194"/>
    <s v="NATAL"/>
    <s v="RN"/>
    <s v="1-Setorizado"/>
    <n v="2"/>
    <x v="7"/>
    <s v="LENILSON SILVA - HSP - PB/PE/RN"/>
    <s v="Hospitalar"/>
    <s v="fernando.leony@cslbehring.com"/>
    <s v="FERNANDO LEONY (CO/NO/NE)"/>
    <n v="0"/>
    <n v="1"/>
    <n v="0"/>
    <n v="0"/>
    <n v="0"/>
  </r>
  <r>
    <x v="0"/>
    <x v="0"/>
    <x v="0"/>
    <n v="820737000150"/>
    <x v="195"/>
    <s v="NATAL"/>
    <s v="RN"/>
    <s v="1-Setorizado"/>
    <n v="2"/>
    <x v="0"/>
    <s v="VALERIA BRAGA - ESP - (CE/MA/PI/BA/AL/SE/PB/PE/RN)"/>
    <s v="Especialidade"/>
    <s v="fernando.leony@cslbehring.com"/>
    <s v="FERNANDO LEONY (CO/NO/NE)"/>
    <n v="0"/>
    <n v="0"/>
    <n v="0"/>
    <n v="0"/>
    <n v="0"/>
  </r>
  <r>
    <x v="0"/>
    <x v="0"/>
    <x v="0"/>
    <n v="820737000150"/>
    <x v="195"/>
    <s v="NATAL"/>
    <s v="RN"/>
    <s v="1-Setorizado"/>
    <n v="2"/>
    <x v="7"/>
    <s v="LENILSON SILVA - HSP - PB/PE/RN"/>
    <s v="Hospitalar"/>
    <s v="fernando.leony@cslbehring.com"/>
    <s v="FERNANDO LEONY (CO/NO/NE)"/>
    <n v="0"/>
    <n v="30"/>
    <n v="0"/>
    <n v="0"/>
    <n v="0"/>
  </r>
  <r>
    <x v="0"/>
    <x v="0"/>
    <x v="0"/>
    <n v="8380701000610"/>
    <x v="196"/>
    <s v="NATAL"/>
    <s v="RN"/>
    <s v="1-Setorizado"/>
    <n v="2"/>
    <x v="0"/>
    <s v="VALERIA BRAGA - ESP - (CE/MA/PI/BA/AL/SE/PB/PE/RN)"/>
    <s v="Especialidade"/>
    <s v="fernando.leony@cslbehring.com"/>
    <s v="FERNANDO LEONY (CO/NO/NE)"/>
    <n v="0"/>
    <n v="0"/>
    <n v="0"/>
    <n v="0"/>
    <n v="250"/>
  </r>
  <r>
    <x v="0"/>
    <x v="0"/>
    <x v="0"/>
    <n v="8380701000610"/>
    <x v="196"/>
    <s v="NATAL"/>
    <s v="RN"/>
    <s v="1-Setorizado"/>
    <n v="2"/>
    <x v="7"/>
    <s v="LENILSON SILVA - HSP - PB/PE/RN"/>
    <s v="Hospitalar"/>
    <s v="fernando.leony@cslbehring.com"/>
    <s v="FERNANDO LEONY (CO/NO/NE)"/>
    <n v="0"/>
    <n v="0"/>
    <n v="0"/>
    <n v="0"/>
    <n v="250"/>
  </r>
  <r>
    <x v="0"/>
    <x v="0"/>
    <x v="0"/>
    <n v="1507901000137"/>
    <x v="197"/>
    <s v="NATAL"/>
    <s v="RN"/>
    <s v="1-Setorizado"/>
    <n v="2"/>
    <x v="0"/>
    <s v="VALERIA BRAGA - ESP - (CE/MA/PI/BA/AL/SE/PB/PE/RN)"/>
    <s v="Especialidade"/>
    <s v="fernando.leony@cslbehring.com"/>
    <s v="FERNANDO LEONY (CO/NO/NE)"/>
    <n v="0"/>
    <n v="0"/>
    <n v="0"/>
    <n v="0"/>
    <n v="0"/>
  </r>
  <r>
    <x v="0"/>
    <x v="0"/>
    <x v="0"/>
    <n v="1507901000137"/>
    <x v="197"/>
    <s v="NATAL"/>
    <s v="RN"/>
    <s v="1-Setorizado"/>
    <n v="2"/>
    <x v="7"/>
    <s v="LENILSON SILVA - HSP - PB/PE/RN"/>
    <s v="Hospitalar"/>
    <s v="fernando.leony@cslbehring.com"/>
    <s v="FERNANDO LEONY (CO/NO/NE)"/>
    <n v="0"/>
    <n v="10"/>
    <n v="3"/>
    <n v="0"/>
    <n v="0"/>
  </r>
  <r>
    <x v="0"/>
    <x v="0"/>
    <x v="0"/>
    <n v="87547444000120"/>
    <x v="198"/>
    <s v="BENTO GONCALVES"/>
    <s v="RS"/>
    <s v="1-Setorizado"/>
    <n v="2"/>
    <x v="8"/>
    <s v="MICHELE MORAES - ESP - PR/SC/RS"/>
    <s v="Especialidade"/>
    <s v="rafael.esteves@cslbehring.com"/>
    <s v="RAFAEL ESTEVES (RJ/SPI/SUL)"/>
    <n v="0"/>
    <n v="0"/>
    <n v="0"/>
    <n v="0"/>
    <n v="0"/>
  </r>
  <r>
    <x v="0"/>
    <x v="0"/>
    <x v="0"/>
    <n v="87547444000120"/>
    <x v="198"/>
    <s v="BENTO GONCALVES"/>
    <s v="RS"/>
    <s v="1-Setorizado"/>
    <n v="2"/>
    <x v="13"/>
    <s v="ALINE FONSECA - HSP - RS"/>
    <s v="Hospitalar"/>
    <s v="rafael.esteves@cslbehring.com"/>
    <s v="RAFAEL ESTEVES (RJ/SPI/SUL)"/>
    <n v="0"/>
    <n v="2"/>
    <n v="0"/>
    <n v="0"/>
    <n v="0"/>
  </r>
  <r>
    <x v="0"/>
    <x v="0"/>
    <x v="0"/>
    <n v="87827689002405"/>
    <x v="199"/>
    <s v="CAXIAS DO SUL"/>
    <s v="RS"/>
    <s v="1-Setorizado"/>
    <n v="2"/>
    <x v="8"/>
    <s v="MICHELE MORAES - ESP - PR/SC/RS"/>
    <s v="Especialidade"/>
    <s v="rafael.esteves@cslbehring.com"/>
    <s v="RAFAEL ESTEVES (RJ/SPI/SUL)"/>
    <n v="0"/>
    <n v="0"/>
    <n v="0"/>
    <n v="38"/>
    <n v="90"/>
  </r>
  <r>
    <x v="0"/>
    <x v="0"/>
    <x v="0"/>
    <n v="87827689002405"/>
    <x v="199"/>
    <s v="CAXIAS DO SUL"/>
    <s v="RS"/>
    <s v="1-Setorizado"/>
    <n v="2"/>
    <x v="13"/>
    <s v="ALINE FONSECA - HSP - RS"/>
    <s v="Hospitalar"/>
    <s v="rafael.esteves@cslbehring.com"/>
    <s v="RAFAEL ESTEVES (RJ/SPI/SUL)"/>
    <n v="0"/>
    <n v="0"/>
    <n v="0"/>
    <n v="0"/>
    <n v="90"/>
  </r>
  <r>
    <x v="0"/>
    <x v="0"/>
    <x v="0"/>
    <n v="1140803000104"/>
    <x v="200"/>
    <s v="CAXIAS DO SUL"/>
    <s v="RS"/>
    <s v="1-Setorizado"/>
    <n v="2"/>
    <x v="8"/>
    <s v="MICHELE MORAES - ESP - PR/SC/RS"/>
    <s v="Especialidade"/>
    <s v="rafael.esteves@cslbehring.com"/>
    <s v="RAFAEL ESTEVES (RJ/SPI/SUL)"/>
    <n v="0"/>
    <n v="0"/>
    <n v="0"/>
    <n v="32"/>
    <n v="0"/>
  </r>
  <r>
    <x v="0"/>
    <x v="0"/>
    <x v="0"/>
    <n v="1140803000104"/>
    <x v="200"/>
    <s v="CAXIAS DO SUL"/>
    <s v="RS"/>
    <s v="1-Setorizado"/>
    <n v="2"/>
    <x v="13"/>
    <s v="ALINE FONSECA - HSP - RS"/>
    <s v="Hospitalar"/>
    <s v="rafael.esteves@cslbehring.com"/>
    <s v="RAFAEL ESTEVES (RJ/SPI/SUL)"/>
    <n v="0"/>
    <n v="0"/>
    <n v="0"/>
    <n v="0"/>
    <n v="0"/>
  </r>
  <r>
    <x v="0"/>
    <x v="0"/>
    <x v="0"/>
    <n v="9572216000287"/>
    <x v="201"/>
    <s v="CRUZ ALTA"/>
    <s v="RS"/>
    <s v="1-Setorizado"/>
    <n v="2"/>
    <x v="8"/>
    <s v="MICHELE MORAES - ESP - PR/SC/RS"/>
    <s v="Especialidade"/>
    <s v="rafael.esteves@cslbehring.com"/>
    <s v="RAFAEL ESTEVES (RJ/SPI/SUL)"/>
    <n v="0"/>
    <n v="0"/>
    <n v="0"/>
    <n v="0"/>
    <n v="90"/>
  </r>
  <r>
    <x v="0"/>
    <x v="0"/>
    <x v="0"/>
    <n v="9572216000287"/>
    <x v="201"/>
    <s v="CRUZ ALTA"/>
    <s v="RS"/>
    <s v="1-Setorizado"/>
    <n v="2"/>
    <x v="13"/>
    <s v="ALINE FONSECA - HSP - RS"/>
    <s v="Hospitalar"/>
    <s v="rafael.esteves@cslbehring.com"/>
    <s v="RAFAEL ESTEVES (RJ/SPI/SUL)"/>
    <n v="0"/>
    <n v="0"/>
    <n v="0"/>
    <n v="0"/>
    <n v="90"/>
  </r>
  <r>
    <x v="0"/>
    <x v="0"/>
    <x v="0"/>
    <n v="92021062000360"/>
    <x v="202"/>
    <s v="PASSO FUNDO"/>
    <s v="RS"/>
    <s v="1-Setorizado"/>
    <n v="2"/>
    <x v="8"/>
    <s v="MICHELE MORAES - ESP - PR/SC/RS"/>
    <s v="Especialidade"/>
    <s v="rafael.esteves@cslbehring.com"/>
    <s v="RAFAEL ESTEVES (RJ/SPI/SUL)"/>
    <n v="0"/>
    <n v="0"/>
    <n v="0"/>
    <n v="144"/>
    <n v="0"/>
  </r>
  <r>
    <x v="0"/>
    <x v="0"/>
    <x v="0"/>
    <n v="92021062000360"/>
    <x v="202"/>
    <s v="PASSO FUNDO"/>
    <s v="RS"/>
    <s v="1-Setorizado"/>
    <n v="2"/>
    <x v="13"/>
    <s v="ALINE FONSECA - HSP - RS"/>
    <s v="Hospitalar"/>
    <s v="rafael.esteves@cslbehring.com"/>
    <s v="RAFAEL ESTEVES (RJ/SPI/SUL)"/>
    <n v="0"/>
    <n v="0"/>
    <n v="0"/>
    <n v="0"/>
    <n v="0"/>
  </r>
  <r>
    <x v="0"/>
    <x v="0"/>
    <x v="0"/>
    <n v="87607149000626"/>
    <x v="203"/>
    <s v="PASSO FUNDO"/>
    <s v="RS"/>
    <s v="1-Setorizado"/>
    <n v="2"/>
    <x v="8"/>
    <s v="MICHELE MORAES - ESP - PR/SC/RS"/>
    <s v="Especialidade"/>
    <s v="rafael.esteves@cslbehring.com"/>
    <s v="RAFAEL ESTEVES (RJ/SPI/SUL)"/>
    <n v="0"/>
    <n v="0"/>
    <n v="0"/>
    <n v="0"/>
    <n v="240"/>
  </r>
  <r>
    <x v="0"/>
    <x v="0"/>
    <x v="0"/>
    <n v="87607149000626"/>
    <x v="203"/>
    <s v="PASSO FUNDO"/>
    <s v="RS"/>
    <s v="1-Setorizado"/>
    <n v="2"/>
    <x v="13"/>
    <s v="ALINE FONSECA - HSP - RS"/>
    <s v="Hospitalar"/>
    <s v="rafael.esteves@cslbehring.com"/>
    <s v="RAFAEL ESTEVES (RJ/SPI/SUL)"/>
    <n v="0"/>
    <n v="0"/>
    <n v="0"/>
    <n v="0"/>
    <n v="240"/>
  </r>
  <r>
    <x v="0"/>
    <x v="0"/>
    <x v="0"/>
    <n v="92685833000151"/>
    <x v="204"/>
    <s v="PORTO ALEGRE"/>
    <s v="RS"/>
    <s v="1-Setorizado"/>
    <n v="2"/>
    <x v="8"/>
    <s v="MICHELE MORAES - ESP - PR/SC/RS"/>
    <s v="Especialidade"/>
    <s v="rafael.esteves@cslbehring.com"/>
    <s v="RAFAEL ESTEVES (RJ/SPI/SUL)"/>
    <n v="0"/>
    <n v="0"/>
    <n v="0"/>
    <n v="4"/>
    <n v="0"/>
  </r>
  <r>
    <x v="0"/>
    <x v="0"/>
    <x v="0"/>
    <n v="92685833000151"/>
    <x v="204"/>
    <s v="PORTO ALEGRE"/>
    <s v="RS"/>
    <s v="1-Setorizado"/>
    <n v="2"/>
    <x v="13"/>
    <s v="ALINE FONSECA - HSP - RS"/>
    <s v="Hospitalar"/>
    <s v="rafael.esteves@cslbehring.com"/>
    <s v="RAFAEL ESTEVES (RJ/SPI/SUL)"/>
    <n v="0"/>
    <n v="16"/>
    <n v="40"/>
    <n v="0"/>
    <n v="0"/>
  </r>
  <r>
    <x v="0"/>
    <x v="0"/>
    <x v="0"/>
    <n v="92898550000198"/>
    <x v="205"/>
    <s v="PORTO ALEGRE"/>
    <s v="RS"/>
    <s v="1-Setorizado"/>
    <n v="2"/>
    <x v="8"/>
    <s v="MICHELE MORAES - ESP - PR/SC/RS"/>
    <s v="Especialidade"/>
    <s v="rafael.esteves@cslbehring.com"/>
    <s v="RAFAEL ESTEVES (RJ/SPI/SUL)"/>
    <n v="0"/>
    <n v="0"/>
    <n v="0"/>
    <n v="0"/>
    <n v="0"/>
  </r>
  <r>
    <x v="0"/>
    <x v="0"/>
    <x v="0"/>
    <n v="92898550000198"/>
    <x v="205"/>
    <s v="PORTO ALEGRE"/>
    <s v="RS"/>
    <s v="1-Setorizado"/>
    <n v="2"/>
    <x v="13"/>
    <s v="ALINE FONSECA - HSP - RS"/>
    <s v="Hospitalar"/>
    <s v="rafael.esteves@cslbehring.com"/>
    <s v="RAFAEL ESTEVES (RJ/SPI/SUL)"/>
    <n v="0"/>
    <n v="14"/>
    <n v="0"/>
    <n v="0"/>
    <n v="0"/>
  </r>
  <r>
    <x v="0"/>
    <x v="0"/>
    <x v="0"/>
    <n v="26947257000149"/>
    <x v="206"/>
    <s v="PORTO ALEGRE"/>
    <s v="RS"/>
    <s v="1-Setorizado"/>
    <n v="2"/>
    <x v="8"/>
    <s v="MICHELE MORAES - ESP - PR/SC/RS"/>
    <s v="Especialidade"/>
    <s v="rafael.esteves@cslbehring.com"/>
    <s v="RAFAEL ESTEVES (RJ/SPI/SUL)"/>
    <n v="0"/>
    <n v="0"/>
    <n v="0"/>
    <n v="0"/>
    <n v="0"/>
  </r>
  <r>
    <x v="0"/>
    <x v="0"/>
    <x v="0"/>
    <n v="26947257000149"/>
    <x v="206"/>
    <s v="PORTO ALEGRE"/>
    <s v="RS"/>
    <s v="1-Setorizado"/>
    <n v="2"/>
    <x v="13"/>
    <s v="ALINE FONSECA - HSP - RS"/>
    <s v="Hospitalar"/>
    <s v="rafael.esteves@cslbehring.com"/>
    <s v="RAFAEL ESTEVES (RJ/SPI/SUL)"/>
    <n v="0"/>
    <n v="0"/>
    <n v="6"/>
    <n v="0"/>
    <n v="0"/>
  </r>
  <r>
    <x v="0"/>
    <x v="0"/>
    <x v="0"/>
    <n v="92787118000391"/>
    <x v="207"/>
    <s v="PORTO ALEGRE"/>
    <s v="RS"/>
    <s v="1-Setorizado"/>
    <n v="2"/>
    <x v="8"/>
    <s v="MICHELE MORAES - ESP - PR/SC/RS"/>
    <s v="Especialidade"/>
    <s v="rafael.esteves@cslbehring.com"/>
    <s v="RAFAEL ESTEVES (RJ/SPI/SUL)"/>
    <n v="0"/>
    <n v="0"/>
    <n v="0"/>
    <n v="0"/>
    <n v="0"/>
  </r>
  <r>
    <x v="0"/>
    <x v="0"/>
    <x v="0"/>
    <n v="92787118000391"/>
    <x v="207"/>
    <s v="PORTO ALEGRE"/>
    <s v="RS"/>
    <s v="1-Setorizado"/>
    <n v="2"/>
    <x v="13"/>
    <s v="ALINE FONSECA - HSP - RS"/>
    <s v="Hospitalar"/>
    <s v="rafael.esteves@cslbehring.com"/>
    <s v="RAFAEL ESTEVES (RJ/SPI/SUL)"/>
    <n v="0"/>
    <n v="12"/>
    <n v="0"/>
    <n v="0"/>
    <n v="0"/>
  </r>
  <r>
    <x v="0"/>
    <x v="0"/>
    <x v="0"/>
    <n v="87020517000120"/>
    <x v="208"/>
    <s v="PORTO ALEGRE"/>
    <s v="RS"/>
    <s v="1-Setorizado"/>
    <n v="2"/>
    <x v="8"/>
    <s v="MICHELE MORAES - ESP - PR/SC/RS"/>
    <s v="Especialidade"/>
    <s v="rafael.esteves@cslbehring.com"/>
    <s v="RAFAEL ESTEVES (RJ/SPI/SUL)"/>
    <n v="0"/>
    <n v="0"/>
    <n v="0"/>
    <n v="0"/>
    <n v="0"/>
  </r>
  <r>
    <x v="0"/>
    <x v="0"/>
    <x v="0"/>
    <n v="87020517000120"/>
    <x v="208"/>
    <s v="PORTO ALEGRE"/>
    <s v="RS"/>
    <s v="1-Setorizado"/>
    <n v="2"/>
    <x v="13"/>
    <s v="ALINE FONSECA - HSP - RS"/>
    <s v="Hospitalar"/>
    <s v="rafael.esteves@cslbehring.com"/>
    <s v="RAFAEL ESTEVES (RJ/SPI/SUL)"/>
    <n v="0"/>
    <n v="10"/>
    <n v="25"/>
    <n v="0"/>
    <n v="0"/>
  </r>
  <r>
    <x v="0"/>
    <x v="0"/>
    <x v="0"/>
    <n v="87317764001084"/>
    <x v="209"/>
    <s v="PORTO ALEGRE"/>
    <s v="RS"/>
    <s v="1-Setorizado"/>
    <n v="2"/>
    <x v="8"/>
    <s v="MICHELE MORAES - ESP - PR/SC/RS"/>
    <s v="Especialidade"/>
    <s v="rafael.esteves@cslbehring.com"/>
    <s v="RAFAEL ESTEVES (RJ/SPI/SUL)"/>
    <n v="0"/>
    <n v="0"/>
    <n v="0"/>
    <n v="0"/>
    <n v="330"/>
  </r>
  <r>
    <x v="0"/>
    <x v="0"/>
    <x v="0"/>
    <n v="87317764001084"/>
    <x v="209"/>
    <s v="PORTO ALEGRE"/>
    <s v="RS"/>
    <s v="1-Setorizado"/>
    <n v="2"/>
    <x v="13"/>
    <s v="ALINE FONSECA - HSP - RS"/>
    <s v="Hospitalar"/>
    <s v="rafael.esteves@cslbehring.com"/>
    <s v="RAFAEL ESTEVES (RJ/SPI/SUL)"/>
    <n v="0"/>
    <n v="0"/>
    <n v="0"/>
    <n v="0"/>
    <n v="330"/>
  </r>
  <r>
    <x v="0"/>
    <x v="0"/>
    <x v="0"/>
    <n v="92741016000254"/>
    <x v="210"/>
    <s v="PORTO ALEGRE"/>
    <s v="RS"/>
    <s v="1-Setorizado"/>
    <n v="2"/>
    <x v="8"/>
    <s v="MICHELE MORAES - ESP - PR/SC/RS"/>
    <s v="Especialidade"/>
    <s v="rafael.esteves@cslbehring.com"/>
    <s v="RAFAEL ESTEVES (RJ/SPI/SUL)"/>
    <n v="0"/>
    <n v="0"/>
    <n v="0"/>
    <n v="0"/>
    <n v="0"/>
  </r>
  <r>
    <x v="0"/>
    <x v="0"/>
    <x v="0"/>
    <n v="92741016000254"/>
    <x v="210"/>
    <s v="PORTO ALEGRE"/>
    <s v="RS"/>
    <s v="1-Setorizado"/>
    <n v="2"/>
    <x v="13"/>
    <s v="ALINE FONSECA - HSP - RS"/>
    <s v="Hospitalar"/>
    <s v="rafael.esteves@cslbehring.com"/>
    <s v="RAFAEL ESTEVES (RJ/SPI/SUL)"/>
    <n v="0"/>
    <n v="5"/>
    <n v="0"/>
    <n v="0"/>
    <n v="0"/>
  </r>
  <r>
    <x v="0"/>
    <x v="0"/>
    <x v="0"/>
    <n v="88625686002443"/>
    <x v="211"/>
    <s v="PORTO ALEGRE"/>
    <s v="RS"/>
    <s v="1-Setorizado"/>
    <n v="2"/>
    <x v="8"/>
    <s v="MICHELE MORAES - ESP - PR/SC/RS"/>
    <s v="Especialidade"/>
    <s v="rafael.esteves@cslbehring.com"/>
    <s v="RAFAEL ESTEVES (RJ/SPI/SUL)"/>
    <n v="0"/>
    <n v="0"/>
    <n v="0"/>
    <n v="0"/>
    <n v="0"/>
  </r>
  <r>
    <x v="0"/>
    <x v="0"/>
    <x v="0"/>
    <n v="88625686002443"/>
    <x v="211"/>
    <s v="PORTO ALEGRE"/>
    <s v="RS"/>
    <s v="1-Setorizado"/>
    <n v="2"/>
    <x v="13"/>
    <s v="ALINE FONSECA - HSP - RS"/>
    <s v="Hospitalar"/>
    <s v="rafael.esteves@cslbehring.com"/>
    <s v="RAFAEL ESTEVES (RJ/SPI/SUL)"/>
    <n v="0"/>
    <n v="24"/>
    <n v="5"/>
    <n v="0"/>
    <n v="0"/>
  </r>
  <r>
    <x v="0"/>
    <x v="0"/>
    <x v="0"/>
    <n v="88630413000796"/>
    <x v="212"/>
    <s v="PORTO ALEGRE"/>
    <s v="RS"/>
    <s v="1-Setorizado"/>
    <n v="2"/>
    <x v="8"/>
    <s v="MICHELE MORAES - ESP - PR/SC/RS"/>
    <s v="Especialidade"/>
    <s v="rafael.esteves@cslbehring.com"/>
    <s v="RAFAEL ESTEVES (RJ/SPI/SUL)"/>
    <n v="0"/>
    <n v="0"/>
    <n v="0"/>
    <n v="0"/>
    <n v="0"/>
  </r>
  <r>
    <x v="0"/>
    <x v="0"/>
    <x v="0"/>
    <n v="88630413000796"/>
    <x v="212"/>
    <s v="PORTO ALEGRE"/>
    <s v="RS"/>
    <s v="1-Setorizado"/>
    <n v="2"/>
    <x v="13"/>
    <s v="ALINE FONSECA - HSP - RS"/>
    <s v="Hospitalar"/>
    <s v="rafael.esteves@cslbehring.com"/>
    <s v="RAFAEL ESTEVES (RJ/SPI/SUL)"/>
    <n v="0"/>
    <n v="6"/>
    <n v="14"/>
    <n v="0"/>
    <n v="0"/>
  </r>
  <r>
    <x v="0"/>
    <x v="0"/>
    <x v="0"/>
    <n v="94831294000147"/>
    <x v="213"/>
    <s v="PORTO ALEGRE"/>
    <s v="RS"/>
    <s v="1-Setorizado"/>
    <n v="2"/>
    <x v="8"/>
    <s v="MICHELE MORAES - ESP - PR/SC/RS"/>
    <s v="Especialidade"/>
    <s v="rafael.esteves@cslbehring.com"/>
    <s v="RAFAEL ESTEVES (RJ/SPI/SUL)"/>
    <n v="0"/>
    <n v="0"/>
    <n v="0"/>
    <n v="0"/>
    <n v="30"/>
  </r>
  <r>
    <x v="0"/>
    <x v="0"/>
    <x v="0"/>
    <n v="94831294000147"/>
    <x v="213"/>
    <s v="PORTO ALEGRE"/>
    <s v="RS"/>
    <s v="1-Setorizado"/>
    <n v="2"/>
    <x v="13"/>
    <s v="ALINE FONSECA - HSP - RS"/>
    <s v="Hospitalar"/>
    <s v="rafael.esteves@cslbehring.com"/>
    <s v="RAFAEL ESTEVES (RJ/SPI/SUL)"/>
    <n v="0"/>
    <n v="0"/>
    <n v="0"/>
    <n v="0"/>
    <n v="30"/>
  </r>
  <r>
    <x v="0"/>
    <x v="0"/>
    <x v="0"/>
    <n v="92815000000168"/>
    <x v="214"/>
    <s v="PORTO ALEGRE"/>
    <s v="RS"/>
    <s v="1-Setorizado"/>
    <n v="2"/>
    <x v="8"/>
    <s v="MICHELE MORAES - ESP - PR/SC/RS"/>
    <s v="Especialidade"/>
    <s v="rafael.esteves@cslbehring.com"/>
    <s v="RAFAEL ESTEVES (RJ/SPI/SUL)"/>
    <n v="0"/>
    <n v="0"/>
    <n v="0"/>
    <n v="38"/>
    <n v="0"/>
  </r>
  <r>
    <x v="0"/>
    <x v="0"/>
    <x v="0"/>
    <n v="92815000000168"/>
    <x v="214"/>
    <s v="PORTO ALEGRE"/>
    <s v="RS"/>
    <s v="1-Setorizado"/>
    <n v="2"/>
    <x v="13"/>
    <s v="ALINE FONSECA - HSP - RS"/>
    <s v="Hospitalar"/>
    <s v="rafael.esteves@cslbehring.com"/>
    <s v="RAFAEL ESTEVES (RJ/SPI/SUL)"/>
    <n v="0"/>
    <n v="8"/>
    <n v="62"/>
    <n v="0"/>
    <n v="0"/>
  </r>
  <r>
    <x v="0"/>
    <x v="0"/>
    <x v="0"/>
    <n v="87958625000149"/>
    <x v="215"/>
    <s v="PORTO ALEGRE"/>
    <s v="RS"/>
    <s v="1-Setorizado"/>
    <n v="2"/>
    <x v="8"/>
    <s v="MICHELE MORAES - ESP - PR/SC/RS"/>
    <s v="Especialidade"/>
    <s v="rafael.esteves@cslbehring.com"/>
    <s v="RAFAEL ESTEVES (RJ/SPI/SUL)"/>
    <n v="12"/>
    <n v="0"/>
    <n v="0"/>
    <n v="0"/>
    <n v="0"/>
  </r>
  <r>
    <x v="0"/>
    <x v="0"/>
    <x v="0"/>
    <n v="87958625000149"/>
    <x v="215"/>
    <s v="PORTO ALEGRE"/>
    <s v="RS"/>
    <s v="1-Setorizado"/>
    <n v="2"/>
    <x v="13"/>
    <s v="ALINE FONSECA - HSP - RS"/>
    <s v="Hospitalar"/>
    <s v="rafael.esteves@cslbehring.com"/>
    <s v="RAFAEL ESTEVES (RJ/SPI/SUL)"/>
    <n v="0"/>
    <n v="0"/>
    <n v="0"/>
    <n v="0"/>
    <n v="0"/>
  </r>
  <r>
    <x v="0"/>
    <x v="0"/>
    <x v="0"/>
    <n v="9087150000230"/>
    <x v="216"/>
    <s v="PORTO ALEGRE"/>
    <s v="RS"/>
    <s v="1-Setorizado"/>
    <n v="2"/>
    <x v="8"/>
    <s v="MICHELE MORAES - ESP - PR/SC/RS"/>
    <s v="Especialidade"/>
    <s v="rafael.esteves@cslbehring.com"/>
    <s v="RAFAEL ESTEVES (RJ/SPI/SUL)"/>
    <n v="0"/>
    <n v="0"/>
    <n v="0"/>
    <n v="8"/>
    <n v="0"/>
  </r>
  <r>
    <x v="0"/>
    <x v="0"/>
    <x v="0"/>
    <n v="9087150000230"/>
    <x v="216"/>
    <s v="PORTO ALEGRE"/>
    <s v="RS"/>
    <s v="1-Setorizado"/>
    <n v="2"/>
    <x v="13"/>
    <s v="ALINE FONSECA - HSP - RS"/>
    <s v="Hospitalar"/>
    <s v="rafael.esteves@cslbehring.com"/>
    <s v="RAFAEL ESTEVES (RJ/SPI/SUL)"/>
    <n v="0"/>
    <n v="0"/>
    <n v="0"/>
    <n v="0"/>
    <n v="0"/>
  </r>
  <r>
    <x v="0"/>
    <x v="0"/>
    <x v="0"/>
    <n v="15126437001972"/>
    <x v="217"/>
    <s v="SANTA MARIA"/>
    <s v="RS"/>
    <s v="1-Setorizado"/>
    <n v="2"/>
    <x v="8"/>
    <s v="MICHELE MORAES - ESP - PR/SC/RS"/>
    <s v="Especialidade"/>
    <s v="rafael.esteves@cslbehring.com"/>
    <s v="RAFAEL ESTEVES (RJ/SPI/SUL)"/>
    <n v="0"/>
    <n v="0"/>
    <n v="0"/>
    <n v="0"/>
    <n v="0"/>
  </r>
  <r>
    <x v="0"/>
    <x v="0"/>
    <x v="0"/>
    <n v="15126437001972"/>
    <x v="217"/>
    <s v="SANTA MARIA"/>
    <s v="RS"/>
    <s v="1-Setorizado"/>
    <n v="2"/>
    <x v="13"/>
    <s v="ALINE FONSECA - HSP - RS"/>
    <s v="Hospitalar"/>
    <s v="rafael.esteves@cslbehring.com"/>
    <s v="RAFAEL ESTEVES (RJ/SPI/SUL)"/>
    <n v="0"/>
    <n v="15"/>
    <n v="0"/>
    <n v="0"/>
    <n v="0"/>
  </r>
  <r>
    <x v="0"/>
    <x v="0"/>
    <x v="0"/>
    <n v="95610887000146"/>
    <x v="218"/>
    <s v="SANTA MARIA"/>
    <s v="RS"/>
    <s v="1-Setorizado"/>
    <n v="2"/>
    <x v="8"/>
    <s v="MICHELE MORAES - ESP - PR/SC/RS"/>
    <s v="Especialidade"/>
    <s v="rafael.esteves@cslbehring.com"/>
    <s v="RAFAEL ESTEVES (RJ/SPI/SUL)"/>
    <n v="0"/>
    <n v="0"/>
    <n v="0"/>
    <n v="0"/>
    <n v="300"/>
  </r>
  <r>
    <x v="0"/>
    <x v="0"/>
    <x v="0"/>
    <n v="95610887000146"/>
    <x v="218"/>
    <s v="SANTA MARIA"/>
    <s v="RS"/>
    <s v="1-Setorizado"/>
    <n v="2"/>
    <x v="13"/>
    <s v="ALINE FONSECA - HSP - RS"/>
    <s v="Hospitalar"/>
    <s v="rafael.esteves@cslbehring.com"/>
    <s v="RAFAEL ESTEVES (RJ/SPI/SUL)"/>
    <n v="0"/>
    <n v="0"/>
    <n v="4"/>
    <n v="0"/>
    <n v="300"/>
  </r>
  <r>
    <x v="0"/>
    <x v="0"/>
    <x v="0"/>
    <n v="9605231000284"/>
    <x v="219"/>
    <s v="SANTA MARIA"/>
    <s v="RS"/>
    <s v="1-Setorizado"/>
    <n v="2"/>
    <x v="8"/>
    <s v="MICHELE MORAES - ESP - PR/SC/RS"/>
    <s v="Especialidade"/>
    <s v="rafael.esteves@cslbehring.com"/>
    <s v="RAFAEL ESTEVES (RJ/SPI/SUL)"/>
    <n v="0"/>
    <n v="0"/>
    <n v="0"/>
    <n v="0"/>
    <n v="100"/>
  </r>
  <r>
    <x v="0"/>
    <x v="0"/>
    <x v="0"/>
    <n v="9605231000284"/>
    <x v="219"/>
    <s v="SANTA MARIA"/>
    <s v="RS"/>
    <s v="1-Setorizado"/>
    <n v="2"/>
    <x v="13"/>
    <s v="ALINE FONSECA - HSP - RS"/>
    <s v="Hospitalar"/>
    <s v="rafael.esteves@cslbehring.com"/>
    <s v="RAFAEL ESTEVES (RJ/SPI/SUL)"/>
    <n v="0"/>
    <n v="0"/>
    <n v="0"/>
    <n v="0"/>
    <n v="100"/>
  </r>
  <r>
    <x v="0"/>
    <x v="0"/>
    <x v="0"/>
    <n v="1517626000132"/>
    <x v="220"/>
    <s v="BALNEARIO CAMBORIU"/>
    <s v="SC"/>
    <s v="1-Setorizado"/>
    <n v="2"/>
    <x v="8"/>
    <s v="MICHELE MORAES - ESP - PR/SC/RS"/>
    <s v="Especialidade"/>
    <s v="rafael.esteves@cslbehring.com"/>
    <s v="RAFAEL ESTEVES (RJ/SPI/SUL)"/>
    <n v="0"/>
    <n v="0"/>
    <n v="0"/>
    <n v="12"/>
    <n v="0"/>
  </r>
  <r>
    <x v="0"/>
    <x v="0"/>
    <x v="0"/>
    <n v="1517626000132"/>
    <x v="220"/>
    <s v="BALNEARIO CAMBORIU"/>
    <s v="SC"/>
    <s v="1-Setorizado"/>
    <n v="2"/>
    <x v="9"/>
    <s v="FERNANDA BORNHAUSEN - HSP - SC/PR"/>
    <s v="Hospitalar"/>
    <s v="rafael.esteves@cslbehring.com"/>
    <s v="RAFAEL ESTEVES (RJ/SPI/SUL)"/>
    <n v="0"/>
    <n v="0"/>
    <n v="0"/>
    <n v="0"/>
    <n v="0"/>
  </r>
  <r>
    <x v="0"/>
    <x v="0"/>
    <x v="0"/>
    <n v="85377174000392"/>
    <x v="221"/>
    <s v="BALNEARIO CAMBORIU"/>
    <s v="SC"/>
    <s v="1-Setorizado"/>
    <n v="2"/>
    <x v="8"/>
    <s v="MICHELE MORAES - ESP - PR/SC/RS"/>
    <s v="Especialidade"/>
    <s v="rafael.esteves@cslbehring.com"/>
    <s v="RAFAEL ESTEVES (RJ/SPI/SUL)"/>
    <n v="0"/>
    <n v="0"/>
    <n v="0"/>
    <n v="15"/>
    <n v="0"/>
  </r>
  <r>
    <x v="0"/>
    <x v="0"/>
    <x v="0"/>
    <n v="85377174000392"/>
    <x v="221"/>
    <s v="BALNEARIO CAMBORIU"/>
    <s v="SC"/>
    <s v="1-Setorizado"/>
    <n v="2"/>
    <x v="9"/>
    <s v="FERNANDA BORNHAUSEN - HSP - SC/PR"/>
    <s v="Hospitalar"/>
    <s v="rafael.esteves@cslbehring.com"/>
    <s v="RAFAEL ESTEVES (RJ/SPI/SUL)"/>
    <n v="0"/>
    <n v="0"/>
    <n v="0"/>
    <n v="0"/>
    <n v="0"/>
  </r>
  <r>
    <x v="0"/>
    <x v="0"/>
    <x v="0"/>
    <n v="60922168005226"/>
    <x v="222"/>
    <s v="BLUMENAU"/>
    <s v="SC"/>
    <s v="1-Setorizado"/>
    <n v="2"/>
    <x v="8"/>
    <s v="MICHELE MORAES - ESP - PR/SC/RS"/>
    <s v="Especialidade"/>
    <s v="rafael.esteves@cslbehring.com"/>
    <s v="RAFAEL ESTEVES (RJ/SPI/SUL)"/>
    <n v="0"/>
    <n v="0"/>
    <n v="0"/>
    <n v="0"/>
    <n v="0"/>
  </r>
  <r>
    <x v="0"/>
    <x v="0"/>
    <x v="0"/>
    <n v="60922168005226"/>
    <x v="222"/>
    <s v="BLUMENAU"/>
    <s v="SC"/>
    <s v="1-Setorizado"/>
    <n v="2"/>
    <x v="9"/>
    <s v="FERNANDA BORNHAUSEN - HSP - SC/PR"/>
    <s v="Hospitalar"/>
    <s v="rafael.esteves@cslbehring.com"/>
    <s v="RAFAEL ESTEVES (RJ/SPI/SUL)"/>
    <n v="0"/>
    <n v="1"/>
    <n v="0"/>
    <n v="0"/>
    <n v="0"/>
  </r>
  <r>
    <x v="0"/>
    <x v="0"/>
    <x v="0"/>
    <n v="82624776000651"/>
    <x v="223"/>
    <s v="BLUMENAU"/>
    <s v="SC"/>
    <s v="1-Setorizado"/>
    <n v="2"/>
    <x v="8"/>
    <s v="MICHELE MORAES - ESP - PR/SC/RS"/>
    <s v="Especialidade"/>
    <s v="rafael.esteves@cslbehring.com"/>
    <s v="RAFAEL ESTEVES (RJ/SPI/SUL)"/>
    <n v="0"/>
    <n v="0"/>
    <n v="0"/>
    <n v="0"/>
    <n v="450"/>
  </r>
  <r>
    <x v="0"/>
    <x v="0"/>
    <x v="0"/>
    <n v="82624776000651"/>
    <x v="223"/>
    <s v="BLUMENAU"/>
    <s v="SC"/>
    <s v="1-Setorizado"/>
    <n v="2"/>
    <x v="9"/>
    <s v="FERNANDA BORNHAUSEN - HSP - SC/PR"/>
    <s v="Hospitalar"/>
    <s v="rafael.esteves@cslbehring.com"/>
    <s v="RAFAEL ESTEVES (RJ/SPI/SUL)"/>
    <n v="0"/>
    <n v="0"/>
    <n v="0"/>
    <n v="0"/>
    <n v="450"/>
  </r>
  <r>
    <x v="0"/>
    <x v="0"/>
    <x v="0"/>
    <n v="1554266000300"/>
    <x v="224"/>
    <s v="BRUSQUE"/>
    <s v="SC"/>
    <s v="1-Setorizado"/>
    <n v="2"/>
    <x v="8"/>
    <s v="MICHELE MORAES - ESP - PR/SC/RS"/>
    <s v="Especialidade"/>
    <s v="rafael.esteves@cslbehring.com"/>
    <s v="RAFAEL ESTEVES (RJ/SPI/SUL)"/>
    <n v="0"/>
    <n v="0"/>
    <n v="0"/>
    <n v="0"/>
    <n v="35"/>
  </r>
  <r>
    <x v="0"/>
    <x v="0"/>
    <x v="0"/>
    <n v="1554266000300"/>
    <x v="224"/>
    <s v="BRUSQUE"/>
    <s v="SC"/>
    <s v="1-Setorizado"/>
    <n v="2"/>
    <x v="9"/>
    <s v="FERNANDA BORNHAUSEN - HSP - SC/PR"/>
    <s v="Hospitalar"/>
    <s v="rafael.esteves@cslbehring.com"/>
    <s v="RAFAEL ESTEVES (RJ/SPI/SUL)"/>
    <n v="0"/>
    <n v="0"/>
    <n v="0"/>
    <n v="0"/>
    <n v="35"/>
  </r>
  <r>
    <x v="0"/>
    <x v="0"/>
    <x v="0"/>
    <n v="1125832000105"/>
    <x v="225"/>
    <s v="FLORIANOPOLIS"/>
    <s v="SC"/>
    <s v="1-Setorizado"/>
    <n v="2"/>
    <x v="8"/>
    <s v="MICHELE MORAES - ESP - PR/SC/RS"/>
    <s v="Especialidade"/>
    <s v="rafael.esteves@cslbehring.com"/>
    <s v="RAFAEL ESTEVES (RJ/SPI/SUL)"/>
    <n v="0"/>
    <n v="0"/>
    <n v="0"/>
    <n v="0"/>
    <n v="120"/>
  </r>
  <r>
    <x v="0"/>
    <x v="0"/>
    <x v="0"/>
    <n v="1125832000105"/>
    <x v="225"/>
    <s v="FLORIANOPOLIS"/>
    <s v="SC"/>
    <s v="1-Setorizado"/>
    <n v="2"/>
    <x v="9"/>
    <s v="FERNANDA BORNHAUSEN - HSP - SC/PR"/>
    <s v="Hospitalar"/>
    <s v="rafael.esteves@cslbehring.com"/>
    <s v="RAFAEL ESTEVES (RJ/SPI/SUL)"/>
    <n v="0"/>
    <n v="0"/>
    <n v="0"/>
    <n v="0"/>
    <n v="120"/>
  </r>
  <r>
    <x v="0"/>
    <x v="0"/>
    <x v="0"/>
    <n v="80673411000187"/>
    <x v="226"/>
    <s v="FLORIANOPOLIS"/>
    <s v="SC"/>
    <s v="1-Setorizado"/>
    <n v="2"/>
    <x v="8"/>
    <s v="MICHELE MORAES - ESP - PR/SC/RS"/>
    <s v="Especialidade"/>
    <s v="rafael.esteves@cslbehring.com"/>
    <s v="RAFAEL ESTEVES (RJ/SPI/SUL)"/>
    <n v="74"/>
    <n v="0"/>
    <n v="0"/>
    <n v="0"/>
    <n v="240"/>
  </r>
  <r>
    <x v="0"/>
    <x v="0"/>
    <x v="0"/>
    <n v="80673411000187"/>
    <x v="226"/>
    <s v="FLORIANOPOLIS"/>
    <s v="SC"/>
    <s v="1-Setorizado"/>
    <n v="2"/>
    <x v="9"/>
    <s v="FERNANDA BORNHAUSEN - HSP - SC/PR"/>
    <s v="Hospitalar"/>
    <s v="rafael.esteves@cslbehring.com"/>
    <s v="RAFAEL ESTEVES (RJ/SPI/SUL)"/>
    <n v="0"/>
    <n v="0"/>
    <n v="0"/>
    <n v="0"/>
    <n v="240"/>
  </r>
  <r>
    <x v="0"/>
    <x v="0"/>
    <x v="0"/>
    <n v="83899526000425"/>
    <x v="227"/>
    <s v="FLORIANOPOLIS"/>
    <s v="SC"/>
    <s v="1-Setorizado"/>
    <n v="2"/>
    <x v="8"/>
    <s v="MICHELE MORAES - ESP - PR/SC/RS"/>
    <s v="Especialidade"/>
    <s v="rafael.esteves@cslbehring.com"/>
    <s v="RAFAEL ESTEVES (RJ/SPI/SUL)"/>
    <n v="0"/>
    <n v="0"/>
    <n v="0"/>
    <n v="0"/>
    <n v="0"/>
  </r>
  <r>
    <x v="0"/>
    <x v="0"/>
    <x v="0"/>
    <n v="83899526000425"/>
    <x v="227"/>
    <s v="FLORIANOPOLIS"/>
    <s v="SC"/>
    <s v="1-Setorizado"/>
    <n v="2"/>
    <x v="9"/>
    <s v="FERNANDA BORNHAUSEN - HSP - SC/PR"/>
    <s v="Hospitalar"/>
    <s v="rafael.esteves@cslbehring.com"/>
    <s v="RAFAEL ESTEVES (RJ/SPI/SUL)"/>
    <n v="0"/>
    <n v="0"/>
    <n v="17"/>
    <n v="0"/>
    <n v="0"/>
  </r>
  <r>
    <x v="0"/>
    <x v="0"/>
    <x v="0"/>
    <n v="83884999000106"/>
    <x v="228"/>
    <s v="FLORIANOPOLIS"/>
    <s v="SC"/>
    <s v="1-Setorizado"/>
    <n v="2"/>
    <x v="8"/>
    <s v="MICHELE MORAES - ESP - PR/SC/RS"/>
    <s v="Especialidade"/>
    <s v="rafael.esteves@cslbehring.com"/>
    <s v="RAFAEL ESTEVES (RJ/SPI/SUL)"/>
    <n v="0"/>
    <n v="0"/>
    <n v="0"/>
    <n v="0"/>
    <n v="300"/>
  </r>
  <r>
    <x v="0"/>
    <x v="0"/>
    <x v="0"/>
    <n v="83884999000106"/>
    <x v="228"/>
    <s v="FLORIANOPOLIS"/>
    <s v="SC"/>
    <s v="1-Setorizado"/>
    <n v="2"/>
    <x v="9"/>
    <s v="FERNANDA BORNHAUSEN - HSP - SC/PR"/>
    <s v="Hospitalar"/>
    <s v="rafael.esteves@cslbehring.com"/>
    <s v="RAFAEL ESTEVES (RJ/SPI/SUL)"/>
    <n v="0"/>
    <n v="0"/>
    <n v="0"/>
    <n v="0"/>
    <n v="300"/>
  </r>
  <r>
    <x v="0"/>
    <x v="0"/>
    <x v="0"/>
    <n v="4670913000176"/>
    <x v="229"/>
    <s v="FLORIANOPOLIS"/>
    <s v="SC"/>
    <s v="1-Setorizado"/>
    <n v="2"/>
    <x v="8"/>
    <s v="MICHELE MORAES - ESP - PR/SC/RS"/>
    <s v="Especialidade"/>
    <s v="rafael.esteves@cslbehring.com"/>
    <s v="RAFAEL ESTEVES (RJ/SPI/SUL)"/>
    <n v="0"/>
    <n v="0"/>
    <n v="0"/>
    <n v="0"/>
    <n v="215"/>
  </r>
  <r>
    <x v="0"/>
    <x v="0"/>
    <x v="0"/>
    <n v="4670913000176"/>
    <x v="229"/>
    <s v="FLORIANOPOLIS"/>
    <s v="SC"/>
    <s v="1-Setorizado"/>
    <n v="2"/>
    <x v="9"/>
    <s v="FERNANDA BORNHAUSEN - HSP - SC/PR"/>
    <s v="Hospitalar"/>
    <s v="rafael.esteves@cslbehring.com"/>
    <s v="RAFAEL ESTEVES (RJ/SPI/SUL)"/>
    <n v="0"/>
    <n v="0"/>
    <n v="0"/>
    <n v="0"/>
    <n v="215"/>
  </r>
  <r>
    <x v="0"/>
    <x v="0"/>
    <x v="0"/>
    <n v="17034086000176"/>
    <x v="230"/>
    <s v="SAO JOSE"/>
    <s v="SC"/>
    <s v="1-Setorizado"/>
    <n v="2"/>
    <x v="8"/>
    <s v="MICHELE MORAES - ESP - PR/SC/RS"/>
    <s v="Especialidade"/>
    <s v="rafael.esteves@cslbehring.com"/>
    <s v="RAFAEL ESTEVES (RJ/SPI/SUL)"/>
    <n v="0"/>
    <n v="0"/>
    <n v="0"/>
    <n v="0"/>
    <n v="0"/>
  </r>
  <r>
    <x v="0"/>
    <x v="0"/>
    <x v="0"/>
    <n v="17034086000176"/>
    <x v="230"/>
    <s v="SAO JOSE"/>
    <s v="SC"/>
    <s v="1-Setorizado"/>
    <n v="2"/>
    <x v="9"/>
    <s v="FERNANDA BORNHAUSEN - HSP - SC/PR"/>
    <s v="Hospitalar"/>
    <s v="rafael.esteves@cslbehring.com"/>
    <s v="RAFAEL ESTEVES (RJ/SPI/SUL)"/>
    <n v="0"/>
    <n v="5"/>
    <n v="0"/>
    <n v="0"/>
    <n v="0"/>
  </r>
  <r>
    <x v="0"/>
    <x v="0"/>
    <x v="0"/>
    <n v="77858611001414"/>
    <x v="231"/>
    <s v="SAO JOSE"/>
    <s v="SC"/>
    <s v="1-Setorizado"/>
    <n v="2"/>
    <x v="8"/>
    <s v="MICHELE MORAES - ESP - PR/SC/RS"/>
    <s v="Especialidade"/>
    <s v="rafael.esteves@cslbehring.com"/>
    <s v="RAFAEL ESTEVES (RJ/SPI/SUL)"/>
    <n v="0"/>
    <n v="0"/>
    <n v="0"/>
    <n v="0"/>
    <n v="200"/>
  </r>
  <r>
    <x v="0"/>
    <x v="0"/>
    <x v="0"/>
    <n v="77858611001414"/>
    <x v="231"/>
    <s v="SAO JOSE"/>
    <s v="SC"/>
    <s v="1-Setorizado"/>
    <n v="2"/>
    <x v="9"/>
    <s v="FERNANDA BORNHAUSEN - HSP - SC/PR"/>
    <s v="Hospitalar"/>
    <s v="rafael.esteves@cslbehring.com"/>
    <s v="RAFAEL ESTEVES (RJ/SPI/SUL)"/>
    <n v="0"/>
    <n v="0"/>
    <n v="0"/>
    <n v="0"/>
    <n v="200"/>
  </r>
  <r>
    <x v="0"/>
    <x v="0"/>
    <x v="0"/>
    <n v="80490618000116"/>
    <x v="232"/>
    <s v="TUBARAO"/>
    <s v="SC"/>
    <s v="1-Setorizado"/>
    <n v="2"/>
    <x v="8"/>
    <s v="MICHELE MORAES - ESP - PR/SC/RS"/>
    <s v="Especialidade"/>
    <s v="rafael.esteves@cslbehring.com"/>
    <s v="RAFAEL ESTEVES (RJ/SPI/SUL)"/>
    <n v="0"/>
    <n v="0"/>
    <n v="0"/>
    <n v="0"/>
    <n v="80"/>
  </r>
  <r>
    <x v="0"/>
    <x v="0"/>
    <x v="0"/>
    <n v="80490618000116"/>
    <x v="232"/>
    <s v="TUBARAO"/>
    <s v="SC"/>
    <s v="1-Setorizado"/>
    <n v="2"/>
    <x v="9"/>
    <s v="FERNANDA BORNHAUSEN - HSP - SC/PR"/>
    <s v="Hospitalar"/>
    <s v="rafael.esteves@cslbehring.com"/>
    <s v="RAFAEL ESTEVES (RJ/SPI/SUL)"/>
    <n v="0"/>
    <n v="0"/>
    <n v="0"/>
    <n v="0"/>
    <n v="80"/>
  </r>
  <r>
    <x v="0"/>
    <x v="0"/>
    <x v="0"/>
    <n v="12361267000517"/>
    <x v="233"/>
    <s v="ARACAJU"/>
    <s v="SE"/>
    <s v="1-Setorizado"/>
    <n v="2"/>
    <x v="0"/>
    <s v="VALERIA BRAGA - ESP - (CE/MA/PI/BA/AL/SE/PB/PE/RN)"/>
    <s v="Especialidade"/>
    <s v="fernando.leony@cslbehring.com"/>
    <s v="FERNANDO LEONY (CO/NO/NE)"/>
    <n v="0"/>
    <n v="0"/>
    <n v="0"/>
    <n v="0"/>
    <n v="20"/>
  </r>
  <r>
    <x v="0"/>
    <x v="0"/>
    <x v="0"/>
    <n v="12361267000517"/>
    <x v="233"/>
    <s v="ARACAJU"/>
    <s v="SE"/>
    <s v="1-Setorizado"/>
    <n v="2"/>
    <x v="1"/>
    <s v="LAIS MAGALHAES - HSP - BA/AL/SE"/>
    <s v="Hospitalar"/>
    <s v="fernando.leony@cslbehring.com"/>
    <s v="FERNANDO LEONY (CO/NO/NE)"/>
    <n v="0"/>
    <n v="0"/>
    <n v="0"/>
    <n v="0"/>
    <n v="20"/>
  </r>
  <r>
    <x v="0"/>
    <x v="0"/>
    <x v="0"/>
    <n v="13016332000106"/>
    <x v="234"/>
    <s v="ARACAJU"/>
    <s v="SE"/>
    <s v="1-Setorizado"/>
    <n v="2"/>
    <x v="0"/>
    <s v="VALERIA BRAGA - ESP - (CE/MA/PI/BA/AL/SE/PB/PE/RN)"/>
    <s v="Especialidade"/>
    <s v="fernando.leony@cslbehring.com"/>
    <s v="FERNANDO LEONY (CO/NO/NE)"/>
    <n v="0"/>
    <n v="0"/>
    <n v="0"/>
    <n v="0"/>
    <n v="15"/>
  </r>
  <r>
    <x v="0"/>
    <x v="0"/>
    <x v="0"/>
    <n v="13016332000106"/>
    <x v="234"/>
    <s v="ARACAJU"/>
    <s v="SE"/>
    <s v="1-Setorizado"/>
    <n v="2"/>
    <x v="1"/>
    <s v="LAIS MAGALHAES - HSP - BA/AL/SE"/>
    <s v="Hospitalar"/>
    <s v="fernando.leony@cslbehring.com"/>
    <s v="FERNANDO LEONY (CO/NO/NE)"/>
    <n v="0"/>
    <n v="0"/>
    <n v="3"/>
    <n v="0"/>
    <n v="15"/>
  </r>
  <r>
    <x v="0"/>
    <x v="0"/>
    <x v="0"/>
    <n v="13131370000100"/>
    <x v="235"/>
    <s v="ARACAJU"/>
    <s v="SE"/>
    <s v="1-Setorizado"/>
    <n v="2"/>
    <x v="0"/>
    <s v="VALERIA BRAGA - ESP - (CE/MA/PI/BA/AL/SE/PB/PE/RN)"/>
    <s v="Especialidade"/>
    <s v="fernando.leony@cslbehring.com"/>
    <s v="FERNANDO LEONY (CO/NO/NE)"/>
    <n v="0"/>
    <n v="0"/>
    <n v="0"/>
    <n v="60"/>
    <n v="550"/>
  </r>
  <r>
    <x v="0"/>
    <x v="0"/>
    <x v="0"/>
    <n v="13131370000100"/>
    <x v="235"/>
    <s v="ARACAJU"/>
    <s v="SE"/>
    <s v="1-Setorizado"/>
    <n v="2"/>
    <x v="1"/>
    <s v="LAIS MAGALHAES - HSP - BA/AL/SE"/>
    <s v="Hospitalar"/>
    <s v="fernando.leony@cslbehring.com"/>
    <s v="FERNANDO LEONY (CO/NO/NE)"/>
    <n v="0"/>
    <n v="0"/>
    <n v="0"/>
    <n v="0"/>
    <n v="550"/>
  </r>
  <r>
    <x v="0"/>
    <x v="0"/>
    <x v="0"/>
    <n v="15592785000106"/>
    <x v="236"/>
    <s v="ARACAJU"/>
    <s v="SE"/>
    <s v="1-Setorizado"/>
    <n v="2"/>
    <x v="0"/>
    <s v="VALERIA BRAGA - ESP - (CE/MA/PI/BA/AL/SE/PB/PE/RN)"/>
    <s v="Especialidade"/>
    <s v="fernando.leony@cslbehring.com"/>
    <s v="FERNANDO LEONY (CO/NO/NE)"/>
    <n v="0"/>
    <n v="0"/>
    <n v="0"/>
    <n v="0"/>
    <n v="100"/>
  </r>
  <r>
    <x v="0"/>
    <x v="0"/>
    <x v="0"/>
    <n v="15592785000106"/>
    <x v="236"/>
    <s v="ARACAJU"/>
    <s v="SE"/>
    <s v="1-Setorizado"/>
    <n v="2"/>
    <x v="1"/>
    <s v="LAIS MAGALHAES - HSP - BA/AL/SE"/>
    <s v="Hospitalar"/>
    <s v="fernando.leony@cslbehring.com"/>
    <s v="FERNANDO LEONY (CO/NO/NE)"/>
    <n v="0"/>
    <n v="0"/>
    <n v="0"/>
    <n v="0"/>
    <n v="100"/>
  </r>
  <r>
    <x v="0"/>
    <x v="0"/>
    <x v="0"/>
    <n v="13356779000124"/>
    <x v="237"/>
    <s v="ARACAJU"/>
    <s v="SE"/>
    <s v="1-Setorizado"/>
    <n v="2"/>
    <x v="0"/>
    <s v="VALERIA BRAGA - ESP - (CE/MA/PI/BA/AL/SE/PB/PE/RN)"/>
    <s v="Especialidade"/>
    <s v="fernando.leony@cslbehring.com"/>
    <s v="FERNANDO LEONY (CO/NO/NE)"/>
    <n v="0"/>
    <n v="0"/>
    <n v="0"/>
    <n v="0"/>
    <n v="0"/>
  </r>
  <r>
    <x v="0"/>
    <x v="0"/>
    <x v="0"/>
    <n v="13356779000124"/>
    <x v="237"/>
    <s v="ARACAJU"/>
    <s v="SE"/>
    <s v="1-Setorizado"/>
    <n v="2"/>
    <x v="1"/>
    <s v="LAIS MAGALHAES - HSP - BA/AL/SE"/>
    <s v="Hospitalar"/>
    <s v="fernando.leony@cslbehring.com"/>
    <s v="FERNANDO LEONY (CO/NO/NE)"/>
    <n v="0"/>
    <n v="0"/>
    <n v="4"/>
    <n v="0"/>
    <n v="0"/>
  </r>
  <r>
    <x v="0"/>
    <x v="0"/>
    <x v="0"/>
    <n v="25026561000190"/>
    <x v="238"/>
    <s v="ANDRADINA"/>
    <s v="SP"/>
    <s v="1-Setorizado"/>
    <n v="2"/>
    <x v="14"/>
    <s v="BRUNA CLARO - ESP - SPI"/>
    <s v="Especialidade"/>
    <s v="claudia.bueno@cslbehring.com"/>
    <s v="CLAUDIA BUENO (SPC/SPI)"/>
    <n v="0"/>
    <n v="0"/>
    <n v="0"/>
    <n v="0"/>
    <n v="25"/>
  </r>
  <r>
    <x v="0"/>
    <x v="0"/>
    <x v="0"/>
    <n v="25026561000190"/>
    <x v="238"/>
    <s v="ANDRADINA"/>
    <s v="SP"/>
    <s v="1-Setorizado"/>
    <n v="2"/>
    <x v="15"/>
    <s v="ARTUR JUNIOR - HSP - SPI"/>
    <s v="Hospitalar"/>
    <s v="claudia.bueno@cslbehring.com"/>
    <s v="CLAUDIA BUENO (SPC/SPI)"/>
    <n v="0"/>
    <n v="0"/>
    <n v="0"/>
    <n v="0"/>
    <n v="25"/>
  </r>
  <r>
    <x v="0"/>
    <x v="0"/>
    <x v="0"/>
    <n v="54012406000385"/>
    <x v="239"/>
    <s v="ARARAS"/>
    <s v="SP"/>
    <s v="1-Setorizado"/>
    <n v="2"/>
    <x v="14"/>
    <s v="BRUNA CLARO - ESP - SPI"/>
    <s v="Especialidade"/>
    <s v="claudia.bueno@cslbehring.com"/>
    <s v="CLAUDIA BUENO (SPC/SPI)"/>
    <n v="0"/>
    <n v="0"/>
    <n v="0"/>
    <n v="0"/>
    <n v="70"/>
  </r>
  <r>
    <x v="0"/>
    <x v="0"/>
    <x v="0"/>
    <n v="54012406000385"/>
    <x v="239"/>
    <s v="ARARAS"/>
    <s v="SP"/>
    <s v="1-Setorizado"/>
    <n v="2"/>
    <x v="15"/>
    <s v="ARTUR JUNIOR - HSP - SPI"/>
    <s v="Hospitalar"/>
    <s v="claudia.bueno@cslbehring.com"/>
    <s v="CLAUDIA BUENO (SPC/SPI)"/>
    <n v="0"/>
    <n v="0"/>
    <n v="0"/>
    <n v="0"/>
    <n v="70"/>
  </r>
  <r>
    <x v="0"/>
    <x v="0"/>
    <x v="0"/>
    <n v="4275687000129"/>
    <x v="240"/>
    <s v="ATIBAIA"/>
    <s v="SP"/>
    <s v="1-Setorizado"/>
    <n v="2"/>
    <x v="14"/>
    <s v="BRUNA CLARO - ESP - SPI"/>
    <s v="Especialidade"/>
    <s v="claudia.bueno@cslbehring.com"/>
    <s v="CLAUDIA BUENO (SPC/SPI)"/>
    <n v="0"/>
    <n v="0"/>
    <n v="0"/>
    <n v="36"/>
    <n v="0"/>
  </r>
  <r>
    <x v="0"/>
    <x v="0"/>
    <x v="0"/>
    <n v="4275687000129"/>
    <x v="240"/>
    <s v="ATIBAIA"/>
    <s v="SP"/>
    <s v="1-Setorizado"/>
    <n v="2"/>
    <x v="15"/>
    <s v="ARTUR JUNIOR - HSP - SPI"/>
    <s v="Hospitalar"/>
    <s v="claudia.bueno@cslbehring.com"/>
    <s v="CLAUDIA BUENO (SPC/SPI)"/>
    <n v="0"/>
    <n v="0"/>
    <n v="0"/>
    <n v="0"/>
    <n v="0"/>
  </r>
  <r>
    <x v="0"/>
    <x v="0"/>
    <x v="0"/>
    <n v="44456036000311"/>
    <x v="241"/>
    <s v="BAURU"/>
    <s v="SP"/>
    <s v="1-Setorizado"/>
    <n v="2"/>
    <x v="14"/>
    <s v="BRUNA CLARO - ESP - SPI"/>
    <s v="Especialidade"/>
    <s v="claudia.bueno@cslbehring.com"/>
    <s v="CLAUDIA BUENO (SPC/SPI)"/>
    <n v="0"/>
    <n v="0"/>
    <n v="0"/>
    <n v="0"/>
    <n v="0"/>
  </r>
  <r>
    <x v="0"/>
    <x v="0"/>
    <x v="0"/>
    <n v="44456036000311"/>
    <x v="241"/>
    <s v="BAURU"/>
    <s v="SP"/>
    <s v="1-Setorizado"/>
    <n v="2"/>
    <x v="15"/>
    <s v="ARTUR JUNIOR - HSP - SPI"/>
    <s v="Hospitalar"/>
    <s v="claudia.bueno@cslbehring.com"/>
    <s v="CLAUDIA BUENO (SPC/SPI)"/>
    <n v="0"/>
    <n v="2"/>
    <n v="8"/>
    <n v="0"/>
    <n v="0"/>
  </r>
  <r>
    <x v="0"/>
    <x v="0"/>
    <x v="0"/>
    <n v="46020301000269"/>
    <x v="242"/>
    <s v="CAMPINAS"/>
    <s v="SP"/>
    <s v="1-Setorizado"/>
    <n v="2"/>
    <x v="14"/>
    <s v="BRUNA CLARO - ESP - SPI"/>
    <s v="Especialidade"/>
    <s v="claudia.bueno@cslbehring.com"/>
    <s v="CLAUDIA BUENO (SPC/SPI)"/>
    <n v="0"/>
    <n v="0"/>
    <n v="0"/>
    <n v="50"/>
    <n v="0"/>
  </r>
  <r>
    <x v="0"/>
    <x v="0"/>
    <x v="0"/>
    <n v="46020301000269"/>
    <x v="242"/>
    <s v="CAMPINAS"/>
    <s v="SP"/>
    <s v="1-Setorizado"/>
    <n v="2"/>
    <x v="15"/>
    <s v="ARTUR JUNIOR - HSP - SPI"/>
    <s v="Hospitalar"/>
    <s v="claudia.bueno@cslbehring.com"/>
    <s v="CLAUDIA BUENO (SPC/SPI)"/>
    <n v="0"/>
    <n v="0"/>
    <n v="0"/>
    <n v="0"/>
    <n v="0"/>
  </r>
  <r>
    <x v="0"/>
    <x v="0"/>
    <x v="0"/>
    <n v="46009718000140"/>
    <x v="243"/>
    <s v="CAMPINAS"/>
    <s v="SP"/>
    <s v="1-Setorizado"/>
    <n v="2"/>
    <x v="14"/>
    <s v="BRUNA CLARO - ESP - SPI"/>
    <s v="Especialidade"/>
    <s v="claudia.bueno@cslbehring.com"/>
    <s v="CLAUDIA BUENO (SPC/SPI)"/>
    <n v="0"/>
    <n v="0"/>
    <n v="0"/>
    <n v="34"/>
    <n v="860"/>
  </r>
  <r>
    <x v="0"/>
    <x v="0"/>
    <x v="0"/>
    <n v="46009718000140"/>
    <x v="243"/>
    <s v="CAMPINAS"/>
    <s v="SP"/>
    <s v="1-Setorizado"/>
    <n v="2"/>
    <x v="15"/>
    <s v="ARTUR JUNIOR - HSP - SPI"/>
    <s v="Hospitalar"/>
    <s v="claudia.bueno@cslbehring.com"/>
    <s v="CLAUDIA BUENO (SPC/SPI)"/>
    <n v="0"/>
    <n v="0"/>
    <n v="0"/>
    <n v="0"/>
    <n v="860"/>
  </r>
  <r>
    <x v="0"/>
    <x v="0"/>
    <x v="0"/>
    <n v="51877926000109"/>
    <x v="244"/>
    <s v="CAMPINAS"/>
    <s v="SP"/>
    <s v="1-Setorizado"/>
    <n v="2"/>
    <x v="14"/>
    <s v="BRUNA CLARO - ESP - SPI"/>
    <s v="Especialidade"/>
    <s v="claudia.bueno@cslbehring.com"/>
    <s v="CLAUDIA BUENO (SPC/SPI)"/>
    <n v="0"/>
    <n v="0"/>
    <n v="0"/>
    <n v="0"/>
    <n v="165"/>
  </r>
  <r>
    <x v="0"/>
    <x v="0"/>
    <x v="0"/>
    <n v="51877926000109"/>
    <x v="244"/>
    <s v="CAMPINAS"/>
    <s v="SP"/>
    <s v="1-Setorizado"/>
    <n v="2"/>
    <x v="15"/>
    <s v="ARTUR JUNIOR - HSP - SPI"/>
    <s v="Hospitalar"/>
    <s v="claudia.bueno@cslbehring.com"/>
    <s v="CLAUDIA BUENO (SPC/SPI)"/>
    <n v="0"/>
    <n v="0"/>
    <n v="0"/>
    <n v="0"/>
    <n v="165"/>
  </r>
  <r>
    <x v="0"/>
    <x v="0"/>
    <x v="0"/>
    <n v="44649812019238"/>
    <x v="245"/>
    <s v="CAMPINAS"/>
    <s v="SP"/>
    <s v="1-Setorizado"/>
    <n v="2"/>
    <x v="14"/>
    <s v="BRUNA CLARO - ESP - SPI"/>
    <s v="Especialidade"/>
    <s v="claudia.bueno@cslbehring.com"/>
    <s v="CLAUDIA BUENO (SPC/SPI)"/>
    <n v="0"/>
    <n v="0"/>
    <n v="0"/>
    <n v="8"/>
    <n v="0"/>
  </r>
  <r>
    <x v="0"/>
    <x v="0"/>
    <x v="0"/>
    <n v="44649812019238"/>
    <x v="245"/>
    <s v="CAMPINAS"/>
    <s v="SP"/>
    <s v="1-Setorizado"/>
    <n v="2"/>
    <x v="15"/>
    <s v="ARTUR JUNIOR - HSP - SPI"/>
    <s v="Hospitalar"/>
    <s v="claudia.bueno@cslbehring.com"/>
    <s v="CLAUDIA BUENO (SPC/SPI)"/>
    <n v="0"/>
    <n v="0"/>
    <n v="0"/>
    <n v="0"/>
    <n v="0"/>
  </r>
  <r>
    <x v="0"/>
    <x v="0"/>
    <x v="0"/>
    <n v="51885242000140"/>
    <x v="246"/>
    <s v="CAMPINAS"/>
    <s v="SP"/>
    <s v="1-Setorizado"/>
    <n v="2"/>
    <x v="14"/>
    <s v="BRUNA CLARO - ESP - SPI"/>
    <s v="Especialidade"/>
    <s v="claudia.bueno@cslbehring.com"/>
    <s v="CLAUDIA BUENO (SPC/SPI)"/>
    <n v="0"/>
    <n v="0"/>
    <n v="0"/>
    <n v="240"/>
    <n v="0"/>
  </r>
  <r>
    <x v="0"/>
    <x v="0"/>
    <x v="0"/>
    <n v="51885242000140"/>
    <x v="246"/>
    <s v="CAMPINAS"/>
    <s v="SP"/>
    <s v="1-Setorizado"/>
    <n v="2"/>
    <x v="15"/>
    <s v="ARTUR JUNIOR - HSP - SPI"/>
    <s v="Hospitalar"/>
    <s v="claudia.bueno@cslbehring.com"/>
    <s v="CLAUDIA BUENO (SPC/SPI)"/>
    <n v="0"/>
    <n v="0"/>
    <n v="0"/>
    <n v="0"/>
    <n v="0"/>
  </r>
  <r>
    <x v="0"/>
    <x v="0"/>
    <x v="0"/>
    <n v="29435005008456"/>
    <x v="247"/>
    <s v="CAMPINAS"/>
    <s v="SP"/>
    <s v="1-Setorizado"/>
    <n v="2"/>
    <x v="14"/>
    <s v="BRUNA CLARO - ESP - SPI"/>
    <s v="Especialidade"/>
    <s v="claudia.bueno@cslbehring.com"/>
    <s v="CLAUDIA BUENO (SPC/SPI)"/>
    <n v="0"/>
    <n v="0"/>
    <n v="0"/>
    <n v="0"/>
    <n v="125"/>
  </r>
  <r>
    <x v="0"/>
    <x v="0"/>
    <x v="0"/>
    <n v="29435005008456"/>
    <x v="247"/>
    <s v="CAMPINAS"/>
    <s v="SP"/>
    <s v="1-Setorizado"/>
    <n v="2"/>
    <x v="15"/>
    <s v="ARTUR JUNIOR - HSP - SPI"/>
    <s v="Hospitalar"/>
    <s v="claudia.bueno@cslbehring.com"/>
    <s v="CLAUDIA BUENO (SPC/SPI)"/>
    <n v="0"/>
    <n v="0"/>
    <n v="0"/>
    <n v="0"/>
    <n v="125"/>
  </r>
  <r>
    <x v="0"/>
    <x v="0"/>
    <x v="0"/>
    <n v="46124624000111"/>
    <x v="248"/>
    <s v="CAMPINAS"/>
    <s v="SP"/>
    <s v="1-Setorizado"/>
    <n v="2"/>
    <x v="14"/>
    <s v="BRUNA CLARO - ESP - SPI"/>
    <s v="Especialidade"/>
    <s v="claudia.bueno@cslbehring.com"/>
    <s v="CLAUDIA BUENO (SPC/SPI)"/>
    <n v="0"/>
    <n v="0"/>
    <n v="0"/>
    <n v="208"/>
    <n v="545"/>
  </r>
  <r>
    <x v="0"/>
    <x v="0"/>
    <x v="0"/>
    <n v="46124624000111"/>
    <x v="248"/>
    <s v="CAMPINAS"/>
    <s v="SP"/>
    <s v="1-Setorizado"/>
    <n v="2"/>
    <x v="15"/>
    <s v="ARTUR JUNIOR - HSP - SPI"/>
    <s v="Hospitalar"/>
    <s v="claudia.bueno@cslbehring.com"/>
    <s v="CLAUDIA BUENO (SPC/SPI)"/>
    <n v="0"/>
    <n v="0"/>
    <n v="0"/>
    <n v="0"/>
    <n v="545"/>
  </r>
  <r>
    <x v="0"/>
    <x v="0"/>
    <x v="0"/>
    <n v="10447300000177"/>
    <x v="249"/>
    <s v="CAMPINAS "/>
    <s v="SP"/>
    <s v="1-Setorizado"/>
    <n v="2"/>
    <x v="14"/>
    <s v="BRUNA CLARO - ESP - SPI"/>
    <s v="Especialidade"/>
    <s v="claudia.bueno@cslbehring.com"/>
    <s v="CLAUDIA BUENO (SPC/SPI)"/>
    <n v="0"/>
    <n v="0"/>
    <n v="0"/>
    <n v="4"/>
    <n v="0"/>
  </r>
  <r>
    <x v="0"/>
    <x v="0"/>
    <x v="0"/>
    <n v="10447300000177"/>
    <x v="249"/>
    <s v="CAMPINAS "/>
    <s v="SP"/>
    <s v="1-Setorizado"/>
    <n v="2"/>
    <x v="15"/>
    <s v="ARTUR JUNIOR - HSP - SPI"/>
    <s v="Hospitalar"/>
    <s v="claudia.bueno@cslbehring.com"/>
    <s v="CLAUDIA BUENO (SPC/SPI)"/>
    <n v="0"/>
    <n v="0"/>
    <n v="0"/>
    <n v="0"/>
    <n v="0"/>
  </r>
  <r>
    <x v="0"/>
    <x v="0"/>
    <x v="0"/>
    <n v="47074851000819"/>
    <x v="250"/>
    <s v="CATANDUVA"/>
    <s v="SP"/>
    <s v="1-Setorizado"/>
    <n v="2"/>
    <x v="14"/>
    <s v="BRUNA CLARO - ESP - SPI"/>
    <s v="Especialidade"/>
    <s v="claudia.bueno@cslbehring.com"/>
    <s v="CLAUDIA BUENO (SPC/SPI)"/>
    <n v="0"/>
    <n v="0"/>
    <n v="0"/>
    <n v="12"/>
    <n v="40"/>
  </r>
  <r>
    <x v="0"/>
    <x v="0"/>
    <x v="0"/>
    <n v="47074851000819"/>
    <x v="250"/>
    <s v="CATANDUVA"/>
    <s v="SP"/>
    <s v="1-Setorizado"/>
    <n v="2"/>
    <x v="15"/>
    <s v="ARTUR JUNIOR - HSP - SPI"/>
    <s v="Hospitalar"/>
    <s v="claudia.bueno@cslbehring.com"/>
    <s v="CLAUDIA BUENO (SPC/SPI)"/>
    <n v="0"/>
    <n v="0"/>
    <n v="0"/>
    <n v="0"/>
    <n v="40"/>
  </r>
  <r>
    <x v="0"/>
    <x v="0"/>
    <x v="0"/>
    <n v="45118429001279"/>
    <x v="251"/>
    <s v="CATANDUVA"/>
    <s v="SP"/>
    <s v="1-Setorizado"/>
    <n v="2"/>
    <x v="14"/>
    <s v="BRUNA CLARO - ESP - SPI"/>
    <s v="Especialidade"/>
    <s v="claudia.bueno@cslbehring.com"/>
    <s v="CLAUDIA BUENO (SPC/SPI)"/>
    <n v="0"/>
    <n v="0"/>
    <n v="0"/>
    <n v="12"/>
    <n v="100"/>
  </r>
  <r>
    <x v="0"/>
    <x v="0"/>
    <x v="0"/>
    <n v="45118429001279"/>
    <x v="251"/>
    <s v="CATANDUVA"/>
    <s v="SP"/>
    <s v="1-Setorizado"/>
    <n v="2"/>
    <x v="15"/>
    <s v="ARTUR JUNIOR - HSP - SPI"/>
    <s v="Hospitalar"/>
    <s v="claudia.bueno@cslbehring.com"/>
    <s v="CLAUDIA BUENO (SPC/SPI)"/>
    <n v="0"/>
    <n v="0"/>
    <n v="0"/>
    <n v="0"/>
    <n v="100"/>
  </r>
  <r>
    <x v="0"/>
    <x v="0"/>
    <x v="0"/>
    <n v="50486026000160"/>
    <x v="252"/>
    <s v="FRANCA"/>
    <s v="SP"/>
    <s v="1-Setorizado"/>
    <n v="2"/>
    <x v="14"/>
    <s v="BRUNA CLARO - ESP - SPI"/>
    <s v="Especialidade"/>
    <s v="claudia.bueno@cslbehring.com"/>
    <s v="CLAUDIA BUENO (SPC/SPI)"/>
    <n v="0"/>
    <n v="0"/>
    <n v="0"/>
    <n v="0"/>
    <n v="100"/>
  </r>
  <r>
    <x v="0"/>
    <x v="0"/>
    <x v="0"/>
    <n v="50486026000160"/>
    <x v="252"/>
    <s v="FRANCA"/>
    <s v="SP"/>
    <s v="1-Setorizado"/>
    <n v="2"/>
    <x v="15"/>
    <s v="ARTUR JUNIOR - HSP - SPI"/>
    <s v="Hospitalar"/>
    <s v="claudia.bueno@cslbehring.com"/>
    <s v="CLAUDIA BUENO (SPC/SPI)"/>
    <n v="0"/>
    <n v="0"/>
    <n v="0"/>
    <n v="0"/>
    <n v="100"/>
  </r>
  <r>
    <x v="0"/>
    <x v="0"/>
    <x v="0"/>
    <n v="48468284000171"/>
    <x v="253"/>
    <s v="GUARARAPES"/>
    <s v="SP"/>
    <s v="1-Setorizado"/>
    <n v="2"/>
    <x v="14"/>
    <s v="BRUNA CLARO - ESP - SPI"/>
    <s v="Especialidade"/>
    <s v="claudia.bueno@cslbehring.com"/>
    <s v="CLAUDIA BUENO (SPC/SPI)"/>
    <n v="0"/>
    <n v="0"/>
    <n v="0"/>
    <n v="0"/>
    <n v="100"/>
  </r>
  <r>
    <x v="0"/>
    <x v="0"/>
    <x v="0"/>
    <n v="48468284000171"/>
    <x v="253"/>
    <s v="GUARARAPES"/>
    <s v="SP"/>
    <s v="1-Setorizado"/>
    <n v="2"/>
    <x v="15"/>
    <s v="ARTUR JUNIOR - HSP - SPI"/>
    <s v="Hospitalar"/>
    <s v="claudia.bueno@cslbehring.com"/>
    <s v="CLAUDIA BUENO (SPC/SPI)"/>
    <n v="0"/>
    <n v="0"/>
    <n v="0"/>
    <n v="0"/>
    <n v="100"/>
  </r>
  <r>
    <x v="0"/>
    <x v="0"/>
    <x v="0"/>
    <n v="29435005008294"/>
    <x v="254"/>
    <s v="GUARULHOS"/>
    <s v="SP"/>
    <s v="1-Setorizado"/>
    <n v="2"/>
    <x v="16"/>
    <s v="JANAINA PALMIRO - ESP - SPC"/>
    <s v="Especialidade"/>
    <s v="claudia.bueno@cslbehring.com"/>
    <s v="CLAUDIA BUENO (SPC/SPI)"/>
    <n v="0"/>
    <n v="0"/>
    <n v="0"/>
    <n v="0"/>
    <n v="245"/>
  </r>
  <r>
    <x v="0"/>
    <x v="0"/>
    <x v="0"/>
    <n v="29435005008294"/>
    <x v="254"/>
    <s v="GUARULHOS"/>
    <s v="SP"/>
    <s v="1-Setorizado"/>
    <n v="2"/>
    <x v="17"/>
    <s v="ANTONIO TUNES - HSP - SPC"/>
    <s v="Hospitalar"/>
    <s v="claudia.bueno@cslbehring.com"/>
    <s v="CLAUDIA BUENO (SPC/SPI)"/>
    <n v="0"/>
    <n v="0"/>
    <n v="0"/>
    <n v="0"/>
    <n v="245"/>
  </r>
  <r>
    <x v="0"/>
    <x v="0"/>
    <x v="0"/>
    <n v="6209132000104"/>
    <x v="255"/>
    <s v="HORTOLANDIA"/>
    <s v="SP"/>
    <s v="1-Setorizado"/>
    <n v="2"/>
    <x v="14"/>
    <s v="BRUNA CLARO - ESP - SPI"/>
    <s v="Especialidade"/>
    <s v="claudia.bueno@cslbehring.com"/>
    <s v="CLAUDIA BUENO (SPC/SPI)"/>
    <n v="0"/>
    <n v="0"/>
    <n v="0"/>
    <n v="0"/>
    <n v="75"/>
  </r>
  <r>
    <x v="0"/>
    <x v="0"/>
    <x v="0"/>
    <n v="6209132000104"/>
    <x v="255"/>
    <s v="HORTOLANDIA"/>
    <s v="SP"/>
    <s v="1-Setorizado"/>
    <n v="2"/>
    <x v="15"/>
    <s v="ARTUR JUNIOR - HSP - SPI"/>
    <s v="Hospitalar"/>
    <s v="claudia.bueno@cslbehring.com"/>
    <s v="CLAUDIA BUENO (SPC/SPI)"/>
    <n v="0"/>
    <n v="0"/>
    <n v="0"/>
    <n v="0"/>
    <n v="75"/>
  </r>
  <r>
    <x v="0"/>
    <x v="0"/>
    <x v="0"/>
    <n v="45780103000150"/>
    <x v="256"/>
    <s v="JUNDIAI"/>
    <s v="SP"/>
    <s v="1-Setorizado"/>
    <n v="2"/>
    <x v="14"/>
    <s v="BRUNA CLARO - ESP - SPI"/>
    <s v="Especialidade"/>
    <s v="claudia.bueno@cslbehring.com"/>
    <s v="CLAUDIA BUENO (SPC/SPI)"/>
    <n v="0"/>
    <n v="0"/>
    <n v="0"/>
    <n v="0"/>
    <n v="730"/>
  </r>
  <r>
    <x v="0"/>
    <x v="0"/>
    <x v="0"/>
    <n v="45780103000150"/>
    <x v="256"/>
    <s v="JUNDIAI"/>
    <s v="SP"/>
    <s v="1-Setorizado"/>
    <n v="2"/>
    <x v="15"/>
    <s v="ARTUR JUNIOR - HSP - SPI"/>
    <s v="Hospitalar"/>
    <s v="claudia.bueno@cslbehring.com"/>
    <s v="CLAUDIA BUENO (SPC/SPI)"/>
    <n v="0"/>
    <n v="0"/>
    <n v="0"/>
    <n v="0"/>
    <n v="730"/>
  </r>
  <r>
    <x v="0"/>
    <x v="0"/>
    <x v="0"/>
    <n v="44531788000138"/>
    <x v="257"/>
    <s v="LINS"/>
    <s v="SP"/>
    <s v="1-Setorizado"/>
    <n v="2"/>
    <x v="14"/>
    <s v="BRUNA CLARO - ESP - SPI"/>
    <s v="Especialidade"/>
    <s v="claudia.bueno@cslbehring.com"/>
    <s v="CLAUDIA BUENO (SPC/SPI)"/>
    <n v="0"/>
    <n v="0"/>
    <n v="0"/>
    <n v="120"/>
    <n v="0"/>
  </r>
  <r>
    <x v="0"/>
    <x v="0"/>
    <x v="0"/>
    <n v="44531788000138"/>
    <x v="257"/>
    <s v="LINS"/>
    <s v="SP"/>
    <s v="1-Setorizado"/>
    <n v="2"/>
    <x v="15"/>
    <s v="ARTUR JUNIOR - HSP - SPI"/>
    <s v="Hospitalar"/>
    <s v="claudia.bueno@cslbehring.com"/>
    <s v="CLAUDIA BUENO (SPC/SPI)"/>
    <n v="0"/>
    <n v="0"/>
    <n v="0"/>
    <n v="0"/>
    <n v="0"/>
  </r>
  <r>
    <x v="0"/>
    <x v="0"/>
    <x v="0"/>
    <n v="6047087007656"/>
    <x v="258"/>
    <s v="OSASCO"/>
    <s v="SP"/>
    <s v="1-Setorizado"/>
    <n v="2"/>
    <x v="18"/>
    <s v="XXX-ESP-VAGO SPC"/>
    <s v="Especialidade"/>
    <s v="claudia.bueno@cslbehring.com"/>
    <s v="CLAUDIA BUENO (SPC/SPI)"/>
    <n v="0"/>
    <n v="0"/>
    <n v="0"/>
    <n v="0"/>
    <n v="0"/>
  </r>
  <r>
    <x v="0"/>
    <x v="0"/>
    <x v="0"/>
    <n v="6047087007656"/>
    <x v="258"/>
    <s v="OSASCO"/>
    <s v="SP"/>
    <s v="1-Setorizado"/>
    <n v="2"/>
    <x v="17"/>
    <s v="ANTONIO TUNES - HSP - SPC"/>
    <s v="Hospitalar"/>
    <s v="claudia.bueno@cslbehring.com"/>
    <s v="CLAUDIA BUENO (SPC/SPI)"/>
    <n v="0"/>
    <n v="0"/>
    <n v="9"/>
    <n v="0"/>
    <n v="0"/>
  </r>
  <r>
    <x v="0"/>
    <x v="0"/>
    <x v="0"/>
    <n v="44803922000293"/>
    <x v="259"/>
    <s v="PIRACICABA"/>
    <s v="SP"/>
    <s v="1-Setorizado"/>
    <n v="2"/>
    <x v="14"/>
    <s v="BRUNA CLARO - ESP - SPI"/>
    <s v="Especialidade"/>
    <s v="claudia.bueno@cslbehring.com"/>
    <s v="CLAUDIA BUENO (SPC/SPI)"/>
    <n v="0"/>
    <n v="0"/>
    <n v="0"/>
    <n v="6"/>
    <n v="0"/>
  </r>
  <r>
    <x v="0"/>
    <x v="0"/>
    <x v="0"/>
    <n v="44803922000293"/>
    <x v="259"/>
    <s v="PIRACICABA"/>
    <s v="SP"/>
    <s v="1-Setorizado"/>
    <n v="2"/>
    <x v="15"/>
    <s v="ARTUR JUNIOR - HSP - SPI"/>
    <s v="Hospitalar"/>
    <s v="claudia.bueno@cslbehring.com"/>
    <s v="CLAUDIA BUENO (SPC/SPI)"/>
    <n v="0"/>
    <n v="0"/>
    <n v="0"/>
    <n v="0"/>
    <n v="0"/>
  </r>
  <r>
    <x v="0"/>
    <x v="0"/>
    <x v="0"/>
    <n v="840048000450"/>
    <x v="260"/>
    <s v="PIRASSUNUNGA"/>
    <s v="SP"/>
    <s v="1-Setorizado"/>
    <n v="2"/>
    <x v="14"/>
    <s v="BRUNA CLARO - ESP - SPI"/>
    <s v="Especialidade"/>
    <s v="claudia.bueno@cslbehring.com"/>
    <s v="CLAUDIA BUENO (SPC/SPI)"/>
    <n v="0"/>
    <n v="0"/>
    <n v="0"/>
    <n v="0"/>
    <n v="85"/>
  </r>
  <r>
    <x v="0"/>
    <x v="0"/>
    <x v="0"/>
    <n v="840048000450"/>
    <x v="260"/>
    <s v="PIRASSUNUNGA"/>
    <s v="SP"/>
    <s v="1-Setorizado"/>
    <n v="2"/>
    <x v="15"/>
    <s v="ARTUR JUNIOR - HSP - SPI"/>
    <s v="Hospitalar"/>
    <s v="claudia.bueno@cslbehring.com"/>
    <s v="CLAUDIA BUENO (SPC/SPI)"/>
    <n v="0"/>
    <n v="0"/>
    <n v="0"/>
    <n v="0"/>
    <n v="85"/>
  </r>
  <r>
    <x v="0"/>
    <x v="0"/>
    <x v="0"/>
    <n v="57722118000302"/>
    <x v="261"/>
    <s v="RIBEIRAO PRETO"/>
    <s v="SP"/>
    <s v="1-Setorizado"/>
    <n v="2"/>
    <x v="14"/>
    <s v="BRUNA CLARO - ESP - SPI"/>
    <s v="Especialidade"/>
    <s v="claudia.bueno@cslbehring.com"/>
    <s v="CLAUDIA BUENO (SPC/SPI)"/>
    <n v="0"/>
    <n v="0"/>
    <n v="0"/>
    <n v="0"/>
    <n v="1650"/>
  </r>
  <r>
    <x v="0"/>
    <x v="0"/>
    <x v="0"/>
    <n v="57722118000302"/>
    <x v="261"/>
    <s v="RIBEIRAO PRETO"/>
    <s v="SP"/>
    <s v="1-Setorizado"/>
    <n v="2"/>
    <x v="15"/>
    <s v="ARTUR JUNIOR - HSP - SPI"/>
    <s v="Hospitalar"/>
    <s v="claudia.bueno@cslbehring.com"/>
    <s v="CLAUDIA BUENO (SPC/SPI)"/>
    <n v="0"/>
    <n v="0"/>
    <n v="0"/>
    <n v="0"/>
    <n v="1650"/>
  </r>
  <r>
    <x v="0"/>
    <x v="0"/>
    <x v="0"/>
    <n v="46374500003533"/>
    <x v="262"/>
    <s v="RIBEIRAO PRETO"/>
    <s v="SP"/>
    <s v="1-Setorizado"/>
    <n v="2"/>
    <x v="14"/>
    <s v="BRUNA CLARO - ESP - SPI"/>
    <s v="Especialidade"/>
    <s v="claudia.bueno@cslbehring.com"/>
    <s v="CLAUDIA BUENO (SPC/SPI)"/>
    <n v="0"/>
    <n v="0"/>
    <n v="0"/>
    <n v="0"/>
    <n v="1000"/>
  </r>
  <r>
    <x v="0"/>
    <x v="0"/>
    <x v="0"/>
    <n v="46374500003533"/>
    <x v="262"/>
    <s v="RIBEIRAO PRETO"/>
    <s v="SP"/>
    <s v="1-Setorizado"/>
    <n v="2"/>
    <x v="15"/>
    <s v="ARTUR JUNIOR - HSP - SPI"/>
    <s v="Hospitalar"/>
    <s v="claudia.bueno@cslbehring.com"/>
    <s v="CLAUDIA BUENO (SPC/SPI)"/>
    <n v="0"/>
    <n v="0"/>
    <n v="0"/>
    <n v="0"/>
    <n v="1000"/>
  </r>
  <r>
    <x v="0"/>
    <x v="0"/>
    <x v="0"/>
    <n v="1613433006892"/>
    <x v="263"/>
    <s v="RIBEIRAO PRETO"/>
    <s v="SP"/>
    <s v="1-Setorizado"/>
    <n v="2"/>
    <x v="14"/>
    <s v="BRUNA CLARO - ESP - SPI"/>
    <s v="Especialidade"/>
    <s v="claudia.bueno@cslbehring.com"/>
    <s v="CLAUDIA BUENO (SPC/SPI)"/>
    <n v="0"/>
    <n v="0"/>
    <n v="0"/>
    <n v="0"/>
    <n v="1200"/>
  </r>
  <r>
    <x v="0"/>
    <x v="0"/>
    <x v="0"/>
    <n v="1613433006892"/>
    <x v="263"/>
    <s v="RIBEIRAO PRETO"/>
    <s v="SP"/>
    <s v="1-Setorizado"/>
    <n v="2"/>
    <x v="15"/>
    <s v="ARTUR JUNIOR - HSP - SPI"/>
    <s v="Hospitalar"/>
    <s v="claudia.bueno@cslbehring.com"/>
    <s v="CLAUDIA BUENO (SPC/SPI)"/>
    <n v="0"/>
    <n v="0"/>
    <n v="0"/>
    <n v="0"/>
    <n v="1200"/>
  </r>
  <r>
    <x v="0"/>
    <x v="0"/>
    <x v="0"/>
    <n v="55980148000121"/>
    <x v="264"/>
    <s v="RIBEIRAO PRETO"/>
    <s v="SP"/>
    <s v="1-Setorizado"/>
    <n v="2"/>
    <x v="14"/>
    <s v="BRUNA CLARO - ESP - SPI"/>
    <s v="Especialidade"/>
    <s v="claudia.bueno@cslbehring.com"/>
    <s v="CLAUDIA BUENO (SPC/SPI)"/>
    <n v="0"/>
    <n v="0"/>
    <n v="0"/>
    <n v="1"/>
    <n v="0"/>
  </r>
  <r>
    <x v="0"/>
    <x v="0"/>
    <x v="0"/>
    <n v="55980148000121"/>
    <x v="264"/>
    <s v="RIBEIRAO PRETO"/>
    <s v="SP"/>
    <s v="1-Setorizado"/>
    <n v="2"/>
    <x v="15"/>
    <s v="ARTUR JUNIOR - HSP - SPI"/>
    <s v="Hospitalar"/>
    <s v="claudia.bueno@cslbehring.com"/>
    <s v="CLAUDIA BUENO (SPC/SPI)"/>
    <n v="0"/>
    <n v="0"/>
    <n v="0"/>
    <n v="0"/>
    <n v="0"/>
  </r>
  <r>
    <x v="0"/>
    <x v="0"/>
    <x v="0"/>
    <n v="45232246000550"/>
    <x v="265"/>
    <s v="RIBEIRAO PRETO"/>
    <s v="SP"/>
    <s v="1-Setorizado"/>
    <n v="2"/>
    <x v="14"/>
    <s v="BRUNA CLARO - ESP - SPI"/>
    <s v="Especialidade"/>
    <s v="claudia.bueno@cslbehring.com"/>
    <s v="CLAUDIA BUENO (SPC/SPI)"/>
    <n v="0"/>
    <n v="0"/>
    <n v="0"/>
    <n v="35"/>
    <n v="235"/>
  </r>
  <r>
    <x v="0"/>
    <x v="0"/>
    <x v="0"/>
    <n v="45232246000550"/>
    <x v="265"/>
    <s v="RIBEIRAO PRETO"/>
    <s v="SP"/>
    <s v="1-Setorizado"/>
    <n v="2"/>
    <x v="15"/>
    <s v="ARTUR JUNIOR - HSP - SPI"/>
    <s v="Hospitalar"/>
    <s v="claudia.bueno@cslbehring.com"/>
    <s v="CLAUDIA BUENO (SPC/SPI)"/>
    <n v="0"/>
    <n v="0"/>
    <n v="0"/>
    <n v="0"/>
    <n v="235"/>
  </r>
  <r>
    <x v="0"/>
    <x v="0"/>
    <x v="0"/>
    <n v="44663631000590"/>
    <x v="266"/>
    <s v="RIO CLARO"/>
    <s v="SP"/>
    <s v="1-Setorizado"/>
    <n v="2"/>
    <x v="14"/>
    <s v="BRUNA CLARO - ESP - SPI"/>
    <s v="Especialidade"/>
    <s v="claudia.bueno@cslbehring.com"/>
    <s v="CLAUDIA BUENO (SPC/SPI)"/>
    <n v="0"/>
    <n v="0"/>
    <n v="0"/>
    <n v="32"/>
    <n v="225"/>
  </r>
  <r>
    <x v="0"/>
    <x v="0"/>
    <x v="0"/>
    <n v="44663631000590"/>
    <x v="266"/>
    <s v="RIO CLARO"/>
    <s v="SP"/>
    <s v="1-Setorizado"/>
    <n v="2"/>
    <x v="15"/>
    <s v="ARTUR JUNIOR - HSP - SPI"/>
    <s v="Hospitalar"/>
    <s v="claudia.bueno@cslbehring.com"/>
    <s v="CLAUDIA BUENO (SPC/SPI)"/>
    <n v="0"/>
    <n v="0"/>
    <n v="0"/>
    <n v="0"/>
    <n v="225"/>
  </r>
  <r>
    <x v="0"/>
    <x v="0"/>
    <x v="0"/>
    <n v="13718999001041"/>
    <x v="267"/>
    <s v="SANTO ANDRE"/>
    <s v="SP"/>
    <s v="1-Setorizado"/>
    <n v="2"/>
    <x v="18"/>
    <s v="XXX-ESP-VAGO SPC"/>
    <s v="Especialidade"/>
    <s v="claudia.bueno@cslbehring.com"/>
    <s v="CLAUDIA BUENO (SPC/SPI)"/>
    <n v="0"/>
    <n v="0"/>
    <n v="0"/>
    <n v="4"/>
    <n v="0"/>
  </r>
  <r>
    <x v="0"/>
    <x v="0"/>
    <x v="0"/>
    <n v="13718999001041"/>
    <x v="267"/>
    <s v="SANTO ANDRE"/>
    <s v="SP"/>
    <s v="1-Setorizado"/>
    <n v="2"/>
    <x v="17"/>
    <s v="ANTONIO TUNES - HSP - SPC"/>
    <s v="Hospitalar"/>
    <s v="claudia.bueno@cslbehring.com"/>
    <s v="CLAUDIA BUENO (SPC/SPI)"/>
    <n v="0"/>
    <n v="0"/>
    <n v="0"/>
    <n v="0"/>
    <n v="0"/>
  </r>
  <r>
    <x v="0"/>
    <x v="0"/>
    <x v="0"/>
    <n v="6033403000113"/>
    <x v="268"/>
    <s v="SANTO ANDRE"/>
    <s v="SP"/>
    <s v="1-Setorizado"/>
    <n v="2"/>
    <x v="16"/>
    <s v="JANAINA PALMIRO - ESP - SPC"/>
    <s v="Especialidade"/>
    <s v="claudia.bueno@cslbehring.com"/>
    <s v="CLAUDIA BUENO (SPC/SPI)"/>
    <n v="0"/>
    <n v="0"/>
    <n v="0"/>
    <n v="0"/>
    <n v="20"/>
  </r>
  <r>
    <x v="0"/>
    <x v="0"/>
    <x v="0"/>
    <n v="6033403000113"/>
    <x v="268"/>
    <s v="SANTO ANDRE"/>
    <s v="SP"/>
    <s v="1-Setorizado"/>
    <n v="2"/>
    <x v="17"/>
    <s v="ANTONIO TUNES - HSP - SPC"/>
    <s v="Hospitalar"/>
    <s v="claudia.bueno@cslbehring.com"/>
    <s v="CLAUDIA BUENO (SPC/SPI)"/>
    <n v="0"/>
    <n v="0"/>
    <n v="0"/>
    <n v="0"/>
    <n v="20"/>
  </r>
  <r>
    <x v="0"/>
    <x v="0"/>
    <x v="0"/>
    <n v="29435005008022"/>
    <x v="269"/>
    <s v="SANTOS"/>
    <s v="SP"/>
    <s v="1-Setorizado"/>
    <n v="2"/>
    <x v="18"/>
    <s v="XXX-ESP-VAGO SPC"/>
    <s v="Especialidade"/>
    <s v="claudia.bueno@cslbehring.com"/>
    <s v="CLAUDIA BUENO (SPC/SPI)"/>
    <n v="0"/>
    <n v="0"/>
    <n v="0"/>
    <n v="0"/>
    <n v="60"/>
  </r>
  <r>
    <x v="0"/>
    <x v="0"/>
    <x v="0"/>
    <n v="29435005008022"/>
    <x v="269"/>
    <s v="SANTOS"/>
    <s v="SP"/>
    <s v="1-Setorizado"/>
    <n v="2"/>
    <x v="17"/>
    <s v="ANTONIO TUNES - HSP - SPC"/>
    <s v="Hospitalar"/>
    <s v="claudia.bueno@cslbehring.com"/>
    <s v="CLAUDIA BUENO (SPC/SPI)"/>
    <n v="0"/>
    <n v="0"/>
    <n v="0"/>
    <n v="0"/>
    <n v="60"/>
  </r>
  <r>
    <x v="0"/>
    <x v="0"/>
    <x v="0"/>
    <n v="58229691001070"/>
    <x v="270"/>
    <s v="SANTOS"/>
    <s v="SP"/>
    <s v="1-Setorizado"/>
    <n v="2"/>
    <x v="18"/>
    <s v="XXX-ESP-VAGO SPC"/>
    <s v="Especialidade"/>
    <s v="claudia.bueno@cslbehring.com"/>
    <s v="CLAUDIA BUENO (SPC/SPI)"/>
    <n v="0"/>
    <n v="0"/>
    <n v="0"/>
    <n v="48"/>
    <n v="0"/>
  </r>
  <r>
    <x v="0"/>
    <x v="0"/>
    <x v="0"/>
    <n v="58229691001070"/>
    <x v="270"/>
    <s v="SANTOS"/>
    <s v="SP"/>
    <s v="1-Setorizado"/>
    <n v="2"/>
    <x v="17"/>
    <s v="ANTONIO TUNES - HSP - SPC"/>
    <s v="Hospitalar"/>
    <s v="claudia.bueno@cslbehring.com"/>
    <s v="CLAUDIA BUENO (SPC/SPI)"/>
    <n v="0"/>
    <n v="0"/>
    <n v="0"/>
    <n v="0"/>
    <n v="0"/>
  </r>
  <r>
    <x v="0"/>
    <x v="0"/>
    <x v="0"/>
    <n v="43293604002120"/>
    <x v="271"/>
    <s v="SAO BERNARDO DO CAMPO"/>
    <s v="SP"/>
    <s v="1-Setorizado"/>
    <n v="2"/>
    <x v="18"/>
    <s v="XXX-ESP-VAGO SPC"/>
    <s v="Especialidade"/>
    <s v="claudia.bueno@cslbehring.com"/>
    <s v="CLAUDIA BUENO (SPC/SPI)"/>
    <n v="0"/>
    <n v="0"/>
    <n v="0"/>
    <n v="0"/>
    <n v="120"/>
  </r>
  <r>
    <x v="0"/>
    <x v="0"/>
    <x v="0"/>
    <n v="43293604002120"/>
    <x v="271"/>
    <s v="SAO BERNARDO DO CAMPO"/>
    <s v="SP"/>
    <s v="1-Setorizado"/>
    <n v="2"/>
    <x v="17"/>
    <s v="ANTONIO TUNES - HSP - SPC"/>
    <s v="Hospitalar"/>
    <s v="claudia.bueno@cslbehring.com"/>
    <s v="CLAUDIA BUENO (SPC/SPI)"/>
    <n v="0"/>
    <n v="0"/>
    <n v="0"/>
    <n v="0"/>
    <n v="120"/>
  </r>
  <r>
    <x v="0"/>
    <x v="0"/>
    <x v="0"/>
    <n v="45359213000576"/>
    <x v="272"/>
    <s v="SAO CARLOS"/>
    <s v="SP"/>
    <s v="1-Setorizado"/>
    <n v="2"/>
    <x v="14"/>
    <s v="BRUNA CLARO - ESP - SPI"/>
    <s v="Especialidade"/>
    <s v="claudia.bueno@cslbehring.com"/>
    <s v="CLAUDIA BUENO (SPC/SPI)"/>
    <n v="0"/>
    <n v="0"/>
    <n v="0"/>
    <n v="40"/>
    <n v="0"/>
  </r>
  <r>
    <x v="0"/>
    <x v="0"/>
    <x v="0"/>
    <n v="45359213000576"/>
    <x v="272"/>
    <s v="SAO CARLOS"/>
    <s v="SP"/>
    <s v="1-Setorizado"/>
    <n v="2"/>
    <x v="15"/>
    <s v="ARTUR JUNIOR - HSP - SPI"/>
    <s v="Hospitalar"/>
    <s v="claudia.bueno@cslbehring.com"/>
    <s v="CLAUDIA BUENO (SPC/SPI)"/>
    <n v="0"/>
    <n v="0"/>
    <n v="0"/>
    <n v="0"/>
    <n v="0"/>
  </r>
  <r>
    <x v="0"/>
    <x v="0"/>
    <x v="0"/>
    <n v="59970947000178"/>
    <x v="273"/>
    <s v="SAO JOSE DO RIO PRETO"/>
    <s v="SP"/>
    <s v="1-Setorizado"/>
    <n v="2"/>
    <x v="14"/>
    <s v="BRUNA CLARO - ESP - SPI"/>
    <s v="Especialidade"/>
    <s v="claudia.bueno@cslbehring.com"/>
    <s v="CLAUDIA BUENO (SPC/SPI)"/>
    <n v="0"/>
    <n v="0"/>
    <n v="0"/>
    <n v="0"/>
    <n v="0"/>
  </r>
  <r>
    <x v="0"/>
    <x v="0"/>
    <x v="0"/>
    <n v="59970947000178"/>
    <x v="273"/>
    <s v="SAO JOSE DO RIO PRETO"/>
    <s v="SP"/>
    <s v="1-Setorizado"/>
    <n v="2"/>
    <x v="15"/>
    <s v="ARTUR JUNIOR - HSP - SPI"/>
    <s v="Hospitalar"/>
    <s v="claudia.bueno@cslbehring.com"/>
    <s v="CLAUDIA BUENO (SPC/SPI)"/>
    <n v="0"/>
    <n v="0"/>
    <n v="1"/>
    <n v="0"/>
    <n v="0"/>
  </r>
  <r>
    <x v="0"/>
    <x v="0"/>
    <x v="0"/>
    <n v="2643405000173"/>
    <x v="274"/>
    <s v="SAO JOSE DO RIO PRETO"/>
    <s v="SP"/>
    <s v="1-Setorizado"/>
    <n v="2"/>
    <x v="14"/>
    <s v="BRUNA CLARO - ESP - SPI"/>
    <s v="Especialidade"/>
    <s v="claudia.bueno@cslbehring.com"/>
    <s v="CLAUDIA BUENO (SPC/SPI)"/>
    <n v="0"/>
    <n v="0"/>
    <n v="0"/>
    <n v="6"/>
    <n v="0"/>
  </r>
  <r>
    <x v="0"/>
    <x v="0"/>
    <x v="0"/>
    <n v="2643405000173"/>
    <x v="274"/>
    <s v="SAO JOSE DO RIO PRETO"/>
    <s v="SP"/>
    <s v="1-Setorizado"/>
    <n v="2"/>
    <x v="15"/>
    <s v="ARTUR JUNIOR - HSP - SPI"/>
    <s v="Hospitalar"/>
    <s v="claudia.bueno@cslbehring.com"/>
    <s v="CLAUDIA BUENO (SPC/SPI)"/>
    <n v="0"/>
    <n v="0"/>
    <n v="0"/>
    <n v="0"/>
    <n v="0"/>
  </r>
  <r>
    <x v="0"/>
    <x v="0"/>
    <x v="0"/>
    <n v="60003761000129"/>
    <x v="275"/>
    <s v="SAO JOSE DO RIO PRETO"/>
    <s v="SP"/>
    <s v="1-Setorizado"/>
    <n v="2"/>
    <x v="14"/>
    <s v="BRUNA CLARO - ESP - SPI"/>
    <s v="Especialidade"/>
    <s v="claudia.bueno@cslbehring.com"/>
    <s v="CLAUDIA BUENO (SPC/SPI)"/>
    <n v="0"/>
    <n v="0"/>
    <n v="0"/>
    <n v="0"/>
    <n v="0"/>
  </r>
  <r>
    <x v="0"/>
    <x v="0"/>
    <x v="0"/>
    <n v="60003761000129"/>
    <x v="275"/>
    <s v="SAO JOSE DO RIO PRETO"/>
    <s v="SP"/>
    <s v="1-Setorizado"/>
    <n v="2"/>
    <x v="15"/>
    <s v="ARTUR JUNIOR - HSP - SPI"/>
    <s v="Hospitalar"/>
    <s v="claudia.bueno@cslbehring.com"/>
    <s v="CLAUDIA BUENO (SPC/SPI)"/>
    <n v="0"/>
    <n v="10"/>
    <n v="0"/>
    <n v="0"/>
    <n v="0"/>
  </r>
  <r>
    <x v="0"/>
    <x v="0"/>
    <x v="0"/>
    <n v="59972307000105"/>
    <x v="276"/>
    <s v="SAO JOSE DO RIO PRETO"/>
    <s v="SP"/>
    <s v="1-Setorizado"/>
    <n v="2"/>
    <x v="14"/>
    <s v="BRUNA CLARO - ESP - SPI"/>
    <s v="Especialidade"/>
    <s v="claudia.bueno@cslbehring.com"/>
    <s v="CLAUDIA BUENO (SPC/SPI)"/>
    <n v="0"/>
    <n v="0"/>
    <n v="0"/>
    <n v="0"/>
    <n v="0"/>
  </r>
  <r>
    <x v="0"/>
    <x v="0"/>
    <x v="0"/>
    <n v="59972307000105"/>
    <x v="276"/>
    <s v="SAO JOSE DO RIO PRETO"/>
    <s v="SP"/>
    <s v="1-Setorizado"/>
    <n v="2"/>
    <x v="15"/>
    <s v="ARTUR JUNIOR - HSP - SPI"/>
    <s v="Hospitalar"/>
    <s v="claudia.bueno@cslbehring.com"/>
    <s v="CLAUDIA BUENO (SPC/SPI)"/>
    <n v="0"/>
    <n v="2"/>
    <n v="0"/>
    <n v="0"/>
    <n v="0"/>
  </r>
  <r>
    <x v="0"/>
    <x v="0"/>
    <x v="0"/>
    <n v="45184066000117"/>
    <x v="277"/>
    <s v="SAO JOSE DOS CAMPOS"/>
    <s v="SP"/>
    <s v="1-Setorizado"/>
    <n v="2"/>
    <x v="16"/>
    <s v="JANAINA PALMIRO - ESP - SPC"/>
    <s v="Especialidade"/>
    <s v="claudia.bueno@cslbehring.com"/>
    <s v="CLAUDIA BUENO (SPC/SPI)"/>
    <n v="0"/>
    <n v="0"/>
    <n v="0"/>
    <n v="14"/>
    <n v="0"/>
  </r>
  <r>
    <x v="0"/>
    <x v="0"/>
    <x v="0"/>
    <n v="45184066000117"/>
    <x v="277"/>
    <s v="SAO JOSE DOS CAMPOS"/>
    <s v="SP"/>
    <s v="1-Setorizado"/>
    <n v="2"/>
    <x v="19"/>
    <s v="TATHIANA PONCE - HSP - SPC"/>
    <s v="Hospitalar"/>
    <s v="claudia.bueno@cslbehring.com"/>
    <s v="CLAUDIA BUENO (SPC/SPI)"/>
    <n v="0"/>
    <n v="0"/>
    <n v="0"/>
    <n v="0"/>
    <n v="0"/>
  </r>
  <r>
    <x v="0"/>
    <x v="0"/>
    <x v="0"/>
    <n v="60214517001691"/>
    <x v="278"/>
    <s v="SAO JOSE DOS CAMPOS"/>
    <s v="SP"/>
    <s v="1-Setorizado"/>
    <n v="2"/>
    <x v="16"/>
    <s v="JANAINA PALMIRO - ESP - SPC"/>
    <s v="Especialidade"/>
    <s v="claudia.bueno@cslbehring.com"/>
    <s v="CLAUDIA BUENO (SPC/SPI)"/>
    <n v="0"/>
    <n v="0"/>
    <n v="0"/>
    <n v="0"/>
    <n v="150"/>
  </r>
  <r>
    <x v="0"/>
    <x v="0"/>
    <x v="0"/>
    <n v="60214517001691"/>
    <x v="278"/>
    <s v="SAO JOSE DOS CAMPOS"/>
    <s v="SP"/>
    <s v="1-Setorizado"/>
    <n v="2"/>
    <x v="19"/>
    <s v="TATHIANA PONCE - HSP - SPC"/>
    <s v="Hospitalar"/>
    <s v="claudia.bueno@cslbehring.com"/>
    <s v="CLAUDIA BUENO (SPC/SPI)"/>
    <n v="0"/>
    <n v="0"/>
    <n v="0"/>
    <n v="0"/>
    <n v="150"/>
  </r>
  <r>
    <x v="0"/>
    <x v="0"/>
    <x v="0"/>
    <n v="6047087003073"/>
    <x v="279"/>
    <s v="SAO JOSE DOS CAMPOS"/>
    <s v="SP"/>
    <s v="1-Setorizado"/>
    <n v="2"/>
    <x v="16"/>
    <s v="JANAINA PALMIRO - ESP - SPC"/>
    <s v="Especialidade"/>
    <s v="claudia.bueno@cslbehring.com"/>
    <s v="CLAUDIA BUENO (SPC/SPI)"/>
    <n v="2"/>
    <n v="0"/>
    <n v="0"/>
    <n v="48"/>
    <n v="250"/>
  </r>
  <r>
    <x v="0"/>
    <x v="0"/>
    <x v="0"/>
    <n v="6047087003073"/>
    <x v="279"/>
    <s v="SAO JOSE DOS CAMPOS"/>
    <s v="SP"/>
    <s v="1-Setorizado"/>
    <n v="2"/>
    <x v="19"/>
    <s v="TATHIANA PONCE - HSP - SPC"/>
    <s v="Hospitalar"/>
    <s v="claudia.bueno@cslbehring.com"/>
    <s v="CLAUDIA BUENO (SPC/SPI)"/>
    <n v="0"/>
    <n v="0"/>
    <n v="0"/>
    <n v="0"/>
    <n v="250"/>
  </r>
  <r>
    <x v="0"/>
    <x v="0"/>
    <x v="0"/>
    <n v="60214517000962"/>
    <x v="280"/>
    <s v="SAO JOSE DOS CAMPOS"/>
    <s v="SP"/>
    <s v="1-Setorizado"/>
    <n v="2"/>
    <x v="16"/>
    <s v="JANAINA PALMIRO - ESP - SPC"/>
    <s v="Especialidade"/>
    <s v="claudia.bueno@cslbehring.com"/>
    <s v="CLAUDIA BUENO (SPC/SPI)"/>
    <n v="0"/>
    <n v="0"/>
    <n v="0"/>
    <n v="0"/>
    <n v="90"/>
  </r>
  <r>
    <x v="0"/>
    <x v="0"/>
    <x v="0"/>
    <n v="60214517000962"/>
    <x v="280"/>
    <s v="SAO JOSE DOS CAMPOS"/>
    <s v="SP"/>
    <s v="1-Setorizado"/>
    <n v="2"/>
    <x v="19"/>
    <s v="TATHIANA PONCE - HSP - SPC"/>
    <s v="Hospitalar"/>
    <s v="claudia.bueno@cslbehring.com"/>
    <s v="CLAUDIA BUENO (SPC/SPI)"/>
    <n v="0"/>
    <n v="0"/>
    <n v="0"/>
    <n v="0"/>
    <n v="90"/>
  </r>
  <r>
    <x v="0"/>
    <x v="0"/>
    <x v="0"/>
    <n v="18321477000134"/>
    <x v="281"/>
    <s v="SAO JOSE DOS CAMPOS _x000d_"/>
    <s v="SP"/>
    <s v="1-Setorizado"/>
    <n v="2"/>
    <x v="16"/>
    <s v="JANAINA PALMIRO - ESP - SPC"/>
    <s v="Especialidade"/>
    <s v="claudia.bueno@cslbehring.com"/>
    <s v="CLAUDIA BUENO (SPC/SPI)"/>
    <n v="0"/>
    <n v="0"/>
    <n v="0"/>
    <n v="48"/>
    <n v="0"/>
  </r>
  <r>
    <x v="0"/>
    <x v="0"/>
    <x v="0"/>
    <n v="18321477000134"/>
    <x v="281"/>
    <s v="SAO JOSE DOS CAMPOS _x000d_"/>
    <s v="SP"/>
    <s v="1-Setorizado"/>
    <n v="2"/>
    <x v="19"/>
    <s v="TATHIANA PONCE - HSP - SPC"/>
    <s v="Hospitalar"/>
    <s v="claudia.bueno@cslbehring.com"/>
    <s v="CLAUDIA BUENO (SPC/SPI)"/>
    <n v="0"/>
    <n v="0"/>
    <n v="0"/>
    <n v="0"/>
    <n v="0"/>
  </r>
  <r>
    <x v="0"/>
    <x v="0"/>
    <x v="0"/>
    <n v="60961968000106"/>
    <x v="282"/>
    <s v="SAO PAULO"/>
    <s v="SP"/>
    <s v="1-Setorizado"/>
    <n v="2"/>
    <x v="18"/>
    <s v="XXX-ESP-VAGO SPC"/>
    <s v="Especialidade"/>
    <s v="claudia.bueno@cslbehring.com"/>
    <s v="CLAUDIA BUENO (SPC/SPI)"/>
    <n v="0"/>
    <n v="0"/>
    <n v="0"/>
    <n v="0"/>
    <n v="1825"/>
  </r>
  <r>
    <x v="0"/>
    <x v="0"/>
    <x v="0"/>
    <n v="60961968000106"/>
    <x v="282"/>
    <s v="SAO PAULO"/>
    <s v="SP"/>
    <s v="1-Setorizado"/>
    <n v="2"/>
    <x v="20"/>
    <s v="NELSON MARTINS - HSP - SPC"/>
    <s v="Hospitalar"/>
    <s v="claudia.bueno@cslbehring.com"/>
    <s v="CLAUDIA BUENO (SPC/SPI)"/>
    <n v="0"/>
    <n v="0"/>
    <n v="0"/>
    <n v="0"/>
    <n v="1825"/>
  </r>
  <r>
    <x v="0"/>
    <x v="0"/>
    <x v="0"/>
    <n v="51722957010226"/>
    <x v="283"/>
    <s v="SAO PAULO"/>
    <s v="SP"/>
    <s v="1-Setorizado"/>
    <n v="2"/>
    <x v="16"/>
    <s v="JANAINA PALMIRO - ESP - SPC"/>
    <s v="Especialidade"/>
    <s v="claudia.bueno@cslbehring.com"/>
    <s v="CLAUDIA BUENO (SPC/SPI)"/>
    <n v="0"/>
    <n v="0"/>
    <n v="0"/>
    <n v="7"/>
    <n v="535"/>
  </r>
  <r>
    <x v="0"/>
    <x v="0"/>
    <x v="0"/>
    <n v="51722957010226"/>
    <x v="283"/>
    <s v="SAO PAULO"/>
    <s v="SP"/>
    <s v="1-Setorizado"/>
    <n v="2"/>
    <x v="19"/>
    <s v="TATHIANA PONCE - HSP - SPC"/>
    <s v="Hospitalar"/>
    <s v="claudia.bueno@cslbehring.com"/>
    <s v="CLAUDIA BUENO (SPC/SPI)"/>
    <n v="0"/>
    <n v="0"/>
    <n v="0"/>
    <n v="0"/>
    <n v="535"/>
  </r>
  <r>
    <x v="0"/>
    <x v="0"/>
    <x v="0"/>
    <n v="18180008000142"/>
    <x v="284"/>
    <s v="SAO PAULO"/>
    <s v="SP"/>
    <s v="1-Setorizado"/>
    <n v="2"/>
    <x v="16"/>
    <s v="JANAINA PALMIRO - ESP - SPC"/>
    <s v="Especialidade"/>
    <s v="claudia.bueno@cslbehring.com"/>
    <s v="CLAUDIA BUENO (SPC/SPI)"/>
    <n v="0"/>
    <n v="0"/>
    <n v="0"/>
    <n v="0"/>
    <n v="0"/>
  </r>
  <r>
    <x v="0"/>
    <x v="0"/>
    <x v="0"/>
    <n v="18180008000142"/>
    <x v="284"/>
    <s v="SAO PAULO"/>
    <s v="SP"/>
    <s v="1-Setorizado"/>
    <n v="2"/>
    <x v="20"/>
    <s v="NELSON MARTINS - HSP - SPC"/>
    <s v="Hospitalar"/>
    <s v="claudia.bueno@cslbehring.com"/>
    <s v="CLAUDIA BUENO (SPC/SPI)"/>
    <n v="0"/>
    <n v="2"/>
    <n v="0"/>
    <n v="0"/>
    <n v="0"/>
  </r>
  <r>
    <x v="0"/>
    <x v="0"/>
    <x v="0"/>
    <n v="2383508000494"/>
    <x v="285"/>
    <s v="SAO PAULO"/>
    <s v="SP"/>
    <s v="1-Setorizado"/>
    <n v="2"/>
    <x v="16"/>
    <s v="JANAINA PALMIRO - ESP - SPC"/>
    <s v="Especialidade"/>
    <s v="claudia.bueno@cslbehring.com"/>
    <s v="CLAUDIA BUENO (SPC/SPI)"/>
    <n v="0"/>
    <n v="0"/>
    <n v="0"/>
    <n v="31"/>
    <n v="0"/>
  </r>
  <r>
    <x v="0"/>
    <x v="0"/>
    <x v="0"/>
    <n v="2383508000494"/>
    <x v="285"/>
    <s v="SAO PAULO"/>
    <s v="SP"/>
    <s v="1-Setorizado"/>
    <n v="2"/>
    <x v="17"/>
    <s v="ANTONIO TUNES - HSP - SPC"/>
    <s v="Hospitalar"/>
    <s v="claudia.bueno@cslbehring.com"/>
    <s v="CLAUDIA BUENO (SPC/SPI)"/>
    <n v="0"/>
    <n v="0"/>
    <n v="0"/>
    <n v="0"/>
    <n v="0"/>
  </r>
  <r>
    <x v="0"/>
    <x v="0"/>
    <x v="0"/>
    <n v="43643139000409"/>
    <x v="286"/>
    <s v="SAO PAULO"/>
    <s v="SP"/>
    <s v="1-Setorizado"/>
    <n v="2"/>
    <x v="16"/>
    <s v="JANAINA PALMIRO - ESP - SPC"/>
    <s v="Especialidade"/>
    <s v="claudia.bueno@cslbehring.com"/>
    <s v="CLAUDIA BUENO (SPC/SPI)"/>
    <n v="0"/>
    <n v="0"/>
    <n v="0"/>
    <n v="0"/>
    <n v="160"/>
  </r>
  <r>
    <x v="0"/>
    <x v="0"/>
    <x v="0"/>
    <n v="43643139000409"/>
    <x v="286"/>
    <s v="SAO PAULO"/>
    <s v="SP"/>
    <s v="1-Setorizado"/>
    <n v="2"/>
    <x v="17"/>
    <s v="ANTONIO TUNES - HSP - SPC"/>
    <s v="Hospitalar"/>
    <s v="claudia.bueno@cslbehring.com"/>
    <s v="CLAUDIA BUENO (SPC/SPI)"/>
    <n v="0"/>
    <n v="0"/>
    <n v="0"/>
    <n v="0"/>
    <n v="160"/>
  </r>
  <r>
    <x v="0"/>
    <x v="0"/>
    <x v="0"/>
    <n v="8871521000126"/>
    <x v="287"/>
    <s v="SAO PAULO"/>
    <s v="SP"/>
    <s v="1-Setorizado"/>
    <n v="2"/>
    <x v="18"/>
    <s v="XXX-ESP-VAGO SPC"/>
    <s v="Especialidade"/>
    <s v="claudia.bueno@cslbehring.com"/>
    <s v="CLAUDIA BUENO (SPC/SPI)"/>
    <n v="0"/>
    <n v="0"/>
    <n v="0"/>
    <n v="0"/>
    <n v="60"/>
  </r>
  <r>
    <x v="0"/>
    <x v="0"/>
    <x v="0"/>
    <n v="8871521000126"/>
    <x v="287"/>
    <s v="SAO PAULO"/>
    <s v="SP"/>
    <s v="1-Setorizado"/>
    <n v="2"/>
    <x v="20"/>
    <s v="NELSON MARTINS - HSP - SPC"/>
    <s v="Hospitalar"/>
    <s v="claudia.bueno@cslbehring.com"/>
    <s v="CLAUDIA BUENO (SPC/SPI)"/>
    <n v="0"/>
    <n v="0"/>
    <n v="0"/>
    <n v="0"/>
    <n v="60"/>
  </r>
  <r>
    <x v="0"/>
    <x v="0"/>
    <x v="0"/>
    <n v="59481028000130"/>
    <x v="288"/>
    <s v="SAO PAULO"/>
    <s v="SP"/>
    <s v="1-Setorizado"/>
    <n v="2"/>
    <x v="16"/>
    <s v="JANAINA PALMIRO - ESP - SPC"/>
    <s v="Especialidade"/>
    <s v="claudia.bueno@cslbehring.com"/>
    <s v="CLAUDIA BUENO (SPC/SPI)"/>
    <n v="0"/>
    <n v="0"/>
    <n v="0"/>
    <n v="0"/>
    <n v="10"/>
  </r>
  <r>
    <x v="0"/>
    <x v="0"/>
    <x v="0"/>
    <n v="59481028000130"/>
    <x v="288"/>
    <s v="SAO PAULO"/>
    <s v="SP"/>
    <s v="1-Setorizado"/>
    <n v="2"/>
    <x v="17"/>
    <s v="ANTONIO TUNES - HSP - SPC"/>
    <s v="Hospitalar"/>
    <s v="claudia.bueno@cslbehring.com"/>
    <s v="CLAUDIA BUENO (SPC/SPI)"/>
    <n v="0"/>
    <n v="0"/>
    <n v="0"/>
    <n v="0"/>
    <n v="10"/>
  </r>
  <r>
    <x v="0"/>
    <x v="0"/>
    <x v="0"/>
    <n v="10468341000220"/>
    <x v="289"/>
    <s v="SAO PAULO"/>
    <s v="SP"/>
    <s v="1-Setorizado"/>
    <n v="2"/>
    <x v="16"/>
    <s v="JANAINA PALMIRO - ESP - SPC"/>
    <s v="Especialidade"/>
    <s v="claudia.bueno@cslbehring.com"/>
    <s v="CLAUDIA BUENO (SPC/SPI)"/>
    <n v="0"/>
    <n v="0"/>
    <n v="0"/>
    <n v="12"/>
    <n v="635"/>
  </r>
  <r>
    <x v="0"/>
    <x v="0"/>
    <x v="0"/>
    <n v="10468341000220"/>
    <x v="289"/>
    <s v="SAO PAULO"/>
    <s v="SP"/>
    <s v="1-Setorizado"/>
    <n v="2"/>
    <x v="19"/>
    <s v="TATHIANA PONCE - HSP - SPC"/>
    <s v="Hospitalar"/>
    <s v="claudia.bueno@cslbehring.com"/>
    <s v="CLAUDIA BUENO (SPC/SPI)"/>
    <n v="0"/>
    <n v="0"/>
    <n v="0"/>
    <n v="0"/>
    <n v="635"/>
  </r>
  <r>
    <x v="0"/>
    <x v="0"/>
    <x v="0"/>
    <n v="10468341000140"/>
    <x v="290"/>
    <s v="SAO PAULO"/>
    <s v="SP"/>
    <s v="1-Setorizado"/>
    <n v="2"/>
    <x v="16"/>
    <s v="JANAINA PALMIRO - ESP - SPC"/>
    <s v="Especialidade"/>
    <s v="claudia.bueno@cslbehring.com"/>
    <s v="CLAUDIA BUENO (SPC/SPI)"/>
    <n v="0"/>
    <n v="0"/>
    <n v="0"/>
    <n v="36"/>
    <n v="2065"/>
  </r>
  <r>
    <x v="0"/>
    <x v="0"/>
    <x v="0"/>
    <n v="10468341000140"/>
    <x v="290"/>
    <s v="SAO PAULO"/>
    <s v="SP"/>
    <s v="1-Setorizado"/>
    <n v="2"/>
    <x v="19"/>
    <s v="TATHIANA PONCE - HSP - SPC"/>
    <s v="Hospitalar"/>
    <s v="claudia.bueno@cslbehring.com"/>
    <s v="CLAUDIA BUENO (SPC/SPI)"/>
    <n v="0"/>
    <n v="0"/>
    <n v="0"/>
    <n v="0"/>
    <n v="2065"/>
  </r>
  <r>
    <x v="0"/>
    <x v="0"/>
    <x v="0"/>
    <n v="29435005009932"/>
    <x v="291"/>
    <s v="SAO PAULO"/>
    <s v="SP"/>
    <s v="1-Setorizado"/>
    <n v="2"/>
    <x v="18"/>
    <s v="XXX-ESP-VAGO SPC"/>
    <s v="Especialidade"/>
    <s v="claudia.bueno@cslbehring.com"/>
    <s v="CLAUDIA BUENO (SPC/SPI)"/>
    <n v="0"/>
    <n v="0"/>
    <n v="0"/>
    <n v="0"/>
    <n v="350"/>
  </r>
  <r>
    <x v="0"/>
    <x v="0"/>
    <x v="0"/>
    <n v="29435005009932"/>
    <x v="291"/>
    <s v="SAO PAULO"/>
    <s v="SP"/>
    <s v="1-Setorizado"/>
    <n v="2"/>
    <x v="17"/>
    <s v="ANTONIO TUNES - HSP - SPC"/>
    <s v="Hospitalar"/>
    <s v="claudia.bueno@cslbehring.com"/>
    <s v="CLAUDIA BUENO (SPC/SPI)"/>
    <n v="0"/>
    <n v="4"/>
    <n v="6"/>
    <n v="0"/>
    <n v="350"/>
  </r>
  <r>
    <x v="0"/>
    <x v="0"/>
    <x v="0"/>
    <n v="10323381000101"/>
    <x v="292"/>
    <s v="SAO PAULO"/>
    <s v="SP"/>
    <s v="1-Setorizado"/>
    <n v="2"/>
    <x v="16"/>
    <s v="JANAINA PALMIRO - ESP - SPC"/>
    <s v="Especialidade"/>
    <s v="claudia.bueno@cslbehring.com"/>
    <s v="CLAUDIA BUENO (SPC/SPI)"/>
    <n v="0"/>
    <n v="0"/>
    <n v="0"/>
    <n v="3"/>
    <n v="0"/>
  </r>
  <r>
    <x v="0"/>
    <x v="0"/>
    <x v="0"/>
    <n v="10323381000101"/>
    <x v="292"/>
    <s v="SAO PAULO"/>
    <s v="SP"/>
    <s v="1-Setorizado"/>
    <n v="2"/>
    <x v="17"/>
    <s v="ANTONIO TUNES - HSP - SPC"/>
    <s v="Hospitalar"/>
    <s v="claudia.bueno@cslbehring.com"/>
    <s v="CLAUDIA BUENO (SPC/SPI)"/>
    <n v="0"/>
    <n v="0"/>
    <n v="0"/>
    <n v="0"/>
    <n v="0"/>
  </r>
  <r>
    <x v="0"/>
    <x v="0"/>
    <x v="0"/>
    <n v="28290788000307"/>
    <x v="293"/>
    <s v="SAO PAULO"/>
    <s v="SP"/>
    <s v="1-Setorizado"/>
    <n v="2"/>
    <x v="18"/>
    <s v="XXX-ESP-VAGO SPC"/>
    <s v="Especialidade"/>
    <s v="claudia.bueno@cslbehring.com"/>
    <s v="CLAUDIA BUENO (SPC/SPI)"/>
    <n v="0"/>
    <n v="0"/>
    <n v="0"/>
    <n v="24"/>
    <n v="0"/>
  </r>
  <r>
    <x v="0"/>
    <x v="0"/>
    <x v="0"/>
    <n v="28290788000307"/>
    <x v="293"/>
    <s v="SAO PAULO"/>
    <s v="SP"/>
    <s v="1-Setorizado"/>
    <n v="2"/>
    <x v="17"/>
    <s v="ANTONIO TUNES - HSP - SPC"/>
    <s v="Hospitalar"/>
    <s v="claudia.bueno@cslbehring.com"/>
    <s v="CLAUDIA BUENO (SPC/SPI)"/>
    <n v="0"/>
    <n v="0"/>
    <n v="0"/>
    <n v="0"/>
    <n v="0"/>
  </r>
  <r>
    <x v="0"/>
    <x v="0"/>
    <x v="0"/>
    <n v="3872790000193"/>
    <x v="294"/>
    <s v="SAO PAULO"/>
    <s v="SP"/>
    <s v="1-Setorizado"/>
    <n v="2"/>
    <x v="16"/>
    <s v="JANAINA PALMIRO - ESP - SPC"/>
    <s v="Especialidade"/>
    <s v="claudia.bueno@cslbehring.com"/>
    <s v="CLAUDIA BUENO (SPC/SPI)"/>
    <n v="0"/>
    <n v="0"/>
    <n v="0"/>
    <n v="8"/>
    <n v="0"/>
  </r>
  <r>
    <x v="0"/>
    <x v="0"/>
    <x v="0"/>
    <n v="3872790000193"/>
    <x v="294"/>
    <s v="SAO PAULO"/>
    <s v="SP"/>
    <s v="1-Setorizado"/>
    <n v="2"/>
    <x v="17"/>
    <s v="ANTONIO TUNES - HSP - SPC"/>
    <s v="Hospitalar"/>
    <s v="claudia.bueno@cslbehring.com"/>
    <s v="CLAUDIA BUENO (SPC/SPI)"/>
    <n v="0"/>
    <n v="0"/>
    <n v="0"/>
    <n v="0"/>
    <n v="0"/>
  </r>
  <r>
    <x v="0"/>
    <x v="0"/>
    <x v="0"/>
    <n v="61849980001087"/>
    <x v="295"/>
    <s v="SAO PAULO"/>
    <s v="SP"/>
    <s v="1-Setorizado"/>
    <n v="2"/>
    <x v="16"/>
    <s v="JANAINA PALMIRO - ESP - SPC"/>
    <s v="Especialidade"/>
    <s v="claudia.bueno@cslbehring.com"/>
    <s v="CLAUDIA BUENO (SPC/SPI)"/>
    <n v="0"/>
    <n v="0"/>
    <n v="0"/>
    <n v="0"/>
    <n v="40"/>
  </r>
  <r>
    <x v="0"/>
    <x v="0"/>
    <x v="0"/>
    <n v="61849980001087"/>
    <x v="295"/>
    <s v="SAO PAULO"/>
    <s v="SP"/>
    <s v="1-Setorizado"/>
    <n v="2"/>
    <x v="17"/>
    <s v="ANTONIO TUNES - HSP - SPC"/>
    <s v="Hospitalar"/>
    <s v="claudia.bueno@cslbehring.com"/>
    <s v="CLAUDIA BUENO (SPC/SPI)"/>
    <n v="0"/>
    <n v="0"/>
    <n v="0"/>
    <n v="0"/>
    <n v="40"/>
  </r>
  <r>
    <x v="0"/>
    <x v="0"/>
    <x v="0"/>
    <n v="8100676000835"/>
    <x v="296"/>
    <s v="SAO PAULO"/>
    <s v="SP"/>
    <s v="1-Setorizado"/>
    <n v="2"/>
    <x v="16"/>
    <s v="JANAINA PALMIRO - ESP - SPC"/>
    <s v="Especialidade"/>
    <s v="claudia.bueno@cslbehring.com"/>
    <s v="CLAUDIA BUENO (SPC/SPI)"/>
    <n v="0"/>
    <n v="0"/>
    <n v="0"/>
    <n v="0"/>
    <n v="25"/>
  </r>
  <r>
    <x v="0"/>
    <x v="0"/>
    <x v="0"/>
    <n v="8100676000835"/>
    <x v="296"/>
    <s v="SAO PAULO"/>
    <s v="SP"/>
    <s v="1-Setorizado"/>
    <n v="2"/>
    <x v="19"/>
    <s v="TATHIANA PONCE - HSP - SPC"/>
    <s v="Hospitalar"/>
    <s v="claudia.bueno@cslbehring.com"/>
    <s v="CLAUDIA BUENO (SPC/SPI)"/>
    <n v="0"/>
    <n v="0"/>
    <n v="0"/>
    <n v="0"/>
    <n v="25"/>
  </r>
  <r>
    <x v="0"/>
    <x v="0"/>
    <x v="0"/>
    <n v="10475230000160"/>
    <x v="297"/>
    <s v="SAO PAULO"/>
    <s v="SP"/>
    <s v="1-Setorizado"/>
    <n v="2"/>
    <x v="16"/>
    <s v="JANAINA PALMIRO - ESP - SPC"/>
    <s v="Especialidade"/>
    <s v="claudia.bueno@cslbehring.com"/>
    <s v="CLAUDIA BUENO (SPC/SPI)"/>
    <n v="0"/>
    <n v="0"/>
    <n v="0"/>
    <n v="0"/>
    <n v="45"/>
  </r>
  <r>
    <x v="0"/>
    <x v="0"/>
    <x v="0"/>
    <n v="10475230000160"/>
    <x v="297"/>
    <s v="SAO PAULO"/>
    <s v="SP"/>
    <s v="1-Setorizado"/>
    <n v="2"/>
    <x v="20"/>
    <s v="NELSON MARTINS - HSP - SPC"/>
    <s v="Hospitalar"/>
    <s v="claudia.bueno@cslbehring.com"/>
    <s v="CLAUDIA BUENO (SPC/SPI)"/>
    <n v="0"/>
    <n v="0"/>
    <n v="0"/>
    <n v="0"/>
    <n v="45"/>
  </r>
  <r>
    <x v="0"/>
    <x v="0"/>
    <x v="0"/>
    <n v="8438844000392"/>
    <x v="298"/>
    <s v="SAO PAULO"/>
    <s v="SP"/>
    <s v="1-Setorizado"/>
    <n v="2"/>
    <x v="16"/>
    <s v="JANAINA PALMIRO - ESP - SPC"/>
    <s v="Especialidade"/>
    <s v="claudia.bueno@cslbehring.com"/>
    <s v="CLAUDIA BUENO (SPC/SPI)"/>
    <n v="0"/>
    <n v="0"/>
    <n v="0"/>
    <n v="2"/>
    <n v="0"/>
  </r>
  <r>
    <x v="0"/>
    <x v="0"/>
    <x v="0"/>
    <n v="8438844000392"/>
    <x v="298"/>
    <s v="SAO PAULO"/>
    <s v="SP"/>
    <s v="1-Setorizado"/>
    <n v="2"/>
    <x v="19"/>
    <s v="TATHIANA PONCE - HSP - SPC"/>
    <s v="Hospitalar"/>
    <s v="claudia.bueno@cslbehring.com"/>
    <s v="CLAUDIA BUENO (SPC/SPI)"/>
    <n v="0"/>
    <n v="0"/>
    <n v="0"/>
    <n v="0"/>
    <n v="0"/>
  </r>
  <r>
    <x v="0"/>
    <x v="0"/>
    <x v="0"/>
    <n v="6047087000139"/>
    <x v="299"/>
    <s v="SAO PAULO"/>
    <s v="SP"/>
    <s v="1-Setorizado"/>
    <n v="2"/>
    <x v="16"/>
    <s v="JANAINA PALMIRO - ESP - SPC"/>
    <s v="Especialidade"/>
    <s v="claudia.bueno@cslbehring.com"/>
    <s v="CLAUDIA BUENO (SPC/SPI)"/>
    <n v="0"/>
    <n v="0"/>
    <n v="0"/>
    <n v="0"/>
    <n v="0"/>
  </r>
  <r>
    <x v="0"/>
    <x v="0"/>
    <x v="0"/>
    <n v="6047087000139"/>
    <x v="299"/>
    <s v="SAO PAULO"/>
    <s v="SP"/>
    <s v="1-Setorizado"/>
    <n v="2"/>
    <x v="17"/>
    <s v="ANTONIO TUNES - HSP - SPC"/>
    <s v="Hospitalar"/>
    <s v="claudia.bueno@cslbehring.com"/>
    <s v="CLAUDIA BUENO (SPC/SPI)"/>
    <n v="0"/>
    <n v="2"/>
    <n v="0"/>
    <n v="0"/>
    <n v="0"/>
  </r>
  <r>
    <x v="0"/>
    <x v="0"/>
    <x v="0"/>
    <n v="60884855000316"/>
    <x v="300"/>
    <s v="SAO PAULO"/>
    <s v="SP"/>
    <s v="1-Setorizado"/>
    <n v="2"/>
    <x v="18"/>
    <s v="XXX-ESP-VAGO SPC"/>
    <s v="Especialidade"/>
    <s v="claudia.bueno@cslbehring.com"/>
    <s v="CLAUDIA BUENO (SPC/SPI)"/>
    <n v="0"/>
    <n v="0"/>
    <n v="0"/>
    <n v="0"/>
    <n v="1930"/>
  </r>
  <r>
    <x v="0"/>
    <x v="0"/>
    <x v="0"/>
    <n v="60884855000316"/>
    <x v="300"/>
    <s v="SAO PAULO"/>
    <s v="SP"/>
    <s v="1-Setorizado"/>
    <n v="2"/>
    <x v="19"/>
    <s v="TATHIANA PONCE - HSP - SPC"/>
    <s v="Hospitalar"/>
    <s v="claudia.bueno@cslbehring.com"/>
    <s v="CLAUDIA BUENO (SPC/SPI)"/>
    <n v="0"/>
    <n v="8"/>
    <n v="38"/>
    <n v="0"/>
    <n v="1930"/>
  </r>
  <r>
    <x v="0"/>
    <x v="0"/>
    <x v="0"/>
    <n v="60726502000126"/>
    <x v="301"/>
    <s v="SAO PAULO"/>
    <s v="SP"/>
    <s v="1-Setorizado"/>
    <n v="2"/>
    <x v="18"/>
    <s v="XXX-ESP-VAGO SPC"/>
    <s v="Especialidade"/>
    <s v="claudia.bueno@cslbehring.com"/>
    <s v="CLAUDIA BUENO (SPC/SPI)"/>
    <n v="0"/>
    <n v="0"/>
    <n v="0"/>
    <n v="0"/>
    <n v="390"/>
  </r>
  <r>
    <x v="0"/>
    <x v="0"/>
    <x v="0"/>
    <n v="60726502000126"/>
    <x v="301"/>
    <s v="SAO PAULO"/>
    <s v="SP"/>
    <s v="1-Setorizado"/>
    <n v="2"/>
    <x v="19"/>
    <s v="TATHIANA PONCE - HSP - SPC"/>
    <s v="Hospitalar"/>
    <s v="claudia.bueno@cslbehring.com"/>
    <s v="CLAUDIA BUENO (SPC/SPI)"/>
    <n v="0"/>
    <n v="3"/>
    <n v="6"/>
    <n v="0"/>
    <n v="390"/>
  </r>
  <r>
    <x v="0"/>
    <x v="0"/>
    <x v="0"/>
    <n v="60726502000711"/>
    <x v="302"/>
    <s v="SAO PAULO"/>
    <s v="SP"/>
    <s v="1-Setorizado"/>
    <n v="2"/>
    <x v="18"/>
    <s v="XXX-ESP-VAGO SPC"/>
    <s v="Especialidade"/>
    <s v="claudia.bueno@cslbehring.com"/>
    <s v="CLAUDIA BUENO (SPC/SPI)"/>
    <n v="0"/>
    <n v="0"/>
    <n v="0"/>
    <n v="0"/>
    <n v="0"/>
  </r>
  <r>
    <x v="0"/>
    <x v="0"/>
    <x v="0"/>
    <n v="60726502000711"/>
    <x v="302"/>
    <s v="SAO PAULO"/>
    <s v="SP"/>
    <s v="1-Setorizado"/>
    <n v="2"/>
    <x v="19"/>
    <s v="TATHIANA PONCE - HSP - SPC"/>
    <s v="Hospitalar"/>
    <s v="claudia.bueno@cslbehring.com"/>
    <s v="CLAUDIA BUENO (SPC/SPI)"/>
    <n v="0"/>
    <n v="0"/>
    <n v="5"/>
    <n v="0"/>
    <n v="0"/>
  </r>
  <r>
    <x v="0"/>
    <x v="0"/>
    <x v="0"/>
    <n v="8100676000592"/>
    <x v="303"/>
    <s v="SAO PAULO"/>
    <s v="SP"/>
    <s v="1-Setorizado"/>
    <n v="2"/>
    <x v="16"/>
    <s v="JANAINA PALMIRO - ESP - SPC"/>
    <s v="Especialidade"/>
    <s v="claudia.bueno@cslbehring.com"/>
    <s v="CLAUDIA BUENO (SPC/SPI)"/>
    <n v="0"/>
    <n v="0"/>
    <n v="0"/>
    <n v="0"/>
    <n v="130"/>
  </r>
  <r>
    <x v="0"/>
    <x v="0"/>
    <x v="0"/>
    <n v="8100676000592"/>
    <x v="303"/>
    <s v="SAO PAULO"/>
    <s v="SP"/>
    <s v="1-Setorizado"/>
    <n v="2"/>
    <x v="19"/>
    <s v="TATHIANA PONCE - HSP - SPC"/>
    <s v="Hospitalar"/>
    <s v="claudia.bueno@cslbehring.com"/>
    <s v="CLAUDIA BUENO (SPC/SPI)"/>
    <n v="0"/>
    <n v="0"/>
    <n v="0"/>
    <n v="0"/>
    <n v="130"/>
  </r>
  <r>
    <x v="0"/>
    <x v="0"/>
    <x v="0"/>
    <n v="8100676002455"/>
    <x v="304"/>
    <s v="SAO PAULO"/>
    <s v="SP"/>
    <s v="1-Setorizado"/>
    <n v="2"/>
    <x v="16"/>
    <s v="JANAINA PALMIRO - ESP - SPC"/>
    <s v="Especialidade"/>
    <s v="claudia.bueno@cslbehring.com"/>
    <s v="CLAUDIA BUENO (SPC/SPI)"/>
    <n v="0"/>
    <n v="0"/>
    <n v="0"/>
    <n v="0"/>
    <n v="340"/>
  </r>
  <r>
    <x v="0"/>
    <x v="0"/>
    <x v="0"/>
    <n v="8100676002455"/>
    <x v="304"/>
    <s v="SAO PAULO"/>
    <s v="SP"/>
    <s v="1-Setorizado"/>
    <n v="2"/>
    <x v="19"/>
    <s v="TATHIANA PONCE - HSP - SPC"/>
    <s v="Hospitalar"/>
    <s v="claudia.bueno@cslbehring.com"/>
    <s v="CLAUDIA BUENO (SPC/SPI)"/>
    <n v="0"/>
    <n v="3"/>
    <n v="0"/>
    <n v="0"/>
    <n v="340"/>
  </r>
  <r>
    <x v="0"/>
    <x v="0"/>
    <x v="0"/>
    <n v="60922168004335"/>
    <x v="305"/>
    <s v="SAO PAULO"/>
    <s v="SP"/>
    <s v="1-Setorizado"/>
    <n v="2"/>
    <x v="16"/>
    <s v="JANAINA PALMIRO - ESP - SPC"/>
    <s v="Especialidade"/>
    <s v="claudia.bueno@cslbehring.com"/>
    <s v="CLAUDIA BUENO (SPC/SPI)"/>
    <n v="0"/>
    <n v="0"/>
    <n v="0"/>
    <n v="0"/>
    <n v="5"/>
  </r>
  <r>
    <x v="0"/>
    <x v="0"/>
    <x v="0"/>
    <n v="60922168004335"/>
    <x v="305"/>
    <s v="SAO PAULO"/>
    <s v="SP"/>
    <s v="1-Setorizado"/>
    <n v="2"/>
    <x v="19"/>
    <s v="TATHIANA PONCE - HSP - SPC"/>
    <s v="Hospitalar"/>
    <s v="claudia.bueno@cslbehring.com"/>
    <s v="CLAUDIA BUENO (SPC/SPI)"/>
    <n v="0"/>
    <n v="0"/>
    <n v="0"/>
    <n v="0"/>
    <n v="5"/>
  </r>
  <r>
    <x v="0"/>
    <x v="0"/>
    <x v="0"/>
    <n v="21371777000132"/>
    <x v="306"/>
    <s v="SAO PAULO"/>
    <s v="SP"/>
    <s v="1-Setorizado"/>
    <n v="2"/>
    <x v="16"/>
    <s v="JANAINA PALMIRO - ESP - SPC"/>
    <s v="Especialidade"/>
    <s v="claudia.bueno@cslbehring.com"/>
    <s v="CLAUDIA BUENO (SPC/SPI)"/>
    <n v="0"/>
    <n v="0"/>
    <n v="0"/>
    <n v="0"/>
    <n v="175"/>
  </r>
  <r>
    <x v="0"/>
    <x v="0"/>
    <x v="0"/>
    <n v="21371777000132"/>
    <x v="306"/>
    <s v="SAO PAULO"/>
    <s v="SP"/>
    <s v="1-Setorizado"/>
    <n v="2"/>
    <x v="19"/>
    <s v="TATHIANA PONCE - HSP - SPC"/>
    <s v="Hospitalar"/>
    <s v="claudia.bueno@cslbehring.com"/>
    <s v="CLAUDIA BUENO (SPC/SPI)"/>
    <n v="0"/>
    <n v="0"/>
    <n v="8"/>
    <n v="0"/>
    <n v="175"/>
  </r>
  <r>
    <x v="0"/>
    <x v="0"/>
    <x v="0"/>
    <n v="60448040000122"/>
    <x v="307"/>
    <s v="SAO PAULO"/>
    <s v="SP"/>
    <s v="1-Setorizado"/>
    <n v="2"/>
    <x v="18"/>
    <s v="XXX-ESP-VAGO SPC"/>
    <s v="Especialidade"/>
    <s v="claudia.bueno@cslbehring.com"/>
    <s v="CLAUDIA BUENO (SPC/SPI)"/>
    <n v="0"/>
    <n v="0"/>
    <n v="0"/>
    <n v="0"/>
    <n v="0"/>
  </r>
  <r>
    <x v="0"/>
    <x v="0"/>
    <x v="0"/>
    <n v="60448040000122"/>
    <x v="307"/>
    <s v="SAO PAULO"/>
    <s v="SP"/>
    <s v="1-Setorizado"/>
    <n v="2"/>
    <x v="20"/>
    <s v="NELSON MARTINS - HSP - SPC"/>
    <s v="Hospitalar"/>
    <s v="claudia.bueno@cslbehring.com"/>
    <s v="CLAUDIA BUENO (SPC/SPI)"/>
    <n v="0"/>
    <n v="60"/>
    <n v="55"/>
    <n v="0"/>
    <n v="0"/>
  </r>
  <r>
    <x v="0"/>
    <x v="0"/>
    <x v="0"/>
    <n v="60453024000390"/>
    <x v="308"/>
    <s v="SAO PAULO"/>
    <s v="SP"/>
    <s v="1-Setorizado"/>
    <n v="2"/>
    <x v="16"/>
    <s v="JANAINA PALMIRO - ESP - SPC"/>
    <s v="Especialidade"/>
    <s v="claudia.bueno@cslbehring.com"/>
    <s v="CLAUDIA BUENO (SPC/SPI)"/>
    <n v="0"/>
    <n v="0"/>
    <n v="0"/>
    <n v="0"/>
    <n v="0"/>
  </r>
  <r>
    <x v="0"/>
    <x v="0"/>
    <x v="0"/>
    <n v="60453024000390"/>
    <x v="308"/>
    <s v="SAO PAULO"/>
    <s v="SP"/>
    <s v="1-Setorizado"/>
    <n v="2"/>
    <x v="20"/>
    <s v="NELSON MARTINS - HSP - SPC"/>
    <s v="Hospitalar"/>
    <s v="claudia.bueno@cslbehring.com"/>
    <s v="CLAUDIA BUENO (SPC/SPI)"/>
    <n v="0"/>
    <n v="5"/>
    <n v="10"/>
    <n v="0"/>
    <n v="0"/>
  </r>
  <r>
    <x v="0"/>
    <x v="0"/>
    <x v="0"/>
    <n v="51722957012512"/>
    <x v="309"/>
    <s v="SAO PAULO"/>
    <s v="SP"/>
    <s v="1-Setorizado"/>
    <n v="2"/>
    <x v="16"/>
    <s v="JANAINA PALMIRO - ESP - SPC"/>
    <s v="Especialidade"/>
    <s v="claudia.bueno@cslbehring.com"/>
    <s v="CLAUDIA BUENO (SPC/SPI)"/>
    <n v="0"/>
    <n v="0"/>
    <n v="0"/>
    <n v="0"/>
    <n v="65"/>
  </r>
  <r>
    <x v="0"/>
    <x v="0"/>
    <x v="0"/>
    <n v="51722957012512"/>
    <x v="309"/>
    <s v="SAO PAULO"/>
    <s v="SP"/>
    <s v="1-Setorizado"/>
    <n v="2"/>
    <x v="19"/>
    <s v="TATHIANA PONCE - HSP - SPC"/>
    <s v="Hospitalar"/>
    <s v="claudia.bueno@cslbehring.com"/>
    <s v="CLAUDIA BUENO (SPC/SPI)"/>
    <n v="0"/>
    <n v="0"/>
    <n v="0"/>
    <n v="0"/>
    <n v="65"/>
  </r>
  <r>
    <x v="0"/>
    <x v="0"/>
    <x v="0"/>
    <n v="60678604000113"/>
    <x v="310"/>
    <s v="SAO PAULO"/>
    <s v="SP"/>
    <s v="1-Setorizado"/>
    <n v="2"/>
    <x v="16"/>
    <s v="JANAINA PALMIRO - ESP - SPC"/>
    <s v="Especialidade"/>
    <s v="claudia.bueno@cslbehring.com"/>
    <s v="CLAUDIA BUENO (SPC/SPI)"/>
    <n v="0"/>
    <n v="0"/>
    <n v="0"/>
    <n v="0"/>
    <n v="0"/>
  </r>
  <r>
    <x v="0"/>
    <x v="0"/>
    <x v="0"/>
    <n v="60678604000113"/>
    <x v="310"/>
    <s v="SAO PAULO"/>
    <s v="SP"/>
    <s v="1-Setorizado"/>
    <n v="2"/>
    <x v="17"/>
    <s v="ANTONIO TUNES - HSP - SPC"/>
    <s v="Hospitalar"/>
    <s v="claudia.bueno@cslbehring.com"/>
    <s v="CLAUDIA BUENO (SPC/SPI)"/>
    <n v="0"/>
    <n v="2"/>
    <n v="42"/>
    <n v="0"/>
    <n v="0"/>
  </r>
  <r>
    <x v="0"/>
    <x v="0"/>
    <x v="0"/>
    <n v="62106505000192"/>
    <x v="311"/>
    <s v="SAO PAULO"/>
    <s v="SP"/>
    <s v="1-Setorizado"/>
    <n v="2"/>
    <x v="16"/>
    <s v="JANAINA PALMIRO - ESP - SPC"/>
    <s v="Especialidade"/>
    <s v="claudia.bueno@cslbehring.com"/>
    <s v="CLAUDIA BUENO (SPC/SPI)"/>
    <n v="0"/>
    <n v="0"/>
    <n v="0"/>
    <n v="0"/>
    <n v="0"/>
  </r>
  <r>
    <x v="0"/>
    <x v="0"/>
    <x v="0"/>
    <n v="62106505000192"/>
    <x v="311"/>
    <s v="SAO PAULO"/>
    <s v="SP"/>
    <s v="1-Setorizado"/>
    <n v="2"/>
    <x v="17"/>
    <s v="ANTONIO TUNES - HSP - SPC"/>
    <s v="Hospitalar"/>
    <s v="claudia.bueno@cslbehring.com"/>
    <s v="CLAUDIA BUENO (SPC/SPI)"/>
    <n v="0"/>
    <n v="0"/>
    <n v="2"/>
    <n v="0"/>
    <n v="0"/>
  </r>
  <r>
    <x v="0"/>
    <x v="0"/>
    <x v="0"/>
    <n v="60975174000363"/>
    <x v="312"/>
    <s v="SAO PAULO"/>
    <s v="SP"/>
    <s v="1-Setorizado"/>
    <n v="2"/>
    <x v="16"/>
    <s v="JANAINA PALMIRO - ESP - SPC"/>
    <s v="Especialidade"/>
    <s v="claudia.bueno@cslbehring.com"/>
    <s v="CLAUDIA BUENO (SPC/SPI)"/>
    <n v="0"/>
    <n v="0"/>
    <n v="0"/>
    <n v="0"/>
    <n v="150"/>
  </r>
  <r>
    <x v="0"/>
    <x v="0"/>
    <x v="0"/>
    <n v="60975174000363"/>
    <x v="312"/>
    <s v="SAO PAULO"/>
    <s v="SP"/>
    <s v="1-Setorizado"/>
    <n v="2"/>
    <x v="17"/>
    <s v="ANTONIO TUNES - HSP - SPC"/>
    <s v="Hospitalar"/>
    <s v="claudia.bueno@cslbehring.com"/>
    <s v="CLAUDIA BUENO (SPC/SPI)"/>
    <n v="0"/>
    <n v="0"/>
    <n v="0"/>
    <n v="0"/>
    <n v="150"/>
  </r>
  <r>
    <x v="0"/>
    <x v="0"/>
    <x v="0"/>
    <n v="29435005004540"/>
    <x v="313"/>
    <s v="SAO PAULO"/>
    <s v="SP"/>
    <s v="1-Setorizado"/>
    <n v="2"/>
    <x v="16"/>
    <s v="JANAINA PALMIRO - ESP - SPC"/>
    <s v="Especialidade"/>
    <s v="claudia.bueno@cslbehring.com"/>
    <s v="CLAUDIA BUENO (SPC/SPI)"/>
    <n v="0"/>
    <n v="0"/>
    <n v="0"/>
    <n v="0"/>
    <n v="500"/>
  </r>
  <r>
    <x v="0"/>
    <x v="0"/>
    <x v="0"/>
    <n v="29435005004540"/>
    <x v="313"/>
    <s v="SAO PAULO"/>
    <s v="SP"/>
    <s v="1-Setorizado"/>
    <n v="2"/>
    <x v="19"/>
    <s v="TATHIANA PONCE - HSP - SPC"/>
    <s v="Hospitalar"/>
    <s v="claudia.bueno@cslbehring.com"/>
    <s v="CLAUDIA BUENO (SPC/SPI)"/>
    <n v="0"/>
    <n v="0"/>
    <n v="0"/>
    <n v="0"/>
    <n v="500"/>
  </r>
  <r>
    <x v="0"/>
    <x v="0"/>
    <x v="0"/>
    <n v="61213674000240"/>
    <x v="314"/>
    <s v="SAO PAULO"/>
    <s v="SP"/>
    <s v="1-Setorizado"/>
    <n v="2"/>
    <x v="18"/>
    <s v="XXX-ESP-VAGO SPC"/>
    <s v="Especialidade"/>
    <s v="claudia.bueno@cslbehring.com"/>
    <s v="CLAUDIA BUENO (SPC/SPI)"/>
    <n v="0"/>
    <n v="0"/>
    <n v="0"/>
    <n v="49"/>
    <n v="5"/>
  </r>
  <r>
    <x v="0"/>
    <x v="0"/>
    <x v="0"/>
    <n v="61213674000240"/>
    <x v="314"/>
    <s v="SAO PAULO"/>
    <s v="SP"/>
    <s v="1-Setorizado"/>
    <n v="2"/>
    <x v="17"/>
    <s v="ANTONIO TUNES - HSP - SPC"/>
    <s v="Hospitalar"/>
    <s v="claudia.bueno@cslbehring.com"/>
    <s v="CLAUDIA BUENO (SPC/SPI)"/>
    <n v="0"/>
    <n v="3"/>
    <n v="1"/>
    <n v="0"/>
    <n v="5"/>
  </r>
  <r>
    <x v="0"/>
    <x v="0"/>
    <x v="0"/>
    <n v="19803199000114"/>
    <x v="315"/>
    <s v="SAO PAULO"/>
    <s v="SP"/>
    <s v="1-Setorizado"/>
    <n v="2"/>
    <x v="16"/>
    <s v="JANAINA PALMIRO - ESP - SPC"/>
    <s v="Especialidade"/>
    <s v="claudia.bueno@cslbehring.com"/>
    <s v="CLAUDIA BUENO (SPC/SPI)"/>
    <n v="0"/>
    <n v="0"/>
    <n v="0"/>
    <n v="0"/>
    <n v="50"/>
  </r>
  <r>
    <x v="0"/>
    <x v="0"/>
    <x v="0"/>
    <n v="19803199000114"/>
    <x v="315"/>
    <s v="SAO PAULO"/>
    <s v="SP"/>
    <s v="1-Setorizado"/>
    <n v="2"/>
    <x v="19"/>
    <s v="TATHIANA PONCE - HSP - SPC"/>
    <s v="Hospitalar"/>
    <s v="claudia.bueno@cslbehring.com"/>
    <s v="CLAUDIA BUENO (SPC/SPI)"/>
    <n v="0"/>
    <n v="0"/>
    <n v="1"/>
    <n v="0"/>
    <n v="50"/>
  </r>
  <r>
    <x v="0"/>
    <x v="0"/>
    <x v="0"/>
    <n v="29435005002687"/>
    <x v="316"/>
    <s v="SAO PAULO"/>
    <s v="SP"/>
    <s v="1-Setorizado"/>
    <n v="2"/>
    <x v="16"/>
    <s v="JANAINA PALMIRO - ESP - SPC"/>
    <s v="Especialidade"/>
    <s v="claudia.bueno@cslbehring.com"/>
    <s v="CLAUDIA BUENO (SPC/SPI)"/>
    <n v="0"/>
    <n v="0"/>
    <n v="0"/>
    <n v="0"/>
    <n v="500"/>
  </r>
  <r>
    <x v="0"/>
    <x v="0"/>
    <x v="0"/>
    <n v="29435005002687"/>
    <x v="316"/>
    <s v="SAO PAULO"/>
    <s v="SP"/>
    <s v="1-Setorizado"/>
    <n v="2"/>
    <x v="19"/>
    <s v="TATHIANA PONCE - HSP - SPC"/>
    <s v="Hospitalar"/>
    <s v="claudia.bueno@cslbehring.com"/>
    <s v="CLAUDIA BUENO (SPC/SPI)"/>
    <n v="0"/>
    <n v="0"/>
    <n v="0"/>
    <n v="0"/>
    <n v="500"/>
  </r>
  <r>
    <x v="0"/>
    <x v="0"/>
    <x v="0"/>
    <n v="461479001992"/>
    <x v="317"/>
    <s v="SAO PAULO"/>
    <s v="SP"/>
    <s v="1-Setorizado"/>
    <n v="2"/>
    <x v="16"/>
    <s v="JANAINA PALMIRO - ESP - SPC"/>
    <s v="Especialidade"/>
    <s v="claudia.bueno@cslbehring.com"/>
    <s v="CLAUDIA BUENO (SPC/SPI)"/>
    <n v="0"/>
    <n v="0"/>
    <n v="0"/>
    <n v="0"/>
    <n v="0"/>
  </r>
  <r>
    <x v="0"/>
    <x v="0"/>
    <x v="0"/>
    <n v="461479001992"/>
    <x v="317"/>
    <s v="SAO PAULO"/>
    <s v="SP"/>
    <s v="1-Setorizado"/>
    <n v="2"/>
    <x v="17"/>
    <s v="ANTONIO TUNES - HSP - SPC"/>
    <s v="Hospitalar"/>
    <s v="claudia.bueno@cslbehring.com"/>
    <s v="CLAUDIA BUENO (SPC/SPI)"/>
    <n v="0"/>
    <n v="6"/>
    <n v="0"/>
    <n v="0"/>
    <n v="0"/>
  </r>
  <r>
    <x v="0"/>
    <x v="0"/>
    <x v="0"/>
    <n v="60922168000771"/>
    <x v="318"/>
    <s v="SAO PAULO"/>
    <s v="SP"/>
    <s v="1-Setorizado"/>
    <n v="2"/>
    <x v="18"/>
    <s v="XXX-ESP-VAGO SPC"/>
    <s v="Especialidade"/>
    <s v="claudia.bueno@cslbehring.com"/>
    <s v="CLAUDIA BUENO (SPC/SPI)"/>
    <n v="0"/>
    <n v="0"/>
    <n v="0"/>
    <n v="16"/>
    <n v="350"/>
  </r>
  <r>
    <x v="0"/>
    <x v="0"/>
    <x v="0"/>
    <n v="60922168000771"/>
    <x v="318"/>
    <s v="SAO PAULO"/>
    <s v="SP"/>
    <s v="1-Setorizado"/>
    <n v="2"/>
    <x v="17"/>
    <s v="ANTONIO TUNES - HSP - SPC"/>
    <s v="Hospitalar"/>
    <s v="claudia.bueno@cslbehring.com"/>
    <s v="CLAUDIA BUENO (SPC/SPI)"/>
    <n v="0"/>
    <n v="0"/>
    <n v="0"/>
    <n v="0"/>
    <n v="350"/>
  </r>
  <r>
    <x v="0"/>
    <x v="0"/>
    <x v="0"/>
    <n v="60552098000111"/>
    <x v="319"/>
    <s v="SAO PAULO"/>
    <s v="SP"/>
    <s v="1-Setorizado"/>
    <n v="2"/>
    <x v="16"/>
    <s v="JANAINA PALMIRO - ESP - SPC"/>
    <s v="Especialidade"/>
    <s v="claudia.bueno@cslbehring.com"/>
    <s v="CLAUDIA BUENO (SPC/SPI)"/>
    <n v="0"/>
    <n v="0"/>
    <n v="0"/>
    <n v="0"/>
    <n v="225"/>
  </r>
  <r>
    <x v="0"/>
    <x v="0"/>
    <x v="0"/>
    <n v="60552098000111"/>
    <x v="319"/>
    <s v="SAO PAULO"/>
    <s v="SP"/>
    <s v="1-Setorizado"/>
    <n v="2"/>
    <x v="17"/>
    <s v="ANTONIO TUNES - HSP - SPC"/>
    <s v="Hospitalar"/>
    <s v="claudia.bueno@cslbehring.com"/>
    <s v="CLAUDIA BUENO (SPC/SPI)"/>
    <n v="0"/>
    <n v="0"/>
    <n v="0"/>
    <n v="0"/>
    <n v="225"/>
  </r>
  <r>
    <x v="0"/>
    <x v="0"/>
    <x v="0"/>
    <n v="60777901000116"/>
    <x v="320"/>
    <s v="SAO PAULO"/>
    <s v="SP"/>
    <s v="1-Setorizado"/>
    <n v="2"/>
    <x v="16"/>
    <s v="JANAINA PALMIRO - ESP - SPC"/>
    <s v="Especialidade"/>
    <s v="claudia.bueno@cslbehring.com"/>
    <s v="CLAUDIA BUENO (SPC/SPI)"/>
    <n v="0"/>
    <n v="0"/>
    <n v="0"/>
    <n v="0"/>
    <n v="1650"/>
  </r>
  <r>
    <x v="0"/>
    <x v="0"/>
    <x v="0"/>
    <n v="60777901000116"/>
    <x v="320"/>
    <s v="SAO PAULO"/>
    <s v="SP"/>
    <s v="1-Setorizado"/>
    <n v="2"/>
    <x v="19"/>
    <s v="TATHIANA PONCE - HSP - SPC"/>
    <s v="Hospitalar"/>
    <s v="claudia.bueno@cslbehring.com"/>
    <s v="CLAUDIA BUENO (SPC/SPI)"/>
    <n v="0"/>
    <n v="0"/>
    <n v="0"/>
    <n v="0"/>
    <n v="1650"/>
  </r>
  <r>
    <x v="0"/>
    <x v="0"/>
    <x v="0"/>
    <n v="60975737001204"/>
    <x v="321"/>
    <s v="SAO PAULO"/>
    <s v="SP"/>
    <s v="1-Setorizado"/>
    <n v="2"/>
    <x v="16"/>
    <s v="JANAINA PALMIRO - ESP - SPC"/>
    <s v="Especialidade"/>
    <s v="claudia.bueno@cslbehring.com"/>
    <s v="CLAUDIA BUENO (SPC/SPI)"/>
    <n v="0"/>
    <n v="0"/>
    <n v="0"/>
    <n v="0"/>
    <n v="0"/>
  </r>
  <r>
    <x v="0"/>
    <x v="0"/>
    <x v="0"/>
    <n v="60975737001204"/>
    <x v="321"/>
    <s v="SAO PAULO"/>
    <s v="SP"/>
    <s v="1-Setorizado"/>
    <n v="2"/>
    <x v="20"/>
    <s v="NELSON MARTINS - HSP - SPC"/>
    <s v="Hospitalar"/>
    <s v="claudia.bueno@cslbehring.com"/>
    <s v="CLAUDIA BUENO (SPC/SPI)"/>
    <n v="0"/>
    <n v="6"/>
    <n v="0"/>
    <n v="0"/>
    <n v="0"/>
  </r>
  <r>
    <x v="0"/>
    <x v="0"/>
    <x v="0"/>
    <n v="6047087003820"/>
    <x v="322"/>
    <s v="SAO PAULO"/>
    <s v="SP"/>
    <s v="1-Setorizado"/>
    <n v="2"/>
    <x v="16"/>
    <s v="JANAINA PALMIRO - ESP - SPC"/>
    <s v="Especialidade"/>
    <s v="claudia.bueno@cslbehring.com"/>
    <s v="CLAUDIA BUENO (SPC/SPI)"/>
    <n v="0"/>
    <n v="0"/>
    <n v="0"/>
    <n v="0"/>
    <n v="0"/>
  </r>
  <r>
    <x v="0"/>
    <x v="0"/>
    <x v="0"/>
    <n v="6047087003820"/>
    <x v="322"/>
    <s v="SAO PAULO"/>
    <s v="SP"/>
    <s v="1-Setorizado"/>
    <n v="2"/>
    <x v="17"/>
    <s v="ANTONIO TUNES - HSP - SPC"/>
    <s v="Hospitalar"/>
    <s v="claudia.bueno@cslbehring.com"/>
    <s v="CLAUDIA BUENO (SPC/SPI)"/>
    <n v="0"/>
    <n v="3"/>
    <n v="6"/>
    <n v="0"/>
    <n v="0"/>
  </r>
  <r>
    <x v="0"/>
    <x v="0"/>
    <x v="0"/>
    <n v="28290788000137"/>
    <x v="323"/>
    <s v="SAO PAULO"/>
    <s v="SP"/>
    <s v="1-Setorizado"/>
    <n v="2"/>
    <x v="16"/>
    <s v="JANAINA PALMIRO - ESP - SPC"/>
    <s v="Especialidade"/>
    <s v="claudia.bueno@cslbehring.com"/>
    <s v="CLAUDIA BUENO (SPC/SPI)"/>
    <n v="0"/>
    <n v="0"/>
    <n v="0"/>
    <n v="0"/>
    <n v="0"/>
  </r>
  <r>
    <x v="0"/>
    <x v="0"/>
    <x v="0"/>
    <n v="28290788000137"/>
    <x v="323"/>
    <s v="SAO PAULO"/>
    <s v="SP"/>
    <s v="1-Setorizado"/>
    <n v="2"/>
    <x v="17"/>
    <s v="ANTONIO TUNES - HSP - SPC"/>
    <s v="Hospitalar"/>
    <s v="claudia.bueno@cslbehring.com"/>
    <s v="CLAUDIA BUENO (SPC/SPI)"/>
    <n v="0"/>
    <n v="0"/>
    <n v="34"/>
    <n v="0"/>
    <n v="0"/>
  </r>
  <r>
    <x v="0"/>
    <x v="0"/>
    <x v="0"/>
    <n v="5831510000124"/>
    <x v="324"/>
    <s v="SAO PAULO"/>
    <s v="SP"/>
    <s v="1-Setorizado"/>
    <n v="2"/>
    <x v="16"/>
    <s v="JANAINA PALMIRO - ESP - SPC"/>
    <s v="Especialidade"/>
    <s v="claudia.bueno@cslbehring.com"/>
    <s v="CLAUDIA BUENO (SPC/SPI)"/>
    <n v="0"/>
    <n v="0"/>
    <n v="0"/>
    <n v="0"/>
    <n v="195"/>
  </r>
  <r>
    <x v="0"/>
    <x v="0"/>
    <x v="0"/>
    <n v="5831510000124"/>
    <x v="324"/>
    <s v="SAO PAULO"/>
    <s v="SP"/>
    <s v="1-Setorizado"/>
    <n v="2"/>
    <x v="17"/>
    <s v="ANTONIO TUNES - HSP - SPC"/>
    <s v="Hospitalar"/>
    <s v="claudia.bueno@cslbehring.com"/>
    <s v="CLAUDIA BUENO (SPC/SPI)"/>
    <n v="0"/>
    <n v="0"/>
    <n v="0"/>
    <n v="0"/>
    <n v="195"/>
  </r>
  <r>
    <x v="0"/>
    <x v="0"/>
    <x v="0"/>
    <n v="461479004584"/>
    <x v="325"/>
    <s v="SAO PAULO"/>
    <s v="SP"/>
    <s v="1-Setorizado"/>
    <n v="2"/>
    <x v="16"/>
    <s v="JANAINA PALMIRO - ESP - SPC"/>
    <s v="Especialidade"/>
    <s v="claudia.bueno@cslbehring.com"/>
    <s v="CLAUDIA BUENO (SPC/SPI)"/>
    <n v="0"/>
    <n v="0"/>
    <n v="0"/>
    <n v="0"/>
    <n v="225"/>
  </r>
  <r>
    <x v="0"/>
    <x v="0"/>
    <x v="0"/>
    <n v="461479004584"/>
    <x v="325"/>
    <s v="SAO PAULO"/>
    <s v="SP"/>
    <s v="1-Setorizado"/>
    <n v="2"/>
    <x v="17"/>
    <s v="ANTONIO TUNES - HSP - SPC"/>
    <s v="Hospitalar"/>
    <s v="claudia.bueno@cslbehring.com"/>
    <s v="CLAUDIA BUENO (SPC/SPI)"/>
    <n v="0"/>
    <n v="0"/>
    <n v="0"/>
    <n v="0"/>
    <n v="225"/>
  </r>
  <r>
    <x v="0"/>
    <x v="0"/>
    <x v="0"/>
    <n v="56577059000606"/>
    <x v="326"/>
    <s v="SAO PAULO"/>
    <s v="SP"/>
    <s v="1-Setorizado"/>
    <n v="2"/>
    <x v="18"/>
    <s v="XXX-ESP-VAGO SPC"/>
    <s v="Especialidade"/>
    <s v="claudia.bueno@cslbehring.com"/>
    <s v="CLAUDIA BUENO (SPC/SPI)"/>
    <n v="0"/>
    <n v="0"/>
    <n v="0"/>
    <n v="0"/>
    <n v="0"/>
  </r>
  <r>
    <x v="0"/>
    <x v="0"/>
    <x v="0"/>
    <n v="56577059000606"/>
    <x v="326"/>
    <s v="SAO PAULO"/>
    <s v="SP"/>
    <s v="1-Setorizado"/>
    <n v="2"/>
    <x v="20"/>
    <s v="NELSON MARTINS - HSP - SPC"/>
    <s v="Hospitalar"/>
    <s v="claudia.bueno@cslbehring.com"/>
    <s v="CLAUDIA BUENO (SPC/SPI)"/>
    <n v="0"/>
    <n v="30"/>
    <n v="0"/>
    <n v="0"/>
    <n v="0"/>
  </r>
  <r>
    <x v="0"/>
    <x v="0"/>
    <x v="0"/>
    <n v="44649812005520"/>
    <x v="327"/>
    <s v="SAO PAULO"/>
    <s v="SP"/>
    <s v="1-Setorizado"/>
    <n v="2"/>
    <x v="16"/>
    <s v="JANAINA PALMIRO - ESP - SPC"/>
    <s v="Especialidade"/>
    <s v="claudia.bueno@cslbehring.com"/>
    <s v="CLAUDIA BUENO (SPC/SPI)"/>
    <n v="0"/>
    <n v="0"/>
    <n v="0"/>
    <n v="0"/>
    <n v="10"/>
  </r>
  <r>
    <x v="0"/>
    <x v="0"/>
    <x v="0"/>
    <n v="44649812005520"/>
    <x v="327"/>
    <s v="SAO PAULO"/>
    <s v="SP"/>
    <s v="1-Setorizado"/>
    <n v="2"/>
    <x v="17"/>
    <s v="ANTONIO TUNES - HSP - SPC"/>
    <s v="Hospitalar"/>
    <s v="claudia.bueno@cslbehring.com"/>
    <s v="CLAUDIA BUENO (SPC/SPI)"/>
    <n v="0"/>
    <n v="0"/>
    <n v="0"/>
    <n v="0"/>
    <n v="10"/>
  </r>
  <r>
    <x v="0"/>
    <x v="0"/>
    <x v="0"/>
    <n v="62779145000190"/>
    <x v="328"/>
    <s v="SAO PAULO"/>
    <s v="SP"/>
    <s v="1-Setorizado"/>
    <n v="2"/>
    <x v="18"/>
    <s v="XXX-ESP-VAGO SPC"/>
    <s v="Especialidade"/>
    <s v="claudia.bueno@cslbehring.com"/>
    <s v="CLAUDIA BUENO (SPC/SPI)"/>
    <n v="0"/>
    <n v="0"/>
    <n v="0"/>
    <n v="0"/>
    <n v="0"/>
  </r>
  <r>
    <x v="0"/>
    <x v="0"/>
    <x v="0"/>
    <n v="62779145000190"/>
    <x v="328"/>
    <s v="SAO PAULO"/>
    <s v="SP"/>
    <s v="1-Setorizado"/>
    <n v="2"/>
    <x v="20"/>
    <s v="NELSON MARTINS - HSP - SPC"/>
    <s v="Hospitalar"/>
    <s v="claudia.bueno@cslbehring.com"/>
    <s v="CLAUDIA BUENO (SPC/SPI)"/>
    <n v="0"/>
    <n v="2"/>
    <n v="0"/>
    <n v="0"/>
    <n v="0"/>
  </r>
  <r>
    <x v="0"/>
    <x v="0"/>
    <x v="0"/>
    <n v="13718999000150"/>
    <x v="329"/>
    <s v="SAO PAULO"/>
    <s v="SP"/>
    <s v="1-Setorizado"/>
    <n v="2"/>
    <x v="16"/>
    <s v="JANAINA PALMIRO - ESP - SPC"/>
    <s v="Especialidade"/>
    <s v="claudia.bueno@cslbehring.com"/>
    <s v="CLAUDIA BUENO (SPC/SPI)"/>
    <n v="0"/>
    <n v="0"/>
    <n v="0"/>
    <n v="4"/>
    <n v="0"/>
  </r>
  <r>
    <x v="0"/>
    <x v="0"/>
    <x v="0"/>
    <n v="13718999000150"/>
    <x v="329"/>
    <s v="SAO PAULO"/>
    <s v="SP"/>
    <s v="1-Setorizado"/>
    <n v="2"/>
    <x v="17"/>
    <s v="ANTONIO TUNES - HSP - SPC"/>
    <s v="Hospitalar"/>
    <s v="claudia.bueno@cslbehring.com"/>
    <s v="CLAUDIA BUENO (SPC/SPI)"/>
    <n v="0"/>
    <n v="0"/>
    <n v="0"/>
    <n v="0"/>
    <n v="0"/>
  </r>
  <r>
    <x v="0"/>
    <x v="0"/>
    <x v="0"/>
    <n v="4036348000190"/>
    <x v="330"/>
    <s v="SAO PAULO"/>
    <s v="SP"/>
    <s v="1-Setorizado"/>
    <n v="2"/>
    <x v="16"/>
    <s v="JANAINA PALMIRO - ESP - SPC"/>
    <s v="Especialidade"/>
    <s v="claudia.bueno@cslbehring.com"/>
    <s v="CLAUDIA BUENO (SPC/SPI)"/>
    <n v="0"/>
    <n v="0"/>
    <n v="0"/>
    <n v="0"/>
    <n v="515"/>
  </r>
  <r>
    <x v="0"/>
    <x v="0"/>
    <x v="0"/>
    <n v="4036348000190"/>
    <x v="330"/>
    <s v="SAO PAULO"/>
    <s v="SP"/>
    <s v="1-Setorizado"/>
    <n v="2"/>
    <x v="17"/>
    <s v="ANTONIO TUNES - HSP - SPC"/>
    <s v="Hospitalar"/>
    <s v="claudia.bueno@cslbehring.com"/>
    <s v="CLAUDIA BUENO (SPC/SPI)"/>
    <n v="0"/>
    <n v="0"/>
    <n v="0"/>
    <n v="0"/>
    <n v="515"/>
  </r>
  <r>
    <x v="0"/>
    <x v="0"/>
    <x v="0"/>
    <n v="10211939000230"/>
    <x v="331"/>
    <s v="SAO PAULO"/>
    <s v="SP"/>
    <s v="1-Setorizado"/>
    <n v="2"/>
    <x v="18"/>
    <s v="XXX-ESP-VAGO SPC"/>
    <s v="Especialidade"/>
    <s v="claudia.bueno@cslbehring.com"/>
    <s v="CLAUDIA BUENO (SPC/SPI)"/>
    <n v="0"/>
    <n v="0"/>
    <n v="0"/>
    <n v="8"/>
    <n v="0"/>
  </r>
  <r>
    <x v="0"/>
    <x v="0"/>
    <x v="0"/>
    <n v="10211939000230"/>
    <x v="331"/>
    <s v="SAO PAULO"/>
    <s v="SP"/>
    <s v="1-Setorizado"/>
    <n v="2"/>
    <x v="19"/>
    <s v="TATHIANA PONCE - HSP - SPC"/>
    <s v="Hospitalar"/>
    <s v="claudia.bueno@cslbehring.com"/>
    <s v="CLAUDIA BUENO (SPC/SPI)"/>
    <n v="0"/>
    <n v="0"/>
    <n v="0"/>
    <n v="0"/>
    <n v="0"/>
  </r>
  <r>
    <x v="0"/>
    <x v="0"/>
    <x v="0"/>
    <n v="2837922000183"/>
    <x v="332"/>
    <s v="SAO PAULO"/>
    <s v="SP"/>
    <s v="1-Setorizado"/>
    <n v="2"/>
    <x v="16"/>
    <s v="JANAINA PALMIRO - ESP - SPC"/>
    <s v="Especialidade"/>
    <s v="claudia.bueno@cslbehring.com"/>
    <s v="CLAUDIA BUENO (SPC/SPI)"/>
    <n v="0"/>
    <n v="0"/>
    <n v="0"/>
    <n v="100"/>
    <n v="0"/>
  </r>
  <r>
    <x v="0"/>
    <x v="0"/>
    <x v="0"/>
    <n v="2837922000183"/>
    <x v="332"/>
    <s v="SAO PAULO"/>
    <s v="SP"/>
    <s v="1-Setorizado"/>
    <n v="2"/>
    <x v="17"/>
    <s v="ANTONIO TUNES - HSP - SPC"/>
    <s v="Hospitalar"/>
    <s v="claudia.bueno@cslbehring.com"/>
    <s v="CLAUDIA BUENO (SPC/SPI)"/>
    <n v="0"/>
    <n v="0"/>
    <n v="0"/>
    <n v="0"/>
    <n v="0"/>
  </r>
  <r>
    <x v="0"/>
    <x v="0"/>
    <x v="0"/>
    <n v="61599908000158"/>
    <x v="333"/>
    <s v="SAO PAULO"/>
    <s v="SP"/>
    <s v="1-Setorizado"/>
    <n v="2"/>
    <x v="16"/>
    <s v="JANAINA PALMIRO - ESP - SPC"/>
    <s v="Especialidade"/>
    <s v="claudia.bueno@cslbehring.com"/>
    <s v="CLAUDIA BUENO (SPC/SPI)"/>
    <n v="0"/>
    <n v="0"/>
    <n v="0"/>
    <n v="0"/>
    <n v="0"/>
  </r>
  <r>
    <x v="0"/>
    <x v="0"/>
    <x v="0"/>
    <n v="61599908000158"/>
    <x v="333"/>
    <s v="SAO PAULO"/>
    <s v="SP"/>
    <s v="1-Setorizado"/>
    <n v="2"/>
    <x v="19"/>
    <s v="TATHIANA PONCE - HSP - SPC"/>
    <s v="Hospitalar"/>
    <s v="claudia.bueno@cslbehring.com"/>
    <s v="CLAUDIA BUENO (SPC/SPI)"/>
    <n v="0"/>
    <n v="130"/>
    <n v="30"/>
    <n v="0"/>
    <n v="0"/>
  </r>
  <r>
    <x v="0"/>
    <x v="0"/>
    <x v="0"/>
    <n v="7045325000130"/>
    <x v="334"/>
    <s v="SAO PAULO"/>
    <s v="SP"/>
    <s v="1-Setorizado"/>
    <n v="2"/>
    <x v="16"/>
    <s v="JANAINA PALMIRO - ESP - SPC"/>
    <s v="Especialidade"/>
    <s v="claudia.bueno@cslbehring.com"/>
    <s v="CLAUDIA BUENO (SPC/SPI)"/>
    <n v="0"/>
    <n v="0"/>
    <n v="0"/>
    <n v="96"/>
    <n v="0"/>
  </r>
  <r>
    <x v="0"/>
    <x v="0"/>
    <x v="0"/>
    <n v="7045325000130"/>
    <x v="334"/>
    <s v="SAO PAULO"/>
    <s v="SP"/>
    <s v="1-Setorizado"/>
    <n v="2"/>
    <x v="17"/>
    <s v="ANTONIO TUNES - HSP - SPC"/>
    <s v="Hospitalar"/>
    <s v="claudia.bueno@cslbehring.com"/>
    <s v="CLAUDIA BUENO (SPC/SPI)"/>
    <n v="0"/>
    <n v="0"/>
    <n v="0"/>
    <n v="0"/>
    <n v="0"/>
  </r>
  <r>
    <x v="0"/>
    <x v="0"/>
    <x v="0"/>
    <n v="6047087000210"/>
    <x v="335"/>
    <s v="SAO PAULO"/>
    <s v="SP"/>
    <s v="1-Setorizado"/>
    <n v="2"/>
    <x v="16"/>
    <s v="JANAINA PALMIRO - ESP - SPC"/>
    <s v="Especialidade"/>
    <s v="claudia.bueno@cslbehring.com"/>
    <s v="CLAUDIA BUENO (SPC/SPI)"/>
    <n v="0"/>
    <n v="0"/>
    <n v="0"/>
    <n v="0"/>
    <n v="0"/>
  </r>
  <r>
    <x v="0"/>
    <x v="0"/>
    <x v="0"/>
    <n v="6047087000210"/>
    <x v="335"/>
    <s v="SAO PAULO"/>
    <s v="SP"/>
    <s v="1-Setorizado"/>
    <n v="2"/>
    <x v="17"/>
    <s v="ANTONIO TUNES - HSP - SPC"/>
    <s v="Hospitalar"/>
    <s v="claudia.bueno@cslbehring.com"/>
    <s v="CLAUDIA BUENO (SPC/SPI)"/>
    <n v="0"/>
    <n v="43"/>
    <n v="10"/>
    <n v="0"/>
    <n v="0"/>
  </r>
  <r>
    <x v="0"/>
    <x v="0"/>
    <x v="0"/>
    <n v="60961422000155"/>
    <x v="336"/>
    <s v="SAO PAULO"/>
    <s v="SP"/>
    <s v="1-Setorizado"/>
    <n v="2"/>
    <x v="16"/>
    <s v="JANAINA PALMIRO - ESP - SPC"/>
    <s v="Especialidade"/>
    <s v="claudia.bueno@cslbehring.com"/>
    <s v="CLAUDIA BUENO (SPC/SPI)"/>
    <n v="0"/>
    <n v="0"/>
    <n v="0"/>
    <n v="0"/>
    <n v="20"/>
  </r>
  <r>
    <x v="0"/>
    <x v="0"/>
    <x v="0"/>
    <n v="60961422000155"/>
    <x v="336"/>
    <s v="SAO PAULO"/>
    <s v="SP"/>
    <s v="1-Setorizado"/>
    <n v="2"/>
    <x v="17"/>
    <s v="ANTONIO TUNES - HSP - SPC"/>
    <s v="Hospitalar"/>
    <s v="claudia.bueno@cslbehring.com"/>
    <s v="CLAUDIA BUENO (SPC/SPI)"/>
    <n v="0"/>
    <n v="10"/>
    <n v="13"/>
    <n v="0"/>
    <n v="20"/>
  </r>
  <r>
    <x v="0"/>
    <x v="0"/>
    <x v="0"/>
    <n v="61590410000124"/>
    <x v="337"/>
    <s v="SAO PAULO"/>
    <s v="SP"/>
    <s v="1-Setorizado"/>
    <n v="2"/>
    <x v="16"/>
    <s v="JANAINA PALMIRO - ESP - SPC"/>
    <s v="Especialidade"/>
    <s v="claudia.bueno@cslbehring.com"/>
    <s v="CLAUDIA BUENO (SPC/SPI)"/>
    <n v="0"/>
    <n v="0"/>
    <n v="0"/>
    <n v="0"/>
    <n v="2360"/>
  </r>
  <r>
    <x v="0"/>
    <x v="0"/>
    <x v="0"/>
    <n v="61590410000124"/>
    <x v="337"/>
    <s v="SAO PAULO"/>
    <s v="SP"/>
    <s v="1-Setorizado"/>
    <n v="2"/>
    <x v="20"/>
    <s v="NELSON MARTINS - HSP - SPC"/>
    <s v="Hospitalar"/>
    <s v="claudia.bueno@cslbehring.com"/>
    <s v="CLAUDIA BUENO (SPC/SPI)"/>
    <n v="0"/>
    <n v="0"/>
    <n v="0"/>
    <n v="0"/>
    <n v="2360"/>
  </r>
  <r>
    <x v="0"/>
    <x v="0"/>
    <x v="0"/>
    <n v="20812223000241"/>
    <x v="338"/>
    <s v="SAO PAULO"/>
    <s v="SP"/>
    <s v="1-Setorizado"/>
    <n v="2"/>
    <x v="16"/>
    <s v="JANAINA PALMIRO - ESP - SPC"/>
    <s v="Especialidade"/>
    <s v="claudia.bueno@cslbehring.com"/>
    <s v="CLAUDIA BUENO (SPC/SPI)"/>
    <n v="0"/>
    <n v="0"/>
    <n v="0"/>
    <n v="10"/>
    <n v="0"/>
  </r>
  <r>
    <x v="0"/>
    <x v="0"/>
    <x v="0"/>
    <n v="20812223000241"/>
    <x v="338"/>
    <s v="SAO PAULO"/>
    <s v="SP"/>
    <s v="1-Setorizado"/>
    <n v="2"/>
    <x v="17"/>
    <s v="ANTONIO TUNES - HSP - SPC"/>
    <s v="Hospitalar"/>
    <s v="claudia.bueno@cslbehring.com"/>
    <s v="CLAUDIA BUENO (SPC/SPI)"/>
    <n v="0"/>
    <n v="0"/>
    <n v="0"/>
    <n v="0"/>
    <n v="0"/>
  </r>
  <r>
    <x v="0"/>
    <x v="0"/>
    <x v="0"/>
    <n v="57394710000160"/>
    <x v="339"/>
    <s v="SAO PAULO"/>
    <s v="SP"/>
    <s v="1-Setorizado"/>
    <n v="2"/>
    <x v="16"/>
    <s v="JANAINA PALMIRO - ESP - SPC"/>
    <s v="Especialidade"/>
    <s v="claudia.bueno@cslbehring.com"/>
    <s v="CLAUDIA BUENO (SPC/SPI)"/>
    <n v="0"/>
    <n v="0"/>
    <n v="0"/>
    <n v="0"/>
    <n v="25"/>
  </r>
  <r>
    <x v="0"/>
    <x v="0"/>
    <x v="0"/>
    <n v="57394710000160"/>
    <x v="339"/>
    <s v="SAO PAULO"/>
    <s v="SP"/>
    <s v="1-Setorizado"/>
    <n v="2"/>
    <x v="20"/>
    <s v="NELSON MARTINS - HSP - SPC"/>
    <s v="Hospitalar"/>
    <s v="claudia.bueno@cslbehring.com"/>
    <s v="CLAUDIA BUENO (SPC/SPI)"/>
    <n v="0"/>
    <n v="0"/>
    <n v="0"/>
    <n v="0"/>
    <n v="25"/>
  </r>
  <r>
    <x v="0"/>
    <x v="0"/>
    <x v="0"/>
    <n v="45399961000230"/>
    <x v="340"/>
    <s v="SOROCABA"/>
    <s v="SP"/>
    <s v="1-Setorizado"/>
    <n v="2"/>
    <x v="18"/>
    <s v="XXX-ESP-VAGO SPC"/>
    <s v="Especialidade"/>
    <s v="claudia.bueno@cslbehring.com"/>
    <s v="CLAUDIA BUENO (SPC/SPI)"/>
    <n v="0"/>
    <n v="0"/>
    <n v="0"/>
    <n v="0"/>
    <n v="725"/>
  </r>
  <r>
    <x v="0"/>
    <x v="0"/>
    <x v="0"/>
    <n v="45399961000230"/>
    <x v="340"/>
    <s v="SOROCABA"/>
    <s v="SP"/>
    <s v="1-Setorizado"/>
    <n v="2"/>
    <x v="19"/>
    <s v="TATHIANA PONCE - HSP - SPC"/>
    <s v="Hospitalar"/>
    <s v="claudia.bueno@cslbehring.com"/>
    <s v="CLAUDIA BUENO (SPC/SPI)"/>
    <n v="0"/>
    <n v="0"/>
    <n v="0"/>
    <n v="0"/>
    <n v="725"/>
  </r>
  <r>
    <x v="0"/>
    <x v="0"/>
    <x v="0"/>
    <n v="46124624002599"/>
    <x v="341"/>
    <s v="SUMARE"/>
    <s v="SP"/>
    <s v="1-Setorizado"/>
    <n v="2"/>
    <x v="14"/>
    <s v="BRUNA CLARO - ESP - SPI"/>
    <s v="Especialidade"/>
    <s v="claudia.bueno@cslbehring.com"/>
    <s v="CLAUDIA BUENO (SPC/SPI)"/>
    <n v="0"/>
    <n v="0"/>
    <n v="0"/>
    <n v="120"/>
    <n v="400"/>
  </r>
  <r>
    <x v="0"/>
    <x v="0"/>
    <x v="0"/>
    <n v="46124624002599"/>
    <x v="341"/>
    <s v="SUMARE"/>
    <s v="SP"/>
    <s v="1-Setorizado"/>
    <n v="2"/>
    <x v="15"/>
    <s v="ARTUR JUNIOR - HSP - SPI"/>
    <s v="Hospitalar"/>
    <s v="claudia.bueno@cslbehring.com"/>
    <s v="CLAUDIA BUENO (SPC/SPI)"/>
    <n v="0"/>
    <n v="0"/>
    <n v="0"/>
    <n v="0"/>
    <n v="400"/>
  </r>
  <r>
    <x v="0"/>
    <x v="0"/>
    <x v="0"/>
    <n v="23941593838"/>
    <x v="342"/>
    <s v="SÃO PAULO"/>
    <s v="SP"/>
    <s v="1-Setorizado"/>
    <n v="2"/>
    <x v="18"/>
    <s v="XXX-ESP-VAGO SPC"/>
    <s v="Especialidade"/>
    <s v="claudia.bueno@cslbehring.com"/>
    <s v="CLAUDIA BUENO (SPC/SPI)"/>
    <n v="0"/>
    <n v="0"/>
    <n v="0"/>
    <n v="60"/>
    <n v="0"/>
  </r>
  <r>
    <x v="0"/>
    <x v="0"/>
    <x v="0"/>
    <n v="23941593838"/>
    <x v="342"/>
    <s v="SÃO PAULO"/>
    <s v="SP"/>
    <s v="1-Setorizado"/>
    <n v="2"/>
    <x v="19"/>
    <s v="TATHIANA PONCE - HSP - SPC"/>
    <s v="Hospitalar"/>
    <s v="claudia.bueno@cslbehring.com"/>
    <s v="CLAUDIA BUENO (SPC/SPI)"/>
    <n v="0"/>
    <n v="0"/>
    <n v="0"/>
    <n v="0"/>
    <n v="0"/>
  </r>
  <r>
    <x v="0"/>
    <x v="1"/>
    <x v="0"/>
    <n v="1454407000151"/>
    <x v="0"/>
    <s v="MACEIO"/>
    <s v="AL"/>
    <s v="1-Setorizado"/>
    <n v="2"/>
    <x v="0"/>
    <s v="VALERIA BRAGA - ESP - (CE/MA/PI/BA/AL/SE/PB/PE/RN)"/>
    <s v="Especialidade"/>
    <s v="fernando.leony@cslbehring.com"/>
    <s v="FERNANDO LEONY (CO/NO/NE)"/>
    <n v="0"/>
    <n v="0"/>
    <n v="0"/>
    <n v="0"/>
    <n v="500"/>
  </r>
  <r>
    <x v="0"/>
    <x v="1"/>
    <x v="0"/>
    <n v="1454407000151"/>
    <x v="0"/>
    <s v="MACEIO"/>
    <s v="AL"/>
    <s v="1-Setorizado"/>
    <n v="2"/>
    <x v="1"/>
    <s v="LAIS MAGALHAES - HSP - BA/AL/SE"/>
    <s v="Hospitalar"/>
    <s v="fernando.leony@cslbehring.com"/>
    <s v="FERNANDO LEONY (CO/NO/NE)"/>
    <n v="0"/>
    <n v="0"/>
    <n v="0"/>
    <n v="0"/>
    <n v="500"/>
  </r>
  <r>
    <x v="0"/>
    <x v="1"/>
    <x v="0"/>
    <n v="12442737000496"/>
    <x v="1"/>
    <s v="MACEIO"/>
    <s v="AL"/>
    <s v="1-Setorizado"/>
    <n v="2"/>
    <x v="0"/>
    <s v="VALERIA BRAGA - ESP - (CE/MA/PI/BA/AL/SE/PB/PE/RN)"/>
    <s v="Especialidade"/>
    <s v="fernando.leony@cslbehring.com"/>
    <s v="FERNANDO LEONY (CO/NO/NE)"/>
    <n v="0"/>
    <n v="0"/>
    <n v="0"/>
    <n v="0"/>
    <n v="400"/>
  </r>
  <r>
    <x v="0"/>
    <x v="1"/>
    <x v="0"/>
    <n v="12442737000496"/>
    <x v="1"/>
    <s v="MACEIO"/>
    <s v="AL"/>
    <s v="1-Setorizado"/>
    <n v="2"/>
    <x v="1"/>
    <s v="LAIS MAGALHAES - HSP - BA/AL/SE"/>
    <s v="Hospitalar"/>
    <s v="fernando.leony@cslbehring.com"/>
    <s v="FERNANDO LEONY (CO/NO/NE)"/>
    <n v="0"/>
    <n v="3"/>
    <n v="2"/>
    <n v="0"/>
    <n v="400"/>
  </r>
  <r>
    <x v="0"/>
    <x v="1"/>
    <x v="0"/>
    <n v="24464109000229"/>
    <x v="2"/>
    <s v="MACEIO"/>
    <s v="AL"/>
    <s v="1-Setorizado"/>
    <n v="2"/>
    <x v="0"/>
    <s v="VALERIA BRAGA - ESP - (CE/MA/PI/BA/AL/SE/PB/PE/RN)"/>
    <s v="Especialidade"/>
    <s v="fernando.leony@cslbehring.com"/>
    <s v="FERNANDO LEONY (CO/NO/NE)"/>
    <n v="4"/>
    <n v="0"/>
    <n v="0"/>
    <n v="0"/>
    <n v="0"/>
  </r>
  <r>
    <x v="0"/>
    <x v="1"/>
    <x v="0"/>
    <n v="24464109000229"/>
    <x v="2"/>
    <s v="MACEIO"/>
    <s v="AL"/>
    <s v="1-Setorizado"/>
    <n v="2"/>
    <x v="1"/>
    <s v="LAIS MAGALHAES - HSP - BA/AL/SE"/>
    <s v="Hospitalar"/>
    <s v="fernando.leony@cslbehring.com"/>
    <s v="FERNANDO LEONY (CO/NO/NE)"/>
    <n v="0"/>
    <n v="0"/>
    <n v="0"/>
    <n v="0"/>
    <n v="0"/>
  </r>
  <r>
    <x v="0"/>
    <x v="1"/>
    <x v="0"/>
    <n v="3866223000124"/>
    <x v="343"/>
    <s v="MACEIO"/>
    <s v="AL"/>
    <s v="1-Setorizado"/>
    <n v="2"/>
    <x v="0"/>
    <s v="VALERIA BRAGA - ESP - (CE/MA/PI/BA/AL/SE/PB/PE/RN)"/>
    <s v="Especialidade"/>
    <s v="fernando.leony@cslbehring.com"/>
    <s v="FERNANDO LEONY (CO/NO/NE)"/>
    <n v="0"/>
    <n v="0"/>
    <n v="0"/>
    <n v="0"/>
    <n v="1740"/>
  </r>
  <r>
    <x v="0"/>
    <x v="1"/>
    <x v="0"/>
    <n v="3866223000124"/>
    <x v="343"/>
    <s v="MACEIO"/>
    <s v="AL"/>
    <s v="1-Setorizado"/>
    <n v="2"/>
    <x v="1"/>
    <s v="LAIS MAGALHAES - HSP - BA/AL/SE"/>
    <s v="Hospitalar"/>
    <s v="fernando.leony@cslbehring.com"/>
    <s v="FERNANDO LEONY (CO/NO/NE)"/>
    <n v="0"/>
    <n v="0"/>
    <n v="0"/>
    <n v="0"/>
    <n v="1740"/>
  </r>
  <r>
    <x v="0"/>
    <x v="1"/>
    <x v="0"/>
    <n v="12361267010407"/>
    <x v="344"/>
    <s v="FEIRA DE SANTANA"/>
    <s v="BA"/>
    <s v="1-Setorizado"/>
    <n v="2"/>
    <x v="0"/>
    <s v="VALERIA BRAGA - ESP - (CE/MA/PI/BA/AL/SE/PB/PE/RN)"/>
    <s v="Especialidade"/>
    <s v="fernando.leony@cslbehring.com"/>
    <s v="FERNANDO LEONY (CO/NO/NE)"/>
    <n v="0"/>
    <n v="0"/>
    <n v="0"/>
    <n v="0"/>
    <n v="130"/>
  </r>
  <r>
    <x v="0"/>
    <x v="1"/>
    <x v="0"/>
    <n v="12361267010407"/>
    <x v="344"/>
    <s v="FEIRA DE SANTANA"/>
    <s v="BA"/>
    <s v="1-Setorizado"/>
    <n v="2"/>
    <x v="1"/>
    <s v="LAIS MAGALHAES - HSP - BA/AL/SE"/>
    <s v="Hospitalar"/>
    <s v="fernando.leony@cslbehring.com"/>
    <s v="FERNANDO LEONY (CO/NO/NE)"/>
    <n v="0"/>
    <n v="0"/>
    <n v="0"/>
    <n v="0"/>
    <n v="130"/>
  </r>
  <r>
    <x v="0"/>
    <x v="1"/>
    <x v="0"/>
    <n v="4602792000125"/>
    <x v="7"/>
    <s v="LAURO DE FREITAS"/>
    <s v="BA"/>
    <s v="1-Setorizado"/>
    <n v="2"/>
    <x v="0"/>
    <s v="VALERIA BRAGA - ESP - (CE/MA/PI/BA/AL/SE/PB/PE/RN)"/>
    <s v="Especialidade"/>
    <s v="fernando.leony@cslbehring.com"/>
    <s v="FERNANDO LEONY (CO/NO/NE)"/>
    <n v="0"/>
    <n v="0"/>
    <n v="0"/>
    <n v="0"/>
    <n v="0"/>
  </r>
  <r>
    <x v="0"/>
    <x v="1"/>
    <x v="0"/>
    <n v="4602792000125"/>
    <x v="7"/>
    <s v="LAURO DE FREITAS"/>
    <s v="BA"/>
    <s v="1-Setorizado"/>
    <n v="2"/>
    <x v="1"/>
    <s v="LAIS MAGALHAES - HSP - BA/AL/SE"/>
    <s v="Hospitalar"/>
    <s v="fernando.leony@cslbehring.com"/>
    <s v="FERNANDO LEONY (CO/NO/NE)"/>
    <n v="0"/>
    <n v="3"/>
    <n v="0"/>
    <n v="0"/>
    <n v="0"/>
  </r>
  <r>
    <x v="0"/>
    <x v="1"/>
    <x v="0"/>
    <n v="13952064000134"/>
    <x v="8"/>
    <s v="SALVADOR"/>
    <s v="BA"/>
    <s v="1-Setorizado"/>
    <n v="2"/>
    <x v="0"/>
    <s v="VALERIA BRAGA - ESP - (CE/MA/PI/BA/AL/SE/PB/PE/RN)"/>
    <s v="Especialidade"/>
    <s v="fernando.leony@cslbehring.com"/>
    <s v="FERNANDO LEONY (CO/NO/NE)"/>
    <n v="0"/>
    <n v="0"/>
    <n v="0"/>
    <n v="0"/>
    <n v="0"/>
  </r>
  <r>
    <x v="0"/>
    <x v="1"/>
    <x v="0"/>
    <n v="13952064000134"/>
    <x v="8"/>
    <s v="SALVADOR"/>
    <s v="BA"/>
    <s v="1-Setorizado"/>
    <n v="2"/>
    <x v="1"/>
    <s v="LAIS MAGALHAES - HSP - BA/AL/SE"/>
    <s v="Hospitalar"/>
    <s v="fernando.leony@cslbehring.com"/>
    <s v="FERNANDO LEONY (CO/NO/NE)"/>
    <n v="0"/>
    <n v="8"/>
    <n v="0"/>
    <n v="0"/>
    <n v="0"/>
  </r>
  <r>
    <x v="0"/>
    <x v="1"/>
    <x v="0"/>
    <n v="16475154000250"/>
    <x v="345"/>
    <s v="SALVADOR"/>
    <s v="BA"/>
    <s v="1-Setorizado"/>
    <n v="2"/>
    <x v="0"/>
    <s v="VALERIA BRAGA - ESP - (CE/MA/PI/BA/AL/SE/PB/PE/RN)"/>
    <s v="Especialidade"/>
    <s v="fernando.leony@cslbehring.com"/>
    <s v="FERNANDO LEONY (CO/NO/NE)"/>
    <n v="0"/>
    <n v="0"/>
    <n v="0"/>
    <n v="0"/>
    <n v="0"/>
  </r>
  <r>
    <x v="0"/>
    <x v="1"/>
    <x v="0"/>
    <n v="16475154000250"/>
    <x v="345"/>
    <s v="SALVADOR"/>
    <s v="BA"/>
    <s v="1-Setorizado"/>
    <n v="2"/>
    <x v="1"/>
    <s v="LAIS MAGALHAES - HSP - BA/AL/SE"/>
    <s v="Hospitalar"/>
    <s v="fernando.leony@cslbehring.com"/>
    <s v="FERNANDO LEONY (CO/NO/NE)"/>
    <n v="0"/>
    <n v="3"/>
    <n v="0"/>
    <n v="0"/>
    <n v="0"/>
  </r>
  <r>
    <x v="0"/>
    <x v="1"/>
    <x v="0"/>
    <n v="5816630000152"/>
    <x v="9"/>
    <s v="SALVADOR"/>
    <s v="BA"/>
    <s v="1-Setorizado"/>
    <n v="2"/>
    <x v="0"/>
    <s v="VALERIA BRAGA - ESP - (CE/MA/PI/BA/AL/SE/PB/PE/RN)"/>
    <s v="Especialidade"/>
    <s v="fernando.leony@cslbehring.com"/>
    <s v="FERNANDO LEONY (CO/NO/NE)"/>
    <n v="0"/>
    <n v="0"/>
    <n v="0"/>
    <n v="0"/>
    <n v="2960"/>
  </r>
  <r>
    <x v="0"/>
    <x v="1"/>
    <x v="0"/>
    <n v="5816630000152"/>
    <x v="9"/>
    <s v="SALVADOR"/>
    <s v="BA"/>
    <s v="1-Setorizado"/>
    <n v="2"/>
    <x v="1"/>
    <s v="LAIS MAGALHAES - HSP - BA/AL/SE"/>
    <s v="Hospitalar"/>
    <s v="fernando.leony@cslbehring.com"/>
    <s v="FERNANDO LEONY (CO/NO/NE)"/>
    <n v="0"/>
    <n v="15"/>
    <n v="5"/>
    <n v="0"/>
    <n v="2960"/>
  </r>
  <r>
    <x v="0"/>
    <x v="1"/>
    <x v="0"/>
    <n v="15194004000125"/>
    <x v="10"/>
    <s v="SALVADOR"/>
    <s v="BA"/>
    <s v="1-Setorizado"/>
    <n v="2"/>
    <x v="0"/>
    <s v="VALERIA BRAGA - ESP - (CE/MA/PI/BA/AL/SE/PB/PE/RN)"/>
    <s v="Especialidade"/>
    <s v="fernando.leony@cslbehring.com"/>
    <s v="FERNANDO LEONY (CO/NO/NE)"/>
    <n v="0"/>
    <n v="0"/>
    <n v="0"/>
    <n v="0"/>
    <n v="0"/>
  </r>
  <r>
    <x v="0"/>
    <x v="1"/>
    <x v="0"/>
    <n v="15194004000125"/>
    <x v="10"/>
    <s v="SALVADOR"/>
    <s v="BA"/>
    <s v="1-Setorizado"/>
    <n v="2"/>
    <x v="1"/>
    <s v="LAIS MAGALHAES - HSP - BA/AL/SE"/>
    <s v="Hospitalar"/>
    <s v="fernando.leony@cslbehring.com"/>
    <s v="FERNANDO LEONY (CO/NO/NE)"/>
    <n v="0"/>
    <n v="5"/>
    <n v="0"/>
    <n v="0"/>
    <n v="0"/>
  </r>
  <r>
    <x v="0"/>
    <x v="1"/>
    <x v="0"/>
    <n v="5469172000122"/>
    <x v="11"/>
    <s v="SALVADOR"/>
    <s v="BA"/>
    <s v="1-Setorizado"/>
    <n v="2"/>
    <x v="0"/>
    <s v="VALERIA BRAGA - ESP - (CE/MA/PI/BA/AL/SE/PB/PE/RN)"/>
    <s v="Especialidade"/>
    <s v="fernando.leony@cslbehring.com"/>
    <s v="FERNANDO LEONY (CO/NO/NE)"/>
    <n v="0"/>
    <n v="0"/>
    <n v="0"/>
    <n v="0"/>
    <n v="0"/>
  </r>
  <r>
    <x v="0"/>
    <x v="1"/>
    <x v="0"/>
    <n v="5469172000122"/>
    <x v="11"/>
    <s v="SALVADOR"/>
    <s v="BA"/>
    <s v="1-Setorizado"/>
    <n v="2"/>
    <x v="1"/>
    <s v="LAIS MAGALHAES - HSP - BA/AL/SE"/>
    <s v="Hospitalar"/>
    <s v="fernando.leony@cslbehring.com"/>
    <s v="FERNANDO LEONY (CO/NO/NE)"/>
    <n v="0"/>
    <n v="11"/>
    <n v="7"/>
    <n v="0"/>
    <n v="0"/>
  </r>
  <r>
    <x v="0"/>
    <x v="1"/>
    <x v="0"/>
    <n v="13016092000140"/>
    <x v="12"/>
    <s v="SALVADOR"/>
    <s v="BA"/>
    <s v="1-Setorizado"/>
    <n v="2"/>
    <x v="0"/>
    <s v="VALERIA BRAGA - ESP - (CE/MA/PI/BA/AL/SE/PB/PE/RN)"/>
    <s v="Especialidade"/>
    <s v="fernando.leony@cslbehring.com"/>
    <s v="FERNANDO LEONY (CO/NO/NE)"/>
    <n v="0"/>
    <n v="0"/>
    <n v="0"/>
    <n v="0"/>
    <n v="0"/>
  </r>
  <r>
    <x v="0"/>
    <x v="1"/>
    <x v="0"/>
    <n v="13016092000140"/>
    <x v="12"/>
    <s v="SALVADOR"/>
    <s v="BA"/>
    <s v="1-Setorizado"/>
    <n v="2"/>
    <x v="1"/>
    <s v="LAIS MAGALHAES - HSP - BA/AL/SE"/>
    <s v="Hospitalar"/>
    <s v="fernando.leony@cslbehring.com"/>
    <s v="FERNANDO LEONY (CO/NO/NE)"/>
    <n v="0"/>
    <n v="10"/>
    <n v="0"/>
    <n v="0"/>
    <n v="0"/>
  </r>
  <r>
    <x v="0"/>
    <x v="1"/>
    <x v="0"/>
    <n v="3376102000102"/>
    <x v="346"/>
    <s v="SALVADOR"/>
    <s v="BA"/>
    <s v="1-Setorizado"/>
    <n v="2"/>
    <x v="0"/>
    <s v="VALERIA BRAGA - ESP - (CE/MA/PI/BA/AL/SE/PB/PE/RN)"/>
    <s v="Especialidade"/>
    <s v="fernando.leony@cslbehring.com"/>
    <s v="FERNANDO LEONY (CO/NO/NE)"/>
    <n v="0"/>
    <n v="0"/>
    <n v="0"/>
    <n v="0"/>
    <n v="0"/>
  </r>
  <r>
    <x v="0"/>
    <x v="1"/>
    <x v="0"/>
    <n v="3376102000102"/>
    <x v="346"/>
    <s v="SALVADOR"/>
    <s v="BA"/>
    <s v="1-Setorizado"/>
    <n v="2"/>
    <x v="1"/>
    <s v="LAIS MAGALHAES - HSP - BA/AL/SE"/>
    <s v="Hospitalar"/>
    <s v="fernando.leony@cslbehring.com"/>
    <s v="FERNANDO LEONY (CO/NO/NE)"/>
    <n v="0"/>
    <n v="0"/>
    <n v="3"/>
    <n v="0"/>
    <n v="0"/>
  </r>
  <r>
    <x v="0"/>
    <x v="1"/>
    <x v="0"/>
    <n v="15153745002705"/>
    <x v="13"/>
    <s v="SALVADOR"/>
    <s v="BA"/>
    <s v="1-Setorizado"/>
    <n v="2"/>
    <x v="0"/>
    <s v="VALERIA BRAGA - ESP - (CE/MA/PI/BA/AL/SE/PB/PE/RN)"/>
    <s v="Especialidade"/>
    <s v="fernando.leony@cslbehring.com"/>
    <s v="FERNANDO LEONY (CO/NO/NE)"/>
    <n v="0"/>
    <n v="0"/>
    <n v="0"/>
    <n v="0"/>
    <n v="0"/>
  </r>
  <r>
    <x v="0"/>
    <x v="1"/>
    <x v="0"/>
    <n v="15153745002705"/>
    <x v="13"/>
    <s v="SALVADOR"/>
    <s v="BA"/>
    <s v="1-Setorizado"/>
    <n v="2"/>
    <x v="1"/>
    <s v="LAIS MAGALHAES - HSP - BA/AL/SE"/>
    <s v="Hospitalar"/>
    <s v="fernando.leony@cslbehring.com"/>
    <s v="FERNANDO LEONY (CO/NO/NE)"/>
    <n v="0"/>
    <n v="10"/>
    <n v="0"/>
    <n v="0"/>
    <n v="0"/>
  </r>
  <r>
    <x v="0"/>
    <x v="1"/>
    <x v="0"/>
    <n v="15166416000151"/>
    <x v="14"/>
    <s v="SALVADOR"/>
    <s v="BA"/>
    <s v="1-Setorizado"/>
    <n v="2"/>
    <x v="0"/>
    <s v="VALERIA BRAGA - ESP - (CE/MA/PI/BA/AL/SE/PB/PE/RN)"/>
    <s v="Especialidade"/>
    <s v="fernando.leony@cslbehring.com"/>
    <s v="FERNANDO LEONY (CO/NO/NE)"/>
    <n v="0"/>
    <n v="0"/>
    <n v="0"/>
    <n v="0"/>
    <n v="0"/>
  </r>
  <r>
    <x v="0"/>
    <x v="1"/>
    <x v="0"/>
    <n v="15166416000151"/>
    <x v="14"/>
    <s v="SALVADOR"/>
    <s v="BA"/>
    <s v="1-Setorizado"/>
    <n v="2"/>
    <x v="1"/>
    <s v="LAIS MAGALHAES - HSP - BA/AL/SE"/>
    <s v="Hospitalar"/>
    <s v="fernando.leony@cslbehring.com"/>
    <s v="FERNANDO LEONY (CO/NO/NE)"/>
    <n v="0"/>
    <n v="29"/>
    <n v="8"/>
    <n v="0"/>
    <n v="0"/>
  </r>
  <r>
    <x v="0"/>
    <x v="1"/>
    <x v="0"/>
    <n v="27372066000169"/>
    <x v="16"/>
    <s v="SALVADOR"/>
    <s v="BA"/>
    <s v="1-Setorizado"/>
    <n v="2"/>
    <x v="0"/>
    <s v="VALERIA BRAGA - ESP - (CE/MA/PI/BA/AL/SE/PB/PE/RN)"/>
    <s v="Especialidade"/>
    <s v="fernando.leony@cslbehring.com"/>
    <s v="FERNANDO LEONY (CO/NO/NE)"/>
    <n v="0"/>
    <n v="0"/>
    <n v="0"/>
    <n v="0"/>
    <n v="0"/>
  </r>
  <r>
    <x v="0"/>
    <x v="1"/>
    <x v="0"/>
    <n v="27372066000169"/>
    <x v="16"/>
    <s v="SALVADOR"/>
    <s v="BA"/>
    <s v="1-Setorizado"/>
    <n v="2"/>
    <x v="1"/>
    <s v="LAIS MAGALHAES - HSP - BA/AL/SE"/>
    <s v="Hospitalar"/>
    <s v="fernando.leony@cslbehring.com"/>
    <s v="FERNANDO LEONY (CO/NO/NE)"/>
    <n v="0"/>
    <n v="4"/>
    <n v="0"/>
    <n v="0"/>
    <n v="0"/>
  </r>
  <r>
    <x v="0"/>
    <x v="1"/>
    <x v="0"/>
    <n v="12361267010318"/>
    <x v="17"/>
    <s v="SALVADOR"/>
    <s v="BA"/>
    <s v="1-Setorizado"/>
    <n v="2"/>
    <x v="0"/>
    <s v="VALERIA BRAGA - ESP - (CE/MA/PI/BA/AL/SE/PB/PE/RN)"/>
    <s v="Especialidade"/>
    <s v="fernando.leony@cslbehring.com"/>
    <s v="FERNANDO LEONY (CO/NO/NE)"/>
    <n v="0"/>
    <n v="0"/>
    <n v="0"/>
    <n v="0"/>
    <n v="275"/>
  </r>
  <r>
    <x v="0"/>
    <x v="1"/>
    <x v="0"/>
    <n v="12361267010318"/>
    <x v="17"/>
    <s v="SALVADOR"/>
    <s v="BA"/>
    <s v="1-Setorizado"/>
    <n v="2"/>
    <x v="1"/>
    <s v="LAIS MAGALHAES - HSP - BA/AL/SE"/>
    <s v="Hospitalar"/>
    <s v="fernando.leony@cslbehring.com"/>
    <s v="FERNANDO LEONY (CO/NO/NE)"/>
    <n v="0"/>
    <n v="11"/>
    <n v="5"/>
    <n v="0"/>
    <n v="275"/>
  </r>
  <r>
    <x v="0"/>
    <x v="1"/>
    <x v="0"/>
    <n v="11943553000102"/>
    <x v="347"/>
    <s v="SALVADOR"/>
    <s v="BA"/>
    <s v="1-Setorizado"/>
    <n v="2"/>
    <x v="0"/>
    <s v="VALERIA BRAGA - ESP - (CE/MA/PI/BA/AL/SE/PB/PE/RN)"/>
    <s v="Especialidade"/>
    <s v="fernando.leony@cslbehring.com"/>
    <s v="FERNANDO LEONY (CO/NO/NE)"/>
    <n v="0"/>
    <n v="0"/>
    <n v="0"/>
    <n v="0"/>
    <n v="0"/>
  </r>
  <r>
    <x v="0"/>
    <x v="1"/>
    <x v="0"/>
    <n v="11943553000102"/>
    <x v="347"/>
    <s v="SALVADOR"/>
    <s v="BA"/>
    <s v="1-Setorizado"/>
    <n v="2"/>
    <x v="1"/>
    <s v="LAIS MAGALHAES - HSP - BA/AL/SE"/>
    <s v="Hospitalar"/>
    <s v="fernando.leony@cslbehring.com"/>
    <s v="FERNANDO LEONY (CO/NO/NE)"/>
    <n v="0"/>
    <n v="2"/>
    <n v="0"/>
    <n v="0"/>
    <n v="0"/>
  </r>
  <r>
    <x v="0"/>
    <x v="1"/>
    <x v="0"/>
    <n v="15140254000182"/>
    <x v="348"/>
    <s v="SALVADOR"/>
    <s v="BA"/>
    <s v="1-Setorizado"/>
    <n v="2"/>
    <x v="0"/>
    <s v="VALERIA BRAGA - ESP - (CE/MA/PI/BA/AL/SE/PB/PE/RN)"/>
    <s v="Especialidade"/>
    <s v="fernando.leony@cslbehring.com"/>
    <s v="FERNANDO LEONY (CO/NO/NE)"/>
    <n v="0"/>
    <n v="0"/>
    <n v="0"/>
    <n v="2"/>
    <n v="0"/>
  </r>
  <r>
    <x v="0"/>
    <x v="1"/>
    <x v="0"/>
    <n v="15140254000182"/>
    <x v="348"/>
    <s v="SALVADOR"/>
    <s v="BA"/>
    <s v="1-Setorizado"/>
    <n v="2"/>
    <x v="1"/>
    <s v="LAIS MAGALHAES - HSP - BA/AL/SE"/>
    <s v="Hospitalar"/>
    <s v="fernando.leony@cslbehring.com"/>
    <s v="FERNANDO LEONY (CO/NO/NE)"/>
    <n v="0"/>
    <n v="0"/>
    <n v="0"/>
    <n v="0"/>
    <n v="0"/>
  </r>
  <r>
    <x v="0"/>
    <x v="1"/>
    <x v="0"/>
    <n v="5652543000107"/>
    <x v="349"/>
    <s v="SANTO ANTONIO DE JESUS"/>
    <s v="BA"/>
    <s v="1-Setorizado"/>
    <n v="2"/>
    <x v="0"/>
    <s v="VALERIA BRAGA - ESP - (CE/MA/PI/BA/AL/SE/PB/PE/RN)"/>
    <s v="Especialidade"/>
    <s v="fernando.leony@cslbehring.com"/>
    <s v="FERNANDO LEONY (CO/NO/NE)"/>
    <n v="0"/>
    <n v="0"/>
    <n v="0"/>
    <n v="0"/>
    <n v="0"/>
  </r>
  <r>
    <x v="0"/>
    <x v="1"/>
    <x v="0"/>
    <n v="5652543000107"/>
    <x v="349"/>
    <s v="SANTO ANTONIO DE JESUS"/>
    <s v="BA"/>
    <s v="1-Setorizado"/>
    <n v="2"/>
    <x v="1"/>
    <s v="LAIS MAGALHAES - HSP - BA/AL/SE"/>
    <s v="Hospitalar"/>
    <s v="fernando.leony@cslbehring.com"/>
    <s v="FERNANDO LEONY (CO/NO/NE)"/>
    <n v="0"/>
    <n v="2"/>
    <n v="0"/>
    <n v="0"/>
    <n v="0"/>
  </r>
  <r>
    <x v="0"/>
    <x v="1"/>
    <x v="0"/>
    <n v="13284872000170"/>
    <x v="22"/>
    <s v="VITORIA DA CONQUISTA"/>
    <s v="BA"/>
    <s v="1-Setorizado"/>
    <n v="2"/>
    <x v="0"/>
    <s v="VALERIA BRAGA - ESP - (CE/MA/PI/BA/AL/SE/PB/PE/RN)"/>
    <s v="Especialidade"/>
    <s v="fernando.leony@cslbehring.com"/>
    <s v="FERNANDO LEONY (CO/NO/NE)"/>
    <n v="0"/>
    <n v="0"/>
    <n v="0"/>
    <n v="0"/>
    <n v="30"/>
  </r>
  <r>
    <x v="0"/>
    <x v="1"/>
    <x v="0"/>
    <n v="13284872000170"/>
    <x v="22"/>
    <s v="VITORIA DA CONQUISTA"/>
    <s v="BA"/>
    <s v="1-Setorizado"/>
    <n v="2"/>
    <x v="1"/>
    <s v="LAIS MAGALHAES - HSP - BA/AL/SE"/>
    <s v="Hospitalar"/>
    <s v="fernando.leony@cslbehring.com"/>
    <s v="FERNANDO LEONY (CO/NO/NE)"/>
    <n v="0"/>
    <n v="0"/>
    <n v="0"/>
    <n v="0"/>
    <n v="30"/>
  </r>
  <r>
    <x v="0"/>
    <x v="1"/>
    <x v="0"/>
    <n v="7245269000187"/>
    <x v="350"/>
    <s v="FORTALEZA"/>
    <s v="CE"/>
    <s v="1-Setorizado"/>
    <n v="2"/>
    <x v="0"/>
    <s v="VALERIA BRAGA - ESP - (CE/MA/PI/BA/AL/SE/PB/PE/RN)"/>
    <s v="Especialidade"/>
    <s v="fernando.leony@cslbehring.com"/>
    <s v="FERNANDO LEONY (CO/NO/NE)"/>
    <n v="0"/>
    <n v="0"/>
    <n v="0"/>
    <n v="0"/>
    <n v="0"/>
  </r>
  <r>
    <x v="0"/>
    <x v="1"/>
    <x v="0"/>
    <n v="7245269000187"/>
    <x v="350"/>
    <s v="FORTALEZA"/>
    <s v="CE"/>
    <s v="1-Setorizado"/>
    <n v="2"/>
    <x v="3"/>
    <s v="KLEBER SILVA - HSP - CE/MA/PI"/>
    <s v="Hospitalar"/>
    <s v="fernando.leony@cslbehring.com"/>
    <s v="FERNANDO LEONY (CO/NO/NE)"/>
    <n v="0"/>
    <n v="7"/>
    <n v="0"/>
    <n v="0"/>
    <n v="0"/>
  </r>
  <r>
    <x v="0"/>
    <x v="1"/>
    <x v="0"/>
    <n v="5874946000281"/>
    <x v="351"/>
    <s v="FORTALEZA"/>
    <s v="CE"/>
    <s v="1-Setorizado"/>
    <n v="2"/>
    <x v="0"/>
    <s v="VALERIA BRAGA - ESP - (CE/MA/PI/BA/AL/SE/PB/PE/RN)"/>
    <s v="Especialidade"/>
    <s v="fernando.leony@cslbehring.com"/>
    <s v="FERNANDO LEONY (CO/NO/NE)"/>
    <n v="0"/>
    <n v="0"/>
    <n v="0"/>
    <n v="0"/>
    <n v="0"/>
  </r>
  <r>
    <x v="0"/>
    <x v="1"/>
    <x v="0"/>
    <n v="5874946000281"/>
    <x v="351"/>
    <s v="FORTALEZA"/>
    <s v="CE"/>
    <s v="1-Setorizado"/>
    <n v="2"/>
    <x v="3"/>
    <s v="KLEBER SILVA - HSP - CE/MA/PI"/>
    <s v="Hospitalar"/>
    <s v="fernando.leony@cslbehring.com"/>
    <s v="FERNANDO LEONY (CO/NO/NE)"/>
    <n v="0"/>
    <n v="11"/>
    <n v="5"/>
    <n v="0"/>
    <n v="0"/>
  </r>
  <r>
    <x v="0"/>
    <x v="1"/>
    <x v="0"/>
    <n v="15126437001468"/>
    <x v="352"/>
    <s v="FORTALEZA"/>
    <s v="CE"/>
    <s v="1-Setorizado"/>
    <n v="2"/>
    <x v="0"/>
    <s v="VALERIA BRAGA - ESP - (CE/MA/PI/BA/AL/SE/PB/PE/RN)"/>
    <s v="Especialidade"/>
    <s v="fernando.leony@cslbehring.com"/>
    <s v="FERNANDO LEONY (CO/NO/NE)"/>
    <n v="0"/>
    <n v="0"/>
    <n v="0"/>
    <n v="0"/>
    <n v="0"/>
  </r>
  <r>
    <x v="0"/>
    <x v="1"/>
    <x v="0"/>
    <n v="15126437001468"/>
    <x v="352"/>
    <s v="FORTALEZA"/>
    <s v="CE"/>
    <s v="1-Setorizado"/>
    <n v="2"/>
    <x v="3"/>
    <s v="KLEBER SILVA - HSP - CE/MA/PI"/>
    <s v="Hospitalar"/>
    <s v="fernando.leony@cslbehring.com"/>
    <s v="FERNANDO LEONY (CO/NO/NE)"/>
    <n v="0"/>
    <n v="20"/>
    <n v="0"/>
    <n v="0"/>
    <n v="0"/>
  </r>
  <r>
    <x v="0"/>
    <x v="1"/>
    <x v="0"/>
    <n v="74031865000151"/>
    <x v="24"/>
    <s v="FORTALEZA"/>
    <s v="CE"/>
    <s v="1-Setorizado"/>
    <n v="2"/>
    <x v="0"/>
    <s v="VALERIA BRAGA - ESP - (CE/MA/PI/BA/AL/SE/PB/PE/RN)"/>
    <s v="Especialidade"/>
    <s v="fernando.leony@cslbehring.com"/>
    <s v="FERNANDO LEONY (CO/NO/NE)"/>
    <n v="0"/>
    <n v="0"/>
    <n v="0"/>
    <n v="0"/>
    <n v="0"/>
  </r>
  <r>
    <x v="0"/>
    <x v="1"/>
    <x v="0"/>
    <n v="74031865000151"/>
    <x v="24"/>
    <s v="FORTALEZA"/>
    <s v="CE"/>
    <s v="1-Setorizado"/>
    <n v="2"/>
    <x v="3"/>
    <s v="KLEBER SILVA - HSP - CE/MA/PI"/>
    <s v="Hospitalar"/>
    <s v="fernando.leony@cslbehring.com"/>
    <s v="FERNANDO LEONY (CO/NO/NE)"/>
    <n v="0"/>
    <n v="800"/>
    <n v="0"/>
    <n v="0"/>
    <n v="0"/>
  </r>
  <r>
    <x v="0"/>
    <x v="1"/>
    <x v="0"/>
    <n v="60975737003509"/>
    <x v="27"/>
    <s v="FORTALEZA"/>
    <s v="CE"/>
    <s v="1-Setorizado"/>
    <n v="2"/>
    <x v="0"/>
    <s v="VALERIA BRAGA - ESP - (CE/MA/PI/BA/AL/SE/PB/PE/RN)"/>
    <s v="Especialidade"/>
    <s v="fernando.leony@cslbehring.com"/>
    <s v="FERNANDO LEONY (CO/NO/NE)"/>
    <n v="0"/>
    <n v="0"/>
    <n v="0"/>
    <n v="0"/>
    <n v="0"/>
  </r>
  <r>
    <x v="0"/>
    <x v="1"/>
    <x v="0"/>
    <n v="60975737003509"/>
    <x v="27"/>
    <s v="FORTALEZA"/>
    <s v="CE"/>
    <s v="1-Setorizado"/>
    <n v="2"/>
    <x v="3"/>
    <s v="KLEBER SILVA - HSP - CE/MA/PI"/>
    <s v="Hospitalar"/>
    <s v="fernando.leony@cslbehring.com"/>
    <s v="FERNANDO LEONY (CO/NO/NE)"/>
    <n v="0"/>
    <n v="6"/>
    <n v="4"/>
    <n v="0"/>
    <n v="0"/>
  </r>
  <r>
    <x v="0"/>
    <x v="1"/>
    <x v="0"/>
    <n v="5868278000280"/>
    <x v="28"/>
    <s v="FORTALEZA"/>
    <s v="CE"/>
    <s v="1-Setorizado"/>
    <n v="2"/>
    <x v="0"/>
    <s v="VALERIA BRAGA - ESP - (CE/MA/PI/BA/AL/SE/PB/PE/RN)"/>
    <s v="Especialidade"/>
    <s v="fernando.leony@cslbehring.com"/>
    <s v="FERNANDO LEONY (CO/NO/NE)"/>
    <n v="0"/>
    <n v="0"/>
    <n v="0"/>
    <n v="46"/>
    <n v="220"/>
  </r>
  <r>
    <x v="0"/>
    <x v="1"/>
    <x v="0"/>
    <n v="5868278000280"/>
    <x v="28"/>
    <s v="FORTALEZA"/>
    <s v="CE"/>
    <s v="1-Setorizado"/>
    <n v="2"/>
    <x v="3"/>
    <s v="KLEBER SILVA - HSP - CE/MA/PI"/>
    <s v="Hospitalar"/>
    <s v="fernando.leony@cslbehring.com"/>
    <s v="FERNANDO LEONY (CO/NO/NE)"/>
    <n v="0"/>
    <n v="0"/>
    <n v="10"/>
    <n v="0"/>
    <n v="220"/>
  </r>
  <r>
    <x v="0"/>
    <x v="1"/>
    <x v="0"/>
    <n v="11794674000121"/>
    <x v="353"/>
    <s v="FORTALEZA"/>
    <s v="CE"/>
    <s v="1-Setorizado"/>
    <n v="2"/>
    <x v="0"/>
    <s v="VALERIA BRAGA - ESP - (CE/MA/PI/BA/AL/SE/PB/PE/RN)"/>
    <s v="Especialidade"/>
    <s v="fernando.leony@cslbehring.com"/>
    <s v="FERNANDO LEONY (CO/NO/NE)"/>
    <n v="0"/>
    <n v="0"/>
    <n v="0"/>
    <n v="0"/>
    <n v="0"/>
  </r>
  <r>
    <x v="0"/>
    <x v="1"/>
    <x v="0"/>
    <n v="11794674000121"/>
    <x v="353"/>
    <s v="FORTALEZA"/>
    <s v="CE"/>
    <s v="1-Setorizado"/>
    <n v="2"/>
    <x v="3"/>
    <s v="KLEBER SILVA - HSP - CE/MA/PI"/>
    <s v="Hospitalar"/>
    <s v="fernando.leony@cslbehring.com"/>
    <s v="FERNANDO LEONY (CO/NO/NE)"/>
    <n v="0"/>
    <n v="50"/>
    <n v="0"/>
    <n v="0"/>
    <n v="0"/>
  </r>
  <r>
    <x v="0"/>
    <x v="1"/>
    <x v="0"/>
    <n v="41580077000165"/>
    <x v="354"/>
    <s v="FORTALEZA"/>
    <s v="CE"/>
    <s v="1-Setorizado"/>
    <n v="2"/>
    <x v="0"/>
    <s v="VALERIA BRAGA - ESP - (CE/MA/PI/BA/AL/SE/PB/PE/RN)"/>
    <s v="Especialidade"/>
    <s v="fernando.leony@cslbehring.com"/>
    <s v="FERNANDO LEONY (CO/NO/NE)"/>
    <n v="0"/>
    <n v="0"/>
    <n v="0"/>
    <n v="0"/>
    <n v="75"/>
  </r>
  <r>
    <x v="0"/>
    <x v="1"/>
    <x v="0"/>
    <n v="41580077000165"/>
    <x v="354"/>
    <s v="FORTALEZA"/>
    <s v="CE"/>
    <s v="1-Setorizado"/>
    <n v="2"/>
    <x v="3"/>
    <s v="KLEBER SILVA - HSP - CE/MA/PI"/>
    <s v="Hospitalar"/>
    <s v="fernando.leony@cslbehring.com"/>
    <s v="FERNANDO LEONY (CO/NO/NE)"/>
    <n v="0"/>
    <n v="0"/>
    <n v="0"/>
    <n v="0"/>
    <n v="75"/>
  </r>
  <r>
    <x v="0"/>
    <x v="1"/>
    <x v="0"/>
    <n v="12568570000161"/>
    <x v="31"/>
    <s v="FORTALEZA"/>
    <s v="CE"/>
    <s v="1-Setorizado"/>
    <n v="2"/>
    <x v="0"/>
    <s v="VALERIA BRAGA - ESP - (CE/MA/PI/BA/AL/SE/PB/PE/RN)"/>
    <s v="Especialidade"/>
    <s v="fernando.leony@cslbehring.com"/>
    <s v="FERNANDO LEONY (CO/NO/NE)"/>
    <n v="0"/>
    <n v="0"/>
    <n v="0"/>
    <n v="0"/>
    <n v="225"/>
  </r>
  <r>
    <x v="0"/>
    <x v="1"/>
    <x v="0"/>
    <n v="12568570000161"/>
    <x v="31"/>
    <s v="FORTALEZA"/>
    <s v="CE"/>
    <s v="1-Setorizado"/>
    <n v="2"/>
    <x v="3"/>
    <s v="KLEBER SILVA - HSP - CE/MA/PI"/>
    <s v="Hospitalar"/>
    <s v="fernando.leony@cslbehring.com"/>
    <s v="FERNANDO LEONY (CO/NO/NE)"/>
    <n v="0"/>
    <n v="0"/>
    <n v="0"/>
    <n v="0"/>
    <n v="225"/>
  </r>
  <r>
    <x v="0"/>
    <x v="1"/>
    <x v="0"/>
    <n v="5867015000175"/>
    <x v="32"/>
    <s v="FORTALEZA"/>
    <s v="CE"/>
    <s v="1-Setorizado"/>
    <n v="2"/>
    <x v="0"/>
    <s v="VALERIA BRAGA - ESP - (CE/MA/PI/BA/AL/SE/PB/PE/RN)"/>
    <s v="Especialidade"/>
    <s v="fernando.leony@cslbehring.com"/>
    <s v="FERNANDO LEONY (CO/NO/NE)"/>
    <n v="0"/>
    <n v="0"/>
    <n v="0"/>
    <n v="12"/>
    <n v="0"/>
  </r>
  <r>
    <x v="0"/>
    <x v="1"/>
    <x v="0"/>
    <n v="5867015000175"/>
    <x v="32"/>
    <s v="FORTALEZA"/>
    <s v="CE"/>
    <s v="1-Setorizado"/>
    <n v="2"/>
    <x v="3"/>
    <s v="KLEBER SILVA - HSP - CE/MA/PI"/>
    <s v="Hospitalar"/>
    <s v="fernando.leony@cslbehring.com"/>
    <s v="FERNANDO LEONY (CO/NO/NE)"/>
    <n v="0"/>
    <n v="0"/>
    <n v="0"/>
    <n v="0"/>
    <n v="0"/>
  </r>
  <r>
    <x v="0"/>
    <x v="1"/>
    <x v="0"/>
    <n v="29435005007484"/>
    <x v="33"/>
    <s v="FORTALEZA "/>
    <s v="CE"/>
    <s v="1-Setorizado"/>
    <n v="2"/>
    <x v="0"/>
    <s v="VALERIA BRAGA - ESP - (CE/MA/PI/BA/AL/SE/PB/PE/RN)"/>
    <s v="Especialidade"/>
    <s v="fernando.leony@cslbehring.com"/>
    <s v="FERNANDO LEONY (CO/NO/NE)"/>
    <n v="0"/>
    <n v="0"/>
    <n v="0"/>
    <n v="0"/>
    <n v="100"/>
  </r>
  <r>
    <x v="0"/>
    <x v="1"/>
    <x v="0"/>
    <n v="29435005007484"/>
    <x v="33"/>
    <s v="FORTALEZA "/>
    <s v="CE"/>
    <s v="1-Setorizado"/>
    <n v="2"/>
    <x v="3"/>
    <s v="KLEBER SILVA - HSP - CE/MA/PI"/>
    <s v="Hospitalar"/>
    <s v="fernando.leony@cslbehring.com"/>
    <s v="FERNANDO LEONY (CO/NO/NE)"/>
    <n v="0"/>
    <n v="0"/>
    <n v="0"/>
    <n v="0"/>
    <n v="100"/>
  </r>
  <r>
    <x v="0"/>
    <x v="1"/>
    <x v="0"/>
    <n v="9104513000974"/>
    <x v="34"/>
    <s v="BRASILIA"/>
    <s v="DF"/>
    <s v="1-Setorizado"/>
    <n v="2"/>
    <x v="2"/>
    <s v="WLADIMIR CAMPELO - ESP/HSP - AC/AM/AP/PA/RO/RR/DF"/>
    <s v="Hosp-Esp"/>
    <s v="fernando.leony@cslbehring.com"/>
    <s v="FERNANDO LEONY (CO/NO/NE)"/>
    <n v="0"/>
    <n v="0"/>
    <n v="0"/>
    <n v="0"/>
    <n v="170"/>
  </r>
  <r>
    <x v="0"/>
    <x v="1"/>
    <x v="0"/>
    <n v="9104513000974"/>
    <x v="34"/>
    <s v="BRASILIA"/>
    <s v="DF"/>
    <s v="1-Setorizado"/>
    <n v="2"/>
    <x v="4"/>
    <s v="KAREN ROSA - HSP - DF/GO/MS/MT/TO"/>
    <s v="Hospitalar"/>
    <s v="fernando.leony@cslbehring.com"/>
    <s v="FERNANDO LEONY (CO/NO/NE)"/>
    <n v="0"/>
    <n v="0"/>
    <n v="0"/>
    <n v="0"/>
    <n v="170"/>
  </r>
  <r>
    <x v="0"/>
    <x v="1"/>
    <x v="0"/>
    <n v="520237000101"/>
    <x v="36"/>
    <s v="BRASILIA"/>
    <s v="DF"/>
    <s v="1-Setorizado"/>
    <n v="2"/>
    <x v="2"/>
    <s v="WLADIMIR CAMPELO - ESP/HSP - AC/AM/AP/PA/RO/RR/DF"/>
    <s v="Hosp-Esp"/>
    <s v="fernando.leony@cslbehring.com"/>
    <s v="FERNANDO LEONY (CO/NO/NE)"/>
    <n v="0"/>
    <n v="0"/>
    <n v="0"/>
    <n v="259"/>
    <n v="800"/>
  </r>
  <r>
    <x v="0"/>
    <x v="1"/>
    <x v="0"/>
    <n v="520237000101"/>
    <x v="36"/>
    <s v="BRASILIA"/>
    <s v="DF"/>
    <s v="1-Setorizado"/>
    <n v="2"/>
    <x v="4"/>
    <s v="KAREN ROSA - HSP - DF/GO/MS/MT/TO"/>
    <s v="Hospitalar"/>
    <s v="fernando.leony@cslbehring.com"/>
    <s v="FERNANDO LEONY (CO/NO/NE)"/>
    <n v="0"/>
    <n v="0"/>
    <n v="0"/>
    <n v="0"/>
    <n v="800"/>
  </r>
  <r>
    <x v="0"/>
    <x v="1"/>
    <x v="0"/>
    <n v="1602408000104"/>
    <x v="355"/>
    <s v="BRASILIA"/>
    <s v="DF"/>
    <s v="1-Setorizado"/>
    <n v="2"/>
    <x v="2"/>
    <s v="WLADIMIR CAMPELO - ESP/HSP - AC/AM/AP/PA/RO/RR/DF"/>
    <s v="Hosp-Esp"/>
    <s v="fernando.leony@cslbehring.com"/>
    <s v="FERNANDO LEONY (CO/NO/NE)"/>
    <n v="0"/>
    <n v="0"/>
    <n v="0"/>
    <n v="0"/>
    <n v="250"/>
  </r>
  <r>
    <x v="0"/>
    <x v="1"/>
    <x v="0"/>
    <n v="1602408000104"/>
    <x v="355"/>
    <s v="BRASILIA"/>
    <s v="DF"/>
    <s v="1-Setorizado"/>
    <n v="2"/>
    <x v="4"/>
    <s v="KAREN ROSA - HSP - DF/GO/MS/MT/TO"/>
    <s v="Hospitalar"/>
    <s v="fernando.leony@cslbehring.com"/>
    <s v="FERNANDO LEONY (CO/NO/NE)"/>
    <n v="0"/>
    <n v="0"/>
    <n v="0"/>
    <n v="0"/>
    <n v="250"/>
  </r>
  <r>
    <x v="0"/>
    <x v="1"/>
    <x v="0"/>
    <n v="30135335000188"/>
    <x v="356"/>
    <s v="BRASILIA"/>
    <s v="DF"/>
    <s v="1-Setorizado"/>
    <n v="2"/>
    <x v="2"/>
    <s v="WLADIMIR CAMPELO - ESP/HSP - AC/AM/AP/PA/RO/RR/DF"/>
    <s v="Hosp-Esp"/>
    <s v="fernando.leony@cslbehring.com"/>
    <s v="FERNANDO LEONY (CO/NO/NE)"/>
    <n v="0"/>
    <n v="0"/>
    <n v="0"/>
    <n v="0"/>
    <n v="550"/>
  </r>
  <r>
    <x v="0"/>
    <x v="1"/>
    <x v="0"/>
    <n v="30135335000188"/>
    <x v="356"/>
    <s v="BRASILIA"/>
    <s v="DF"/>
    <s v="1-Setorizado"/>
    <n v="2"/>
    <x v="4"/>
    <s v="KAREN ROSA - HSP - DF/GO/MS/MT/TO"/>
    <s v="Hospitalar"/>
    <s v="fernando.leony@cslbehring.com"/>
    <s v="FERNANDO LEONY (CO/NO/NE)"/>
    <n v="0"/>
    <n v="0"/>
    <n v="0"/>
    <n v="0"/>
    <n v="550"/>
  </r>
  <r>
    <x v="0"/>
    <x v="1"/>
    <x v="0"/>
    <n v="394544000851"/>
    <x v="357"/>
    <s v="BRASILIA"/>
    <s v="DF"/>
    <s v="1-Setorizado"/>
    <n v="2"/>
    <x v="6"/>
    <s v="XXX-ESP-VAGO NO (DF/GO/MS/MT/TO)"/>
    <s v="Especialidade"/>
    <s v="fernando.leony@cslbehring.com"/>
    <s v="FERNANDO LEONY (CO/NO/NE)"/>
    <n v="12"/>
    <n v="0"/>
    <n v="0"/>
    <n v="0"/>
    <n v="630"/>
  </r>
  <r>
    <x v="0"/>
    <x v="1"/>
    <x v="0"/>
    <n v="394544000851"/>
    <x v="357"/>
    <s v="BRASILIA"/>
    <s v="DF"/>
    <s v="1-Setorizado"/>
    <n v="2"/>
    <x v="21"/>
    <s v="XXX-HSP-VAGO NO (DF/GO/MS/MT/TO)"/>
    <s v="Hospitalar"/>
    <s v="fernando.leony@cslbehring.com"/>
    <s v="FERNANDO LEONY (CO/NO/NE)"/>
    <n v="0"/>
    <n v="0"/>
    <n v="0"/>
    <n v="0"/>
    <n v="630"/>
  </r>
  <r>
    <x v="0"/>
    <x v="1"/>
    <x v="0"/>
    <n v="15126437000305"/>
    <x v="358"/>
    <s v="BRASILIA"/>
    <s v="DF"/>
    <s v="1-Setorizado"/>
    <n v="2"/>
    <x v="2"/>
    <s v="WLADIMIR CAMPELO - ESP/HSP - AC/AM/AP/PA/RO/RR/DF"/>
    <s v="Hosp-Esp"/>
    <s v="fernando.leony@cslbehring.com"/>
    <s v="FERNANDO LEONY (CO/NO/NE)"/>
    <n v="0"/>
    <n v="0"/>
    <n v="0"/>
    <n v="0"/>
    <n v="550"/>
  </r>
  <r>
    <x v="0"/>
    <x v="1"/>
    <x v="0"/>
    <n v="15126437000305"/>
    <x v="358"/>
    <s v="BRASILIA"/>
    <s v="DF"/>
    <s v="1-Setorizado"/>
    <n v="2"/>
    <x v="4"/>
    <s v="KAREN ROSA - HSP - DF/GO/MS/MT/TO"/>
    <s v="Hospitalar"/>
    <s v="fernando.leony@cslbehring.com"/>
    <s v="FERNANDO LEONY (CO/NO/NE)"/>
    <n v="0"/>
    <n v="0"/>
    <n v="0"/>
    <n v="0"/>
    <n v="550"/>
  </r>
  <r>
    <x v="0"/>
    <x v="1"/>
    <x v="0"/>
    <n v="3989821000190"/>
    <x v="37"/>
    <s v="BRASILIA"/>
    <s v="DF"/>
    <s v="1-Setorizado"/>
    <n v="2"/>
    <x v="2"/>
    <s v="WLADIMIR CAMPELO - ESP/HSP - AC/AM/AP/PA/RO/RR/DF"/>
    <s v="Hosp-Esp"/>
    <s v="fernando.leony@cslbehring.com"/>
    <s v="FERNANDO LEONY (CO/NO/NE)"/>
    <n v="0"/>
    <n v="0"/>
    <n v="0"/>
    <n v="0"/>
    <n v="360"/>
  </r>
  <r>
    <x v="0"/>
    <x v="1"/>
    <x v="0"/>
    <n v="3989821000190"/>
    <x v="37"/>
    <s v="BRASILIA"/>
    <s v="DF"/>
    <s v="1-Setorizado"/>
    <n v="2"/>
    <x v="4"/>
    <s v="KAREN ROSA - HSP - DF/GO/MS/MT/TO"/>
    <s v="Hospitalar"/>
    <s v="fernando.leony@cslbehring.com"/>
    <s v="FERNANDO LEONY (CO/NO/NE)"/>
    <n v="0"/>
    <n v="0"/>
    <n v="0"/>
    <n v="0"/>
    <n v="360"/>
  </r>
  <r>
    <x v="0"/>
    <x v="1"/>
    <x v="0"/>
    <n v="37108388000159"/>
    <x v="38"/>
    <s v="BRASILIA"/>
    <s v="DF"/>
    <s v="1-Setorizado"/>
    <n v="2"/>
    <x v="2"/>
    <s v="WLADIMIR CAMPELO - ESP/HSP - AC/AM/AP/PA/RO/RR/DF"/>
    <s v="Hosp-Esp"/>
    <s v="fernando.leony@cslbehring.com"/>
    <s v="FERNANDO LEONY (CO/NO/NE)"/>
    <n v="0"/>
    <n v="0"/>
    <n v="0"/>
    <n v="0"/>
    <n v="0"/>
  </r>
  <r>
    <x v="0"/>
    <x v="1"/>
    <x v="0"/>
    <n v="37108388000159"/>
    <x v="38"/>
    <s v="BRASILIA"/>
    <s v="DF"/>
    <s v="1-Setorizado"/>
    <n v="2"/>
    <x v="4"/>
    <s v="KAREN ROSA - HSP - DF/GO/MS/MT/TO"/>
    <s v="Hospitalar"/>
    <s v="fernando.leony@cslbehring.com"/>
    <s v="FERNANDO LEONY (CO/NO/NE)"/>
    <n v="0"/>
    <n v="30"/>
    <n v="0"/>
    <n v="0"/>
    <n v="0"/>
  </r>
  <r>
    <x v="0"/>
    <x v="1"/>
    <x v="0"/>
    <n v="29435005004620"/>
    <x v="39"/>
    <s v="BRASILIA"/>
    <s v="DF"/>
    <s v="1-Setorizado"/>
    <n v="2"/>
    <x v="2"/>
    <s v="WLADIMIR CAMPELO - ESP/HSP - AC/AM/AP/PA/RO/RR/DF"/>
    <s v="Hosp-Esp"/>
    <s v="fernando.leony@cslbehring.com"/>
    <s v="FERNANDO LEONY (CO/NO/NE)"/>
    <n v="0"/>
    <n v="0"/>
    <n v="0"/>
    <n v="0"/>
    <n v="0"/>
  </r>
  <r>
    <x v="0"/>
    <x v="1"/>
    <x v="0"/>
    <n v="29435005004620"/>
    <x v="39"/>
    <s v="BRASILIA"/>
    <s v="DF"/>
    <s v="1-Setorizado"/>
    <n v="2"/>
    <x v="4"/>
    <s v="KAREN ROSA - HSP - DF/GO/MS/MT/TO"/>
    <s v="Hospitalar"/>
    <s v="fernando.leony@cslbehring.com"/>
    <s v="FERNANDO LEONY (CO/NO/NE)"/>
    <n v="0"/>
    <n v="30"/>
    <n v="0"/>
    <n v="0"/>
    <n v="0"/>
  </r>
  <r>
    <x v="0"/>
    <x v="1"/>
    <x v="0"/>
    <n v="2560878000107"/>
    <x v="40"/>
    <s v="BRASILIA"/>
    <s v="DF"/>
    <s v="1-Setorizado"/>
    <n v="2"/>
    <x v="2"/>
    <s v="WLADIMIR CAMPELO - ESP/HSP - AC/AM/AP/PA/RO/RR/DF"/>
    <s v="Hosp-Esp"/>
    <s v="fernando.leony@cslbehring.com"/>
    <s v="FERNANDO LEONY (CO/NO/NE)"/>
    <n v="0"/>
    <n v="0"/>
    <n v="0"/>
    <n v="1"/>
    <n v="30"/>
  </r>
  <r>
    <x v="0"/>
    <x v="1"/>
    <x v="0"/>
    <n v="2560878000107"/>
    <x v="40"/>
    <s v="BRASILIA"/>
    <s v="DF"/>
    <s v="1-Setorizado"/>
    <n v="2"/>
    <x v="4"/>
    <s v="KAREN ROSA - HSP - DF/GO/MS/MT/TO"/>
    <s v="Hospitalar"/>
    <s v="fernando.leony@cslbehring.com"/>
    <s v="FERNANDO LEONY (CO/NO/NE)"/>
    <n v="0"/>
    <n v="0"/>
    <n v="0"/>
    <n v="0"/>
    <n v="30"/>
  </r>
  <r>
    <x v="0"/>
    <x v="1"/>
    <x v="0"/>
    <n v="60884855002289"/>
    <x v="41"/>
    <s v="BRASILIA"/>
    <s v="DF"/>
    <s v="1-Setorizado"/>
    <n v="2"/>
    <x v="2"/>
    <s v="WLADIMIR CAMPELO - ESP/HSP - AC/AM/AP/PA/RO/RR/DF"/>
    <s v="Hosp-Esp"/>
    <s v="fernando.leony@cslbehring.com"/>
    <s v="FERNANDO LEONY (CO/NO/NE)"/>
    <n v="0"/>
    <n v="0"/>
    <n v="0"/>
    <n v="0"/>
    <n v="300"/>
  </r>
  <r>
    <x v="0"/>
    <x v="1"/>
    <x v="0"/>
    <n v="60884855002289"/>
    <x v="41"/>
    <s v="BRASILIA"/>
    <s v="DF"/>
    <s v="1-Setorizado"/>
    <n v="2"/>
    <x v="4"/>
    <s v="KAREN ROSA - HSP - DF/GO/MS/MT/TO"/>
    <s v="Hospitalar"/>
    <s v="fernando.leony@cslbehring.com"/>
    <s v="FERNANDO LEONY (CO/NO/NE)"/>
    <n v="0"/>
    <n v="24"/>
    <n v="7"/>
    <n v="0"/>
    <n v="300"/>
  </r>
  <r>
    <x v="0"/>
    <x v="1"/>
    <x v="0"/>
    <n v="6047087004207"/>
    <x v="42"/>
    <s v="BRASILIA"/>
    <s v="DF"/>
    <s v="1-Setorizado"/>
    <n v="2"/>
    <x v="2"/>
    <s v="WLADIMIR CAMPELO - ESP/HSP - AC/AM/AP/PA/RO/RR/DF"/>
    <s v="Hosp-Esp"/>
    <s v="fernando.leony@cslbehring.com"/>
    <s v="FERNANDO LEONY (CO/NO/NE)"/>
    <n v="0"/>
    <n v="0"/>
    <n v="0"/>
    <n v="0"/>
    <n v="0"/>
  </r>
  <r>
    <x v="0"/>
    <x v="1"/>
    <x v="0"/>
    <n v="6047087004207"/>
    <x v="42"/>
    <s v="BRASILIA"/>
    <s v="DF"/>
    <s v="1-Setorizado"/>
    <n v="2"/>
    <x v="4"/>
    <s v="KAREN ROSA - HSP - DF/GO/MS/MT/TO"/>
    <s v="Hospitalar"/>
    <s v="fernando.leony@cslbehring.com"/>
    <s v="FERNANDO LEONY (CO/NO/NE)"/>
    <n v="0"/>
    <n v="8"/>
    <n v="0"/>
    <n v="0"/>
    <n v="0"/>
  </r>
  <r>
    <x v="0"/>
    <x v="1"/>
    <x v="0"/>
    <n v="6047087004126"/>
    <x v="44"/>
    <s v="BRASILIA"/>
    <s v="DF"/>
    <s v="1-Setorizado"/>
    <n v="2"/>
    <x v="2"/>
    <s v="WLADIMIR CAMPELO - ESP/HSP - AC/AM/AP/PA/RO/RR/DF"/>
    <s v="Hosp-Esp"/>
    <s v="fernando.leony@cslbehring.com"/>
    <s v="FERNANDO LEONY (CO/NO/NE)"/>
    <n v="0"/>
    <n v="0"/>
    <n v="0"/>
    <n v="0"/>
    <n v="400"/>
  </r>
  <r>
    <x v="0"/>
    <x v="1"/>
    <x v="0"/>
    <n v="6047087004126"/>
    <x v="44"/>
    <s v="BRASILIA"/>
    <s v="DF"/>
    <s v="1-Setorizado"/>
    <n v="2"/>
    <x v="4"/>
    <s v="KAREN ROSA - HSP - DF/GO/MS/MT/TO"/>
    <s v="Hospitalar"/>
    <s v="fernando.leony@cslbehring.com"/>
    <s v="FERNANDO LEONY (CO/NO/NE)"/>
    <n v="0"/>
    <n v="7"/>
    <n v="0"/>
    <n v="0"/>
    <n v="400"/>
  </r>
  <r>
    <x v="0"/>
    <x v="1"/>
    <x v="0"/>
    <n v="610980000144"/>
    <x v="45"/>
    <s v="BRASILIA"/>
    <s v="DF"/>
    <s v="1-Setorizado"/>
    <n v="2"/>
    <x v="2"/>
    <s v="WLADIMIR CAMPELO - ESP/HSP - AC/AM/AP/PA/RO/RR/DF"/>
    <s v="Hosp-Esp"/>
    <s v="fernando.leony@cslbehring.com"/>
    <s v="FERNANDO LEONY (CO/NO/NE)"/>
    <n v="0"/>
    <n v="0"/>
    <n v="0"/>
    <n v="0"/>
    <n v="150"/>
  </r>
  <r>
    <x v="0"/>
    <x v="1"/>
    <x v="0"/>
    <n v="610980000144"/>
    <x v="45"/>
    <s v="BRASILIA"/>
    <s v="DF"/>
    <s v="1-Setorizado"/>
    <n v="2"/>
    <x v="4"/>
    <s v="KAREN ROSA - HSP - DF/GO/MS/MT/TO"/>
    <s v="Hospitalar"/>
    <s v="fernando.leony@cslbehring.com"/>
    <s v="FERNANDO LEONY (CO/NO/NE)"/>
    <n v="0"/>
    <n v="5"/>
    <n v="0"/>
    <n v="0"/>
    <n v="150"/>
  </r>
  <r>
    <x v="0"/>
    <x v="1"/>
    <x v="0"/>
    <n v="61590410000558"/>
    <x v="46"/>
    <s v="BRASILIA"/>
    <s v="DF"/>
    <s v="1-Setorizado"/>
    <n v="2"/>
    <x v="2"/>
    <s v="WLADIMIR CAMPELO - ESP/HSP - AC/AM/AP/PA/RO/RR/DF"/>
    <s v="Hosp-Esp"/>
    <s v="fernando.leony@cslbehring.com"/>
    <s v="FERNANDO LEONY (CO/NO/NE)"/>
    <n v="0"/>
    <n v="0"/>
    <n v="0"/>
    <n v="16"/>
    <n v="0"/>
  </r>
  <r>
    <x v="0"/>
    <x v="1"/>
    <x v="0"/>
    <n v="61590410000558"/>
    <x v="46"/>
    <s v="BRASILIA"/>
    <s v="DF"/>
    <s v="1-Setorizado"/>
    <n v="2"/>
    <x v="4"/>
    <s v="KAREN ROSA - HSP - DF/GO/MS/MT/TO"/>
    <s v="Hospitalar"/>
    <s v="fernando.leony@cslbehring.com"/>
    <s v="FERNANDO LEONY (CO/NO/NE)"/>
    <n v="0"/>
    <n v="0"/>
    <n v="0"/>
    <n v="0"/>
    <n v="0"/>
  </r>
  <r>
    <x v="0"/>
    <x v="1"/>
    <x v="0"/>
    <n v="10942995000163"/>
    <x v="359"/>
    <s v="BRASILIA"/>
    <s v="DF"/>
    <s v="1-Setorizado"/>
    <n v="2"/>
    <x v="2"/>
    <s v="WLADIMIR CAMPELO - ESP/HSP - AC/AM/AP/PA/RO/RR/DF"/>
    <s v="Hosp-Esp"/>
    <s v="fernando.leony@cslbehring.com"/>
    <s v="FERNANDO LEONY (CO/NO/NE)"/>
    <n v="0"/>
    <n v="0"/>
    <n v="0"/>
    <n v="40"/>
    <n v="300"/>
  </r>
  <r>
    <x v="0"/>
    <x v="1"/>
    <x v="0"/>
    <n v="10942995000163"/>
    <x v="359"/>
    <s v="BRASILIA"/>
    <s v="DF"/>
    <s v="1-Setorizado"/>
    <n v="2"/>
    <x v="4"/>
    <s v="KAREN ROSA - HSP - DF/GO/MS/MT/TO"/>
    <s v="Hospitalar"/>
    <s v="fernando.leony@cslbehring.com"/>
    <s v="FERNANDO LEONY (CO/NO/NE)"/>
    <n v="0"/>
    <n v="0"/>
    <n v="0"/>
    <n v="0"/>
    <n v="300"/>
  </r>
  <r>
    <x v="0"/>
    <x v="1"/>
    <x v="0"/>
    <n v="11859927000106"/>
    <x v="48"/>
    <s v="BRASILIA"/>
    <s v="DF"/>
    <s v="1-Setorizado"/>
    <n v="2"/>
    <x v="2"/>
    <s v="WLADIMIR CAMPELO - ESP/HSP - AC/AM/AP/PA/RO/RR/DF"/>
    <s v="Hosp-Esp"/>
    <s v="fernando.leony@cslbehring.com"/>
    <s v="FERNANDO LEONY (CO/NO/NE)"/>
    <n v="0"/>
    <n v="0"/>
    <n v="0"/>
    <n v="49"/>
    <n v="30"/>
  </r>
  <r>
    <x v="0"/>
    <x v="1"/>
    <x v="0"/>
    <n v="11859927000106"/>
    <x v="48"/>
    <s v="BRASILIA"/>
    <s v="DF"/>
    <s v="1-Setorizado"/>
    <n v="2"/>
    <x v="4"/>
    <s v="KAREN ROSA - HSP - DF/GO/MS/MT/TO"/>
    <s v="Hospitalar"/>
    <s v="fernando.leony@cslbehring.com"/>
    <s v="FERNANDO LEONY (CO/NO/NE)"/>
    <n v="0"/>
    <n v="0"/>
    <n v="0"/>
    <n v="0"/>
    <n v="30"/>
  </r>
  <r>
    <x v="0"/>
    <x v="1"/>
    <x v="0"/>
    <n v="1682668000129"/>
    <x v="50"/>
    <s v="BRASILIA"/>
    <s v="DF"/>
    <s v="1-Setorizado"/>
    <n v="2"/>
    <x v="2"/>
    <s v="WLADIMIR CAMPELO - ESP/HSP - AC/AM/AP/PA/RO/RR/DF"/>
    <s v="Hosp-Esp"/>
    <s v="fernando.leony@cslbehring.com"/>
    <s v="FERNANDO LEONY (CO/NO/NE)"/>
    <n v="0"/>
    <n v="0"/>
    <n v="0"/>
    <n v="0"/>
    <n v="25"/>
  </r>
  <r>
    <x v="0"/>
    <x v="1"/>
    <x v="0"/>
    <n v="1682668000129"/>
    <x v="50"/>
    <s v="BRASILIA"/>
    <s v="DF"/>
    <s v="1-Setorizado"/>
    <n v="2"/>
    <x v="4"/>
    <s v="KAREN ROSA - HSP - DF/GO/MS/MT/TO"/>
    <s v="Hospitalar"/>
    <s v="fernando.leony@cslbehring.com"/>
    <s v="FERNANDO LEONY (CO/NO/NE)"/>
    <n v="0"/>
    <n v="0"/>
    <n v="0"/>
    <n v="0"/>
    <n v="25"/>
  </r>
  <r>
    <x v="0"/>
    <x v="1"/>
    <x v="0"/>
    <n v="16739984000167"/>
    <x v="51"/>
    <s v="BRASILIA"/>
    <s v="DF"/>
    <s v="1-Setorizado"/>
    <n v="2"/>
    <x v="2"/>
    <s v="WLADIMIR CAMPELO - ESP/HSP - AC/AM/AP/PA/RO/RR/DF"/>
    <s v="Hosp-Esp"/>
    <s v="fernando.leony@cslbehring.com"/>
    <s v="FERNANDO LEONY (CO/NO/NE)"/>
    <n v="0"/>
    <n v="0"/>
    <n v="0"/>
    <n v="36"/>
    <n v="0"/>
  </r>
  <r>
    <x v="0"/>
    <x v="1"/>
    <x v="0"/>
    <n v="16739984000167"/>
    <x v="51"/>
    <s v="BRASILIA"/>
    <s v="DF"/>
    <s v="1-Setorizado"/>
    <n v="2"/>
    <x v="4"/>
    <s v="KAREN ROSA - HSP - DF/GO/MS/MT/TO"/>
    <s v="Hospitalar"/>
    <s v="fernando.leony@cslbehring.com"/>
    <s v="FERNANDO LEONY (CO/NO/NE)"/>
    <n v="0"/>
    <n v="0"/>
    <n v="0"/>
    <n v="0"/>
    <n v="0"/>
  </r>
  <r>
    <x v="0"/>
    <x v="1"/>
    <x v="0"/>
    <n v="511816000180"/>
    <x v="52"/>
    <s v="BRASILIA"/>
    <s v="DF"/>
    <s v="1-Setorizado"/>
    <n v="2"/>
    <x v="2"/>
    <s v="WLADIMIR CAMPELO - ESP/HSP - AC/AM/AP/PA/RO/RR/DF"/>
    <s v="Hosp-Esp"/>
    <s v="fernando.leony@cslbehring.com"/>
    <s v="FERNANDO LEONY (CO/NO/NE)"/>
    <n v="0"/>
    <n v="0"/>
    <n v="0"/>
    <n v="0"/>
    <n v="0"/>
  </r>
  <r>
    <x v="0"/>
    <x v="1"/>
    <x v="0"/>
    <n v="511816000180"/>
    <x v="52"/>
    <s v="BRASILIA"/>
    <s v="DF"/>
    <s v="1-Setorizado"/>
    <n v="2"/>
    <x v="4"/>
    <s v="KAREN ROSA - HSP - DF/GO/MS/MT/TO"/>
    <s v="Hospitalar"/>
    <s v="fernando.leony@cslbehring.com"/>
    <s v="FERNANDO LEONY (CO/NO/NE)"/>
    <n v="0"/>
    <n v="0"/>
    <n v="4"/>
    <n v="0"/>
    <n v="0"/>
  </r>
  <r>
    <x v="0"/>
    <x v="1"/>
    <x v="0"/>
    <n v="49791000144"/>
    <x v="53"/>
    <s v="BRASILIA"/>
    <s v="DF"/>
    <s v="1-Setorizado"/>
    <n v="2"/>
    <x v="2"/>
    <s v="WLADIMIR CAMPELO - ESP/HSP - AC/AM/AP/PA/RO/RR/DF"/>
    <s v="Hosp-Esp"/>
    <s v="fernando.leony@cslbehring.com"/>
    <s v="FERNANDO LEONY (CO/NO/NE)"/>
    <n v="0"/>
    <n v="0"/>
    <n v="0"/>
    <n v="0"/>
    <n v="0"/>
  </r>
  <r>
    <x v="0"/>
    <x v="1"/>
    <x v="0"/>
    <n v="49791000144"/>
    <x v="53"/>
    <s v="BRASILIA"/>
    <s v="DF"/>
    <s v="1-Setorizado"/>
    <n v="2"/>
    <x v="4"/>
    <s v="KAREN ROSA - HSP - DF/GO/MS/MT/TO"/>
    <s v="Hospitalar"/>
    <s v="fernando.leony@cslbehring.com"/>
    <s v="FERNANDO LEONY (CO/NO/NE)"/>
    <n v="0"/>
    <n v="9"/>
    <n v="4"/>
    <n v="0"/>
    <n v="0"/>
  </r>
  <r>
    <x v="0"/>
    <x v="1"/>
    <x v="0"/>
    <n v="25841000153"/>
    <x v="360"/>
    <s v="BRASILIA"/>
    <s v="DF"/>
    <s v="1-Setorizado"/>
    <n v="2"/>
    <x v="2"/>
    <s v="WLADIMIR CAMPELO - ESP/HSP - AC/AM/AP/PA/RO/RR/DF"/>
    <s v="Hosp-Esp"/>
    <s v="fernando.leony@cslbehring.com"/>
    <s v="FERNANDO LEONY (CO/NO/NE)"/>
    <n v="0"/>
    <n v="0"/>
    <n v="0"/>
    <n v="0"/>
    <n v="120"/>
  </r>
  <r>
    <x v="0"/>
    <x v="1"/>
    <x v="0"/>
    <n v="25841000153"/>
    <x v="360"/>
    <s v="BRASILIA"/>
    <s v="DF"/>
    <s v="1-Setorizado"/>
    <n v="2"/>
    <x v="4"/>
    <s v="KAREN ROSA - HSP - DF/GO/MS/MT/TO"/>
    <s v="Hospitalar"/>
    <s v="fernando.leony@cslbehring.com"/>
    <s v="FERNANDO LEONY (CO/NO/NE)"/>
    <n v="0"/>
    <n v="0"/>
    <n v="0"/>
    <n v="0"/>
    <n v="120"/>
  </r>
  <r>
    <x v="0"/>
    <x v="1"/>
    <x v="0"/>
    <n v="61590410001287"/>
    <x v="54"/>
    <s v="BRASILIA"/>
    <s v="DF"/>
    <s v="1-Setorizado"/>
    <n v="2"/>
    <x v="2"/>
    <s v="WLADIMIR CAMPELO - ESP/HSP - AC/AM/AP/PA/RO/RR/DF"/>
    <s v="Hosp-Esp"/>
    <s v="fernando.leony@cslbehring.com"/>
    <s v="FERNANDO LEONY (CO/NO/NE)"/>
    <n v="0"/>
    <n v="0"/>
    <n v="0"/>
    <n v="0"/>
    <n v="2250"/>
  </r>
  <r>
    <x v="0"/>
    <x v="1"/>
    <x v="0"/>
    <n v="61590410001287"/>
    <x v="54"/>
    <s v="BRASILIA"/>
    <s v="DF"/>
    <s v="1-Setorizado"/>
    <n v="2"/>
    <x v="4"/>
    <s v="KAREN ROSA - HSP - DF/GO/MS/MT/TO"/>
    <s v="Hospitalar"/>
    <s v="fernando.leony@cslbehring.com"/>
    <s v="FERNANDO LEONY (CO/NO/NE)"/>
    <n v="0"/>
    <n v="0"/>
    <n v="0"/>
    <n v="0"/>
    <n v="2250"/>
  </r>
  <r>
    <x v="0"/>
    <x v="1"/>
    <x v="0"/>
    <n v="27080605000358"/>
    <x v="361"/>
    <s v="SAO MATEUS"/>
    <s v="ES"/>
    <s v="1-Setorizado"/>
    <n v="1"/>
    <x v="5"/>
    <s v="IWENS SILVA - HSP - MG/ES"/>
    <s v="Hosp-Esp"/>
    <s v="rafael.esteves@cslbehring.com"/>
    <s v="RAFAEL ESTEVES (RJ/SPI/SUL)"/>
    <n v="0"/>
    <n v="0"/>
    <n v="0"/>
    <n v="0"/>
    <n v="300"/>
  </r>
  <r>
    <x v="0"/>
    <x v="1"/>
    <x v="0"/>
    <n v="1396804000114"/>
    <x v="56"/>
    <s v="SERRA"/>
    <s v="ES"/>
    <s v="1-Setorizado"/>
    <n v="1"/>
    <x v="5"/>
    <s v="IWENS SILVA - HSP - MG/ES"/>
    <s v="Hosp-Esp"/>
    <s v="rafael.esteves@cslbehring.com"/>
    <s v="RAFAEL ESTEVES (RJ/SPI/SUL)"/>
    <n v="0"/>
    <n v="0"/>
    <n v="0"/>
    <n v="0"/>
    <n v="25"/>
  </r>
  <r>
    <x v="0"/>
    <x v="1"/>
    <x v="0"/>
    <n v="4786490000154"/>
    <x v="362"/>
    <s v="SERRA"/>
    <s v="ES"/>
    <s v="1-Setorizado"/>
    <n v="1"/>
    <x v="5"/>
    <s v="IWENS SILVA - HSP - MG/ES"/>
    <s v="Hosp-Esp"/>
    <s v="rafael.esteves@cslbehring.com"/>
    <s v="RAFAEL ESTEVES (RJ/SPI/SUL)"/>
    <n v="0"/>
    <n v="0"/>
    <n v="0"/>
    <n v="14"/>
    <n v="0"/>
  </r>
  <r>
    <x v="0"/>
    <x v="1"/>
    <x v="0"/>
    <n v="27578434001525"/>
    <x v="363"/>
    <s v="VITORIA"/>
    <s v="ES"/>
    <s v="1-Setorizado"/>
    <n v="1"/>
    <x v="5"/>
    <s v="IWENS SILVA - HSP - MG/ES"/>
    <s v="Hosp-Esp"/>
    <s v="rafael.esteves@cslbehring.com"/>
    <s v="RAFAEL ESTEVES (RJ/SPI/SUL)"/>
    <n v="4"/>
    <n v="0"/>
    <n v="0"/>
    <n v="0"/>
    <n v="1500"/>
  </r>
  <r>
    <x v="0"/>
    <x v="1"/>
    <x v="0"/>
    <n v="39387477000107"/>
    <x v="59"/>
    <s v="VITORIA"/>
    <s v="ES"/>
    <s v="1-Setorizado"/>
    <n v="1"/>
    <x v="5"/>
    <s v="IWENS SILVA - HSP - MG/ES"/>
    <s v="Hosp-Esp"/>
    <s v="rafael.esteves@cslbehring.com"/>
    <s v="RAFAEL ESTEVES (RJ/SPI/SUL)"/>
    <n v="0"/>
    <n v="0"/>
    <n v="0"/>
    <n v="0"/>
    <n v="75"/>
  </r>
  <r>
    <x v="0"/>
    <x v="1"/>
    <x v="0"/>
    <n v="1326206000179"/>
    <x v="60"/>
    <s v="CATALAO"/>
    <s v="GO"/>
    <s v="1-Setorizado"/>
    <n v="2"/>
    <x v="6"/>
    <s v="XXX-ESP-VAGO NO (DF/GO/MS/MT/TO)"/>
    <s v="Especialidade"/>
    <s v="fernando.leony@cslbehring.com"/>
    <s v="FERNANDO LEONY (CO/NO/NE)"/>
    <n v="0"/>
    <n v="0"/>
    <n v="0"/>
    <n v="18"/>
    <n v="50"/>
  </r>
  <r>
    <x v="0"/>
    <x v="1"/>
    <x v="0"/>
    <n v="1326206000179"/>
    <x v="60"/>
    <s v="CATALAO"/>
    <s v="GO"/>
    <s v="1-Setorizado"/>
    <n v="2"/>
    <x v="4"/>
    <s v="KAREN ROSA - HSP - DF/GO/MS/MT/TO"/>
    <s v="Hospitalar"/>
    <s v="fernando.leony@cslbehring.com"/>
    <s v="FERNANDO LEONY (CO/NO/NE)"/>
    <n v="0"/>
    <n v="0"/>
    <n v="0"/>
    <n v="0"/>
    <n v="50"/>
  </r>
  <r>
    <x v="0"/>
    <x v="1"/>
    <x v="0"/>
    <n v="2476067000394"/>
    <x v="61"/>
    <s v="GOIANIA"/>
    <s v="GO"/>
    <s v="1-Setorizado"/>
    <n v="2"/>
    <x v="6"/>
    <s v="XXX-ESP-VAGO NO (DF/GO/MS/MT/TO)"/>
    <s v="Especialidade"/>
    <s v="fernando.leony@cslbehring.com"/>
    <s v="FERNANDO LEONY (CO/NO/NE)"/>
    <n v="0"/>
    <n v="0"/>
    <n v="0"/>
    <n v="0"/>
    <n v="75"/>
  </r>
  <r>
    <x v="0"/>
    <x v="1"/>
    <x v="0"/>
    <n v="2476067000394"/>
    <x v="61"/>
    <s v="GOIANIA"/>
    <s v="GO"/>
    <s v="1-Setorizado"/>
    <n v="2"/>
    <x v="4"/>
    <s v="KAREN ROSA - HSP - DF/GO/MS/MT/TO"/>
    <s v="Hospitalar"/>
    <s v="fernando.leony@cslbehring.com"/>
    <s v="FERNANDO LEONY (CO/NO/NE)"/>
    <n v="0"/>
    <n v="0"/>
    <n v="0"/>
    <n v="0"/>
    <n v="75"/>
  </r>
  <r>
    <x v="0"/>
    <x v="1"/>
    <x v="0"/>
    <n v="418954000119"/>
    <x v="62"/>
    <s v="GOIANIA"/>
    <s v="GO"/>
    <s v="1-Setorizado"/>
    <n v="2"/>
    <x v="6"/>
    <s v="XXX-ESP-VAGO NO (DF/GO/MS/MT/TO)"/>
    <s v="Especialidade"/>
    <s v="fernando.leony@cslbehring.com"/>
    <s v="FERNANDO LEONY (CO/NO/NE)"/>
    <n v="0"/>
    <n v="0"/>
    <n v="0"/>
    <n v="0"/>
    <n v="0"/>
  </r>
  <r>
    <x v="0"/>
    <x v="1"/>
    <x v="0"/>
    <n v="418954000119"/>
    <x v="62"/>
    <s v="GOIANIA"/>
    <s v="GO"/>
    <s v="1-Setorizado"/>
    <n v="2"/>
    <x v="4"/>
    <s v="KAREN ROSA - HSP - DF/GO/MS/MT/TO"/>
    <s v="Hospitalar"/>
    <s v="fernando.leony@cslbehring.com"/>
    <s v="FERNANDO LEONY (CO/NO/NE)"/>
    <n v="0"/>
    <n v="10"/>
    <n v="0"/>
    <n v="0"/>
    <n v="0"/>
  </r>
  <r>
    <x v="0"/>
    <x v="1"/>
    <x v="0"/>
    <n v="21155621000114"/>
    <x v="364"/>
    <s v="GOIANIA"/>
    <s v="GO"/>
    <s v="1-Setorizado"/>
    <n v="2"/>
    <x v="6"/>
    <s v="XXX-ESP-VAGO NO (DF/GO/MS/MT/TO)"/>
    <s v="Especialidade"/>
    <s v="fernando.leony@cslbehring.com"/>
    <s v="FERNANDO LEONY (CO/NO/NE)"/>
    <n v="0"/>
    <n v="0"/>
    <n v="0"/>
    <n v="0"/>
    <n v="40"/>
  </r>
  <r>
    <x v="0"/>
    <x v="1"/>
    <x v="0"/>
    <n v="21155621000114"/>
    <x v="364"/>
    <s v="GOIANIA"/>
    <s v="GO"/>
    <s v="1-Setorizado"/>
    <n v="2"/>
    <x v="4"/>
    <s v="KAREN ROSA - HSP - DF/GO/MS/MT/TO"/>
    <s v="Hospitalar"/>
    <s v="fernando.leony@cslbehring.com"/>
    <s v="FERNANDO LEONY (CO/NO/NE)"/>
    <n v="0"/>
    <n v="0"/>
    <n v="0"/>
    <n v="0"/>
    <n v="40"/>
  </r>
  <r>
    <x v="0"/>
    <x v="1"/>
    <x v="0"/>
    <n v="1011865000116"/>
    <x v="63"/>
    <s v="GOIANIA"/>
    <s v="GO"/>
    <s v="1-Setorizado"/>
    <n v="2"/>
    <x v="6"/>
    <s v="XXX-ESP-VAGO NO (DF/GO/MS/MT/TO)"/>
    <s v="Especialidade"/>
    <s v="fernando.leony@cslbehring.com"/>
    <s v="FERNANDO LEONY (CO/NO/NE)"/>
    <n v="0"/>
    <n v="0"/>
    <n v="0"/>
    <n v="0"/>
    <n v="350"/>
  </r>
  <r>
    <x v="0"/>
    <x v="1"/>
    <x v="0"/>
    <n v="1011865000116"/>
    <x v="63"/>
    <s v="GOIANIA"/>
    <s v="GO"/>
    <s v="1-Setorizado"/>
    <n v="2"/>
    <x v="4"/>
    <s v="KAREN ROSA - HSP - DF/GO/MS/MT/TO"/>
    <s v="Hospitalar"/>
    <s v="fernando.leony@cslbehring.com"/>
    <s v="FERNANDO LEONY (CO/NO/NE)"/>
    <n v="0"/>
    <n v="0"/>
    <n v="0"/>
    <n v="0"/>
    <n v="350"/>
  </r>
  <r>
    <x v="0"/>
    <x v="1"/>
    <x v="0"/>
    <n v="53629000108"/>
    <x v="365"/>
    <s v="GOIANIA"/>
    <s v="GO"/>
    <s v="1-Setorizado"/>
    <n v="2"/>
    <x v="6"/>
    <s v="XXX-ESP-VAGO NO (DF/GO/MS/MT/TO)"/>
    <s v="Especialidade"/>
    <s v="fernando.leony@cslbehring.com"/>
    <s v="FERNANDO LEONY (CO/NO/NE)"/>
    <n v="0"/>
    <n v="0"/>
    <n v="0"/>
    <n v="0"/>
    <n v="0"/>
  </r>
  <r>
    <x v="0"/>
    <x v="1"/>
    <x v="0"/>
    <n v="53629000108"/>
    <x v="365"/>
    <s v="GOIANIA"/>
    <s v="GO"/>
    <s v="1-Setorizado"/>
    <n v="2"/>
    <x v="4"/>
    <s v="KAREN ROSA - HSP - DF/GO/MS/MT/TO"/>
    <s v="Hospitalar"/>
    <s v="fernando.leony@cslbehring.com"/>
    <s v="FERNANDO LEONY (CO/NO/NE)"/>
    <n v="0"/>
    <n v="0"/>
    <n v="0"/>
    <n v="0"/>
    <n v="0"/>
  </r>
  <r>
    <x v="0"/>
    <x v="1"/>
    <x v="0"/>
    <n v="2476067000203"/>
    <x v="64"/>
    <s v="GOIANIA"/>
    <s v="GO"/>
    <s v="1-Setorizado"/>
    <n v="2"/>
    <x v="6"/>
    <s v="XXX-ESP-VAGO NO (DF/GO/MS/MT/TO)"/>
    <s v="Especialidade"/>
    <s v="fernando.leony@cslbehring.com"/>
    <s v="FERNANDO LEONY (CO/NO/NE)"/>
    <n v="0"/>
    <n v="0"/>
    <n v="0"/>
    <n v="40"/>
    <n v="0"/>
  </r>
  <r>
    <x v="0"/>
    <x v="1"/>
    <x v="0"/>
    <n v="2476067000203"/>
    <x v="64"/>
    <s v="GOIANIA"/>
    <s v="GO"/>
    <s v="1-Setorizado"/>
    <n v="2"/>
    <x v="4"/>
    <s v="KAREN ROSA - HSP - DF/GO/MS/MT/TO"/>
    <s v="Hospitalar"/>
    <s v="fernando.leony@cslbehring.com"/>
    <s v="FERNANDO LEONY (CO/NO/NE)"/>
    <n v="0"/>
    <n v="0"/>
    <n v="0"/>
    <n v="0"/>
    <n v="0"/>
  </r>
  <r>
    <x v="0"/>
    <x v="1"/>
    <x v="0"/>
    <n v="33000167002155"/>
    <x v="366"/>
    <s v="SENADOR CANEDO"/>
    <s v="GO"/>
    <s v="1-Setorizado"/>
    <n v="2"/>
    <x v="6"/>
    <s v="XXX-ESP-VAGO NO (DF/GO/MS/MT/TO)"/>
    <s v="Especialidade"/>
    <s v="fernando.leony@cslbehring.com"/>
    <s v="FERNANDO LEONY (CO/NO/NE)"/>
    <n v="0"/>
    <n v="0"/>
    <n v="0"/>
    <n v="0"/>
    <n v="120"/>
  </r>
  <r>
    <x v="0"/>
    <x v="1"/>
    <x v="0"/>
    <n v="33000167002155"/>
    <x v="366"/>
    <s v="SENADOR CANEDO"/>
    <s v="GO"/>
    <s v="1-Setorizado"/>
    <n v="2"/>
    <x v="4"/>
    <s v="KAREN ROSA - HSP - DF/GO/MS/MT/TO"/>
    <s v="Hospitalar"/>
    <s v="fernando.leony@cslbehring.com"/>
    <s v="FERNANDO LEONY (CO/NO/NE)"/>
    <n v="0"/>
    <n v="0"/>
    <n v="0"/>
    <n v="0"/>
    <n v="120"/>
  </r>
  <r>
    <x v="0"/>
    <x v="1"/>
    <x v="0"/>
    <n v="2284062001170"/>
    <x v="67"/>
    <s v="JARACATY"/>
    <s v="MA"/>
    <s v="1-Setorizado"/>
    <n v="2"/>
    <x v="0"/>
    <s v="VALERIA BRAGA - ESP - (CE/MA/PI/BA/AL/SE/PB/PE/RN)"/>
    <s v="Especialidade"/>
    <s v="fernando.leony@cslbehring.com"/>
    <s v="FERNANDO LEONY (CO/NO/NE)"/>
    <n v="0"/>
    <n v="0"/>
    <n v="0"/>
    <n v="0"/>
    <n v="150"/>
  </r>
  <r>
    <x v="0"/>
    <x v="1"/>
    <x v="0"/>
    <n v="2284062001170"/>
    <x v="67"/>
    <s v="JARACATY"/>
    <s v="MA"/>
    <s v="1-Setorizado"/>
    <n v="2"/>
    <x v="3"/>
    <s v="KLEBER SILVA - HSP - CE/MA/PI"/>
    <s v="Hospitalar"/>
    <s v="fernando.leony@cslbehring.com"/>
    <s v="FERNANDO LEONY (CO/NO/NE)"/>
    <n v="0"/>
    <n v="4"/>
    <n v="0"/>
    <n v="0"/>
    <n v="150"/>
  </r>
  <r>
    <x v="0"/>
    <x v="1"/>
    <x v="0"/>
    <n v="3210872000172"/>
    <x v="367"/>
    <s v="SANTA HELENA"/>
    <s v="MA"/>
    <s v="1-Setorizado"/>
    <n v="2"/>
    <x v="0"/>
    <s v="VALERIA BRAGA - ESP - (CE/MA/PI/BA/AL/SE/PB/PE/RN)"/>
    <s v="Especialidade"/>
    <s v="fernando.leony@cslbehring.com"/>
    <s v="FERNANDO LEONY (CO/NO/NE)"/>
    <n v="0"/>
    <n v="0"/>
    <n v="0"/>
    <n v="0"/>
    <n v="5"/>
  </r>
  <r>
    <x v="0"/>
    <x v="1"/>
    <x v="0"/>
    <n v="3210872000172"/>
    <x v="367"/>
    <s v="SANTA HELENA"/>
    <s v="MA"/>
    <s v="1-Setorizado"/>
    <n v="2"/>
    <x v="3"/>
    <s v="KLEBER SILVA - HSP - CE/MA/PI"/>
    <s v="Hospitalar"/>
    <s v="fernando.leony@cslbehring.com"/>
    <s v="FERNANDO LEONY (CO/NO/NE)"/>
    <n v="0"/>
    <n v="0"/>
    <n v="0"/>
    <n v="0"/>
    <n v="5"/>
  </r>
  <r>
    <x v="0"/>
    <x v="1"/>
    <x v="0"/>
    <n v="7750144000104"/>
    <x v="368"/>
    <s v="SAO LUIS"/>
    <s v="MA"/>
    <s v="1-Setorizado"/>
    <n v="2"/>
    <x v="0"/>
    <s v="VALERIA BRAGA - ESP - (CE/MA/PI/BA/AL/SE/PB/PE/RN)"/>
    <s v="Especialidade"/>
    <s v="fernando.leony@cslbehring.com"/>
    <s v="FERNANDO LEONY (CO/NO/NE)"/>
    <n v="0"/>
    <n v="0"/>
    <n v="0"/>
    <n v="0"/>
    <n v="20"/>
  </r>
  <r>
    <x v="0"/>
    <x v="1"/>
    <x v="0"/>
    <n v="7750144000104"/>
    <x v="368"/>
    <s v="SAO LUIS"/>
    <s v="MA"/>
    <s v="1-Setorizado"/>
    <n v="2"/>
    <x v="3"/>
    <s v="KLEBER SILVA - HSP - CE/MA/PI"/>
    <s v="Hospitalar"/>
    <s v="fernando.leony@cslbehring.com"/>
    <s v="FERNANDO LEONY (CO/NO/NE)"/>
    <n v="0"/>
    <n v="0"/>
    <n v="0"/>
    <n v="0"/>
    <n v="20"/>
  </r>
  <r>
    <x v="0"/>
    <x v="1"/>
    <x v="0"/>
    <n v="15126437000496"/>
    <x v="68"/>
    <s v="SAO LUIS"/>
    <s v="MA"/>
    <s v="1-Setorizado"/>
    <n v="2"/>
    <x v="0"/>
    <s v="VALERIA BRAGA - ESP - (CE/MA/PI/BA/AL/SE/PB/PE/RN)"/>
    <s v="Especialidade"/>
    <s v="fernando.leony@cslbehring.com"/>
    <s v="FERNANDO LEONY (CO/NO/NE)"/>
    <n v="0"/>
    <n v="0"/>
    <n v="0"/>
    <n v="0"/>
    <n v="0"/>
  </r>
  <r>
    <x v="0"/>
    <x v="1"/>
    <x v="0"/>
    <n v="15126437000496"/>
    <x v="68"/>
    <s v="SAO LUIS"/>
    <s v="MA"/>
    <s v="1-Setorizado"/>
    <n v="2"/>
    <x v="3"/>
    <s v="KLEBER SILVA - HSP - CE/MA/PI"/>
    <s v="Hospitalar"/>
    <s v="fernando.leony@cslbehring.com"/>
    <s v="FERNANDO LEONY (CO/NO/NE)"/>
    <n v="0"/>
    <n v="4"/>
    <n v="9"/>
    <n v="0"/>
    <n v="0"/>
  </r>
  <r>
    <x v="0"/>
    <x v="1"/>
    <x v="0"/>
    <n v="11006293000130"/>
    <x v="69"/>
    <s v="SAO LUIS"/>
    <s v="MA"/>
    <s v="1-Setorizado"/>
    <n v="2"/>
    <x v="0"/>
    <s v="VALERIA BRAGA - ESP - (CE/MA/PI/BA/AL/SE/PB/PE/RN)"/>
    <s v="Especialidade"/>
    <s v="fernando.leony@cslbehring.com"/>
    <s v="FERNANDO LEONY (CO/NO/NE)"/>
    <n v="0"/>
    <n v="0"/>
    <n v="0"/>
    <n v="0"/>
    <n v="500"/>
  </r>
  <r>
    <x v="0"/>
    <x v="1"/>
    <x v="0"/>
    <n v="11006293000130"/>
    <x v="69"/>
    <s v="SAO LUIS"/>
    <s v="MA"/>
    <s v="1-Setorizado"/>
    <n v="2"/>
    <x v="3"/>
    <s v="KLEBER SILVA - HSP - CE/MA/PI"/>
    <s v="Hospitalar"/>
    <s v="fernando.leony@cslbehring.com"/>
    <s v="FERNANDO LEONY (CO/NO/NE)"/>
    <n v="0"/>
    <n v="0"/>
    <n v="0"/>
    <n v="0"/>
    <n v="500"/>
  </r>
  <r>
    <x v="0"/>
    <x v="1"/>
    <x v="0"/>
    <n v="20909271000171"/>
    <x v="369"/>
    <s v="ARAGUARI"/>
    <s v="MG"/>
    <s v="1-Setorizado"/>
    <n v="1"/>
    <x v="5"/>
    <s v="IWENS SILVA - HSP - MG/ES"/>
    <s v="Hosp-Esp"/>
    <s v="rafael.esteves@cslbehring.com"/>
    <s v="RAFAEL ESTEVES (RJ/SPI/SUL)"/>
    <n v="0"/>
    <n v="0"/>
    <n v="0"/>
    <n v="51"/>
    <n v="0"/>
  </r>
  <r>
    <x v="0"/>
    <x v="1"/>
    <x v="0"/>
    <n v="17214149000176"/>
    <x v="70"/>
    <s v="BELO HORIZONTE"/>
    <s v="MG"/>
    <s v="1-Setorizado"/>
    <n v="1"/>
    <x v="5"/>
    <s v="IWENS SILVA - HSP - MG/ES"/>
    <s v="Hosp-Esp"/>
    <s v="rafael.esteves@cslbehring.com"/>
    <s v="RAFAEL ESTEVES (RJ/SPI/SUL)"/>
    <n v="0"/>
    <n v="0"/>
    <n v="18"/>
    <n v="0"/>
    <n v="0"/>
  </r>
  <r>
    <x v="0"/>
    <x v="1"/>
    <x v="0"/>
    <n v="410960000120"/>
    <x v="71"/>
    <s v="BELO HORIZONTE"/>
    <s v="MG"/>
    <s v="1-Setorizado"/>
    <n v="1"/>
    <x v="5"/>
    <s v="IWENS SILVA - HSP - MG/ES"/>
    <s v="Hosp-Esp"/>
    <s v="rafael.esteves@cslbehring.com"/>
    <s v="RAFAEL ESTEVES (RJ/SPI/SUL)"/>
    <n v="0"/>
    <n v="0"/>
    <n v="0"/>
    <n v="64"/>
    <n v="685"/>
  </r>
  <r>
    <x v="0"/>
    <x v="1"/>
    <x v="0"/>
    <n v="132229000180"/>
    <x v="74"/>
    <s v="BELO HORIZONTE"/>
    <s v="MG"/>
    <s v="1-Setorizado"/>
    <n v="1"/>
    <x v="5"/>
    <s v="IWENS SILVA - HSP - MG/ES"/>
    <s v="Hosp-Esp"/>
    <s v="rafael.esteves@cslbehring.com"/>
    <s v="RAFAEL ESTEVES (RJ/SPI/SUL)"/>
    <n v="0"/>
    <n v="0"/>
    <n v="0"/>
    <n v="0"/>
    <n v="180"/>
  </r>
  <r>
    <x v="0"/>
    <x v="1"/>
    <x v="0"/>
    <n v="19274091000181"/>
    <x v="370"/>
    <s v="CARANGOLA"/>
    <s v="MG"/>
    <s v="1-Setorizado"/>
    <n v="1"/>
    <x v="5"/>
    <s v="IWENS SILVA - HSP - MG/ES"/>
    <s v="Hosp-Esp"/>
    <s v="rafael.esteves@cslbehring.com"/>
    <s v="RAFAEL ESTEVES (RJ/SPI/SUL)"/>
    <n v="0"/>
    <n v="0"/>
    <n v="0"/>
    <n v="0"/>
    <n v="140"/>
  </r>
  <r>
    <x v="0"/>
    <x v="1"/>
    <x v="0"/>
    <n v="19878404000100"/>
    <x v="76"/>
    <s v="IPATINGA"/>
    <s v="MG"/>
    <s v="1-Setorizado"/>
    <n v="1"/>
    <x v="5"/>
    <s v="IWENS SILVA - HSP - MG/ES"/>
    <s v="Hosp-Esp"/>
    <s v="rafael.esteves@cslbehring.com"/>
    <s v="RAFAEL ESTEVES (RJ/SPI/SUL)"/>
    <n v="0"/>
    <n v="0"/>
    <n v="0"/>
    <n v="80"/>
    <n v="0"/>
  </r>
  <r>
    <x v="0"/>
    <x v="1"/>
    <x v="0"/>
    <n v="21040696000311"/>
    <x v="77"/>
    <s v="ITAJUBA"/>
    <s v="MG"/>
    <s v="1-Setorizado"/>
    <n v="1"/>
    <x v="5"/>
    <s v="IWENS SILVA - HSP - MG/ES"/>
    <s v="Hosp-Esp"/>
    <s v="rafael.esteves@cslbehring.com"/>
    <s v="RAFAEL ESTEVES (RJ/SPI/SUL)"/>
    <n v="0"/>
    <n v="4"/>
    <n v="5"/>
    <n v="0"/>
    <n v="0"/>
  </r>
  <r>
    <x v="0"/>
    <x v="1"/>
    <x v="0"/>
    <n v="17689407000928"/>
    <x v="78"/>
    <s v="JUIZ DE FORA"/>
    <s v="MG"/>
    <s v="1-Setorizado"/>
    <n v="1"/>
    <x v="5"/>
    <s v="IWENS SILVA - HSP - MG/ES"/>
    <s v="Hosp-Esp"/>
    <s v="rafael.esteves@cslbehring.com"/>
    <s v="RAFAEL ESTEVES (RJ/SPI/SUL)"/>
    <n v="0"/>
    <n v="0"/>
    <n v="0"/>
    <n v="6"/>
    <n v="0"/>
  </r>
  <r>
    <x v="0"/>
    <x v="1"/>
    <x v="0"/>
    <n v="21299615000130"/>
    <x v="371"/>
    <s v="OURO BRANCO"/>
    <s v="MG"/>
    <s v="1-Setorizado"/>
    <n v="1"/>
    <x v="5"/>
    <s v="IWENS SILVA - HSP - MG/ES"/>
    <s v="Hosp-Esp"/>
    <s v="rafael.esteves@cslbehring.com"/>
    <s v="RAFAEL ESTEVES (RJ/SPI/SUL)"/>
    <n v="6"/>
    <n v="0"/>
    <n v="0"/>
    <n v="0"/>
    <n v="0"/>
  </r>
  <r>
    <x v="0"/>
    <x v="1"/>
    <x v="0"/>
    <n v="23278898000160"/>
    <x v="79"/>
    <s v="PASSOS"/>
    <s v="MG"/>
    <s v="1-Setorizado"/>
    <n v="1"/>
    <x v="5"/>
    <s v="IWENS SILVA - HSP - MG/ES"/>
    <s v="Hosp-Esp"/>
    <s v="rafael.esteves@cslbehring.com"/>
    <s v="RAFAEL ESTEVES (RJ/SPI/SUL)"/>
    <n v="0"/>
    <n v="0"/>
    <n v="0"/>
    <n v="0"/>
    <n v="120"/>
  </r>
  <r>
    <x v="0"/>
    <x v="1"/>
    <x v="0"/>
    <n v="23406564000124"/>
    <x v="372"/>
    <s v="PATROCINIO"/>
    <s v="MG"/>
    <s v="1-Setorizado"/>
    <n v="1"/>
    <x v="5"/>
    <s v="IWENS SILVA - HSP - MG/ES"/>
    <s v="Hosp-Esp"/>
    <s v="rafael.esteves@cslbehring.com"/>
    <s v="RAFAEL ESTEVES (RJ/SPI/SUL)"/>
    <n v="6"/>
    <n v="0"/>
    <n v="0"/>
    <n v="0"/>
    <n v="0"/>
  </r>
  <r>
    <x v="0"/>
    <x v="1"/>
    <x v="0"/>
    <n v="41781949000234"/>
    <x v="81"/>
    <s v="POCOS DE CALDAS"/>
    <s v="MG"/>
    <s v="1-Setorizado"/>
    <n v="1"/>
    <x v="5"/>
    <s v="IWENS SILVA - HSP - MG/ES"/>
    <s v="Hosp-Esp"/>
    <s v="rafael.esteves@cslbehring.com"/>
    <s v="RAFAEL ESTEVES (RJ/SPI/SUL)"/>
    <n v="0"/>
    <n v="0"/>
    <n v="0"/>
    <n v="0"/>
    <n v="40"/>
  </r>
  <r>
    <x v="0"/>
    <x v="1"/>
    <x v="0"/>
    <n v="70306453673"/>
    <x v="373"/>
    <s v="RIBEIRAO DAS NEVES"/>
    <s v="MG"/>
    <s v="1-Setorizado"/>
    <n v="1"/>
    <x v="5"/>
    <s v="IWENS SILVA - HSP - MG/ES"/>
    <s v="Hosp-Esp"/>
    <s v="rafael.esteves@cslbehring.com"/>
    <s v="RAFAEL ESTEVES (RJ/SPI/SUL)"/>
    <n v="20"/>
    <n v="0"/>
    <n v="0"/>
    <n v="0"/>
    <n v="0"/>
  </r>
  <r>
    <x v="0"/>
    <x v="1"/>
    <x v="0"/>
    <n v="17774738000613"/>
    <x v="374"/>
    <s v="UBERABA"/>
    <s v="MG"/>
    <s v="1-Setorizado"/>
    <n v="1"/>
    <x v="5"/>
    <s v="IWENS SILVA - HSP - MG/ES"/>
    <s v="Hosp-Esp"/>
    <s v="rafael.esteves@cslbehring.com"/>
    <s v="RAFAEL ESTEVES (RJ/SPI/SUL)"/>
    <n v="0"/>
    <n v="0"/>
    <n v="0"/>
    <n v="0"/>
    <n v="180"/>
  </r>
  <r>
    <x v="0"/>
    <x v="1"/>
    <x v="0"/>
    <n v="25761040000187"/>
    <x v="375"/>
    <s v="UBERLANDIA"/>
    <s v="MG"/>
    <s v="1-Setorizado"/>
    <n v="1"/>
    <x v="5"/>
    <s v="IWENS SILVA - HSP - MG/ES"/>
    <s v="Hosp-Esp"/>
    <s v="rafael.esteves@cslbehring.com"/>
    <s v="RAFAEL ESTEVES (RJ/SPI/SUL)"/>
    <n v="0"/>
    <n v="0"/>
    <n v="2"/>
    <n v="0"/>
    <n v="0"/>
  </r>
  <r>
    <x v="0"/>
    <x v="1"/>
    <x v="0"/>
    <n v="18484378000173"/>
    <x v="85"/>
    <s v="UBERLANDIA"/>
    <s v="MG"/>
    <s v="1-Setorizado"/>
    <n v="1"/>
    <x v="5"/>
    <s v="IWENS SILVA - HSP - MG/ES"/>
    <s v="Hosp-Esp"/>
    <s v="rafael.esteves@cslbehring.com"/>
    <s v="RAFAEL ESTEVES (RJ/SPI/SUL)"/>
    <n v="0"/>
    <n v="0"/>
    <n v="2"/>
    <n v="0"/>
    <n v="0"/>
  </r>
  <r>
    <x v="0"/>
    <x v="1"/>
    <x v="0"/>
    <n v="14408631000159"/>
    <x v="87"/>
    <s v="VICOSA"/>
    <s v="MG"/>
    <s v="1-Setorizado"/>
    <n v="1"/>
    <x v="5"/>
    <s v="IWENS SILVA - HSP - MG/ES"/>
    <s v="Hosp-Esp"/>
    <s v="rafael.esteves@cslbehring.com"/>
    <s v="RAFAEL ESTEVES (RJ/SPI/SUL)"/>
    <n v="0"/>
    <n v="0"/>
    <n v="0"/>
    <n v="8"/>
    <n v="0"/>
  </r>
  <r>
    <x v="0"/>
    <x v="1"/>
    <x v="0"/>
    <n v="860841000179"/>
    <x v="88"/>
    <s v="CAMPO GRANDE"/>
    <s v="MS"/>
    <s v="1-Setorizado"/>
    <n v="2"/>
    <x v="6"/>
    <s v="XXX-ESP-VAGO NO (DF/GO/MS/MT/TO)"/>
    <s v="Especialidade"/>
    <s v="fernando.leony@cslbehring.com"/>
    <s v="FERNANDO LEONY (CO/NO/NE)"/>
    <n v="0"/>
    <n v="0"/>
    <n v="0"/>
    <n v="0"/>
    <n v="0"/>
  </r>
  <r>
    <x v="0"/>
    <x v="1"/>
    <x v="0"/>
    <n v="860841000179"/>
    <x v="88"/>
    <s v="CAMPO GRANDE"/>
    <s v="MS"/>
    <s v="1-Setorizado"/>
    <n v="2"/>
    <x v="4"/>
    <s v="KAREN ROSA - HSP - DF/GO/MS/MT/TO"/>
    <s v="Hospitalar"/>
    <s v="fernando.leony@cslbehring.com"/>
    <s v="FERNANDO LEONY (CO/NO/NE)"/>
    <n v="0"/>
    <n v="-2"/>
    <n v="0"/>
    <n v="0"/>
    <n v="0"/>
  </r>
  <r>
    <x v="0"/>
    <x v="1"/>
    <x v="0"/>
    <n v="7775847000278"/>
    <x v="376"/>
    <s v="DOURADOS"/>
    <s v="MS"/>
    <s v="1-Setorizado"/>
    <n v="2"/>
    <x v="6"/>
    <s v="XXX-ESP-VAGO NO (DF/GO/MS/MT/TO)"/>
    <s v="Especialidade"/>
    <s v="fernando.leony@cslbehring.com"/>
    <s v="FERNANDO LEONY (CO/NO/NE)"/>
    <n v="0"/>
    <n v="0"/>
    <n v="0"/>
    <n v="0"/>
    <n v="335"/>
  </r>
  <r>
    <x v="0"/>
    <x v="1"/>
    <x v="0"/>
    <n v="7775847000278"/>
    <x v="376"/>
    <s v="DOURADOS"/>
    <s v="MS"/>
    <s v="1-Setorizado"/>
    <n v="2"/>
    <x v="4"/>
    <s v="KAREN ROSA - HSP - DF/GO/MS/MT/TO"/>
    <s v="Hospitalar"/>
    <s v="fernando.leony@cslbehring.com"/>
    <s v="FERNANDO LEONY (CO/NO/NE)"/>
    <n v="0"/>
    <n v="0"/>
    <n v="0"/>
    <n v="0"/>
    <n v="335"/>
  </r>
  <r>
    <x v="0"/>
    <x v="1"/>
    <x v="0"/>
    <n v="3533726001583"/>
    <x v="89"/>
    <s v="CUIABA"/>
    <s v="MT"/>
    <s v="1-Setorizado"/>
    <n v="2"/>
    <x v="6"/>
    <s v="XXX-ESP-VAGO NO (DF/GO/MS/MT/TO)"/>
    <s v="Especialidade"/>
    <s v="fernando.leony@cslbehring.com"/>
    <s v="FERNANDO LEONY (CO/NO/NE)"/>
    <n v="0"/>
    <n v="0"/>
    <n v="0"/>
    <n v="0"/>
    <n v="30"/>
  </r>
  <r>
    <x v="0"/>
    <x v="1"/>
    <x v="0"/>
    <n v="3533726001583"/>
    <x v="89"/>
    <s v="CUIABA"/>
    <s v="MT"/>
    <s v="1-Setorizado"/>
    <n v="2"/>
    <x v="4"/>
    <s v="KAREN ROSA - HSP - DF/GO/MS/MT/TO"/>
    <s v="Hospitalar"/>
    <s v="fernando.leony@cslbehring.com"/>
    <s v="FERNANDO LEONY (CO/NO/NE)"/>
    <n v="0"/>
    <n v="0"/>
    <n v="0"/>
    <n v="0"/>
    <n v="30"/>
  </r>
  <r>
    <x v="0"/>
    <x v="1"/>
    <x v="0"/>
    <n v="1757351000104"/>
    <x v="91"/>
    <s v="CUIABA"/>
    <s v="MT"/>
    <s v="1-Setorizado"/>
    <n v="2"/>
    <x v="6"/>
    <s v="XXX-ESP-VAGO NO (DF/GO/MS/MT/TO)"/>
    <s v="Especialidade"/>
    <s v="fernando.leony@cslbehring.com"/>
    <s v="FERNANDO LEONY (CO/NO/NE)"/>
    <n v="0"/>
    <n v="0"/>
    <n v="0"/>
    <n v="0"/>
    <n v="0"/>
  </r>
  <r>
    <x v="0"/>
    <x v="1"/>
    <x v="0"/>
    <n v="1757351000104"/>
    <x v="91"/>
    <s v="CUIABA"/>
    <s v="MT"/>
    <s v="1-Setorizado"/>
    <n v="2"/>
    <x v="4"/>
    <s v="KAREN ROSA - HSP - DF/GO/MS/MT/TO"/>
    <s v="Hospitalar"/>
    <s v="fernando.leony@cslbehring.com"/>
    <s v="FERNANDO LEONY (CO/NO/NE)"/>
    <n v="0"/>
    <n v="10"/>
    <n v="0"/>
    <n v="0"/>
    <n v="0"/>
  </r>
  <r>
    <x v="0"/>
    <x v="1"/>
    <x v="0"/>
    <n v="3925419000142"/>
    <x v="92"/>
    <s v="CUIABA"/>
    <s v="MT"/>
    <s v="1-Setorizado"/>
    <n v="2"/>
    <x v="6"/>
    <s v="XXX-ESP-VAGO NO (DF/GO/MS/MT/TO)"/>
    <s v="Especialidade"/>
    <s v="fernando.leony@cslbehring.com"/>
    <s v="FERNANDO LEONY (CO/NO/NE)"/>
    <n v="0"/>
    <n v="0"/>
    <n v="0"/>
    <n v="0"/>
    <n v="0"/>
  </r>
  <r>
    <x v="0"/>
    <x v="1"/>
    <x v="0"/>
    <n v="3925419000142"/>
    <x v="92"/>
    <s v="CUIABA"/>
    <s v="MT"/>
    <s v="1-Setorizado"/>
    <n v="2"/>
    <x v="4"/>
    <s v="KAREN ROSA - HSP - DF/GO/MS/MT/TO"/>
    <s v="Hospitalar"/>
    <s v="fernando.leony@cslbehring.com"/>
    <s v="FERNANDO LEONY (CO/NO/NE)"/>
    <n v="0"/>
    <n v="8"/>
    <n v="0"/>
    <n v="0"/>
    <n v="0"/>
  </r>
  <r>
    <x v="0"/>
    <x v="1"/>
    <x v="0"/>
    <n v="3533726000773"/>
    <x v="93"/>
    <s v="CUIABA"/>
    <s v="MT"/>
    <s v="1-Setorizado"/>
    <n v="2"/>
    <x v="6"/>
    <s v="XXX-ESP-VAGO NO (DF/GO/MS/MT/TO)"/>
    <s v="Especialidade"/>
    <s v="fernando.leony@cslbehring.com"/>
    <s v="FERNANDO LEONY (CO/NO/NE)"/>
    <n v="0"/>
    <n v="0"/>
    <n v="0"/>
    <n v="0"/>
    <n v="90"/>
  </r>
  <r>
    <x v="0"/>
    <x v="1"/>
    <x v="0"/>
    <n v="3533726000773"/>
    <x v="93"/>
    <s v="CUIABA"/>
    <s v="MT"/>
    <s v="1-Setorizado"/>
    <n v="2"/>
    <x v="4"/>
    <s v="KAREN ROSA - HSP - DF/GO/MS/MT/TO"/>
    <s v="Hospitalar"/>
    <s v="fernando.leony@cslbehring.com"/>
    <s v="FERNANDO LEONY (CO/NO/NE)"/>
    <n v="0"/>
    <n v="0"/>
    <n v="0"/>
    <n v="0"/>
    <n v="90"/>
  </r>
  <r>
    <x v="0"/>
    <x v="1"/>
    <x v="0"/>
    <n v="12361267000274"/>
    <x v="377"/>
    <s v="BELEM"/>
    <s v="PA"/>
    <s v="1-Setorizado"/>
    <n v="1"/>
    <x v="2"/>
    <s v="WLADIMIR CAMPELO - ESP/HSP - AC/AM/AP/PA/RO/RR/DF"/>
    <s v="Hosp-Esp"/>
    <s v="fernando.leony@cslbehring.com"/>
    <s v="FERNANDO LEONY (CO/NO/NE)"/>
    <n v="0"/>
    <n v="0"/>
    <n v="0"/>
    <n v="0"/>
    <n v="150"/>
  </r>
  <r>
    <x v="0"/>
    <x v="1"/>
    <x v="0"/>
    <n v="5054929000117"/>
    <x v="378"/>
    <s v="BELEM"/>
    <s v="PA"/>
    <s v="1-Setorizado"/>
    <n v="1"/>
    <x v="2"/>
    <s v="WLADIMIR CAMPELO - ESP/HSP - AC/AM/AP/PA/RO/RR/DF"/>
    <s v="Hosp-Esp"/>
    <s v="fernando.leony@cslbehring.com"/>
    <s v="FERNANDO LEONY (CO/NO/NE)"/>
    <n v="0"/>
    <n v="0"/>
    <n v="0"/>
    <n v="48"/>
    <n v="0"/>
  </r>
  <r>
    <x v="0"/>
    <x v="1"/>
    <x v="0"/>
    <n v="4201372001028"/>
    <x v="100"/>
    <s v="BELEM"/>
    <s v="PA"/>
    <s v="1-Setorizado"/>
    <n v="1"/>
    <x v="2"/>
    <s v="WLADIMIR CAMPELO - ESP/HSP - AC/AM/AP/PA/RO/RR/DF"/>
    <s v="Hosp-Esp"/>
    <s v="fernando.leony@cslbehring.com"/>
    <s v="FERNANDO LEONY (CO/NO/NE)"/>
    <n v="0"/>
    <n v="0"/>
    <n v="0"/>
    <n v="52"/>
    <n v="0"/>
  </r>
  <r>
    <x v="0"/>
    <x v="1"/>
    <x v="0"/>
    <n v="14112023000100"/>
    <x v="379"/>
    <s v="MARABA"/>
    <s v="PA"/>
    <s v="1-Setorizado"/>
    <n v="1"/>
    <x v="2"/>
    <s v="WLADIMIR CAMPELO - ESP/HSP - AC/AM/AP/PA/RO/RR/DF"/>
    <s v="Hosp-Esp"/>
    <s v="fernando.leony@cslbehring.com"/>
    <s v="FERNANDO LEONY (CO/NO/NE)"/>
    <n v="0"/>
    <n v="0"/>
    <n v="0"/>
    <n v="0"/>
    <n v="18"/>
  </r>
  <r>
    <x v="0"/>
    <x v="1"/>
    <x v="0"/>
    <n v="24232886008303"/>
    <x v="101"/>
    <s v="SANTAREM"/>
    <s v="PA"/>
    <s v="1-Setorizado"/>
    <n v="1"/>
    <x v="2"/>
    <s v="WLADIMIR CAMPELO - ESP/HSP - AC/AM/AP/PA/RO/RR/DF"/>
    <s v="Hosp-Esp"/>
    <s v="fernando.leony@cslbehring.com"/>
    <s v="FERNANDO LEONY (CO/NO/NE)"/>
    <n v="0"/>
    <n v="2"/>
    <n v="0"/>
    <n v="0"/>
    <n v="0"/>
  </r>
  <r>
    <x v="0"/>
    <x v="1"/>
    <x v="0"/>
    <n v="8680639000681"/>
    <x v="103"/>
    <s v="JOAO PESSOA"/>
    <s v="PB"/>
    <s v="1-Setorizado"/>
    <n v="2"/>
    <x v="0"/>
    <s v="VALERIA BRAGA - ESP - (CE/MA/PI/BA/AL/SE/PB/PE/RN)"/>
    <s v="Especialidade"/>
    <s v="fernando.leony@cslbehring.com"/>
    <s v="FERNANDO LEONY (CO/NO/NE)"/>
    <n v="0"/>
    <n v="0"/>
    <n v="0"/>
    <n v="68"/>
    <n v="155"/>
  </r>
  <r>
    <x v="0"/>
    <x v="1"/>
    <x v="0"/>
    <n v="8680639000681"/>
    <x v="103"/>
    <s v="JOAO PESSOA"/>
    <s v="PB"/>
    <s v="1-Setorizado"/>
    <n v="2"/>
    <x v="7"/>
    <s v="LENILSON SILVA - HSP - PB/PE/RN"/>
    <s v="Hospitalar"/>
    <s v="fernando.leony@cslbehring.com"/>
    <s v="FERNANDO LEONY (CO/NO/NE)"/>
    <n v="0"/>
    <n v="0"/>
    <n v="0"/>
    <n v="0"/>
    <n v="155"/>
  </r>
  <r>
    <x v="0"/>
    <x v="1"/>
    <x v="0"/>
    <n v="9039744000275"/>
    <x v="380"/>
    <s v="PAULISTA"/>
    <s v="PE"/>
    <s v="1-Setorizado"/>
    <n v="2"/>
    <x v="0"/>
    <s v="VALERIA BRAGA - ESP - (CE/MA/PI/BA/AL/SE/PB/PE/RN)"/>
    <s v="Especialidade"/>
    <s v="fernando.leony@cslbehring.com"/>
    <s v="FERNANDO LEONY (CO/NO/NE)"/>
    <n v="0"/>
    <n v="0"/>
    <n v="0"/>
    <n v="0"/>
    <n v="0"/>
  </r>
  <r>
    <x v="0"/>
    <x v="1"/>
    <x v="0"/>
    <n v="9039744000275"/>
    <x v="380"/>
    <s v="PAULISTA"/>
    <s v="PE"/>
    <s v="1-Setorizado"/>
    <n v="2"/>
    <x v="7"/>
    <s v="LENILSON SILVA - HSP - PB/PE/RN"/>
    <s v="Hospitalar"/>
    <s v="fernando.leony@cslbehring.com"/>
    <s v="FERNANDO LEONY (CO/NO/NE)"/>
    <n v="0"/>
    <n v="1"/>
    <n v="0"/>
    <n v="0"/>
    <n v="0"/>
  </r>
  <r>
    <x v="0"/>
    <x v="1"/>
    <x v="0"/>
    <n v="2284062000106"/>
    <x v="381"/>
    <s v="RECIFE"/>
    <s v="PE"/>
    <s v="1-Setorizado"/>
    <n v="2"/>
    <x v="0"/>
    <s v="VALERIA BRAGA - ESP - (CE/MA/PI/BA/AL/SE/PB/PE/RN)"/>
    <s v="Especialidade"/>
    <s v="fernando.leony@cslbehring.com"/>
    <s v="FERNANDO LEONY (CO/NO/NE)"/>
    <n v="0"/>
    <n v="0"/>
    <n v="0"/>
    <n v="0"/>
    <n v="0"/>
  </r>
  <r>
    <x v="0"/>
    <x v="1"/>
    <x v="0"/>
    <n v="2284062000106"/>
    <x v="381"/>
    <s v="RECIFE"/>
    <s v="PE"/>
    <s v="1-Setorizado"/>
    <n v="2"/>
    <x v="7"/>
    <s v="LENILSON SILVA - HSP - PB/PE/RN"/>
    <s v="Hospitalar"/>
    <s v="fernando.leony@cslbehring.com"/>
    <s v="FERNANDO LEONY (CO/NO/NE)"/>
    <n v="0"/>
    <n v="6"/>
    <n v="4"/>
    <n v="0"/>
    <n v="0"/>
  </r>
  <r>
    <x v="0"/>
    <x v="1"/>
    <x v="0"/>
    <n v="12361267007287"/>
    <x v="382"/>
    <s v="RECIFE"/>
    <s v="PE"/>
    <s v="1-Setorizado"/>
    <n v="2"/>
    <x v="0"/>
    <s v="VALERIA BRAGA - ESP - (CE/MA/PI/BA/AL/SE/PB/PE/RN)"/>
    <s v="Especialidade"/>
    <s v="fernando.leony@cslbehring.com"/>
    <s v="FERNANDO LEONY (CO/NO/NE)"/>
    <n v="0"/>
    <n v="0"/>
    <n v="0"/>
    <n v="0"/>
    <n v="150"/>
  </r>
  <r>
    <x v="0"/>
    <x v="1"/>
    <x v="0"/>
    <n v="12361267007287"/>
    <x v="382"/>
    <s v="RECIFE"/>
    <s v="PE"/>
    <s v="1-Setorizado"/>
    <n v="2"/>
    <x v="7"/>
    <s v="LENILSON SILVA - HSP - PB/PE/RN"/>
    <s v="Hospitalar"/>
    <s v="fernando.leony@cslbehring.com"/>
    <s v="FERNANDO LEONY (CO/NO/NE)"/>
    <n v="0"/>
    <n v="0"/>
    <n v="0"/>
    <n v="0"/>
    <n v="150"/>
  </r>
  <r>
    <x v="0"/>
    <x v="1"/>
    <x v="0"/>
    <n v="11452240000143"/>
    <x v="106"/>
    <s v="RECIFE"/>
    <s v="PE"/>
    <s v="1-Setorizado"/>
    <n v="2"/>
    <x v="0"/>
    <s v="VALERIA BRAGA - ESP - (CE/MA/PI/BA/AL/SE/PB/PE/RN)"/>
    <s v="Especialidade"/>
    <s v="fernando.leony@cslbehring.com"/>
    <s v="FERNANDO LEONY (CO/NO/NE)"/>
    <n v="0"/>
    <n v="0"/>
    <n v="0"/>
    <n v="0"/>
    <n v="635"/>
  </r>
  <r>
    <x v="0"/>
    <x v="1"/>
    <x v="0"/>
    <n v="11452240000143"/>
    <x v="106"/>
    <s v="RECIFE"/>
    <s v="PE"/>
    <s v="1-Setorizado"/>
    <n v="2"/>
    <x v="7"/>
    <s v="LENILSON SILVA - HSP - PB/PE/RN"/>
    <s v="Hospitalar"/>
    <s v="fernando.leony@cslbehring.com"/>
    <s v="FERNANDO LEONY (CO/NO/NE)"/>
    <n v="0"/>
    <n v="0"/>
    <n v="1"/>
    <n v="0"/>
    <n v="635"/>
  </r>
  <r>
    <x v="0"/>
    <x v="1"/>
    <x v="0"/>
    <n v="6047087009276"/>
    <x v="107"/>
    <s v="RECIFE"/>
    <s v="PE"/>
    <s v="1-Setorizado"/>
    <n v="2"/>
    <x v="0"/>
    <s v="VALERIA BRAGA - ESP - (CE/MA/PI/BA/AL/SE/PB/PE/RN)"/>
    <s v="Especialidade"/>
    <s v="fernando.leony@cslbehring.com"/>
    <s v="FERNANDO LEONY (CO/NO/NE)"/>
    <n v="0"/>
    <n v="0"/>
    <n v="0"/>
    <n v="0"/>
    <n v="0"/>
  </r>
  <r>
    <x v="0"/>
    <x v="1"/>
    <x v="0"/>
    <n v="6047087009276"/>
    <x v="107"/>
    <s v="RECIFE"/>
    <s v="PE"/>
    <s v="1-Setorizado"/>
    <n v="2"/>
    <x v="7"/>
    <s v="LENILSON SILVA - HSP - PB/PE/RN"/>
    <s v="Hospitalar"/>
    <s v="fernando.leony@cslbehring.com"/>
    <s v="FERNANDO LEONY (CO/NO/NE)"/>
    <n v="0"/>
    <n v="0"/>
    <n v="2"/>
    <n v="0"/>
    <n v="0"/>
  </r>
  <r>
    <x v="0"/>
    <x v="1"/>
    <x v="0"/>
    <n v="2284062000440"/>
    <x v="109"/>
    <s v="RECIFE"/>
    <s v="PE"/>
    <s v="1-Setorizado"/>
    <n v="2"/>
    <x v="0"/>
    <s v="VALERIA BRAGA - ESP - (CE/MA/PI/BA/AL/SE/PB/PE/RN)"/>
    <s v="Especialidade"/>
    <s v="fernando.leony@cslbehring.com"/>
    <s v="FERNANDO LEONY (CO/NO/NE)"/>
    <n v="0"/>
    <n v="0"/>
    <n v="0"/>
    <n v="0"/>
    <n v="0"/>
  </r>
  <r>
    <x v="0"/>
    <x v="1"/>
    <x v="0"/>
    <n v="2284062000440"/>
    <x v="109"/>
    <s v="RECIFE"/>
    <s v="PE"/>
    <s v="1-Setorizado"/>
    <n v="2"/>
    <x v="7"/>
    <s v="LENILSON SILVA - HSP - PB/PE/RN"/>
    <s v="Hospitalar"/>
    <s v="fernando.leony@cslbehring.com"/>
    <s v="FERNANDO LEONY (CO/NO/NE)"/>
    <n v="0"/>
    <n v="55"/>
    <n v="0"/>
    <n v="0"/>
    <n v="0"/>
  </r>
  <r>
    <x v="0"/>
    <x v="1"/>
    <x v="0"/>
    <n v="11214624000470"/>
    <x v="383"/>
    <s v="RECIFE"/>
    <s v="PE"/>
    <s v="1-Setorizado"/>
    <n v="2"/>
    <x v="0"/>
    <s v="VALERIA BRAGA - ESP - (CE/MA/PI/BA/AL/SE/PB/PE/RN)"/>
    <s v="Especialidade"/>
    <s v="fernando.leony@cslbehring.com"/>
    <s v="FERNANDO LEONY (CO/NO/NE)"/>
    <n v="0"/>
    <n v="0"/>
    <n v="0"/>
    <n v="0"/>
    <n v="100"/>
  </r>
  <r>
    <x v="0"/>
    <x v="1"/>
    <x v="0"/>
    <n v="11214624000470"/>
    <x v="383"/>
    <s v="RECIFE"/>
    <s v="PE"/>
    <s v="1-Setorizado"/>
    <n v="2"/>
    <x v="7"/>
    <s v="LENILSON SILVA - HSP - PB/PE/RN"/>
    <s v="Hospitalar"/>
    <s v="fernando.leony@cslbehring.com"/>
    <s v="FERNANDO LEONY (CO/NO/NE)"/>
    <n v="0"/>
    <n v="0"/>
    <n v="0"/>
    <n v="0"/>
    <n v="100"/>
  </r>
  <r>
    <x v="0"/>
    <x v="1"/>
    <x v="0"/>
    <n v="11022597001597"/>
    <x v="384"/>
    <s v="RECIFE"/>
    <s v="PE"/>
    <s v="1-Setorizado"/>
    <n v="2"/>
    <x v="0"/>
    <s v="VALERIA BRAGA - ESP - (CE/MA/PI/BA/AL/SE/PB/PE/RN)"/>
    <s v="Especialidade"/>
    <s v="fernando.leony@cslbehring.com"/>
    <s v="FERNANDO LEONY (CO/NO/NE)"/>
    <n v="0"/>
    <n v="0"/>
    <n v="0"/>
    <n v="0"/>
    <n v="0"/>
  </r>
  <r>
    <x v="0"/>
    <x v="1"/>
    <x v="0"/>
    <n v="11022597001597"/>
    <x v="384"/>
    <s v="RECIFE"/>
    <s v="PE"/>
    <s v="1-Setorizado"/>
    <n v="2"/>
    <x v="7"/>
    <s v="LENILSON SILVA - HSP - PB/PE/RN"/>
    <s v="Hospitalar"/>
    <s v="fernando.leony@cslbehring.com"/>
    <s v="FERNANDO LEONY (CO/NO/NE)"/>
    <n v="0"/>
    <n v="25"/>
    <n v="0"/>
    <n v="0"/>
    <n v="0"/>
  </r>
  <r>
    <x v="0"/>
    <x v="1"/>
    <x v="0"/>
    <n v="10839561000132"/>
    <x v="111"/>
    <s v="RECIFE"/>
    <s v="PE"/>
    <s v="1-Setorizado"/>
    <n v="2"/>
    <x v="0"/>
    <s v="VALERIA BRAGA - ESP - (CE/MA/PI/BA/AL/SE/PB/PE/RN)"/>
    <s v="Especialidade"/>
    <s v="fernando.leony@cslbehring.com"/>
    <s v="FERNANDO LEONY (CO/NO/NE)"/>
    <n v="0"/>
    <n v="0"/>
    <n v="0"/>
    <n v="32"/>
    <n v="420"/>
  </r>
  <r>
    <x v="0"/>
    <x v="1"/>
    <x v="0"/>
    <n v="10839561000132"/>
    <x v="111"/>
    <s v="RECIFE"/>
    <s v="PE"/>
    <s v="1-Setorizado"/>
    <n v="2"/>
    <x v="7"/>
    <s v="LENILSON SILVA - HSP - PB/PE/RN"/>
    <s v="Hospitalar"/>
    <s v="fernando.leony@cslbehring.com"/>
    <s v="FERNANDO LEONY (CO/NO/NE)"/>
    <n v="0"/>
    <n v="0"/>
    <n v="0"/>
    <n v="0"/>
    <n v="420"/>
  </r>
  <r>
    <x v="0"/>
    <x v="1"/>
    <x v="0"/>
    <n v="11273170000166"/>
    <x v="385"/>
    <s v="TERESINA"/>
    <s v="PI"/>
    <s v="1-Setorizado"/>
    <n v="2"/>
    <x v="0"/>
    <s v="VALERIA BRAGA - ESP - (CE/MA/PI/BA/AL/SE/PB/PE/RN)"/>
    <s v="Especialidade"/>
    <s v="fernando.leony@cslbehring.com"/>
    <s v="FERNANDO LEONY (CO/NO/NE)"/>
    <n v="0"/>
    <n v="0"/>
    <n v="0"/>
    <n v="0"/>
    <n v="500"/>
  </r>
  <r>
    <x v="0"/>
    <x v="1"/>
    <x v="0"/>
    <n v="11273170000166"/>
    <x v="385"/>
    <s v="TERESINA"/>
    <s v="PI"/>
    <s v="1-Setorizado"/>
    <n v="2"/>
    <x v="3"/>
    <s v="KLEBER SILVA - HSP - CE/MA/PI"/>
    <s v="Hospitalar"/>
    <s v="fernando.leony@cslbehring.com"/>
    <s v="FERNANDO LEONY (CO/NO/NE)"/>
    <n v="0"/>
    <n v="0"/>
    <n v="0"/>
    <n v="0"/>
    <n v="500"/>
  </r>
  <r>
    <x v="0"/>
    <x v="1"/>
    <x v="0"/>
    <n v="6555031000276"/>
    <x v="114"/>
    <s v="TERESINA"/>
    <s v="PI"/>
    <s v="1-Setorizado"/>
    <n v="2"/>
    <x v="0"/>
    <s v="VALERIA BRAGA - ESP - (CE/MA/PI/BA/AL/SE/PB/PE/RN)"/>
    <s v="Especialidade"/>
    <s v="fernando.leony@cslbehring.com"/>
    <s v="FERNANDO LEONY (CO/NO/NE)"/>
    <n v="0"/>
    <n v="0"/>
    <n v="0"/>
    <n v="20"/>
    <n v="0"/>
  </r>
  <r>
    <x v="0"/>
    <x v="1"/>
    <x v="0"/>
    <n v="6555031000276"/>
    <x v="114"/>
    <s v="TERESINA"/>
    <s v="PI"/>
    <s v="1-Setorizado"/>
    <n v="2"/>
    <x v="3"/>
    <s v="KLEBER SILVA - HSP - CE/MA/PI"/>
    <s v="Hospitalar"/>
    <s v="fernando.leony@cslbehring.com"/>
    <s v="FERNANDO LEONY (CO/NO/NE)"/>
    <n v="0"/>
    <n v="0"/>
    <n v="0"/>
    <n v="0"/>
    <n v="0"/>
  </r>
  <r>
    <x v="0"/>
    <x v="1"/>
    <x v="0"/>
    <n v="7734165000136"/>
    <x v="117"/>
    <s v="CURITIBA"/>
    <s v="PR"/>
    <s v="1-Setorizado"/>
    <n v="2"/>
    <x v="8"/>
    <s v="MICHELE MORAES - ESP - PR/SC/RS"/>
    <s v="Especialidade"/>
    <s v="rafael.esteves@cslbehring.com"/>
    <s v="RAFAEL ESTEVES (RJ/SPI/SUL)"/>
    <n v="0"/>
    <n v="0"/>
    <n v="0"/>
    <n v="120"/>
    <n v="4350"/>
  </r>
  <r>
    <x v="0"/>
    <x v="1"/>
    <x v="0"/>
    <n v="7734165000136"/>
    <x v="117"/>
    <s v="CURITIBA"/>
    <s v="PR"/>
    <s v="1-Setorizado"/>
    <n v="2"/>
    <x v="9"/>
    <s v="FERNANDA BORNHAUSEN - HSP - SC/PR"/>
    <s v="Hospitalar"/>
    <s v="rafael.esteves@cslbehring.com"/>
    <s v="RAFAEL ESTEVES (RJ/SPI/SUL)"/>
    <n v="0"/>
    <n v="0"/>
    <n v="0"/>
    <n v="0"/>
    <n v="4350"/>
  </r>
  <r>
    <x v="0"/>
    <x v="1"/>
    <x v="0"/>
    <n v="7404052000172"/>
    <x v="118"/>
    <s v="CURITIBA"/>
    <s v="PR"/>
    <s v="1-Setorizado"/>
    <n v="2"/>
    <x v="8"/>
    <s v="MICHELE MORAES - ESP - PR/SC/RS"/>
    <s v="Especialidade"/>
    <s v="rafael.esteves@cslbehring.com"/>
    <s v="RAFAEL ESTEVES (RJ/SPI/SUL)"/>
    <n v="0"/>
    <n v="0"/>
    <n v="0"/>
    <n v="0"/>
    <n v="45"/>
  </r>
  <r>
    <x v="0"/>
    <x v="1"/>
    <x v="0"/>
    <n v="7404052000172"/>
    <x v="118"/>
    <s v="CURITIBA"/>
    <s v="PR"/>
    <s v="1-Setorizado"/>
    <n v="2"/>
    <x v="9"/>
    <s v="FERNANDA BORNHAUSEN - HSP - SC/PR"/>
    <s v="Hospitalar"/>
    <s v="rafael.esteves@cslbehring.com"/>
    <s v="RAFAEL ESTEVES (RJ/SPI/SUL)"/>
    <n v="0"/>
    <n v="0"/>
    <n v="0"/>
    <n v="0"/>
    <n v="45"/>
  </r>
  <r>
    <x v="0"/>
    <x v="1"/>
    <x v="0"/>
    <n v="8597121000174"/>
    <x v="119"/>
    <s v="CURITIBA"/>
    <s v="PR"/>
    <s v="1-Setorizado"/>
    <n v="2"/>
    <x v="8"/>
    <s v="MICHELE MORAES - ESP - PR/SC/RS"/>
    <s v="Especialidade"/>
    <s v="rafael.esteves@cslbehring.com"/>
    <s v="RAFAEL ESTEVES (RJ/SPI/SUL)"/>
    <n v="80"/>
    <n v="0"/>
    <n v="0"/>
    <n v="0"/>
    <n v="0"/>
  </r>
  <r>
    <x v="0"/>
    <x v="1"/>
    <x v="0"/>
    <n v="8597121000174"/>
    <x v="119"/>
    <s v="CURITIBA"/>
    <s v="PR"/>
    <s v="1-Setorizado"/>
    <n v="2"/>
    <x v="9"/>
    <s v="FERNANDA BORNHAUSEN - HSP - SC/PR"/>
    <s v="Hospitalar"/>
    <s v="rafael.esteves@cslbehring.com"/>
    <s v="RAFAEL ESTEVES (RJ/SPI/SUL)"/>
    <n v="0"/>
    <n v="0"/>
    <n v="0"/>
    <n v="0"/>
    <n v="0"/>
  </r>
  <r>
    <x v="0"/>
    <x v="1"/>
    <x v="0"/>
    <n v="942063000167"/>
    <x v="120"/>
    <s v="CURITIBA"/>
    <s v="PR"/>
    <s v="1-Setorizado"/>
    <n v="2"/>
    <x v="8"/>
    <s v="MICHELE MORAES - ESP - PR/SC/RS"/>
    <s v="Especialidade"/>
    <s v="rafael.esteves@cslbehring.com"/>
    <s v="RAFAEL ESTEVES (RJ/SPI/SUL)"/>
    <n v="0"/>
    <n v="0"/>
    <n v="0"/>
    <n v="0"/>
    <n v="1755"/>
  </r>
  <r>
    <x v="0"/>
    <x v="1"/>
    <x v="0"/>
    <n v="942063000167"/>
    <x v="120"/>
    <s v="CURITIBA"/>
    <s v="PR"/>
    <s v="1-Setorizado"/>
    <n v="2"/>
    <x v="9"/>
    <s v="FERNANDA BORNHAUSEN - HSP - SC/PR"/>
    <s v="Hospitalar"/>
    <s v="rafael.esteves@cslbehring.com"/>
    <s v="RAFAEL ESTEVES (RJ/SPI/SUL)"/>
    <n v="0"/>
    <n v="0"/>
    <n v="0"/>
    <n v="0"/>
    <n v="1755"/>
  </r>
  <r>
    <x v="0"/>
    <x v="1"/>
    <x v="0"/>
    <n v="9579964000291"/>
    <x v="386"/>
    <s v="CURITIBA"/>
    <s v="PR"/>
    <s v="1-Setorizado"/>
    <n v="2"/>
    <x v="8"/>
    <s v="MICHELE MORAES - ESP - PR/SC/RS"/>
    <s v="Especialidade"/>
    <s v="rafael.esteves@cslbehring.com"/>
    <s v="RAFAEL ESTEVES (RJ/SPI/SUL)"/>
    <n v="0"/>
    <n v="0"/>
    <n v="0"/>
    <n v="0"/>
    <n v="1250"/>
  </r>
  <r>
    <x v="0"/>
    <x v="1"/>
    <x v="0"/>
    <n v="9579964000291"/>
    <x v="386"/>
    <s v="CURITIBA"/>
    <s v="PR"/>
    <s v="1-Setorizado"/>
    <n v="2"/>
    <x v="9"/>
    <s v="FERNANDA BORNHAUSEN - HSP - SC/PR"/>
    <s v="Hospitalar"/>
    <s v="rafael.esteves@cslbehring.com"/>
    <s v="RAFAEL ESTEVES (RJ/SPI/SUL)"/>
    <n v="0"/>
    <n v="0"/>
    <n v="0"/>
    <n v="0"/>
    <n v="1250"/>
  </r>
  <r>
    <x v="0"/>
    <x v="1"/>
    <x v="0"/>
    <n v="76591569000130"/>
    <x v="121"/>
    <s v="CURITIBA"/>
    <s v="PR"/>
    <s v="1-Setorizado"/>
    <n v="2"/>
    <x v="8"/>
    <s v="MICHELE MORAES - ESP - PR/SC/RS"/>
    <s v="Especialidade"/>
    <s v="rafael.esteves@cslbehring.com"/>
    <s v="RAFAEL ESTEVES (RJ/SPI/SUL)"/>
    <n v="0"/>
    <n v="0"/>
    <n v="0"/>
    <n v="0"/>
    <n v="250"/>
  </r>
  <r>
    <x v="0"/>
    <x v="1"/>
    <x v="0"/>
    <n v="76591569000130"/>
    <x v="121"/>
    <s v="CURITIBA"/>
    <s v="PR"/>
    <s v="1-Setorizado"/>
    <n v="2"/>
    <x v="9"/>
    <s v="FERNANDA BORNHAUSEN - HSP - SC/PR"/>
    <s v="Hospitalar"/>
    <s v="rafael.esteves@cslbehring.com"/>
    <s v="RAFAEL ESTEVES (RJ/SPI/SUL)"/>
    <n v="0"/>
    <n v="0"/>
    <n v="0"/>
    <n v="0"/>
    <n v="250"/>
  </r>
  <r>
    <x v="0"/>
    <x v="1"/>
    <x v="0"/>
    <n v="76659820002367"/>
    <x v="122"/>
    <s v="CURITIBA"/>
    <s v="PR"/>
    <s v="1-Setorizado"/>
    <n v="2"/>
    <x v="8"/>
    <s v="MICHELE MORAES - ESP - PR/SC/RS"/>
    <s v="Especialidade"/>
    <s v="rafael.esteves@cslbehring.com"/>
    <s v="RAFAEL ESTEVES (RJ/SPI/SUL)"/>
    <n v="0"/>
    <n v="0"/>
    <n v="0"/>
    <n v="0"/>
    <n v="315"/>
  </r>
  <r>
    <x v="0"/>
    <x v="1"/>
    <x v="0"/>
    <n v="76659820002367"/>
    <x v="122"/>
    <s v="CURITIBA"/>
    <s v="PR"/>
    <s v="1-Setorizado"/>
    <n v="2"/>
    <x v="9"/>
    <s v="FERNANDA BORNHAUSEN - HSP - SC/PR"/>
    <s v="Hospitalar"/>
    <s v="rafael.esteves@cslbehring.com"/>
    <s v="RAFAEL ESTEVES (RJ/SPI/SUL)"/>
    <n v="0"/>
    <n v="0"/>
    <n v="0"/>
    <n v="0"/>
    <n v="315"/>
  </r>
  <r>
    <x v="0"/>
    <x v="1"/>
    <x v="0"/>
    <n v="76498013000102"/>
    <x v="387"/>
    <s v="CURITIBA"/>
    <s v="PR"/>
    <s v="1-Setorizado"/>
    <n v="2"/>
    <x v="8"/>
    <s v="MICHELE MORAES - ESP - PR/SC/RS"/>
    <s v="Especialidade"/>
    <s v="rafael.esteves@cslbehring.com"/>
    <s v="RAFAEL ESTEVES (RJ/SPI/SUL)"/>
    <n v="0"/>
    <n v="0"/>
    <n v="0"/>
    <n v="0"/>
    <n v="55"/>
  </r>
  <r>
    <x v="0"/>
    <x v="1"/>
    <x v="0"/>
    <n v="76498013000102"/>
    <x v="387"/>
    <s v="CURITIBA"/>
    <s v="PR"/>
    <s v="1-Setorizado"/>
    <n v="2"/>
    <x v="9"/>
    <s v="FERNANDA BORNHAUSEN - HSP - SC/PR"/>
    <s v="Hospitalar"/>
    <s v="rafael.esteves@cslbehring.com"/>
    <s v="RAFAEL ESTEVES (RJ/SPI/SUL)"/>
    <n v="0"/>
    <n v="0"/>
    <n v="0"/>
    <n v="0"/>
    <n v="55"/>
  </r>
  <r>
    <x v="0"/>
    <x v="1"/>
    <x v="0"/>
    <n v="76555069000143"/>
    <x v="124"/>
    <s v="CURITIBA"/>
    <s v="PR"/>
    <s v="1-Setorizado"/>
    <n v="2"/>
    <x v="8"/>
    <s v="MICHELE MORAES - ESP - PR/SC/RS"/>
    <s v="Especialidade"/>
    <s v="rafael.esteves@cslbehring.com"/>
    <s v="RAFAEL ESTEVES (RJ/SPI/SUL)"/>
    <n v="0"/>
    <n v="0"/>
    <n v="0"/>
    <n v="0"/>
    <n v="170"/>
  </r>
  <r>
    <x v="0"/>
    <x v="1"/>
    <x v="0"/>
    <n v="76555069000143"/>
    <x v="124"/>
    <s v="CURITIBA"/>
    <s v="PR"/>
    <s v="1-Setorizado"/>
    <n v="2"/>
    <x v="9"/>
    <s v="FERNANDA BORNHAUSEN - HSP - SC/PR"/>
    <s v="Hospitalar"/>
    <s v="rafael.esteves@cslbehring.com"/>
    <s v="RAFAEL ESTEVES (RJ/SPI/SUL)"/>
    <n v="0"/>
    <n v="0"/>
    <n v="0"/>
    <n v="0"/>
    <n v="170"/>
  </r>
  <r>
    <x v="0"/>
    <x v="1"/>
    <x v="0"/>
    <n v="29435005005600"/>
    <x v="125"/>
    <s v="CURITIBA"/>
    <s v="PR"/>
    <s v="1-Setorizado"/>
    <n v="2"/>
    <x v="8"/>
    <s v="MICHELE MORAES - ESP - PR/SC/RS"/>
    <s v="Especialidade"/>
    <s v="rafael.esteves@cslbehring.com"/>
    <s v="RAFAEL ESTEVES (RJ/SPI/SUL)"/>
    <n v="0"/>
    <n v="0"/>
    <n v="0"/>
    <n v="0"/>
    <n v="255"/>
  </r>
  <r>
    <x v="0"/>
    <x v="1"/>
    <x v="0"/>
    <n v="29435005005600"/>
    <x v="125"/>
    <s v="CURITIBA"/>
    <s v="PR"/>
    <s v="1-Setorizado"/>
    <n v="2"/>
    <x v="9"/>
    <s v="FERNANDA BORNHAUSEN - HSP - SC/PR"/>
    <s v="Hospitalar"/>
    <s v="rafael.esteves@cslbehring.com"/>
    <s v="RAFAEL ESTEVES (RJ/SPI/SUL)"/>
    <n v="0"/>
    <n v="0"/>
    <n v="0"/>
    <n v="0"/>
    <n v="255"/>
  </r>
  <r>
    <x v="0"/>
    <x v="1"/>
    <x v="0"/>
    <n v="3824198000116"/>
    <x v="126"/>
    <s v="CURITIBA"/>
    <s v="PR"/>
    <s v="1-Setorizado"/>
    <n v="2"/>
    <x v="8"/>
    <s v="MICHELE MORAES - ESP - PR/SC/RS"/>
    <s v="Especialidade"/>
    <s v="rafael.esteves@cslbehring.com"/>
    <s v="RAFAEL ESTEVES (RJ/SPI/SUL)"/>
    <n v="0"/>
    <n v="0"/>
    <n v="0"/>
    <n v="0"/>
    <n v="250"/>
  </r>
  <r>
    <x v="0"/>
    <x v="1"/>
    <x v="0"/>
    <n v="3824198000116"/>
    <x v="126"/>
    <s v="CURITIBA"/>
    <s v="PR"/>
    <s v="1-Setorizado"/>
    <n v="2"/>
    <x v="9"/>
    <s v="FERNANDA BORNHAUSEN - HSP - SC/PR"/>
    <s v="Hospitalar"/>
    <s v="rafael.esteves@cslbehring.com"/>
    <s v="RAFAEL ESTEVES (RJ/SPI/SUL)"/>
    <n v="0"/>
    <n v="0"/>
    <n v="0"/>
    <n v="0"/>
    <n v="250"/>
  </r>
  <r>
    <x v="0"/>
    <x v="1"/>
    <x v="0"/>
    <n v="3850913000195"/>
    <x v="127"/>
    <s v="CURITIBA"/>
    <s v="PR"/>
    <s v="1-Setorizado"/>
    <n v="2"/>
    <x v="8"/>
    <s v="MICHELE MORAES - ESP - PR/SC/RS"/>
    <s v="Especialidade"/>
    <s v="rafael.esteves@cslbehring.com"/>
    <s v="RAFAEL ESTEVES (RJ/SPI/SUL)"/>
    <n v="0"/>
    <n v="0"/>
    <n v="0"/>
    <n v="0"/>
    <n v="520"/>
  </r>
  <r>
    <x v="0"/>
    <x v="1"/>
    <x v="0"/>
    <n v="3850913000195"/>
    <x v="127"/>
    <s v="CURITIBA"/>
    <s v="PR"/>
    <s v="1-Setorizado"/>
    <n v="2"/>
    <x v="9"/>
    <s v="FERNANDA BORNHAUSEN - HSP - SC/PR"/>
    <s v="Hospitalar"/>
    <s v="rafael.esteves@cslbehring.com"/>
    <s v="RAFAEL ESTEVES (RJ/SPI/SUL)"/>
    <n v="0"/>
    <n v="0"/>
    <n v="0"/>
    <n v="0"/>
    <n v="520"/>
  </r>
  <r>
    <x v="0"/>
    <x v="1"/>
    <x v="0"/>
    <n v="78633088000176"/>
    <x v="388"/>
    <s v="LONDRINA"/>
    <s v="PR"/>
    <s v="1-Setorizado"/>
    <n v="2"/>
    <x v="8"/>
    <s v="MICHELE MORAES - ESP - PR/SC/RS"/>
    <s v="Especialidade"/>
    <s v="rafael.esteves@cslbehring.com"/>
    <s v="RAFAEL ESTEVES (RJ/SPI/SUL)"/>
    <n v="0"/>
    <n v="0"/>
    <n v="0"/>
    <n v="0"/>
    <n v="10"/>
  </r>
  <r>
    <x v="0"/>
    <x v="1"/>
    <x v="0"/>
    <n v="78633088000176"/>
    <x v="388"/>
    <s v="LONDRINA"/>
    <s v="PR"/>
    <s v="1-Setorizado"/>
    <n v="2"/>
    <x v="9"/>
    <s v="FERNANDA BORNHAUSEN - HSP - SC/PR"/>
    <s v="Hospitalar"/>
    <s v="rafael.esteves@cslbehring.com"/>
    <s v="RAFAEL ESTEVES (RJ/SPI/SUL)"/>
    <n v="0"/>
    <n v="0"/>
    <n v="0"/>
    <n v="0"/>
    <n v="10"/>
  </r>
  <r>
    <x v="0"/>
    <x v="1"/>
    <x v="0"/>
    <n v="4762301000103"/>
    <x v="389"/>
    <s v="LONDRINA"/>
    <s v="PR"/>
    <s v="1-Setorizado"/>
    <n v="2"/>
    <x v="8"/>
    <s v="MICHELE MORAES - ESP - PR/SC/RS"/>
    <s v="Especialidade"/>
    <s v="rafael.esteves@cslbehring.com"/>
    <s v="RAFAEL ESTEVES (RJ/SPI/SUL)"/>
    <n v="0"/>
    <n v="0"/>
    <n v="0"/>
    <n v="0"/>
    <n v="180"/>
  </r>
  <r>
    <x v="0"/>
    <x v="1"/>
    <x v="0"/>
    <n v="4762301000103"/>
    <x v="389"/>
    <s v="LONDRINA"/>
    <s v="PR"/>
    <s v="1-Setorizado"/>
    <n v="2"/>
    <x v="9"/>
    <s v="FERNANDA BORNHAUSEN - HSP - SC/PR"/>
    <s v="Hospitalar"/>
    <s v="rafael.esteves@cslbehring.com"/>
    <s v="RAFAEL ESTEVES (RJ/SPI/SUL)"/>
    <n v="0"/>
    <n v="0"/>
    <n v="0"/>
    <n v="0"/>
    <n v="180"/>
  </r>
  <r>
    <x v="0"/>
    <x v="1"/>
    <x v="0"/>
    <n v="73863342000109"/>
    <x v="131"/>
    <s v="LONDRINA"/>
    <s v="PR"/>
    <s v="1-Setorizado"/>
    <n v="2"/>
    <x v="8"/>
    <s v="MICHELE MORAES - ESP - PR/SC/RS"/>
    <s v="Especialidade"/>
    <s v="rafael.esteves@cslbehring.com"/>
    <s v="RAFAEL ESTEVES (RJ/SPI/SUL)"/>
    <n v="0"/>
    <n v="0"/>
    <n v="0"/>
    <n v="0"/>
    <n v="20"/>
  </r>
  <r>
    <x v="0"/>
    <x v="1"/>
    <x v="0"/>
    <n v="73863342000109"/>
    <x v="131"/>
    <s v="LONDRINA"/>
    <s v="PR"/>
    <s v="1-Setorizado"/>
    <n v="2"/>
    <x v="9"/>
    <s v="FERNANDA BORNHAUSEN - HSP - SC/PR"/>
    <s v="Hospitalar"/>
    <s v="rafael.esteves@cslbehring.com"/>
    <s v="RAFAEL ESTEVES (RJ/SPI/SUL)"/>
    <n v="0"/>
    <n v="0"/>
    <n v="0"/>
    <n v="0"/>
    <n v="20"/>
  </r>
  <r>
    <x v="0"/>
    <x v="1"/>
    <x v="0"/>
    <n v="75222224001895"/>
    <x v="132"/>
    <s v="LONDRINA"/>
    <s v="PR"/>
    <s v="1-Setorizado"/>
    <n v="2"/>
    <x v="8"/>
    <s v="MICHELE MORAES - ESP - PR/SC/RS"/>
    <s v="Especialidade"/>
    <s v="rafael.esteves@cslbehring.com"/>
    <s v="RAFAEL ESTEVES (RJ/SPI/SUL)"/>
    <n v="0"/>
    <n v="0"/>
    <n v="0"/>
    <n v="0"/>
    <n v="1200"/>
  </r>
  <r>
    <x v="0"/>
    <x v="1"/>
    <x v="0"/>
    <n v="75222224001895"/>
    <x v="132"/>
    <s v="LONDRINA"/>
    <s v="PR"/>
    <s v="1-Setorizado"/>
    <n v="2"/>
    <x v="9"/>
    <s v="FERNANDA BORNHAUSEN - HSP - SC/PR"/>
    <s v="Hospitalar"/>
    <s v="rafael.esteves@cslbehring.com"/>
    <s v="RAFAEL ESTEVES (RJ/SPI/SUL)"/>
    <n v="0"/>
    <n v="0"/>
    <n v="0"/>
    <n v="0"/>
    <n v="1200"/>
  </r>
  <r>
    <x v="0"/>
    <x v="1"/>
    <x v="0"/>
    <n v="79115762000193"/>
    <x v="390"/>
    <s v="MARINGA"/>
    <s v="PR"/>
    <s v="1-Setorizado"/>
    <n v="2"/>
    <x v="8"/>
    <s v="MICHELE MORAES - ESP - PR/SC/RS"/>
    <s v="Especialidade"/>
    <s v="rafael.esteves@cslbehring.com"/>
    <s v="RAFAEL ESTEVES (RJ/SPI/SUL)"/>
    <n v="0"/>
    <n v="0"/>
    <n v="0"/>
    <n v="0"/>
    <n v="225"/>
  </r>
  <r>
    <x v="0"/>
    <x v="1"/>
    <x v="0"/>
    <n v="79115762000193"/>
    <x v="390"/>
    <s v="MARINGA"/>
    <s v="PR"/>
    <s v="1-Setorizado"/>
    <n v="2"/>
    <x v="9"/>
    <s v="FERNANDA BORNHAUSEN - HSP - SC/PR"/>
    <s v="Hospitalar"/>
    <s v="rafael.esteves@cslbehring.com"/>
    <s v="RAFAEL ESTEVES (RJ/SPI/SUL)"/>
    <n v="0"/>
    <n v="0"/>
    <n v="0"/>
    <n v="0"/>
    <n v="225"/>
  </r>
  <r>
    <x v="0"/>
    <x v="1"/>
    <x v="0"/>
    <n v="7794623002257"/>
    <x v="134"/>
    <s v="SAO JOSE DOS PINHAIS"/>
    <s v="PR"/>
    <s v="1-Setorizado"/>
    <n v="2"/>
    <x v="8"/>
    <s v="MICHELE MORAES - ESP - PR/SC/RS"/>
    <s v="Especialidade"/>
    <s v="rafael.esteves@cslbehring.com"/>
    <s v="RAFAEL ESTEVES (RJ/SPI/SUL)"/>
    <n v="0"/>
    <n v="0"/>
    <n v="0"/>
    <n v="0"/>
    <n v="415"/>
  </r>
  <r>
    <x v="0"/>
    <x v="1"/>
    <x v="0"/>
    <n v="7794623002257"/>
    <x v="134"/>
    <s v="SAO JOSE DOS PINHAIS"/>
    <s v="PR"/>
    <s v="1-Setorizado"/>
    <n v="2"/>
    <x v="9"/>
    <s v="FERNANDA BORNHAUSEN - HSP - SC/PR"/>
    <s v="Hospitalar"/>
    <s v="rafael.esteves@cslbehring.com"/>
    <s v="RAFAEL ESTEVES (RJ/SPI/SUL)"/>
    <n v="0"/>
    <n v="0"/>
    <n v="0"/>
    <n v="0"/>
    <n v="415"/>
  </r>
  <r>
    <x v="0"/>
    <x v="1"/>
    <x v="0"/>
    <n v="8562523000133"/>
    <x v="391"/>
    <s v="DUQUE DE CAXIAS"/>
    <s v="RJ"/>
    <s v="1-Setorizado"/>
    <n v="2"/>
    <x v="10"/>
    <s v="EVELINE GOULART - ESP - RJ"/>
    <s v="Especialidade"/>
    <s v="rafael.esteves@cslbehring.com"/>
    <s v="RAFAEL ESTEVES (RJ/SPI/SUL)"/>
    <n v="0"/>
    <n v="0"/>
    <n v="0"/>
    <n v="0"/>
    <n v="0"/>
  </r>
  <r>
    <x v="0"/>
    <x v="1"/>
    <x v="0"/>
    <n v="8562523000133"/>
    <x v="391"/>
    <s v="DUQUE DE CAXIAS"/>
    <s v="RJ"/>
    <s v="1-Setorizado"/>
    <n v="2"/>
    <x v="12"/>
    <s v="MARCUS BASTOS - HSP - RJ"/>
    <s v="Hospitalar"/>
    <s v="rafael.esteves@cslbehring.com"/>
    <s v="RAFAEL ESTEVES (RJ/SPI/SUL)"/>
    <n v="0"/>
    <n v="5"/>
    <n v="2"/>
    <n v="0"/>
    <n v="0"/>
  </r>
  <r>
    <x v="0"/>
    <x v="1"/>
    <x v="0"/>
    <n v="6047087001372"/>
    <x v="135"/>
    <s v="DUQUE DE CAXIAS"/>
    <s v="RJ"/>
    <s v="1-Setorizado"/>
    <n v="2"/>
    <x v="10"/>
    <s v="EVELINE GOULART - ESP - RJ"/>
    <s v="Especialidade"/>
    <s v="rafael.esteves@cslbehring.com"/>
    <s v="RAFAEL ESTEVES (RJ/SPI/SUL)"/>
    <n v="0"/>
    <n v="0"/>
    <n v="0"/>
    <n v="0"/>
    <n v="0"/>
  </r>
  <r>
    <x v="0"/>
    <x v="1"/>
    <x v="0"/>
    <n v="6047087001372"/>
    <x v="135"/>
    <s v="DUQUE DE CAXIAS"/>
    <s v="RJ"/>
    <s v="1-Setorizado"/>
    <n v="2"/>
    <x v="11"/>
    <s v="ROMEU SOARES - HSP - RJ"/>
    <s v="Hospitalar"/>
    <s v="rafael.esteves@cslbehring.com"/>
    <s v="RAFAEL ESTEVES (RJ/SPI/SUL)"/>
    <n v="0"/>
    <n v="3"/>
    <n v="4"/>
    <n v="0"/>
    <n v="0"/>
  </r>
  <r>
    <x v="0"/>
    <x v="1"/>
    <x v="0"/>
    <n v="29435005003497"/>
    <x v="392"/>
    <s v="DUQUE DE CAXIAS"/>
    <s v="RJ"/>
    <s v="1-Setorizado"/>
    <n v="2"/>
    <x v="10"/>
    <s v="EVELINE GOULART - ESP - RJ"/>
    <s v="Especialidade"/>
    <s v="rafael.esteves@cslbehring.com"/>
    <s v="RAFAEL ESTEVES (RJ/SPI/SUL)"/>
    <n v="0"/>
    <n v="0"/>
    <n v="0"/>
    <n v="0"/>
    <n v="150"/>
  </r>
  <r>
    <x v="0"/>
    <x v="1"/>
    <x v="0"/>
    <n v="29435005003497"/>
    <x v="392"/>
    <s v="DUQUE DE CAXIAS"/>
    <s v="RJ"/>
    <s v="1-Setorizado"/>
    <n v="2"/>
    <x v="12"/>
    <s v="MARCUS BASTOS - HSP - RJ"/>
    <s v="Hospitalar"/>
    <s v="rafael.esteves@cslbehring.com"/>
    <s v="RAFAEL ESTEVES (RJ/SPI/SUL)"/>
    <n v="0"/>
    <n v="0"/>
    <n v="0"/>
    <n v="0"/>
    <n v="150"/>
  </r>
  <r>
    <x v="0"/>
    <x v="1"/>
    <x v="0"/>
    <n v="29640612000120"/>
    <x v="393"/>
    <s v="ITAPERUNA"/>
    <s v="RJ"/>
    <s v="1-Setorizado"/>
    <n v="2"/>
    <x v="10"/>
    <s v="EVELINE GOULART - ESP - RJ"/>
    <s v="Especialidade"/>
    <s v="rafael.esteves@cslbehring.com"/>
    <s v="RAFAEL ESTEVES (RJ/SPI/SUL)"/>
    <n v="0"/>
    <n v="0"/>
    <n v="0"/>
    <n v="0"/>
    <n v="0"/>
  </r>
  <r>
    <x v="0"/>
    <x v="1"/>
    <x v="0"/>
    <n v="29640612000120"/>
    <x v="393"/>
    <s v="ITAPERUNA"/>
    <s v="RJ"/>
    <s v="1-Setorizado"/>
    <n v="2"/>
    <x v="12"/>
    <s v="MARCUS BASTOS - HSP - RJ"/>
    <s v="Hospitalar"/>
    <s v="rafael.esteves@cslbehring.com"/>
    <s v="RAFAEL ESTEVES (RJ/SPI/SUL)"/>
    <n v="0"/>
    <n v="0"/>
    <n v="1"/>
    <n v="0"/>
    <n v="0"/>
  </r>
  <r>
    <x v="0"/>
    <x v="1"/>
    <x v="0"/>
    <n v="30079461000162"/>
    <x v="394"/>
    <s v="NITEROI"/>
    <s v="RJ"/>
    <s v="1-Setorizado"/>
    <n v="2"/>
    <x v="10"/>
    <s v="EVELINE GOULART - ESP - RJ"/>
    <s v="Especialidade"/>
    <s v="rafael.esteves@cslbehring.com"/>
    <s v="RAFAEL ESTEVES (RJ/SPI/SUL)"/>
    <n v="0"/>
    <n v="0"/>
    <n v="0"/>
    <n v="0"/>
    <n v="0"/>
  </r>
  <r>
    <x v="0"/>
    <x v="1"/>
    <x v="0"/>
    <n v="30079461000162"/>
    <x v="394"/>
    <s v="NITEROI"/>
    <s v="RJ"/>
    <s v="1-Setorizado"/>
    <n v="2"/>
    <x v="11"/>
    <s v="ROMEU SOARES - HSP - RJ"/>
    <s v="Hospitalar"/>
    <s v="rafael.esteves@cslbehring.com"/>
    <s v="RAFAEL ESTEVES (RJ/SPI/SUL)"/>
    <n v="0"/>
    <n v="16"/>
    <n v="2"/>
    <n v="0"/>
    <n v="0"/>
  </r>
  <r>
    <x v="0"/>
    <x v="1"/>
    <x v="0"/>
    <n v="437007000175"/>
    <x v="137"/>
    <s v="NITEROI"/>
    <s v="RJ"/>
    <s v="1-Setorizado"/>
    <n v="2"/>
    <x v="10"/>
    <s v="EVELINE GOULART - ESP - RJ"/>
    <s v="Especialidade"/>
    <s v="rafael.esteves@cslbehring.com"/>
    <s v="RAFAEL ESTEVES (RJ/SPI/SUL)"/>
    <n v="0"/>
    <n v="0"/>
    <n v="0"/>
    <n v="228"/>
    <n v="505"/>
  </r>
  <r>
    <x v="0"/>
    <x v="1"/>
    <x v="0"/>
    <n v="437007000175"/>
    <x v="137"/>
    <s v="NITEROI"/>
    <s v="RJ"/>
    <s v="1-Setorizado"/>
    <n v="2"/>
    <x v="11"/>
    <s v="ROMEU SOARES - HSP - RJ"/>
    <s v="Hospitalar"/>
    <s v="rafael.esteves@cslbehring.com"/>
    <s v="RAFAEL ESTEVES (RJ/SPI/SUL)"/>
    <n v="0"/>
    <n v="0"/>
    <n v="0"/>
    <n v="0"/>
    <n v="505"/>
  </r>
  <r>
    <x v="0"/>
    <x v="1"/>
    <x v="0"/>
    <n v="60884855001207"/>
    <x v="138"/>
    <s v="NITEROI"/>
    <s v="RJ"/>
    <s v="1-Setorizado"/>
    <n v="2"/>
    <x v="10"/>
    <s v="EVELINE GOULART - ESP - RJ"/>
    <s v="Especialidade"/>
    <s v="rafael.esteves@cslbehring.com"/>
    <s v="RAFAEL ESTEVES (RJ/SPI/SUL)"/>
    <n v="0"/>
    <n v="0"/>
    <n v="0"/>
    <n v="18"/>
    <n v="985"/>
  </r>
  <r>
    <x v="0"/>
    <x v="1"/>
    <x v="0"/>
    <n v="60884855001207"/>
    <x v="138"/>
    <s v="NITEROI"/>
    <s v="RJ"/>
    <s v="1-Setorizado"/>
    <n v="2"/>
    <x v="11"/>
    <s v="ROMEU SOARES - HSP - RJ"/>
    <s v="Hospitalar"/>
    <s v="rafael.esteves@cslbehring.com"/>
    <s v="RAFAEL ESTEVES (RJ/SPI/SUL)"/>
    <n v="0"/>
    <n v="17"/>
    <n v="6"/>
    <n v="0"/>
    <n v="985"/>
  </r>
  <r>
    <x v="0"/>
    <x v="1"/>
    <x v="0"/>
    <n v="521197000104"/>
    <x v="139"/>
    <s v="NITEROI"/>
    <s v="RJ"/>
    <s v="1-Setorizado"/>
    <n v="2"/>
    <x v="10"/>
    <s v="EVELINE GOULART - ESP - RJ"/>
    <s v="Especialidade"/>
    <s v="rafael.esteves@cslbehring.com"/>
    <s v="RAFAEL ESTEVES (RJ/SPI/SUL)"/>
    <n v="0"/>
    <n v="0"/>
    <n v="0"/>
    <n v="0"/>
    <n v="638"/>
  </r>
  <r>
    <x v="0"/>
    <x v="1"/>
    <x v="0"/>
    <n v="521197000104"/>
    <x v="139"/>
    <s v="NITEROI"/>
    <s v="RJ"/>
    <s v="1-Setorizado"/>
    <n v="2"/>
    <x v="12"/>
    <s v="MARCUS BASTOS - HSP - RJ"/>
    <s v="Hospitalar"/>
    <s v="rafael.esteves@cslbehring.com"/>
    <s v="RAFAEL ESTEVES (RJ/SPI/SUL)"/>
    <n v="0"/>
    <n v="0"/>
    <n v="0"/>
    <n v="0"/>
    <n v="638"/>
  </r>
  <r>
    <x v="0"/>
    <x v="1"/>
    <x v="0"/>
    <n v="30537740000122"/>
    <x v="395"/>
    <s v="NOVA FRIBURGO"/>
    <s v="RJ"/>
    <s v="1-Setorizado"/>
    <n v="2"/>
    <x v="10"/>
    <s v="EVELINE GOULART - ESP - RJ"/>
    <s v="Especialidade"/>
    <s v="rafael.esteves@cslbehring.com"/>
    <s v="RAFAEL ESTEVES (RJ/SPI/SUL)"/>
    <n v="0"/>
    <n v="0"/>
    <n v="0"/>
    <n v="0"/>
    <n v="215"/>
  </r>
  <r>
    <x v="0"/>
    <x v="1"/>
    <x v="0"/>
    <n v="30537740000122"/>
    <x v="395"/>
    <s v="NOVA FRIBURGO"/>
    <s v="RJ"/>
    <s v="1-Setorizado"/>
    <n v="2"/>
    <x v="12"/>
    <s v="MARCUS BASTOS - HSP - RJ"/>
    <s v="Hospitalar"/>
    <s v="rafael.esteves@cslbehring.com"/>
    <s v="RAFAEL ESTEVES (RJ/SPI/SUL)"/>
    <n v="0"/>
    <n v="0"/>
    <n v="0"/>
    <n v="0"/>
    <n v="215"/>
  </r>
  <r>
    <x v="0"/>
    <x v="1"/>
    <x v="0"/>
    <n v="29135795000208"/>
    <x v="140"/>
    <s v="NOVA FRIBURGO"/>
    <s v="RJ"/>
    <s v="1-Setorizado"/>
    <n v="2"/>
    <x v="10"/>
    <s v="EVELINE GOULART - ESP - RJ"/>
    <s v="Especialidade"/>
    <s v="rafael.esteves@cslbehring.com"/>
    <s v="RAFAEL ESTEVES (RJ/SPI/SUL)"/>
    <n v="0"/>
    <n v="0"/>
    <n v="0"/>
    <n v="0"/>
    <n v="275"/>
  </r>
  <r>
    <x v="0"/>
    <x v="1"/>
    <x v="0"/>
    <n v="29135795000208"/>
    <x v="140"/>
    <s v="NOVA FRIBURGO"/>
    <s v="RJ"/>
    <s v="1-Setorizado"/>
    <n v="2"/>
    <x v="12"/>
    <s v="MARCUS BASTOS - HSP - RJ"/>
    <s v="Hospitalar"/>
    <s v="rafael.esteves@cslbehring.com"/>
    <s v="RAFAEL ESTEVES (RJ/SPI/SUL)"/>
    <n v="0"/>
    <n v="0"/>
    <n v="0"/>
    <n v="0"/>
    <n v="275"/>
  </r>
  <r>
    <x v="0"/>
    <x v="1"/>
    <x v="0"/>
    <n v="7794623001528"/>
    <x v="141"/>
    <s v="NOVA IGUACU"/>
    <s v="RJ"/>
    <s v="1-Setorizado"/>
    <n v="2"/>
    <x v="10"/>
    <s v="EVELINE GOULART - ESP - RJ"/>
    <s v="Especialidade"/>
    <s v="rafael.esteves@cslbehring.com"/>
    <s v="RAFAEL ESTEVES (RJ/SPI/SUL)"/>
    <n v="0"/>
    <n v="0"/>
    <n v="0"/>
    <n v="28"/>
    <n v="0"/>
  </r>
  <r>
    <x v="0"/>
    <x v="1"/>
    <x v="0"/>
    <n v="7794623001528"/>
    <x v="141"/>
    <s v="NOVA IGUACU"/>
    <s v="RJ"/>
    <s v="1-Setorizado"/>
    <n v="2"/>
    <x v="11"/>
    <s v="ROMEU SOARES - HSP - RJ"/>
    <s v="Hospitalar"/>
    <s v="rafael.esteves@cslbehring.com"/>
    <s v="RAFAEL ESTEVES (RJ/SPI/SUL)"/>
    <n v="0"/>
    <n v="0"/>
    <n v="0"/>
    <n v="0"/>
    <n v="0"/>
  </r>
  <r>
    <x v="0"/>
    <x v="1"/>
    <x v="0"/>
    <n v="28806545000532"/>
    <x v="142"/>
    <s v="PETROPOLIS"/>
    <s v="RJ"/>
    <s v="1-Setorizado"/>
    <n v="2"/>
    <x v="10"/>
    <s v="EVELINE GOULART - ESP - RJ"/>
    <s v="Especialidade"/>
    <s v="rafael.esteves@cslbehring.com"/>
    <s v="RAFAEL ESTEVES (RJ/SPI/SUL)"/>
    <n v="0"/>
    <n v="0"/>
    <n v="0"/>
    <n v="96"/>
    <n v="0"/>
  </r>
  <r>
    <x v="0"/>
    <x v="1"/>
    <x v="0"/>
    <n v="28806545000532"/>
    <x v="142"/>
    <s v="PETROPOLIS"/>
    <s v="RJ"/>
    <s v="1-Setorizado"/>
    <n v="2"/>
    <x v="12"/>
    <s v="MARCUS BASTOS - HSP - RJ"/>
    <s v="Hospitalar"/>
    <s v="rafael.esteves@cslbehring.com"/>
    <s v="RAFAEL ESTEVES (RJ/SPI/SUL)"/>
    <n v="0"/>
    <n v="0"/>
    <n v="0"/>
    <n v="0"/>
    <n v="0"/>
  </r>
  <r>
    <x v="0"/>
    <x v="1"/>
    <x v="0"/>
    <n v="68709211000212"/>
    <x v="143"/>
    <s v="RESENDE"/>
    <s v="RJ"/>
    <s v="1-Setorizado"/>
    <n v="2"/>
    <x v="10"/>
    <s v="EVELINE GOULART - ESP - RJ"/>
    <s v="Especialidade"/>
    <s v="rafael.esteves@cslbehring.com"/>
    <s v="RAFAEL ESTEVES (RJ/SPI/SUL)"/>
    <n v="0"/>
    <n v="0"/>
    <n v="0"/>
    <n v="0"/>
    <n v="200"/>
  </r>
  <r>
    <x v="0"/>
    <x v="1"/>
    <x v="0"/>
    <n v="68709211000212"/>
    <x v="143"/>
    <s v="RESENDE"/>
    <s v="RJ"/>
    <s v="1-Setorizado"/>
    <n v="2"/>
    <x v="12"/>
    <s v="MARCUS BASTOS - HSP - RJ"/>
    <s v="Hospitalar"/>
    <s v="rafael.esteves@cslbehring.com"/>
    <s v="RAFAEL ESTEVES (RJ/SPI/SUL)"/>
    <n v="0"/>
    <n v="1"/>
    <n v="0"/>
    <n v="0"/>
    <n v="200"/>
  </r>
  <r>
    <x v="0"/>
    <x v="1"/>
    <x v="0"/>
    <n v="29435005005279"/>
    <x v="396"/>
    <s v="RIO DE JANEIRO"/>
    <s v="RJ"/>
    <s v="1-Setorizado"/>
    <n v="2"/>
    <x v="10"/>
    <s v="EVELINE GOULART - ESP - RJ"/>
    <s v="Especialidade"/>
    <s v="rafael.esteves@cslbehring.com"/>
    <s v="RAFAEL ESTEVES (RJ/SPI/SUL)"/>
    <n v="0"/>
    <n v="0"/>
    <n v="0"/>
    <n v="0"/>
    <n v="0"/>
  </r>
  <r>
    <x v="0"/>
    <x v="1"/>
    <x v="0"/>
    <n v="29435005005279"/>
    <x v="396"/>
    <s v="RIO DE JANEIRO"/>
    <s v="RJ"/>
    <s v="1-Setorizado"/>
    <n v="2"/>
    <x v="11"/>
    <s v="ROMEU SOARES - HSP - RJ"/>
    <s v="Hospitalar"/>
    <s v="rafael.esteves@cslbehring.com"/>
    <s v="RAFAEL ESTEVES (RJ/SPI/SUL)"/>
    <n v="0"/>
    <n v="5"/>
    <n v="0"/>
    <n v="0"/>
    <n v="0"/>
  </r>
  <r>
    <x v="0"/>
    <x v="1"/>
    <x v="0"/>
    <n v="60922168000348"/>
    <x v="146"/>
    <s v="RIO DE JANEIRO"/>
    <s v="RJ"/>
    <s v="1-Setorizado"/>
    <n v="2"/>
    <x v="10"/>
    <s v="EVELINE GOULART - ESP - RJ"/>
    <s v="Especialidade"/>
    <s v="rafael.esteves@cslbehring.com"/>
    <s v="RAFAEL ESTEVES (RJ/SPI/SUL)"/>
    <n v="0"/>
    <n v="0"/>
    <n v="0"/>
    <n v="0"/>
    <n v="210"/>
  </r>
  <r>
    <x v="0"/>
    <x v="1"/>
    <x v="0"/>
    <n v="60922168000348"/>
    <x v="146"/>
    <s v="RIO DE JANEIRO"/>
    <s v="RJ"/>
    <s v="1-Setorizado"/>
    <n v="2"/>
    <x v="11"/>
    <s v="ROMEU SOARES - HSP - RJ"/>
    <s v="Hospitalar"/>
    <s v="rafael.esteves@cslbehring.com"/>
    <s v="RAFAEL ESTEVES (RJ/SPI/SUL)"/>
    <n v="0"/>
    <n v="4"/>
    <n v="9"/>
    <n v="0"/>
    <n v="210"/>
  </r>
  <r>
    <x v="0"/>
    <x v="1"/>
    <x v="0"/>
    <n v="7794623004896"/>
    <x v="147"/>
    <s v="RIO DE JANEIRO"/>
    <s v="RJ"/>
    <s v="1-Setorizado"/>
    <n v="2"/>
    <x v="10"/>
    <s v="EVELINE GOULART - ESP - RJ"/>
    <s v="Especialidade"/>
    <s v="rafael.esteves@cslbehring.com"/>
    <s v="RAFAEL ESTEVES (RJ/SPI/SUL)"/>
    <n v="0"/>
    <n v="0"/>
    <n v="0"/>
    <n v="0"/>
    <n v="700"/>
  </r>
  <r>
    <x v="0"/>
    <x v="1"/>
    <x v="0"/>
    <n v="7794623004896"/>
    <x v="147"/>
    <s v="RIO DE JANEIRO"/>
    <s v="RJ"/>
    <s v="1-Setorizado"/>
    <n v="2"/>
    <x v="11"/>
    <s v="ROMEU SOARES - HSP - RJ"/>
    <s v="Hospitalar"/>
    <s v="rafael.esteves@cslbehring.com"/>
    <s v="RAFAEL ESTEVES (RJ/SPI/SUL)"/>
    <n v="0"/>
    <n v="0"/>
    <n v="0"/>
    <n v="0"/>
    <n v="700"/>
  </r>
  <r>
    <x v="0"/>
    <x v="1"/>
    <x v="0"/>
    <n v="2864097000106"/>
    <x v="149"/>
    <s v="RIO DE JANEIRO"/>
    <s v="RJ"/>
    <s v="1-Setorizado"/>
    <n v="2"/>
    <x v="10"/>
    <s v="EVELINE GOULART - ESP - RJ"/>
    <s v="Especialidade"/>
    <s v="rafael.esteves@cslbehring.com"/>
    <s v="RAFAEL ESTEVES (RJ/SPI/SUL)"/>
    <n v="0"/>
    <n v="0"/>
    <n v="0"/>
    <n v="0"/>
    <n v="150"/>
  </r>
  <r>
    <x v="0"/>
    <x v="1"/>
    <x v="0"/>
    <n v="2864097000106"/>
    <x v="149"/>
    <s v="RIO DE JANEIRO"/>
    <s v="RJ"/>
    <s v="1-Setorizado"/>
    <n v="2"/>
    <x v="11"/>
    <s v="ROMEU SOARES - HSP - RJ"/>
    <s v="Hospitalar"/>
    <s v="rafael.esteves@cslbehring.com"/>
    <s v="RAFAEL ESTEVES (RJ/SPI/SUL)"/>
    <n v="0"/>
    <n v="0"/>
    <n v="0"/>
    <n v="0"/>
    <n v="150"/>
  </r>
  <r>
    <x v="0"/>
    <x v="1"/>
    <x v="0"/>
    <n v="40320103000153"/>
    <x v="397"/>
    <s v="RIO DE JANEIRO"/>
    <s v="RJ"/>
    <s v="1-Setorizado"/>
    <n v="2"/>
    <x v="10"/>
    <s v="EVELINE GOULART - ESP - RJ"/>
    <s v="Especialidade"/>
    <s v="rafael.esteves@cslbehring.com"/>
    <s v="RAFAEL ESTEVES (RJ/SPI/SUL)"/>
    <n v="0"/>
    <n v="0"/>
    <n v="0"/>
    <n v="0"/>
    <n v="0"/>
  </r>
  <r>
    <x v="0"/>
    <x v="1"/>
    <x v="0"/>
    <n v="40320103000153"/>
    <x v="397"/>
    <s v="RIO DE JANEIRO"/>
    <s v="RJ"/>
    <s v="1-Setorizado"/>
    <n v="2"/>
    <x v="12"/>
    <s v="MARCUS BASTOS - HSP - RJ"/>
    <s v="Hospitalar"/>
    <s v="rafael.esteves@cslbehring.com"/>
    <s v="RAFAEL ESTEVES (RJ/SPI/SUL)"/>
    <n v="0"/>
    <n v="5"/>
    <n v="0"/>
    <n v="0"/>
    <n v="0"/>
  </r>
  <r>
    <x v="0"/>
    <x v="1"/>
    <x v="0"/>
    <n v="22400856000197"/>
    <x v="398"/>
    <s v="RIO DE JANEIRO"/>
    <s v="RJ"/>
    <s v="1-Setorizado"/>
    <n v="2"/>
    <x v="10"/>
    <s v="EVELINE GOULART - ESP - RJ"/>
    <s v="Especialidade"/>
    <s v="rafael.esteves@cslbehring.com"/>
    <s v="RAFAEL ESTEVES (RJ/SPI/SUL)"/>
    <n v="0"/>
    <n v="0"/>
    <n v="0"/>
    <n v="0"/>
    <n v="50"/>
  </r>
  <r>
    <x v="0"/>
    <x v="1"/>
    <x v="0"/>
    <n v="22400856000197"/>
    <x v="398"/>
    <s v="RIO DE JANEIRO"/>
    <s v="RJ"/>
    <s v="1-Setorizado"/>
    <n v="2"/>
    <x v="12"/>
    <s v="MARCUS BASTOS - HSP - RJ"/>
    <s v="Hospitalar"/>
    <s v="rafael.esteves@cslbehring.com"/>
    <s v="RAFAEL ESTEVES (RJ/SPI/SUL)"/>
    <n v="0"/>
    <n v="0"/>
    <n v="0"/>
    <n v="0"/>
    <n v="50"/>
  </r>
  <r>
    <x v="0"/>
    <x v="1"/>
    <x v="0"/>
    <n v="39086160000130"/>
    <x v="151"/>
    <s v="RIO DE JANEIRO"/>
    <s v="RJ"/>
    <s v="1-Setorizado"/>
    <n v="2"/>
    <x v="10"/>
    <s v="EVELINE GOULART - ESP - RJ"/>
    <s v="Especialidade"/>
    <s v="rafael.esteves@cslbehring.com"/>
    <s v="RAFAEL ESTEVES (RJ/SPI/SUL)"/>
    <n v="0"/>
    <n v="0"/>
    <n v="0"/>
    <n v="48"/>
    <n v="150"/>
  </r>
  <r>
    <x v="0"/>
    <x v="1"/>
    <x v="0"/>
    <n v="39086160000130"/>
    <x v="151"/>
    <s v="RIO DE JANEIRO"/>
    <s v="RJ"/>
    <s v="1-Setorizado"/>
    <n v="2"/>
    <x v="11"/>
    <s v="ROMEU SOARES - HSP - RJ"/>
    <s v="Hospitalar"/>
    <s v="rafael.esteves@cslbehring.com"/>
    <s v="RAFAEL ESTEVES (RJ/SPI/SUL)"/>
    <n v="0"/>
    <n v="0"/>
    <n v="0"/>
    <n v="0"/>
    <n v="150"/>
  </r>
  <r>
    <x v="0"/>
    <x v="1"/>
    <x v="0"/>
    <n v="21265360000195"/>
    <x v="152"/>
    <s v="RIO DE JANEIRO"/>
    <s v="RJ"/>
    <s v="1-Setorizado"/>
    <n v="2"/>
    <x v="10"/>
    <s v="EVELINE GOULART - ESP - RJ"/>
    <s v="Especialidade"/>
    <s v="rafael.esteves@cslbehring.com"/>
    <s v="RAFAEL ESTEVES (RJ/SPI/SUL)"/>
    <n v="0"/>
    <n v="0"/>
    <n v="0"/>
    <n v="16"/>
    <n v="0"/>
  </r>
  <r>
    <x v="0"/>
    <x v="1"/>
    <x v="0"/>
    <n v="21265360000195"/>
    <x v="152"/>
    <s v="RIO DE JANEIRO"/>
    <s v="RJ"/>
    <s v="1-Setorizado"/>
    <n v="2"/>
    <x v="12"/>
    <s v="MARCUS BASTOS - HSP - RJ"/>
    <s v="Hospitalar"/>
    <s v="rafael.esteves@cslbehring.com"/>
    <s v="RAFAEL ESTEVES (RJ/SPI/SUL)"/>
    <n v="0"/>
    <n v="0"/>
    <n v="0"/>
    <n v="0"/>
    <n v="0"/>
  </r>
  <r>
    <x v="0"/>
    <x v="1"/>
    <x v="0"/>
    <n v="31635857000292"/>
    <x v="153"/>
    <s v="RIO DE JANEIRO"/>
    <s v="RJ"/>
    <s v="1-Setorizado"/>
    <n v="2"/>
    <x v="10"/>
    <s v="EVELINE GOULART - ESP - RJ"/>
    <s v="Especialidade"/>
    <s v="rafael.esteves@cslbehring.com"/>
    <s v="RAFAEL ESTEVES (RJ/SPI/SUL)"/>
    <n v="0"/>
    <n v="0"/>
    <n v="0"/>
    <n v="36"/>
    <n v="0"/>
  </r>
  <r>
    <x v="0"/>
    <x v="1"/>
    <x v="0"/>
    <n v="31635857000292"/>
    <x v="153"/>
    <s v="RIO DE JANEIRO"/>
    <s v="RJ"/>
    <s v="1-Setorizado"/>
    <n v="2"/>
    <x v="11"/>
    <s v="ROMEU SOARES - HSP - RJ"/>
    <s v="Hospitalar"/>
    <s v="rafael.esteves@cslbehring.com"/>
    <s v="RAFAEL ESTEVES (RJ/SPI/SUL)"/>
    <n v="0"/>
    <n v="0"/>
    <n v="0"/>
    <n v="0"/>
    <n v="0"/>
  </r>
  <r>
    <x v="0"/>
    <x v="1"/>
    <x v="0"/>
    <n v="42297507000107"/>
    <x v="399"/>
    <s v="RIO DE JANEIRO"/>
    <s v="RJ"/>
    <s v="1-Setorizado"/>
    <n v="2"/>
    <x v="10"/>
    <s v="EVELINE GOULART - ESP - RJ"/>
    <s v="Especialidade"/>
    <s v="rafael.esteves@cslbehring.com"/>
    <s v="RAFAEL ESTEVES (RJ/SPI/SUL)"/>
    <n v="0"/>
    <n v="0"/>
    <n v="0"/>
    <n v="0"/>
    <n v="0"/>
  </r>
  <r>
    <x v="0"/>
    <x v="1"/>
    <x v="0"/>
    <n v="42297507000107"/>
    <x v="399"/>
    <s v="RIO DE JANEIRO"/>
    <s v="RJ"/>
    <s v="1-Setorizado"/>
    <n v="2"/>
    <x v="11"/>
    <s v="ROMEU SOARES - HSP - RJ"/>
    <s v="Hospitalar"/>
    <s v="rafael.esteves@cslbehring.com"/>
    <s v="RAFAEL ESTEVES (RJ/SPI/SUL)"/>
    <n v="0"/>
    <n v="4"/>
    <n v="4"/>
    <n v="0"/>
    <n v="0"/>
  </r>
  <r>
    <x v="0"/>
    <x v="1"/>
    <x v="0"/>
    <n v="2284062000521"/>
    <x v="155"/>
    <s v="RIO DE JANEIRO"/>
    <s v="RJ"/>
    <s v="1-Setorizado"/>
    <n v="2"/>
    <x v="10"/>
    <s v="EVELINE GOULART - ESP - RJ"/>
    <s v="Especialidade"/>
    <s v="rafael.esteves@cslbehring.com"/>
    <s v="RAFAEL ESTEVES (RJ/SPI/SUL)"/>
    <n v="0"/>
    <n v="0"/>
    <n v="0"/>
    <n v="0"/>
    <n v="0"/>
  </r>
  <r>
    <x v="0"/>
    <x v="1"/>
    <x v="0"/>
    <n v="2284062000521"/>
    <x v="155"/>
    <s v="RIO DE JANEIRO"/>
    <s v="RJ"/>
    <s v="1-Setorizado"/>
    <n v="2"/>
    <x v="12"/>
    <s v="MARCUS BASTOS - HSP - RJ"/>
    <s v="Hospitalar"/>
    <s v="rafael.esteves@cslbehring.com"/>
    <s v="RAFAEL ESTEVES (RJ/SPI/SUL)"/>
    <n v="0"/>
    <n v="22"/>
    <n v="3"/>
    <n v="0"/>
    <n v="0"/>
  </r>
  <r>
    <x v="0"/>
    <x v="1"/>
    <x v="0"/>
    <n v="24217779000160"/>
    <x v="156"/>
    <s v="RIO DE JANEIRO"/>
    <s v="RJ"/>
    <s v="1-Setorizado"/>
    <n v="2"/>
    <x v="10"/>
    <s v="EVELINE GOULART - ESP - RJ"/>
    <s v="Especialidade"/>
    <s v="rafael.esteves@cslbehring.com"/>
    <s v="RAFAEL ESTEVES (RJ/SPI/SUL)"/>
    <n v="0"/>
    <n v="0"/>
    <n v="0"/>
    <n v="0"/>
    <n v="0"/>
  </r>
  <r>
    <x v="0"/>
    <x v="1"/>
    <x v="0"/>
    <n v="24217779000160"/>
    <x v="156"/>
    <s v="RIO DE JANEIRO"/>
    <s v="RJ"/>
    <s v="1-Setorizado"/>
    <n v="2"/>
    <x v="12"/>
    <s v="MARCUS BASTOS - HSP - RJ"/>
    <s v="Hospitalar"/>
    <s v="rafael.esteves@cslbehring.com"/>
    <s v="RAFAEL ESTEVES (RJ/SPI/SUL)"/>
    <n v="0"/>
    <n v="4"/>
    <n v="0"/>
    <n v="0"/>
    <n v="0"/>
  </r>
  <r>
    <x v="0"/>
    <x v="1"/>
    <x v="0"/>
    <n v="6047087000996"/>
    <x v="159"/>
    <s v="RIO DE JANEIRO"/>
    <s v="RJ"/>
    <s v="1-Setorizado"/>
    <n v="2"/>
    <x v="10"/>
    <s v="EVELINE GOULART - ESP - RJ"/>
    <s v="Especialidade"/>
    <s v="rafael.esteves@cslbehring.com"/>
    <s v="RAFAEL ESTEVES (RJ/SPI/SUL)"/>
    <n v="0"/>
    <n v="0"/>
    <n v="0"/>
    <n v="0"/>
    <n v="0"/>
  </r>
  <r>
    <x v="0"/>
    <x v="1"/>
    <x v="0"/>
    <n v="6047087000996"/>
    <x v="159"/>
    <s v="RIO DE JANEIRO"/>
    <s v="RJ"/>
    <s v="1-Setorizado"/>
    <n v="2"/>
    <x v="11"/>
    <s v="ROMEU SOARES - HSP - RJ"/>
    <s v="Hospitalar"/>
    <s v="rafael.esteves@cslbehring.com"/>
    <s v="RAFAEL ESTEVES (RJ/SPI/SUL)"/>
    <n v="0"/>
    <n v="15"/>
    <n v="10"/>
    <n v="0"/>
    <n v="0"/>
  </r>
  <r>
    <x v="0"/>
    <x v="1"/>
    <x v="0"/>
    <n v="6047087002697"/>
    <x v="160"/>
    <s v="RIO DE JANEIRO"/>
    <s v="RJ"/>
    <s v="1-Setorizado"/>
    <n v="2"/>
    <x v="10"/>
    <s v="EVELINE GOULART - ESP - RJ"/>
    <s v="Especialidade"/>
    <s v="rafael.esteves@cslbehring.com"/>
    <s v="RAFAEL ESTEVES (RJ/SPI/SUL)"/>
    <n v="0"/>
    <n v="0"/>
    <n v="0"/>
    <n v="0"/>
    <n v="75"/>
  </r>
  <r>
    <x v="0"/>
    <x v="1"/>
    <x v="0"/>
    <n v="6047087002697"/>
    <x v="160"/>
    <s v="RIO DE JANEIRO"/>
    <s v="RJ"/>
    <s v="1-Setorizado"/>
    <n v="2"/>
    <x v="11"/>
    <s v="ROMEU SOARES - HSP - RJ"/>
    <s v="Hospitalar"/>
    <s v="rafael.esteves@cslbehring.com"/>
    <s v="RAFAEL ESTEVES (RJ/SPI/SUL)"/>
    <n v="0"/>
    <n v="0"/>
    <n v="9"/>
    <n v="0"/>
    <n v="75"/>
  </r>
  <r>
    <x v="0"/>
    <x v="1"/>
    <x v="0"/>
    <n v="34058123000103"/>
    <x v="400"/>
    <s v="RIO DE JANEIRO"/>
    <s v="RJ"/>
    <s v="1-Setorizado"/>
    <n v="2"/>
    <x v="10"/>
    <s v="EVELINE GOULART - ESP - RJ"/>
    <s v="Especialidade"/>
    <s v="rafael.esteves@cslbehring.com"/>
    <s v="RAFAEL ESTEVES (RJ/SPI/SUL)"/>
    <n v="0"/>
    <n v="0"/>
    <n v="0"/>
    <n v="0"/>
    <n v="0"/>
  </r>
  <r>
    <x v="0"/>
    <x v="1"/>
    <x v="0"/>
    <n v="34058123000103"/>
    <x v="400"/>
    <s v="RIO DE JANEIRO"/>
    <s v="RJ"/>
    <s v="1-Setorizado"/>
    <n v="2"/>
    <x v="11"/>
    <s v="ROMEU SOARES - HSP - RJ"/>
    <s v="Hospitalar"/>
    <s v="rafael.esteves@cslbehring.com"/>
    <s v="RAFAEL ESTEVES (RJ/SPI/SUL)"/>
    <n v="0"/>
    <n v="16"/>
    <n v="6"/>
    <n v="0"/>
    <n v="0"/>
  </r>
  <r>
    <x v="0"/>
    <x v="1"/>
    <x v="0"/>
    <n v="394502014870"/>
    <x v="401"/>
    <s v="RIO DE JANEIRO"/>
    <s v="RJ"/>
    <s v="1-Setorizado"/>
    <n v="2"/>
    <x v="10"/>
    <s v="EVELINE GOULART - ESP - RJ"/>
    <s v="Especialidade"/>
    <s v="rafael.esteves@cslbehring.com"/>
    <s v="RAFAEL ESTEVES (RJ/SPI/SUL)"/>
    <n v="0"/>
    <n v="0"/>
    <n v="0"/>
    <n v="0"/>
    <n v="0"/>
  </r>
  <r>
    <x v="0"/>
    <x v="1"/>
    <x v="0"/>
    <n v="394502014870"/>
    <x v="401"/>
    <s v="RIO DE JANEIRO"/>
    <s v="RJ"/>
    <s v="1-Setorizado"/>
    <n v="2"/>
    <x v="12"/>
    <s v="MARCUS BASTOS - HSP - RJ"/>
    <s v="Hospitalar"/>
    <s v="rafael.esteves@cslbehring.com"/>
    <s v="RAFAEL ESTEVES (RJ/SPI/SUL)"/>
    <n v="0"/>
    <n v="10"/>
    <n v="0"/>
    <n v="0"/>
    <n v="0"/>
  </r>
  <r>
    <x v="0"/>
    <x v="1"/>
    <x v="0"/>
    <n v="9578217000158"/>
    <x v="167"/>
    <s v="RIO DE JANEIRO"/>
    <s v="RJ"/>
    <s v="1-Setorizado"/>
    <n v="2"/>
    <x v="10"/>
    <s v="EVELINE GOULART - ESP - RJ"/>
    <s v="Especialidade"/>
    <s v="rafael.esteves@cslbehring.com"/>
    <s v="RAFAEL ESTEVES (RJ/SPI/SUL)"/>
    <n v="0"/>
    <n v="0"/>
    <n v="0"/>
    <n v="0"/>
    <n v="0"/>
  </r>
  <r>
    <x v="0"/>
    <x v="1"/>
    <x v="0"/>
    <n v="9578217000158"/>
    <x v="167"/>
    <s v="RIO DE JANEIRO"/>
    <s v="RJ"/>
    <s v="1-Setorizado"/>
    <n v="2"/>
    <x v="11"/>
    <s v="ROMEU SOARES - HSP - RJ"/>
    <s v="Hospitalar"/>
    <s v="rafael.esteves@cslbehring.com"/>
    <s v="RAFAEL ESTEVES (RJ/SPI/SUL)"/>
    <n v="0"/>
    <n v="4"/>
    <n v="3"/>
    <n v="0"/>
    <n v="0"/>
  </r>
  <r>
    <x v="0"/>
    <x v="1"/>
    <x v="0"/>
    <n v="29435005005783"/>
    <x v="169"/>
    <s v="RIO DE JANEIRO"/>
    <s v="RJ"/>
    <s v="1-Setorizado"/>
    <n v="2"/>
    <x v="10"/>
    <s v="EVELINE GOULART - ESP - RJ"/>
    <s v="Especialidade"/>
    <s v="rafael.esteves@cslbehring.com"/>
    <s v="RAFAEL ESTEVES (RJ/SPI/SUL)"/>
    <n v="0"/>
    <n v="0"/>
    <n v="0"/>
    <n v="0"/>
    <n v="385"/>
  </r>
  <r>
    <x v="0"/>
    <x v="1"/>
    <x v="0"/>
    <n v="29435005005783"/>
    <x v="169"/>
    <s v="RIO DE JANEIRO"/>
    <s v="RJ"/>
    <s v="1-Setorizado"/>
    <n v="2"/>
    <x v="12"/>
    <s v="MARCUS BASTOS - HSP - RJ"/>
    <s v="Hospitalar"/>
    <s v="rafael.esteves@cslbehring.com"/>
    <s v="RAFAEL ESTEVES (RJ/SPI/SUL)"/>
    <n v="0"/>
    <n v="0"/>
    <n v="0"/>
    <n v="0"/>
    <n v="385"/>
  </r>
  <r>
    <x v="0"/>
    <x v="1"/>
    <x v="0"/>
    <n v="29435005005198"/>
    <x v="170"/>
    <s v="RIO DE JANEIRO"/>
    <s v="RJ"/>
    <s v="1-Setorizado"/>
    <n v="2"/>
    <x v="10"/>
    <s v="EVELINE GOULART - ESP - RJ"/>
    <s v="Especialidade"/>
    <s v="rafael.esteves@cslbehring.com"/>
    <s v="RAFAEL ESTEVES (RJ/SPI/SUL)"/>
    <n v="0"/>
    <n v="0"/>
    <n v="0"/>
    <n v="0"/>
    <n v="200"/>
  </r>
  <r>
    <x v="0"/>
    <x v="1"/>
    <x v="0"/>
    <n v="29435005005198"/>
    <x v="170"/>
    <s v="RIO DE JANEIRO"/>
    <s v="RJ"/>
    <s v="1-Setorizado"/>
    <n v="2"/>
    <x v="11"/>
    <s v="ROMEU SOARES - HSP - RJ"/>
    <s v="Hospitalar"/>
    <s v="rafael.esteves@cslbehring.com"/>
    <s v="RAFAEL ESTEVES (RJ/SPI/SUL)"/>
    <n v="0"/>
    <n v="0"/>
    <n v="0"/>
    <n v="0"/>
    <n v="200"/>
  </r>
  <r>
    <x v="0"/>
    <x v="1"/>
    <x v="0"/>
    <n v="6047087001020"/>
    <x v="171"/>
    <s v="RIO DE JANEIRO"/>
    <s v="RJ"/>
    <s v="1-Setorizado"/>
    <n v="2"/>
    <x v="10"/>
    <s v="EVELINE GOULART - ESP - RJ"/>
    <s v="Especialidade"/>
    <s v="rafael.esteves@cslbehring.com"/>
    <s v="RAFAEL ESTEVES (RJ/SPI/SUL)"/>
    <n v="0"/>
    <n v="0"/>
    <n v="0"/>
    <n v="0"/>
    <n v="0"/>
  </r>
  <r>
    <x v="0"/>
    <x v="1"/>
    <x v="0"/>
    <n v="6047087001020"/>
    <x v="171"/>
    <s v="RIO DE JANEIRO"/>
    <s v="RJ"/>
    <s v="1-Setorizado"/>
    <n v="2"/>
    <x v="11"/>
    <s v="ROMEU SOARES - HSP - RJ"/>
    <s v="Hospitalar"/>
    <s v="rafael.esteves@cslbehring.com"/>
    <s v="RAFAEL ESTEVES (RJ/SPI/SUL)"/>
    <n v="0"/>
    <n v="55"/>
    <n v="120"/>
    <n v="0"/>
    <n v="0"/>
  </r>
  <r>
    <x v="0"/>
    <x v="1"/>
    <x v="0"/>
    <n v="29259736000403"/>
    <x v="172"/>
    <s v="RIO DE JANEIRO"/>
    <s v="RJ"/>
    <s v="1-Setorizado"/>
    <n v="2"/>
    <x v="10"/>
    <s v="EVELINE GOULART - ESP - RJ"/>
    <s v="Especialidade"/>
    <s v="rafael.esteves@cslbehring.com"/>
    <s v="RAFAEL ESTEVES (RJ/SPI/SUL)"/>
    <n v="0"/>
    <n v="0"/>
    <n v="0"/>
    <n v="16"/>
    <n v="0"/>
  </r>
  <r>
    <x v="0"/>
    <x v="1"/>
    <x v="0"/>
    <n v="29259736000403"/>
    <x v="172"/>
    <s v="RIO DE JANEIRO"/>
    <s v="RJ"/>
    <s v="1-Setorizado"/>
    <n v="2"/>
    <x v="11"/>
    <s v="ROMEU SOARES - HSP - RJ"/>
    <s v="Hospitalar"/>
    <s v="rafael.esteves@cslbehring.com"/>
    <s v="RAFAEL ESTEVES (RJ/SPI/SUL)"/>
    <n v="0"/>
    <n v="2"/>
    <n v="56"/>
    <n v="0"/>
    <n v="0"/>
  </r>
  <r>
    <x v="0"/>
    <x v="1"/>
    <x v="0"/>
    <n v="8100676002102"/>
    <x v="173"/>
    <s v="RIO DE JANEIRO"/>
    <s v="RJ"/>
    <s v="1-Setorizado"/>
    <n v="2"/>
    <x v="10"/>
    <s v="EVELINE GOULART - ESP - RJ"/>
    <s v="Especialidade"/>
    <s v="rafael.esteves@cslbehring.com"/>
    <s v="RAFAEL ESTEVES (RJ/SPI/SUL)"/>
    <n v="0"/>
    <n v="0"/>
    <n v="0"/>
    <n v="0"/>
    <n v="400"/>
  </r>
  <r>
    <x v="0"/>
    <x v="1"/>
    <x v="0"/>
    <n v="8100676002102"/>
    <x v="173"/>
    <s v="RIO DE JANEIRO"/>
    <s v="RJ"/>
    <s v="1-Setorizado"/>
    <n v="2"/>
    <x v="11"/>
    <s v="ROMEU SOARES - HSP - RJ"/>
    <s v="Hospitalar"/>
    <s v="rafael.esteves@cslbehring.com"/>
    <s v="RAFAEL ESTEVES (RJ/SPI/SUL)"/>
    <n v="0"/>
    <n v="30"/>
    <n v="0"/>
    <n v="0"/>
    <n v="400"/>
  </r>
  <r>
    <x v="0"/>
    <x v="1"/>
    <x v="0"/>
    <n v="29435005006160"/>
    <x v="174"/>
    <s v="RIO DE JANEIRO"/>
    <s v="RJ"/>
    <s v="1-Setorizado"/>
    <n v="2"/>
    <x v="10"/>
    <s v="EVELINE GOULART - ESP - RJ"/>
    <s v="Especialidade"/>
    <s v="rafael.esteves@cslbehring.com"/>
    <s v="RAFAEL ESTEVES (RJ/SPI/SUL)"/>
    <n v="0"/>
    <n v="0"/>
    <n v="0"/>
    <n v="0"/>
    <n v="0"/>
  </r>
  <r>
    <x v="0"/>
    <x v="1"/>
    <x v="0"/>
    <n v="29435005006160"/>
    <x v="174"/>
    <s v="RIO DE JANEIRO"/>
    <s v="RJ"/>
    <s v="1-Setorizado"/>
    <n v="2"/>
    <x v="11"/>
    <s v="ROMEU SOARES - HSP - RJ"/>
    <s v="Hospitalar"/>
    <s v="rafael.esteves@cslbehring.com"/>
    <s v="RAFAEL ESTEVES (RJ/SPI/SUL)"/>
    <n v="0"/>
    <n v="14"/>
    <n v="4"/>
    <n v="0"/>
    <n v="0"/>
  </r>
  <r>
    <x v="0"/>
    <x v="1"/>
    <x v="0"/>
    <n v="53221255004995"/>
    <x v="175"/>
    <s v="RIO DE JANEIRO"/>
    <s v="RJ"/>
    <s v="1-Setorizado"/>
    <n v="2"/>
    <x v="10"/>
    <s v="EVELINE GOULART - ESP - RJ"/>
    <s v="Especialidade"/>
    <s v="rafael.esteves@cslbehring.com"/>
    <s v="RAFAEL ESTEVES (RJ/SPI/SUL)"/>
    <n v="0"/>
    <n v="0"/>
    <n v="0"/>
    <n v="0"/>
    <n v="0"/>
  </r>
  <r>
    <x v="0"/>
    <x v="1"/>
    <x v="0"/>
    <n v="53221255004995"/>
    <x v="175"/>
    <s v="RIO DE JANEIRO"/>
    <s v="RJ"/>
    <s v="1-Setorizado"/>
    <n v="2"/>
    <x v="11"/>
    <s v="ROMEU SOARES - HSP - RJ"/>
    <s v="Hospitalar"/>
    <s v="rafael.esteves@cslbehring.com"/>
    <s v="RAFAEL ESTEVES (RJ/SPI/SUL)"/>
    <n v="0"/>
    <n v="0"/>
    <n v="1"/>
    <n v="0"/>
    <n v="0"/>
  </r>
  <r>
    <x v="0"/>
    <x v="1"/>
    <x v="0"/>
    <n v="60884855001630"/>
    <x v="176"/>
    <s v="RIO DE JANEIRO"/>
    <s v="RJ"/>
    <s v="1-Setorizado"/>
    <n v="2"/>
    <x v="10"/>
    <s v="EVELINE GOULART - ESP - RJ"/>
    <s v="Especialidade"/>
    <s v="rafael.esteves@cslbehring.com"/>
    <s v="RAFAEL ESTEVES (RJ/SPI/SUL)"/>
    <n v="0"/>
    <n v="0"/>
    <n v="0"/>
    <n v="0"/>
    <n v="160"/>
  </r>
  <r>
    <x v="0"/>
    <x v="1"/>
    <x v="0"/>
    <n v="60884855001630"/>
    <x v="176"/>
    <s v="RIO DE JANEIRO"/>
    <s v="RJ"/>
    <s v="1-Setorizado"/>
    <n v="2"/>
    <x v="12"/>
    <s v="MARCUS BASTOS - HSP - RJ"/>
    <s v="Hospitalar"/>
    <s v="rafael.esteves@cslbehring.com"/>
    <s v="RAFAEL ESTEVES (RJ/SPI/SUL)"/>
    <n v="0"/>
    <n v="25"/>
    <n v="10"/>
    <n v="0"/>
    <n v="160"/>
  </r>
  <r>
    <x v="0"/>
    <x v="1"/>
    <x v="0"/>
    <n v="18010750000100"/>
    <x v="177"/>
    <s v="RIO DE JANEIRO"/>
    <s v="RJ"/>
    <s v="1-Setorizado"/>
    <n v="2"/>
    <x v="10"/>
    <s v="EVELINE GOULART - ESP - RJ"/>
    <s v="Especialidade"/>
    <s v="rafael.esteves@cslbehring.com"/>
    <s v="RAFAEL ESTEVES (RJ/SPI/SUL)"/>
    <n v="0"/>
    <n v="0"/>
    <n v="0"/>
    <n v="0"/>
    <n v="265"/>
  </r>
  <r>
    <x v="0"/>
    <x v="1"/>
    <x v="0"/>
    <n v="18010750000100"/>
    <x v="177"/>
    <s v="RIO DE JANEIRO"/>
    <s v="RJ"/>
    <s v="1-Setorizado"/>
    <n v="2"/>
    <x v="12"/>
    <s v="MARCUS BASTOS - HSP - RJ"/>
    <s v="Hospitalar"/>
    <s v="rafael.esteves@cslbehring.com"/>
    <s v="RAFAEL ESTEVES (RJ/SPI/SUL)"/>
    <n v="0"/>
    <n v="0"/>
    <n v="0"/>
    <n v="0"/>
    <n v="265"/>
  </r>
  <r>
    <x v="0"/>
    <x v="1"/>
    <x v="0"/>
    <n v="33663683005347"/>
    <x v="178"/>
    <s v="RIO DE JANEIRO"/>
    <s v="RJ"/>
    <s v="1-Setorizado"/>
    <n v="2"/>
    <x v="10"/>
    <s v="EVELINE GOULART - ESP - RJ"/>
    <s v="Especialidade"/>
    <s v="rafael.esteves@cslbehring.com"/>
    <s v="RAFAEL ESTEVES (RJ/SPI/SUL)"/>
    <n v="0"/>
    <n v="0"/>
    <n v="0"/>
    <n v="0"/>
    <n v="800"/>
  </r>
  <r>
    <x v="0"/>
    <x v="1"/>
    <x v="0"/>
    <n v="33663683005347"/>
    <x v="178"/>
    <s v="RIO DE JANEIRO"/>
    <s v="RJ"/>
    <s v="1-Setorizado"/>
    <n v="2"/>
    <x v="12"/>
    <s v="MARCUS BASTOS - HSP - RJ"/>
    <s v="Hospitalar"/>
    <s v="rafael.esteves@cslbehring.com"/>
    <s v="RAFAEL ESTEVES (RJ/SPI/SUL)"/>
    <n v="0"/>
    <n v="0"/>
    <n v="0"/>
    <n v="0"/>
    <n v="800"/>
  </r>
  <r>
    <x v="0"/>
    <x v="1"/>
    <x v="0"/>
    <n v="8850962000222"/>
    <x v="180"/>
    <s v="RIO DE JANEIRO"/>
    <s v="RJ"/>
    <s v="1-Setorizado"/>
    <n v="2"/>
    <x v="10"/>
    <s v="EVELINE GOULART - ESP - RJ"/>
    <s v="Especialidade"/>
    <s v="rafael.esteves@cslbehring.com"/>
    <s v="RAFAEL ESTEVES (RJ/SPI/SUL)"/>
    <n v="0"/>
    <n v="0"/>
    <n v="0"/>
    <n v="0"/>
    <n v="0"/>
  </r>
  <r>
    <x v="0"/>
    <x v="1"/>
    <x v="0"/>
    <n v="8850962000222"/>
    <x v="180"/>
    <s v="RIO DE JANEIRO"/>
    <s v="RJ"/>
    <s v="1-Setorizado"/>
    <n v="2"/>
    <x v="11"/>
    <s v="ROMEU SOARES - HSP - RJ"/>
    <s v="Hospitalar"/>
    <s v="rafael.esteves@cslbehring.com"/>
    <s v="RAFAEL ESTEVES (RJ/SPI/SUL)"/>
    <n v="0"/>
    <n v="16"/>
    <n v="16"/>
    <n v="0"/>
    <n v="0"/>
  </r>
  <r>
    <x v="0"/>
    <x v="1"/>
    <x v="0"/>
    <n v="394544017150"/>
    <x v="402"/>
    <s v="RIO DE JANEIRO"/>
    <s v="RJ"/>
    <s v="1-Setorizado"/>
    <n v="2"/>
    <x v="10"/>
    <s v="EVELINE GOULART - ESP - RJ"/>
    <s v="Especialidade"/>
    <s v="rafael.esteves@cslbehring.com"/>
    <s v="RAFAEL ESTEVES (RJ/SPI/SUL)"/>
    <n v="0"/>
    <n v="0"/>
    <n v="0"/>
    <n v="0"/>
    <n v="0"/>
  </r>
  <r>
    <x v="0"/>
    <x v="1"/>
    <x v="0"/>
    <n v="394544017150"/>
    <x v="402"/>
    <s v="RIO DE JANEIRO"/>
    <s v="RJ"/>
    <s v="1-Setorizado"/>
    <n v="2"/>
    <x v="12"/>
    <s v="MARCUS BASTOS - HSP - RJ"/>
    <s v="Hospitalar"/>
    <s v="rafael.esteves@cslbehring.com"/>
    <s v="RAFAEL ESTEVES (RJ/SPI/SUL)"/>
    <n v="0"/>
    <n v="20"/>
    <n v="0"/>
    <n v="0"/>
    <n v="0"/>
  </r>
  <r>
    <x v="0"/>
    <x v="1"/>
    <x v="0"/>
    <n v="33419482000259"/>
    <x v="183"/>
    <s v="RIO DE JANEIRO"/>
    <s v="RJ"/>
    <s v="1-Setorizado"/>
    <n v="2"/>
    <x v="10"/>
    <s v="EVELINE GOULART - ESP - RJ"/>
    <s v="Especialidade"/>
    <s v="rafael.esteves@cslbehring.com"/>
    <s v="RAFAEL ESTEVES (RJ/SPI/SUL)"/>
    <n v="0"/>
    <n v="0"/>
    <n v="0"/>
    <n v="0"/>
    <n v="15"/>
  </r>
  <r>
    <x v="0"/>
    <x v="1"/>
    <x v="0"/>
    <n v="33419482000259"/>
    <x v="183"/>
    <s v="RIO DE JANEIRO"/>
    <s v="RJ"/>
    <s v="1-Setorizado"/>
    <n v="2"/>
    <x v="11"/>
    <s v="ROMEU SOARES - HSP - RJ"/>
    <s v="Hospitalar"/>
    <s v="rafael.esteves@cslbehring.com"/>
    <s v="RAFAEL ESTEVES (RJ/SPI/SUL)"/>
    <n v="0"/>
    <n v="2"/>
    <n v="9"/>
    <n v="0"/>
    <n v="15"/>
  </r>
  <r>
    <x v="0"/>
    <x v="1"/>
    <x v="0"/>
    <n v="72101124000506"/>
    <x v="185"/>
    <s v="RIO DE JANEIRO"/>
    <s v="RJ"/>
    <s v="1-Setorizado"/>
    <n v="2"/>
    <x v="10"/>
    <s v="EVELINE GOULART - ESP - RJ"/>
    <s v="Especialidade"/>
    <s v="rafael.esteves@cslbehring.com"/>
    <s v="RAFAEL ESTEVES (RJ/SPI/SUL)"/>
    <n v="0"/>
    <n v="0"/>
    <n v="0"/>
    <n v="135"/>
    <n v="175"/>
  </r>
  <r>
    <x v="0"/>
    <x v="1"/>
    <x v="0"/>
    <n v="72101124000506"/>
    <x v="185"/>
    <s v="RIO DE JANEIRO"/>
    <s v="RJ"/>
    <s v="1-Setorizado"/>
    <n v="2"/>
    <x v="11"/>
    <s v="ROMEU SOARES - HSP - RJ"/>
    <s v="Hospitalar"/>
    <s v="rafael.esteves@cslbehring.com"/>
    <s v="RAFAEL ESTEVES (RJ/SPI/SUL)"/>
    <n v="0"/>
    <n v="0"/>
    <n v="0"/>
    <n v="0"/>
    <n v="175"/>
  </r>
  <r>
    <x v="0"/>
    <x v="1"/>
    <x v="0"/>
    <n v="28000107000159"/>
    <x v="186"/>
    <s v="RIO DE JANEIRO"/>
    <s v="RJ"/>
    <s v="1-Setorizado"/>
    <n v="2"/>
    <x v="10"/>
    <s v="EVELINE GOULART - ESP - RJ"/>
    <s v="Especialidade"/>
    <s v="rafael.esteves@cslbehring.com"/>
    <s v="RAFAEL ESTEVES (RJ/SPI/SUL)"/>
    <n v="0"/>
    <n v="0"/>
    <n v="0"/>
    <n v="140"/>
    <n v="90"/>
  </r>
  <r>
    <x v="0"/>
    <x v="1"/>
    <x v="0"/>
    <n v="28000107000159"/>
    <x v="186"/>
    <s v="RIO DE JANEIRO"/>
    <s v="RJ"/>
    <s v="1-Setorizado"/>
    <n v="2"/>
    <x v="11"/>
    <s v="ROMEU SOARES - HSP - RJ"/>
    <s v="Hospitalar"/>
    <s v="rafael.esteves@cslbehring.com"/>
    <s v="RAFAEL ESTEVES (RJ/SPI/SUL)"/>
    <n v="0"/>
    <n v="0"/>
    <n v="0"/>
    <n v="0"/>
    <n v="90"/>
  </r>
  <r>
    <x v="0"/>
    <x v="1"/>
    <x v="0"/>
    <n v="9219138000584"/>
    <x v="188"/>
    <s v="RIO DE JANEIRO"/>
    <s v="RJ"/>
    <s v="1-Setorizado"/>
    <n v="2"/>
    <x v="10"/>
    <s v="EVELINE GOULART - ESP - RJ"/>
    <s v="Especialidade"/>
    <s v="rafael.esteves@cslbehring.com"/>
    <s v="RAFAEL ESTEVES (RJ/SPI/SUL)"/>
    <n v="0"/>
    <n v="0"/>
    <n v="0"/>
    <n v="188"/>
    <n v="670"/>
  </r>
  <r>
    <x v="0"/>
    <x v="1"/>
    <x v="0"/>
    <n v="9219138000584"/>
    <x v="188"/>
    <s v="RIO DE JANEIRO"/>
    <s v="RJ"/>
    <s v="1-Setorizado"/>
    <n v="2"/>
    <x v="12"/>
    <s v="MARCUS BASTOS - HSP - RJ"/>
    <s v="Hospitalar"/>
    <s v="rafael.esteves@cslbehring.com"/>
    <s v="RAFAEL ESTEVES (RJ/SPI/SUL)"/>
    <n v="0"/>
    <n v="4"/>
    <n v="0"/>
    <n v="0"/>
    <n v="670"/>
  </r>
  <r>
    <x v="0"/>
    <x v="1"/>
    <x v="0"/>
    <n v="28602407000108"/>
    <x v="189"/>
    <s v="RIO DE JANEIRO"/>
    <s v="RJ"/>
    <s v="1-Setorizado"/>
    <n v="2"/>
    <x v="10"/>
    <s v="EVELINE GOULART - ESP - RJ"/>
    <s v="Especialidade"/>
    <s v="rafael.esteves@cslbehring.com"/>
    <s v="RAFAEL ESTEVES (RJ/SPI/SUL)"/>
    <n v="0"/>
    <n v="0"/>
    <n v="0"/>
    <n v="4"/>
    <n v="0"/>
  </r>
  <r>
    <x v="0"/>
    <x v="1"/>
    <x v="0"/>
    <n v="28602407000108"/>
    <x v="189"/>
    <s v="RIO DE JANEIRO"/>
    <s v="RJ"/>
    <s v="1-Setorizado"/>
    <n v="2"/>
    <x v="11"/>
    <s v="ROMEU SOARES - HSP - RJ"/>
    <s v="Hospitalar"/>
    <s v="rafael.esteves@cslbehring.com"/>
    <s v="RAFAEL ESTEVES (RJ/SPI/SUL)"/>
    <n v="0"/>
    <n v="0"/>
    <n v="0"/>
    <n v="0"/>
    <n v="0"/>
  </r>
  <r>
    <x v="0"/>
    <x v="1"/>
    <x v="0"/>
    <n v="36238913000198"/>
    <x v="403"/>
    <s v="TERESOPOLIS"/>
    <s v="RJ"/>
    <s v="1-Setorizado"/>
    <n v="2"/>
    <x v="10"/>
    <s v="EVELINE GOULART - ESP - RJ"/>
    <s v="Especialidade"/>
    <s v="rafael.esteves@cslbehring.com"/>
    <s v="RAFAEL ESTEVES (RJ/SPI/SUL)"/>
    <n v="0"/>
    <n v="0"/>
    <n v="0"/>
    <n v="0"/>
    <n v="125"/>
  </r>
  <r>
    <x v="0"/>
    <x v="1"/>
    <x v="0"/>
    <n v="36238913000198"/>
    <x v="403"/>
    <s v="TERESOPOLIS"/>
    <s v="RJ"/>
    <s v="1-Setorizado"/>
    <n v="2"/>
    <x v="12"/>
    <s v="MARCUS BASTOS - HSP - RJ"/>
    <s v="Hospitalar"/>
    <s v="rafael.esteves@cslbehring.com"/>
    <s v="RAFAEL ESTEVES (RJ/SPI/SUL)"/>
    <n v="0"/>
    <n v="0"/>
    <n v="0"/>
    <n v="0"/>
    <n v="125"/>
  </r>
  <r>
    <x v="0"/>
    <x v="1"/>
    <x v="0"/>
    <n v="35917970000726"/>
    <x v="404"/>
    <s v="VOLTA REDONDA"/>
    <s v="RJ"/>
    <s v="1-Setorizado"/>
    <n v="2"/>
    <x v="10"/>
    <s v="EVELINE GOULART - ESP - RJ"/>
    <s v="Especialidade"/>
    <s v="rafael.esteves@cslbehring.com"/>
    <s v="RAFAEL ESTEVES (RJ/SPI/SUL)"/>
    <n v="0"/>
    <n v="0"/>
    <n v="0"/>
    <n v="15"/>
    <n v="0"/>
  </r>
  <r>
    <x v="0"/>
    <x v="1"/>
    <x v="0"/>
    <n v="35917970000726"/>
    <x v="404"/>
    <s v="VOLTA REDONDA"/>
    <s v="RJ"/>
    <s v="1-Setorizado"/>
    <n v="2"/>
    <x v="12"/>
    <s v="MARCUS BASTOS - HSP - RJ"/>
    <s v="Hospitalar"/>
    <s v="rafael.esteves@cslbehring.com"/>
    <s v="RAFAEL ESTEVES (RJ/SPI/SUL)"/>
    <n v="0"/>
    <n v="0"/>
    <n v="0"/>
    <n v="0"/>
    <n v="0"/>
  </r>
  <r>
    <x v="0"/>
    <x v="1"/>
    <x v="0"/>
    <n v="12361267009140"/>
    <x v="190"/>
    <s v="MOSSORO"/>
    <s v="RN"/>
    <s v="1-Setorizado"/>
    <n v="2"/>
    <x v="0"/>
    <s v="VALERIA BRAGA - ESP - (CE/MA/PI/BA/AL/SE/PB/PE/RN)"/>
    <s v="Especialidade"/>
    <s v="fernando.leony@cslbehring.com"/>
    <s v="FERNANDO LEONY (CO/NO/NE)"/>
    <n v="0"/>
    <n v="0"/>
    <n v="0"/>
    <n v="0"/>
    <n v="5"/>
  </r>
  <r>
    <x v="0"/>
    <x v="1"/>
    <x v="0"/>
    <n v="12361267009140"/>
    <x v="190"/>
    <s v="MOSSORO"/>
    <s v="RN"/>
    <s v="1-Setorizado"/>
    <n v="2"/>
    <x v="7"/>
    <s v="LENILSON SILVA - HSP - PB/PE/RN"/>
    <s v="Hospitalar"/>
    <s v="fernando.leony@cslbehring.com"/>
    <s v="FERNANDO LEONY (CO/NO/NE)"/>
    <n v="0"/>
    <n v="0"/>
    <n v="0"/>
    <n v="0"/>
    <n v="5"/>
  </r>
  <r>
    <x v="0"/>
    <x v="1"/>
    <x v="0"/>
    <n v="8319329000121"/>
    <x v="191"/>
    <s v="NATAL"/>
    <s v="RN"/>
    <s v="1-Setorizado"/>
    <n v="2"/>
    <x v="0"/>
    <s v="VALERIA BRAGA - ESP - (CE/MA/PI/BA/AL/SE/PB/PE/RN)"/>
    <s v="Especialidade"/>
    <s v="fernando.leony@cslbehring.com"/>
    <s v="FERNANDO LEONY (CO/NO/NE)"/>
    <n v="0"/>
    <n v="0"/>
    <n v="0"/>
    <n v="0"/>
    <n v="0"/>
  </r>
  <r>
    <x v="0"/>
    <x v="1"/>
    <x v="0"/>
    <n v="8319329000121"/>
    <x v="191"/>
    <s v="NATAL"/>
    <s v="RN"/>
    <s v="1-Setorizado"/>
    <n v="2"/>
    <x v="7"/>
    <s v="LENILSON SILVA - HSP - PB/PE/RN"/>
    <s v="Hospitalar"/>
    <s v="fernando.leony@cslbehring.com"/>
    <s v="FERNANDO LEONY (CO/NO/NE)"/>
    <n v="0"/>
    <n v="26"/>
    <n v="0"/>
    <n v="0"/>
    <n v="0"/>
  </r>
  <r>
    <x v="0"/>
    <x v="1"/>
    <x v="0"/>
    <n v="13262578000168"/>
    <x v="405"/>
    <s v="NATAL"/>
    <s v="RN"/>
    <s v="1-Setorizado"/>
    <n v="2"/>
    <x v="0"/>
    <s v="VALERIA BRAGA - ESP - (CE/MA/PI/BA/AL/SE/PB/PE/RN)"/>
    <s v="Especialidade"/>
    <s v="fernando.leony@cslbehring.com"/>
    <s v="FERNANDO LEONY (CO/NO/NE)"/>
    <n v="6"/>
    <n v="0"/>
    <n v="0"/>
    <n v="0"/>
    <n v="0"/>
  </r>
  <r>
    <x v="0"/>
    <x v="1"/>
    <x v="0"/>
    <n v="13262578000168"/>
    <x v="405"/>
    <s v="NATAL"/>
    <s v="RN"/>
    <s v="1-Setorizado"/>
    <n v="2"/>
    <x v="7"/>
    <s v="LENILSON SILVA - HSP - PB/PE/RN"/>
    <s v="Hospitalar"/>
    <s v="fernando.leony@cslbehring.com"/>
    <s v="FERNANDO LEONY (CO/NO/NE)"/>
    <n v="0"/>
    <n v="0"/>
    <n v="0"/>
    <n v="0"/>
    <n v="0"/>
  </r>
  <r>
    <x v="0"/>
    <x v="1"/>
    <x v="0"/>
    <n v="29435005009851"/>
    <x v="193"/>
    <s v="NATAL"/>
    <s v="RN"/>
    <s v="1-Setorizado"/>
    <n v="2"/>
    <x v="0"/>
    <s v="VALERIA BRAGA - ESP - (CE/MA/PI/BA/AL/SE/PB/PE/RN)"/>
    <s v="Especialidade"/>
    <s v="fernando.leony@cslbehring.com"/>
    <s v="FERNANDO LEONY (CO/NO/NE)"/>
    <n v="0"/>
    <n v="0"/>
    <n v="0"/>
    <n v="0"/>
    <n v="200"/>
  </r>
  <r>
    <x v="0"/>
    <x v="1"/>
    <x v="0"/>
    <n v="29435005009851"/>
    <x v="193"/>
    <s v="NATAL"/>
    <s v="RN"/>
    <s v="1-Setorizado"/>
    <n v="2"/>
    <x v="7"/>
    <s v="LENILSON SILVA - HSP - PB/PE/RN"/>
    <s v="Hospitalar"/>
    <s v="fernando.leony@cslbehring.com"/>
    <s v="FERNANDO LEONY (CO/NO/NE)"/>
    <n v="0"/>
    <n v="15"/>
    <n v="0"/>
    <n v="0"/>
    <n v="200"/>
  </r>
  <r>
    <x v="0"/>
    <x v="1"/>
    <x v="0"/>
    <n v="12361267009654"/>
    <x v="406"/>
    <s v="NATAL"/>
    <s v="RN"/>
    <s v="1-Setorizado"/>
    <n v="2"/>
    <x v="0"/>
    <s v="VALERIA BRAGA - ESP - (CE/MA/PI/BA/AL/SE/PB/PE/RN)"/>
    <s v="Especialidade"/>
    <s v="fernando.leony@cslbehring.com"/>
    <s v="FERNANDO LEONY (CO/NO/NE)"/>
    <n v="0"/>
    <n v="0"/>
    <n v="0"/>
    <n v="0"/>
    <n v="125"/>
  </r>
  <r>
    <x v="0"/>
    <x v="1"/>
    <x v="0"/>
    <n v="12361267009654"/>
    <x v="406"/>
    <s v="NATAL"/>
    <s v="RN"/>
    <s v="1-Setorizado"/>
    <n v="2"/>
    <x v="7"/>
    <s v="LENILSON SILVA - HSP - PB/PE/RN"/>
    <s v="Hospitalar"/>
    <s v="fernando.leony@cslbehring.com"/>
    <s v="FERNANDO LEONY (CO/NO/NE)"/>
    <n v="0"/>
    <n v="0"/>
    <n v="0"/>
    <n v="0"/>
    <n v="125"/>
  </r>
  <r>
    <x v="0"/>
    <x v="1"/>
    <x v="0"/>
    <n v="820737000150"/>
    <x v="195"/>
    <s v="NATAL"/>
    <s v="RN"/>
    <s v="1-Setorizado"/>
    <n v="2"/>
    <x v="0"/>
    <s v="VALERIA BRAGA - ESP - (CE/MA/PI/BA/AL/SE/PB/PE/RN)"/>
    <s v="Especialidade"/>
    <s v="fernando.leony@cslbehring.com"/>
    <s v="FERNANDO LEONY (CO/NO/NE)"/>
    <n v="0"/>
    <n v="0"/>
    <n v="0"/>
    <n v="0"/>
    <n v="0"/>
  </r>
  <r>
    <x v="0"/>
    <x v="1"/>
    <x v="0"/>
    <n v="820737000150"/>
    <x v="195"/>
    <s v="NATAL"/>
    <s v="RN"/>
    <s v="1-Setorizado"/>
    <n v="2"/>
    <x v="7"/>
    <s v="LENILSON SILVA - HSP - PB/PE/RN"/>
    <s v="Hospitalar"/>
    <s v="fernando.leony@cslbehring.com"/>
    <s v="FERNANDO LEONY (CO/NO/NE)"/>
    <n v="0"/>
    <n v="173"/>
    <n v="0"/>
    <n v="0"/>
    <n v="0"/>
  </r>
  <r>
    <x v="0"/>
    <x v="1"/>
    <x v="0"/>
    <n v="2109397000180"/>
    <x v="407"/>
    <s v="NATAL"/>
    <s v="RN"/>
    <s v="1-Setorizado"/>
    <n v="2"/>
    <x v="0"/>
    <s v="VALERIA BRAGA - ESP - (CE/MA/PI/BA/AL/SE/PB/PE/RN)"/>
    <s v="Especialidade"/>
    <s v="fernando.leony@cslbehring.com"/>
    <s v="FERNANDO LEONY (CO/NO/NE)"/>
    <n v="0"/>
    <n v="0"/>
    <n v="0"/>
    <n v="0"/>
    <n v="0"/>
  </r>
  <r>
    <x v="0"/>
    <x v="1"/>
    <x v="0"/>
    <n v="2109397000180"/>
    <x v="407"/>
    <s v="NATAL"/>
    <s v="RN"/>
    <s v="1-Setorizado"/>
    <n v="2"/>
    <x v="7"/>
    <s v="LENILSON SILVA - HSP - PB/PE/RN"/>
    <s v="Hospitalar"/>
    <s v="fernando.leony@cslbehring.com"/>
    <s v="FERNANDO LEONY (CO/NO/NE)"/>
    <n v="0"/>
    <n v="30"/>
    <n v="0"/>
    <n v="0"/>
    <n v="0"/>
  </r>
  <r>
    <x v="0"/>
    <x v="1"/>
    <x v="0"/>
    <n v="8380701001772"/>
    <x v="408"/>
    <s v="NATAL"/>
    <s v="RN"/>
    <s v="1-Setorizado"/>
    <n v="2"/>
    <x v="0"/>
    <s v="VALERIA BRAGA - ESP - (CE/MA/PI/BA/AL/SE/PB/PE/RN)"/>
    <s v="Especialidade"/>
    <s v="fernando.leony@cslbehring.com"/>
    <s v="FERNANDO LEONY (CO/NO/NE)"/>
    <n v="0"/>
    <n v="0"/>
    <n v="0"/>
    <n v="0"/>
    <n v="0"/>
  </r>
  <r>
    <x v="0"/>
    <x v="1"/>
    <x v="0"/>
    <n v="8380701001772"/>
    <x v="408"/>
    <s v="NATAL"/>
    <s v="RN"/>
    <s v="1-Setorizado"/>
    <n v="2"/>
    <x v="7"/>
    <s v="LENILSON SILVA - HSP - PB/PE/RN"/>
    <s v="Hospitalar"/>
    <s v="fernando.leony@cslbehring.com"/>
    <s v="FERNANDO LEONY (CO/NO/NE)"/>
    <n v="0"/>
    <n v="50"/>
    <n v="0"/>
    <n v="0"/>
    <n v="0"/>
  </r>
  <r>
    <x v="0"/>
    <x v="1"/>
    <x v="0"/>
    <n v="87547444000120"/>
    <x v="198"/>
    <s v="BENTO GONCALVES"/>
    <s v="RS"/>
    <s v="1-Setorizado"/>
    <n v="2"/>
    <x v="8"/>
    <s v="MICHELE MORAES - ESP - PR/SC/RS"/>
    <s v="Especialidade"/>
    <s v="rafael.esteves@cslbehring.com"/>
    <s v="RAFAEL ESTEVES (RJ/SPI/SUL)"/>
    <n v="0"/>
    <n v="0"/>
    <n v="0"/>
    <n v="0"/>
    <n v="0"/>
  </r>
  <r>
    <x v="0"/>
    <x v="1"/>
    <x v="0"/>
    <n v="87547444000120"/>
    <x v="198"/>
    <s v="BENTO GONCALVES"/>
    <s v="RS"/>
    <s v="1-Setorizado"/>
    <n v="2"/>
    <x v="13"/>
    <s v="ALINE FONSECA - HSP - RS"/>
    <s v="Hospitalar"/>
    <s v="rafael.esteves@cslbehring.com"/>
    <s v="RAFAEL ESTEVES (RJ/SPI/SUL)"/>
    <n v="0"/>
    <n v="5"/>
    <n v="0"/>
    <n v="0"/>
    <n v="0"/>
  </r>
  <r>
    <x v="0"/>
    <x v="1"/>
    <x v="0"/>
    <n v="9549061000268"/>
    <x v="409"/>
    <s v="CANOAS"/>
    <s v="RS"/>
    <s v="1-Setorizado"/>
    <n v="2"/>
    <x v="8"/>
    <s v="MICHELE MORAES - ESP - PR/SC/RS"/>
    <s v="Especialidade"/>
    <s v="rafael.esteves@cslbehring.com"/>
    <s v="RAFAEL ESTEVES (RJ/SPI/SUL)"/>
    <n v="0"/>
    <n v="0"/>
    <n v="0"/>
    <n v="0"/>
    <n v="0"/>
  </r>
  <r>
    <x v="0"/>
    <x v="1"/>
    <x v="0"/>
    <n v="9549061000268"/>
    <x v="409"/>
    <s v="CANOAS"/>
    <s v="RS"/>
    <s v="1-Setorizado"/>
    <n v="2"/>
    <x v="13"/>
    <s v="ALINE FONSECA - HSP - RS"/>
    <s v="Hospitalar"/>
    <s v="rafael.esteves@cslbehring.com"/>
    <s v="RAFAEL ESTEVES (RJ/SPI/SUL)"/>
    <n v="0"/>
    <n v="3"/>
    <n v="0"/>
    <n v="0"/>
    <n v="0"/>
  </r>
  <r>
    <x v="0"/>
    <x v="1"/>
    <x v="0"/>
    <n v="88645403001372"/>
    <x v="410"/>
    <s v="CAXIAS DO SUL"/>
    <s v="RS"/>
    <s v="1-Setorizado"/>
    <n v="2"/>
    <x v="8"/>
    <s v="MICHELE MORAES - ESP - PR/SC/RS"/>
    <s v="Especialidade"/>
    <s v="rafael.esteves@cslbehring.com"/>
    <s v="RAFAEL ESTEVES (RJ/SPI/SUL)"/>
    <n v="0"/>
    <n v="0"/>
    <n v="0"/>
    <n v="32"/>
    <n v="0"/>
  </r>
  <r>
    <x v="0"/>
    <x v="1"/>
    <x v="0"/>
    <n v="88645403001372"/>
    <x v="410"/>
    <s v="CAXIAS DO SUL"/>
    <s v="RS"/>
    <s v="1-Setorizado"/>
    <n v="2"/>
    <x v="13"/>
    <s v="ALINE FONSECA - HSP - RS"/>
    <s v="Hospitalar"/>
    <s v="rafael.esteves@cslbehring.com"/>
    <s v="RAFAEL ESTEVES (RJ/SPI/SUL)"/>
    <n v="0"/>
    <n v="0"/>
    <n v="0"/>
    <n v="0"/>
    <n v="0"/>
  </r>
  <r>
    <x v="0"/>
    <x v="1"/>
    <x v="0"/>
    <n v="87827689002405"/>
    <x v="199"/>
    <s v="CAXIAS DO SUL"/>
    <s v="RS"/>
    <s v="1-Setorizado"/>
    <n v="2"/>
    <x v="8"/>
    <s v="MICHELE MORAES - ESP - PR/SC/RS"/>
    <s v="Especialidade"/>
    <s v="rafael.esteves@cslbehring.com"/>
    <s v="RAFAEL ESTEVES (RJ/SPI/SUL)"/>
    <n v="0"/>
    <n v="0"/>
    <n v="0"/>
    <n v="274"/>
    <n v="90"/>
  </r>
  <r>
    <x v="0"/>
    <x v="1"/>
    <x v="0"/>
    <n v="87827689002405"/>
    <x v="199"/>
    <s v="CAXIAS DO SUL"/>
    <s v="RS"/>
    <s v="1-Setorizado"/>
    <n v="2"/>
    <x v="13"/>
    <s v="ALINE FONSECA - HSP - RS"/>
    <s v="Hospitalar"/>
    <s v="rafael.esteves@cslbehring.com"/>
    <s v="RAFAEL ESTEVES (RJ/SPI/SUL)"/>
    <n v="0"/>
    <n v="0"/>
    <n v="0"/>
    <n v="0"/>
    <n v="90"/>
  </r>
  <r>
    <x v="0"/>
    <x v="1"/>
    <x v="0"/>
    <n v="88830609000139"/>
    <x v="411"/>
    <s v="CAXIAS DO SUL"/>
    <s v="RS"/>
    <s v="1-Setorizado"/>
    <n v="2"/>
    <x v="8"/>
    <s v="MICHELE MORAES - ESP - PR/SC/RS"/>
    <s v="Especialidade"/>
    <s v="rafael.esteves@cslbehring.com"/>
    <s v="RAFAEL ESTEVES (RJ/SPI/SUL)"/>
    <n v="0"/>
    <n v="0"/>
    <n v="0"/>
    <n v="0"/>
    <n v="140"/>
  </r>
  <r>
    <x v="0"/>
    <x v="1"/>
    <x v="0"/>
    <n v="88830609000139"/>
    <x v="411"/>
    <s v="CAXIAS DO SUL"/>
    <s v="RS"/>
    <s v="1-Setorizado"/>
    <n v="2"/>
    <x v="13"/>
    <s v="ALINE FONSECA - HSP - RS"/>
    <s v="Hospitalar"/>
    <s v="rafael.esteves@cslbehring.com"/>
    <s v="RAFAEL ESTEVES (RJ/SPI/SUL)"/>
    <n v="0"/>
    <n v="0"/>
    <n v="0"/>
    <n v="0"/>
    <n v="140"/>
  </r>
  <r>
    <x v="0"/>
    <x v="1"/>
    <x v="0"/>
    <n v="87638334000505"/>
    <x v="412"/>
    <s v="ERECHIM"/>
    <s v="RS"/>
    <s v="1-Setorizado"/>
    <n v="2"/>
    <x v="8"/>
    <s v="MICHELE MORAES - ESP - PR/SC/RS"/>
    <s v="Especialidade"/>
    <s v="rafael.esteves@cslbehring.com"/>
    <s v="RAFAEL ESTEVES (RJ/SPI/SUL)"/>
    <n v="0"/>
    <n v="0"/>
    <n v="0"/>
    <n v="0"/>
    <n v="10"/>
  </r>
  <r>
    <x v="0"/>
    <x v="1"/>
    <x v="0"/>
    <n v="87638334000505"/>
    <x v="412"/>
    <s v="ERECHIM"/>
    <s v="RS"/>
    <s v="1-Setorizado"/>
    <n v="2"/>
    <x v="13"/>
    <s v="ALINE FONSECA - HSP - RS"/>
    <s v="Hospitalar"/>
    <s v="rafael.esteves@cslbehring.com"/>
    <s v="RAFAEL ESTEVES (RJ/SPI/SUL)"/>
    <n v="0"/>
    <n v="0"/>
    <n v="0"/>
    <n v="0"/>
    <n v="10"/>
  </r>
  <r>
    <x v="0"/>
    <x v="1"/>
    <x v="0"/>
    <n v="92404789000164"/>
    <x v="413"/>
    <s v="FREDERICO WESTPHALEN"/>
    <s v="RS"/>
    <s v="1-Setorizado"/>
    <n v="2"/>
    <x v="8"/>
    <s v="MICHELE MORAES - ESP - PR/SC/RS"/>
    <s v="Especialidade"/>
    <s v="rafael.esteves@cslbehring.com"/>
    <s v="RAFAEL ESTEVES (RJ/SPI/SUL)"/>
    <n v="0"/>
    <n v="0"/>
    <n v="0"/>
    <n v="8"/>
    <n v="0"/>
  </r>
  <r>
    <x v="0"/>
    <x v="1"/>
    <x v="0"/>
    <n v="92404789000164"/>
    <x v="413"/>
    <s v="FREDERICO WESTPHALEN"/>
    <s v="RS"/>
    <s v="1-Setorizado"/>
    <n v="2"/>
    <x v="13"/>
    <s v="ALINE FONSECA - HSP - RS"/>
    <s v="Hospitalar"/>
    <s v="rafael.esteves@cslbehring.com"/>
    <s v="RAFAEL ESTEVES (RJ/SPI/SUL)"/>
    <n v="0"/>
    <n v="0"/>
    <n v="0"/>
    <n v="0"/>
    <n v="0"/>
  </r>
  <r>
    <x v="0"/>
    <x v="1"/>
    <x v="0"/>
    <n v="29908956000178"/>
    <x v="414"/>
    <s v="JAGUARI"/>
    <s v="RS"/>
    <s v="1-Setorizado"/>
    <n v="2"/>
    <x v="8"/>
    <s v="MICHELE MORAES - ESP - PR/SC/RS"/>
    <s v="Especialidade"/>
    <s v="rafael.esteves@cslbehring.com"/>
    <s v="RAFAEL ESTEVES (RJ/SPI/SUL)"/>
    <n v="4"/>
    <n v="0"/>
    <n v="0"/>
    <n v="0"/>
    <n v="0"/>
  </r>
  <r>
    <x v="0"/>
    <x v="1"/>
    <x v="0"/>
    <n v="29908956000178"/>
    <x v="414"/>
    <s v="JAGUARI"/>
    <s v="RS"/>
    <s v="1-Setorizado"/>
    <n v="2"/>
    <x v="13"/>
    <s v="ALINE FONSECA - HSP - RS"/>
    <s v="Hospitalar"/>
    <s v="rafael.esteves@cslbehring.com"/>
    <s v="RAFAEL ESTEVES (RJ/SPI/SUL)"/>
    <n v="0"/>
    <n v="0"/>
    <n v="0"/>
    <n v="0"/>
    <n v="0"/>
  </r>
  <r>
    <x v="0"/>
    <x v="1"/>
    <x v="0"/>
    <n v="11055682000156"/>
    <x v="415"/>
    <s v="NOVO HAMBURGO"/>
    <s v="RS"/>
    <s v="1-Setorizado"/>
    <n v="2"/>
    <x v="8"/>
    <s v="MICHELE MORAES - ESP - PR/SC/RS"/>
    <s v="Especialidade"/>
    <s v="rafael.esteves@cslbehring.com"/>
    <s v="RAFAEL ESTEVES (RJ/SPI/SUL)"/>
    <n v="0"/>
    <n v="0"/>
    <n v="0"/>
    <n v="0"/>
    <n v="225"/>
  </r>
  <r>
    <x v="0"/>
    <x v="1"/>
    <x v="0"/>
    <n v="11055682000156"/>
    <x v="415"/>
    <s v="NOVO HAMBURGO"/>
    <s v="RS"/>
    <s v="1-Setorizado"/>
    <n v="2"/>
    <x v="13"/>
    <s v="ALINE FONSECA - HSP - RS"/>
    <s v="Hospitalar"/>
    <s v="rafael.esteves@cslbehring.com"/>
    <s v="RAFAEL ESTEVES (RJ/SPI/SUL)"/>
    <n v="0"/>
    <n v="0"/>
    <n v="0"/>
    <n v="0"/>
    <n v="225"/>
  </r>
  <r>
    <x v="0"/>
    <x v="1"/>
    <x v="0"/>
    <n v="87607149000626"/>
    <x v="203"/>
    <s v="PASSO FUNDO"/>
    <s v="RS"/>
    <s v="1-Setorizado"/>
    <n v="2"/>
    <x v="8"/>
    <s v="MICHELE MORAES - ESP - PR/SC/RS"/>
    <s v="Especialidade"/>
    <s v="rafael.esteves@cslbehring.com"/>
    <s v="RAFAEL ESTEVES (RJ/SPI/SUL)"/>
    <n v="0"/>
    <n v="0"/>
    <n v="0"/>
    <n v="0"/>
    <n v="235"/>
  </r>
  <r>
    <x v="0"/>
    <x v="1"/>
    <x v="0"/>
    <n v="87607149000626"/>
    <x v="203"/>
    <s v="PASSO FUNDO"/>
    <s v="RS"/>
    <s v="1-Setorizado"/>
    <n v="2"/>
    <x v="13"/>
    <s v="ALINE FONSECA - HSP - RS"/>
    <s v="Hospitalar"/>
    <s v="rafael.esteves@cslbehring.com"/>
    <s v="RAFAEL ESTEVES (RJ/SPI/SUL)"/>
    <n v="0"/>
    <n v="0"/>
    <n v="0"/>
    <n v="0"/>
    <n v="235"/>
  </r>
  <r>
    <x v="0"/>
    <x v="1"/>
    <x v="0"/>
    <n v="92685833000151"/>
    <x v="204"/>
    <s v="PORTO ALEGRE"/>
    <s v="RS"/>
    <s v="1-Setorizado"/>
    <n v="2"/>
    <x v="8"/>
    <s v="MICHELE MORAES - ESP - PR/SC/RS"/>
    <s v="Especialidade"/>
    <s v="rafael.esteves@cslbehring.com"/>
    <s v="RAFAEL ESTEVES (RJ/SPI/SUL)"/>
    <n v="0"/>
    <n v="0"/>
    <n v="0"/>
    <n v="8"/>
    <n v="0"/>
  </r>
  <r>
    <x v="0"/>
    <x v="1"/>
    <x v="0"/>
    <n v="92685833000151"/>
    <x v="204"/>
    <s v="PORTO ALEGRE"/>
    <s v="RS"/>
    <s v="1-Setorizado"/>
    <n v="2"/>
    <x v="13"/>
    <s v="ALINE FONSECA - HSP - RS"/>
    <s v="Hospitalar"/>
    <s v="rafael.esteves@cslbehring.com"/>
    <s v="RAFAEL ESTEVES (RJ/SPI/SUL)"/>
    <n v="0"/>
    <n v="14"/>
    <n v="0"/>
    <n v="0"/>
    <n v="0"/>
  </r>
  <r>
    <x v="0"/>
    <x v="1"/>
    <x v="0"/>
    <n v="87096616003101"/>
    <x v="416"/>
    <s v="PORTO ALEGRE"/>
    <s v="RS"/>
    <s v="1-Setorizado"/>
    <n v="2"/>
    <x v="8"/>
    <s v="MICHELE MORAES - ESP - PR/SC/RS"/>
    <s v="Especialidade"/>
    <s v="rafael.esteves@cslbehring.com"/>
    <s v="RAFAEL ESTEVES (RJ/SPI/SUL)"/>
    <n v="0"/>
    <n v="0"/>
    <n v="0"/>
    <n v="0"/>
    <n v="1500"/>
  </r>
  <r>
    <x v="0"/>
    <x v="1"/>
    <x v="0"/>
    <n v="87096616003101"/>
    <x v="416"/>
    <s v="PORTO ALEGRE"/>
    <s v="RS"/>
    <s v="1-Setorizado"/>
    <n v="2"/>
    <x v="13"/>
    <s v="ALINE FONSECA - HSP - RS"/>
    <s v="Hospitalar"/>
    <s v="rafael.esteves@cslbehring.com"/>
    <s v="RAFAEL ESTEVES (RJ/SPI/SUL)"/>
    <n v="0"/>
    <n v="0"/>
    <n v="0"/>
    <n v="0"/>
    <n v="1500"/>
  </r>
  <r>
    <x v="0"/>
    <x v="1"/>
    <x v="0"/>
    <n v="92898550000198"/>
    <x v="205"/>
    <s v="PORTO ALEGRE"/>
    <s v="RS"/>
    <s v="1-Setorizado"/>
    <n v="2"/>
    <x v="8"/>
    <s v="MICHELE MORAES - ESP - PR/SC/RS"/>
    <s v="Especialidade"/>
    <s v="rafael.esteves@cslbehring.com"/>
    <s v="RAFAEL ESTEVES (RJ/SPI/SUL)"/>
    <n v="0"/>
    <n v="0"/>
    <n v="0"/>
    <n v="0"/>
    <n v="0"/>
  </r>
  <r>
    <x v="0"/>
    <x v="1"/>
    <x v="0"/>
    <n v="92898550000198"/>
    <x v="205"/>
    <s v="PORTO ALEGRE"/>
    <s v="RS"/>
    <s v="1-Setorizado"/>
    <n v="2"/>
    <x v="13"/>
    <s v="ALINE FONSECA - HSP - RS"/>
    <s v="Hospitalar"/>
    <s v="rafael.esteves@cslbehring.com"/>
    <s v="RAFAEL ESTEVES (RJ/SPI/SUL)"/>
    <n v="0"/>
    <n v="0"/>
    <n v="2"/>
    <n v="0"/>
    <n v="0"/>
  </r>
  <r>
    <x v="0"/>
    <x v="1"/>
    <x v="0"/>
    <n v="82854246004"/>
    <x v="417"/>
    <s v="PORTO ALEGRE"/>
    <s v="RS"/>
    <s v="1-Setorizado"/>
    <n v="2"/>
    <x v="8"/>
    <s v="MICHELE MORAES - ESP - PR/SC/RS"/>
    <s v="Especialidade"/>
    <s v="rafael.esteves@cslbehring.com"/>
    <s v="RAFAEL ESTEVES (RJ/SPI/SUL)"/>
    <n v="0"/>
    <n v="0"/>
    <n v="0"/>
    <n v="64"/>
    <n v="0"/>
  </r>
  <r>
    <x v="0"/>
    <x v="1"/>
    <x v="0"/>
    <n v="82854246004"/>
    <x v="417"/>
    <s v="PORTO ALEGRE"/>
    <s v="RS"/>
    <s v="1-Setorizado"/>
    <n v="2"/>
    <x v="13"/>
    <s v="ALINE FONSECA - HSP - RS"/>
    <s v="Hospitalar"/>
    <s v="rafael.esteves@cslbehring.com"/>
    <s v="RAFAEL ESTEVES (RJ/SPI/SUL)"/>
    <n v="0"/>
    <n v="0"/>
    <n v="0"/>
    <n v="0"/>
    <n v="0"/>
  </r>
  <r>
    <x v="0"/>
    <x v="1"/>
    <x v="0"/>
    <n v="87020517000120"/>
    <x v="208"/>
    <s v="PORTO ALEGRE"/>
    <s v="RS"/>
    <s v="1-Setorizado"/>
    <n v="2"/>
    <x v="8"/>
    <s v="MICHELE MORAES - ESP - PR/SC/RS"/>
    <s v="Especialidade"/>
    <s v="rafael.esteves@cslbehring.com"/>
    <s v="RAFAEL ESTEVES (RJ/SPI/SUL)"/>
    <n v="0"/>
    <n v="0"/>
    <n v="0"/>
    <n v="0"/>
    <n v="0"/>
  </r>
  <r>
    <x v="0"/>
    <x v="1"/>
    <x v="0"/>
    <n v="87020517000120"/>
    <x v="208"/>
    <s v="PORTO ALEGRE"/>
    <s v="RS"/>
    <s v="1-Setorizado"/>
    <n v="2"/>
    <x v="13"/>
    <s v="ALINE FONSECA - HSP - RS"/>
    <s v="Hospitalar"/>
    <s v="rafael.esteves@cslbehring.com"/>
    <s v="RAFAEL ESTEVES (RJ/SPI/SUL)"/>
    <n v="0"/>
    <n v="8"/>
    <n v="30"/>
    <n v="0"/>
    <n v="0"/>
  </r>
  <r>
    <x v="0"/>
    <x v="1"/>
    <x v="0"/>
    <n v="87317764001084"/>
    <x v="209"/>
    <s v="PORTO ALEGRE"/>
    <s v="RS"/>
    <s v="1-Setorizado"/>
    <n v="2"/>
    <x v="8"/>
    <s v="MICHELE MORAES - ESP - PR/SC/RS"/>
    <s v="Especialidade"/>
    <s v="rafael.esteves@cslbehring.com"/>
    <s v="RAFAEL ESTEVES (RJ/SPI/SUL)"/>
    <n v="0"/>
    <n v="0"/>
    <n v="0"/>
    <n v="0"/>
    <n v="240"/>
  </r>
  <r>
    <x v="0"/>
    <x v="1"/>
    <x v="0"/>
    <n v="87317764001084"/>
    <x v="209"/>
    <s v="PORTO ALEGRE"/>
    <s v="RS"/>
    <s v="1-Setorizado"/>
    <n v="2"/>
    <x v="13"/>
    <s v="ALINE FONSECA - HSP - RS"/>
    <s v="Hospitalar"/>
    <s v="rafael.esteves@cslbehring.com"/>
    <s v="RAFAEL ESTEVES (RJ/SPI/SUL)"/>
    <n v="0"/>
    <n v="0"/>
    <n v="4"/>
    <n v="0"/>
    <n v="240"/>
  </r>
  <r>
    <x v="0"/>
    <x v="1"/>
    <x v="0"/>
    <n v="92741016000254"/>
    <x v="210"/>
    <s v="PORTO ALEGRE"/>
    <s v="RS"/>
    <s v="1-Setorizado"/>
    <n v="2"/>
    <x v="8"/>
    <s v="MICHELE MORAES - ESP - PR/SC/RS"/>
    <s v="Especialidade"/>
    <s v="rafael.esteves@cslbehring.com"/>
    <s v="RAFAEL ESTEVES (RJ/SPI/SUL)"/>
    <n v="0"/>
    <n v="0"/>
    <n v="0"/>
    <n v="0"/>
    <n v="0"/>
  </r>
  <r>
    <x v="0"/>
    <x v="1"/>
    <x v="0"/>
    <n v="92741016000254"/>
    <x v="210"/>
    <s v="PORTO ALEGRE"/>
    <s v="RS"/>
    <s v="1-Setorizado"/>
    <n v="2"/>
    <x v="13"/>
    <s v="ALINE FONSECA - HSP - RS"/>
    <s v="Hospitalar"/>
    <s v="rafael.esteves@cslbehring.com"/>
    <s v="RAFAEL ESTEVES (RJ/SPI/SUL)"/>
    <n v="0"/>
    <n v="11"/>
    <n v="3"/>
    <n v="0"/>
    <n v="0"/>
  </r>
  <r>
    <x v="0"/>
    <x v="1"/>
    <x v="0"/>
    <n v="88625686002443"/>
    <x v="211"/>
    <s v="PORTO ALEGRE"/>
    <s v="RS"/>
    <s v="1-Setorizado"/>
    <n v="2"/>
    <x v="8"/>
    <s v="MICHELE MORAES - ESP - PR/SC/RS"/>
    <s v="Especialidade"/>
    <s v="rafael.esteves@cslbehring.com"/>
    <s v="RAFAEL ESTEVES (RJ/SPI/SUL)"/>
    <n v="0"/>
    <n v="0"/>
    <n v="0"/>
    <n v="0"/>
    <n v="240"/>
  </r>
  <r>
    <x v="0"/>
    <x v="1"/>
    <x v="0"/>
    <n v="88625686002443"/>
    <x v="211"/>
    <s v="PORTO ALEGRE"/>
    <s v="RS"/>
    <s v="1-Setorizado"/>
    <n v="2"/>
    <x v="13"/>
    <s v="ALINE FONSECA - HSP - RS"/>
    <s v="Hospitalar"/>
    <s v="rafael.esteves@cslbehring.com"/>
    <s v="RAFAEL ESTEVES (RJ/SPI/SUL)"/>
    <n v="0"/>
    <n v="10"/>
    <n v="0"/>
    <n v="0"/>
    <n v="240"/>
  </r>
  <r>
    <x v="0"/>
    <x v="1"/>
    <x v="0"/>
    <n v="88630413000796"/>
    <x v="212"/>
    <s v="PORTO ALEGRE"/>
    <s v="RS"/>
    <s v="1-Setorizado"/>
    <n v="2"/>
    <x v="8"/>
    <s v="MICHELE MORAES - ESP - PR/SC/RS"/>
    <s v="Especialidade"/>
    <s v="rafael.esteves@cslbehring.com"/>
    <s v="RAFAEL ESTEVES (RJ/SPI/SUL)"/>
    <n v="0"/>
    <n v="0"/>
    <n v="0"/>
    <n v="0"/>
    <n v="0"/>
  </r>
  <r>
    <x v="0"/>
    <x v="1"/>
    <x v="0"/>
    <n v="88630413000796"/>
    <x v="212"/>
    <s v="PORTO ALEGRE"/>
    <s v="RS"/>
    <s v="1-Setorizado"/>
    <n v="2"/>
    <x v="13"/>
    <s v="ALINE FONSECA - HSP - RS"/>
    <s v="Hospitalar"/>
    <s v="rafael.esteves@cslbehring.com"/>
    <s v="RAFAEL ESTEVES (RJ/SPI/SUL)"/>
    <n v="0"/>
    <n v="0"/>
    <n v="3"/>
    <n v="0"/>
    <n v="0"/>
  </r>
  <r>
    <x v="0"/>
    <x v="1"/>
    <x v="0"/>
    <n v="94831294000147"/>
    <x v="213"/>
    <s v="PORTO ALEGRE"/>
    <s v="RS"/>
    <s v="1-Setorizado"/>
    <n v="2"/>
    <x v="8"/>
    <s v="MICHELE MORAES - ESP - PR/SC/RS"/>
    <s v="Especialidade"/>
    <s v="rafael.esteves@cslbehring.com"/>
    <s v="RAFAEL ESTEVES (RJ/SPI/SUL)"/>
    <n v="0"/>
    <n v="0"/>
    <n v="0"/>
    <n v="0"/>
    <n v="30"/>
  </r>
  <r>
    <x v="0"/>
    <x v="1"/>
    <x v="0"/>
    <n v="94831294000147"/>
    <x v="213"/>
    <s v="PORTO ALEGRE"/>
    <s v="RS"/>
    <s v="1-Setorizado"/>
    <n v="2"/>
    <x v="13"/>
    <s v="ALINE FONSECA - HSP - RS"/>
    <s v="Hospitalar"/>
    <s v="rafael.esteves@cslbehring.com"/>
    <s v="RAFAEL ESTEVES (RJ/SPI/SUL)"/>
    <n v="0"/>
    <n v="0"/>
    <n v="0"/>
    <n v="0"/>
    <n v="30"/>
  </r>
  <r>
    <x v="0"/>
    <x v="1"/>
    <x v="0"/>
    <n v="92815000000168"/>
    <x v="214"/>
    <s v="PORTO ALEGRE"/>
    <s v="RS"/>
    <s v="1-Setorizado"/>
    <n v="2"/>
    <x v="8"/>
    <s v="MICHELE MORAES - ESP - PR/SC/RS"/>
    <s v="Especialidade"/>
    <s v="rafael.esteves@cslbehring.com"/>
    <s v="RAFAEL ESTEVES (RJ/SPI/SUL)"/>
    <n v="0"/>
    <n v="0"/>
    <n v="0"/>
    <n v="54"/>
    <n v="90"/>
  </r>
  <r>
    <x v="0"/>
    <x v="1"/>
    <x v="0"/>
    <n v="92815000000168"/>
    <x v="214"/>
    <s v="PORTO ALEGRE"/>
    <s v="RS"/>
    <s v="1-Setorizado"/>
    <n v="2"/>
    <x v="13"/>
    <s v="ALINE FONSECA - HSP - RS"/>
    <s v="Hospitalar"/>
    <s v="rafael.esteves@cslbehring.com"/>
    <s v="RAFAEL ESTEVES (RJ/SPI/SUL)"/>
    <n v="0"/>
    <n v="23"/>
    <n v="56"/>
    <n v="0"/>
    <n v="90"/>
  </r>
  <r>
    <x v="0"/>
    <x v="1"/>
    <x v="0"/>
    <n v="92963560000160"/>
    <x v="418"/>
    <s v="PORTO ALEGRE"/>
    <s v="RS"/>
    <s v="1-Setorizado"/>
    <n v="2"/>
    <x v="8"/>
    <s v="MICHELE MORAES - ESP - PR/SC/RS"/>
    <s v="Especialidade"/>
    <s v="rafael.esteves@cslbehring.com"/>
    <s v="RAFAEL ESTEVES (RJ/SPI/SUL)"/>
    <n v="0"/>
    <n v="0"/>
    <n v="0"/>
    <n v="0"/>
    <n v="100"/>
  </r>
  <r>
    <x v="0"/>
    <x v="1"/>
    <x v="0"/>
    <n v="92963560000160"/>
    <x v="418"/>
    <s v="PORTO ALEGRE"/>
    <s v="RS"/>
    <s v="1-Setorizado"/>
    <n v="2"/>
    <x v="13"/>
    <s v="ALINE FONSECA - HSP - RS"/>
    <s v="Hospitalar"/>
    <s v="rafael.esteves@cslbehring.com"/>
    <s v="RAFAEL ESTEVES (RJ/SPI/SUL)"/>
    <n v="0"/>
    <n v="20"/>
    <n v="0"/>
    <n v="0"/>
    <n v="100"/>
  </r>
  <r>
    <x v="0"/>
    <x v="1"/>
    <x v="0"/>
    <n v="9087150000230"/>
    <x v="216"/>
    <s v="PORTO ALEGRE"/>
    <s v="RS"/>
    <s v="1-Setorizado"/>
    <n v="2"/>
    <x v="8"/>
    <s v="MICHELE MORAES - ESP - PR/SC/RS"/>
    <s v="Especialidade"/>
    <s v="rafael.esteves@cslbehring.com"/>
    <s v="RAFAEL ESTEVES (RJ/SPI/SUL)"/>
    <n v="0"/>
    <n v="0"/>
    <n v="0"/>
    <n v="10"/>
    <n v="0"/>
  </r>
  <r>
    <x v="0"/>
    <x v="1"/>
    <x v="0"/>
    <n v="9087150000230"/>
    <x v="216"/>
    <s v="PORTO ALEGRE"/>
    <s v="RS"/>
    <s v="1-Setorizado"/>
    <n v="2"/>
    <x v="13"/>
    <s v="ALINE FONSECA - HSP - RS"/>
    <s v="Hospitalar"/>
    <s v="rafael.esteves@cslbehring.com"/>
    <s v="RAFAEL ESTEVES (RJ/SPI/SUL)"/>
    <n v="0"/>
    <n v="0"/>
    <n v="0"/>
    <n v="0"/>
    <n v="0"/>
  </r>
  <r>
    <x v="0"/>
    <x v="1"/>
    <x v="0"/>
    <n v="12508728000108"/>
    <x v="419"/>
    <s v="SANTA MARIA"/>
    <s v="RS"/>
    <s v="1-Setorizado"/>
    <n v="2"/>
    <x v="8"/>
    <s v="MICHELE MORAES - ESP - PR/SC/RS"/>
    <s v="Especialidade"/>
    <s v="rafael.esteves@cslbehring.com"/>
    <s v="RAFAEL ESTEVES (RJ/SPI/SUL)"/>
    <n v="0"/>
    <n v="0"/>
    <n v="0"/>
    <n v="0"/>
    <n v="40"/>
  </r>
  <r>
    <x v="0"/>
    <x v="1"/>
    <x v="0"/>
    <n v="12508728000108"/>
    <x v="419"/>
    <s v="SANTA MARIA"/>
    <s v="RS"/>
    <s v="1-Setorizado"/>
    <n v="2"/>
    <x v="13"/>
    <s v="ALINE FONSECA - HSP - RS"/>
    <s v="Hospitalar"/>
    <s v="rafael.esteves@cslbehring.com"/>
    <s v="RAFAEL ESTEVES (RJ/SPI/SUL)"/>
    <n v="0"/>
    <n v="0"/>
    <n v="0"/>
    <n v="0"/>
    <n v="40"/>
  </r>
  <r>
    <x v="0"/>
    <x v="1"/>
    <x v="0"/>
    <n v="15126437001972"/>
    <x v="217"/>
    <s v="SANTA MARIA"/>
    <s v="RS"/>
    <s v="1-Setorizado"/>
    <n v="2"/>
    <x v="8"/>
    <s v="MICHELE MORAES - ESP - PR/SC/RS"/>
    <s v="Especialidade"/>
    <s v="rafael.esteves@cslbehring.com"/>
    <s v="RAFAEL ESTEVES (RJ/SPI/SUL)"/>
    <n v="0"/>
    <n v="0"/>
    <n v="0"/>
    <n v="0"/>
    <n v="0"/>
  </r>
  <r>
    <x v="0"/>
    <x v="1"/>
    <x v="0"/>
    <n v="15126437001972"/>
    <x v="217"/>
    <s v="SANTA MARIA"/>
    <s v="RS"/>
    <s v="1-Setorizado"/>
    <n v="2"/>
    <x v="13"/>
    <s v="ALINE FONSECA - HSP - RS"/>
    <s v="Hospitalar"/>
    <s v="rafael.esteves@cslbehring.com"/>
    <s v="RAFAEL ESTEVES (RJ/SPI/SUL)"/>
    <n v="0"/>
    <n v="0"/>
    <n v="15"/>
    <n v="0"/>
    <n v="0"/>
  </r>
  <r>
    <x v="0"/>
    <x v="1"/>
    <x v="0"/>
    <n v="95610887000146"/>
    <x v="218"/>
    <s v="SANTA MARIA"/>
    <s v="RS"/>
    <s v="1-Setorizado"/>
    <n v="2"/>
    <x v="8"/>
    <s v="MICHELE MORAES - ESP - PR/SC/RS"/>
    <s v="Especialidade"/>
    <s v="rafael.esteves@cslbehring.com"/>
    <s v="RAFAEL ESTEVES (RJ/SPI/SUL)"/>
    <n v="0"/>
    <n v="0"/>
    <n v="0"/>
    <n v="0"/>
    <n v="100"/>
  </r>
  <r>
    <x v="0"/>
    <x v="1"/>
    <x v="0"/>
    <n v="95610887000146"/>
    <x v="218"/>
    <s v="SANTA MARIA"/>
    <s v="RS"/>
    <s v="1-Setorizado"/>
    <n v="2"/>
    <x v="13"/>
    <s v="ALINE FONSECA - HSP - RS"/>
    <s v="Hospitalar"/>
    <s v="rafael.esteves@cslbehring.com"/>
    <s v="RAFAEL ESTEVES (RJ/SPI/SUL)"/>
    <n v="0"/>
    <n v="9"/>
    <n v="9"/>
    <n v="0"/>
    <n v="100"/>
  </r>
  <r>
    <x v="0"/>
    <x v="1"/>
    <x v="0"/>
    <n v="1517626000132"/>
    <x v="220"/>
    <s v="BALNEARIO CAMBORIU"/>
    <s v="SC"/>
    <s v="1-Setorizado"/>
    <n v="2"/>
    <x v="8"/>
    <s v="MICHELE MORAES - ESP - PR/SC/RS"/>
    <s v="Especialidade"/>
    <s v="rafael.esteves@cslbehring.com"/>
    <s v="RAFAEL ESTEVES (RJ/SPI/SUL)"/>
    <n v="0"/>
    <n v="0"/>
    <n v="0"/>
    <n v="0"/>
    <n v="190"/>
  </r>
  <r>
    <x v="0"/>
    <x v="1"/>
    <x v="0"/>
    <n v="1517626000132"/>
    <x v="220"/>
    <s v="BALNEARIO CAMBORIU"/>
    <s v="SC"/>
    <s v="1-Setorizado"/>
    <n v="2"/>
    <x v="9"/>
    <s v="FERNANDA BORNHAUSEN - HSP - SC/PR"/>
    <s v="Hospitalar"/>
    <s v="rafael.esteves@cslbehring.com"/>
    <s v="RAFAEL ESTEVES (RJ/SPI/SUL)"/>
    <n v="0"/>
    <n v="0"/>
    <n v="0"/>
    <n v="0"/>
    <n v="190"/>
  </r>
  <r>
    <x v="0"/>
    <x v="1"/>
    <x v="0"/>
    <n v="85377174000392"/>
    <x v="221"/>
    <s v="BALNEARIO CAMBORIU"/>
    <s v="SC"/>
    <s v="1-Setorizado"/>
    <n v="2"/>
    <x v="8"/>
    <s v="MICHELE MORAES - ESP - PR/SC/RS"/>
    <s v="Especialidade"/>
    <s v="rafael.esteves@cslbehring.com"/>
    <s v="RAFAEL ESTEVES (RJ/SPI/SUL)"/>
    <n v="0"/>
    <n v="0"/>
    <n v="0"/>
    <n v="12"/>
    <n v="0"/>
  </r>
  <r>
    <x v="0"/>
    <x v="1"/>
    <x v="0"/>
    <n v="85377174000392"/>
    <x v="221"/>
    <s v="BALNEARIO CAMBORIU"/>
    <s v="SC"/>
    <s v="1-Setorizado"/>
    <n v="2"/>
    <x v="9"/>
    <s v="FERNANDA BORNHAUSEN - HSP - SC/PR"/>
    <s v="Hospitalar"/>
    <s v="rafael.esteves@cslbehring.com"/>
    <s v="RAFAEL ESTEVES (RJ/SPI/SUL)"/>
    <n v="0"/>
    <n v="0"/>
    <n v="0"/>
    <n v="0"/>
    <n v="0"/>
  </r>
  <r>
    <x v="0"/>
    <x v="1"/>
    <x v="0"/>
    <n v="1880344000103"/>
    <x v="420"/>
    <s v="BLUMENAU"/>
    <s v="SC"/>
    <s v="1-Setorizado"/>
    <n v="2"/>
    <x v="8"/>
    <s v="MICHELE MORAES - ESP - PR/SC/RS"/>
    <s v="Especialidade"/>
    <s v="rafael.esteves@cslbehring.com"/>
    <s v="RAFAEL ESTEVES (RJ/SPI/SUL)"/>
    <n v="0"/>
    <n v="0"/>
    <n v="0"/>
    <n v="0"/>
    <n v="70"/>
  </r>
  <r>
    <x v="0"/>
    <x v="1"/>
    <x v="0"/>
    <n v="1880344000103"/>
    <x v="420"/>
    <s v="BLUMENAU"/>
    <s v="SC"/>
    <s v="1-Setorizado"/>
    <n v="2"/>
    <x v="9"/>
    <s v="FERNANDA BORNHAUSEN - HSP - SC/PR"/>
    <s v="Hospitalar"/>
    <s v="rafael.esteves@cslbehring.com"/>
    <s v="RAFAEL ESTEVES (RJ/SPI/SUL)"/>
    <n v="0"/>
    <n v="0"/>
    <n v="0"/>
    <n v="0"/>
    <n v="70"/>
  </r>
  <r>
    <x v="0"/>
    <x v="1"/>
    <x v="0"/>
    <n v="60922168005226"/>
    <x v="222"/>
    <s v="BLUMENAU"/>
    <s v="SC"/>
    <s v="1-Setorizado"/>
    <n v="2"/>
    <x v="8"/>
    <s v="MICHELE MORAES - ESP - PR/SC/RS"/>
    <s v="Especialidade"/>
    <s v="rafael.esteves@cslbehring.com"/>
    <s v="RAFAEL ESTEVES (RJ/SPI/SUL)"/>
    <n v="0"/>
    <n v="0"/>
    <n v="0"/>
    <n v="0"/>
    <n v="0"/>
  </r>
  <r>
    <x v="0"/>
    <x v="1"/>
    <x v="0"/>
    <n v="60922168005226"/>
    <x v="222"/>
    <s v="BLUMENAU"/>
    <s v="SC"/>
    <s v="1-Setorizado"/>
    <n v="2"/>
    <x v="9"/>
    <s v="FERNANDA BORNHAUSEN - HSP - SC/PR"/>
    <s v="Hospitalar"/>
    <s v="rafael.esteves@cslbehring.com"/>
    <s v="RAFAEL ESTEVES (RJ/SPI/SUL)"/>
    <n v="0"/>
    <n v="2"/>
    <n v="7"/>
    <n v="0"/>
    <n v="0"/>
  </r>
  <r>
    <x v="0"/>
    <x v="1"/>
    <x v="0"/>
    <n v="1554266000300"/>
    <x v="224"/>
    <s v="BRUSQUE"/>
    <s v="SC"/>
    <s v="1-Setorizado"/>
    <n v="2"/>
    <x v="8"/>
    <s v="MICHELE MORAES - ESP - PR/SC/RS"/>
    <s v="Especialidade"/>
    <s v="rafael.esteves@cslbehring.com"/>
    <s v="RAFAEL ESTEVES (RJ/SPI/SUL)"/>
    <n v="0"/>
    <n v="0"/>
    <n v="0"/>
    <n v="0"/>
    <n v="140"/>
  </r>
  <r>
    <x v="0"/>
    <x v="1"/>
    <x v="0"/>
    <n v="1554266000300"/>
    <x v="224"/>
    <s v="BRUSQUE"/>
    <s v="SC"/>
    <s v="1-Setorizado"/>
    <n v="2"/>
    <x v="9"/>
    <s v="FERNANDA BORNHAUSEN - HSP - SC/PR"/>
    <s v="Hospitalar"/>
    <s v="rafael.esteves@cslbehring.com"/>
    <s v="RAFAEL ESTEVES (RJ/SPI/SUL)"/>
    <n v="0"/>
    <n v="0"/>
    <n v="0"/>
    <n v="0"/>
    <n v="140"/>
  </r>
  <r>
    <x v="0"/>
    <x v="1"/>
    <x v="0"/>
    <n v="1125832000105"/>
    <x v="225"/>
    <s v="FLORIANOPOLIS"/>
    <s v="SC"/>
    <s v="1-Setorizado"/>
    <n v="2"/>
    <x v="8"/>
    <s v="MICHELE MORAES - ESP - PR/SC/RS"/>
    <s v="Especialidade"/>
    <s v="rafael.esteves@cslbehring.com"/>
    <s v="RAFAEL ESTEVES (RJ/SPI/SUL)"/>
    <n v="0"/>
    <n v="0"/>
    <n v="0"/>
    <n v="0"/>
    <n v="60"/>
  </r>
  <r>
    <x v="0"/>
    <x v="1"/>
    <x v="0"/>
    <n v="1125832000105"/>
    <x v="225"/>
    <s v="FLORIANOPOLIS"/>
    <s v="SC"/>
    <s v="1-Setorizado"/>
    <n v="2"/>
    <x v="9"/>
    <s v="FERNANDA BORNHAUSEN - HSP - SC/PR"/>
    <s v="Hospitalar"/>
    <s v="rafael.esteves@cslbehring.com"/>
    <s v="RAFAEL ESTEVES (RJ/SPI/SUL)"/>
    <n v="0"/>
    <n v="0"/>
    <n v="0"/>
    <n v="0"/>
    <n v="60"/>
  </r>
  <r>
    <x v="0"/>
    <x v="1"/>
    <x v="0"/>
    <n v="80673411000187"/>
    <x v="226"/>
    <s v="FLORIANOPOLIS"/>
    <s v="SC"/>
    <s v="1-Setorizado"/>
    <n v="2"/>
    <x v="8"/>
    <s v="MICHELE MORAES - ESP - PR/SC/RS"/>
    <s v="Especialidade"/>
    <s v="rafael.esteves@cslbehring.com"/>
    <s v="RAFAEL ESTEVES (RJ/SPI/SUL)"/>
    <n v="0"/>
    <n v="0"/>
    <n v="0"/>
    <n v="48"/>
    <n v="0"/>
  </r>
  <r>
    <x v="0"/>
    <x v="1"/>
    <x v="0"/>
    <n v="80673411000187"/>
    <x v="226"/>
    <s v="FLORIANOPOLIS"/>
    <s v="SC"/>
    <s v="1-Setorizado"/>
    <n v="2"/>
    <x v="9"/>
    <s v="FERNANDA BORNHAUSEN - HSP - SC/PR"/>
    <s v="Hospitalar"/>
    <s v="rafael.esteves@cslbehring.com"/>
    <s v="RAFAEL ESTEVES (RJ/SPI/SUL)"/>
    <n v="0"/>
    <n v="0"/>
    <n v="0"/>
    <n v="0"/>
    <n v="0"/>
  </r>
  <r>
    <x v="0"/>
    <x v="1"/>
    <x v="0"/>
    <n v="83899526000425"/>
    <x v="227"/>
    <s v="FLORIANOPOLIS"/>
    <s v="SC"/>
    <s v="1-Setorizado"/>
    <n v="2"/>
    <x v="8"/>
    <s v="MICHELE MORAES - ESP - PR/SC/RS"/>
    <s v="Especialidade"/>
    <s v="rafael.esteves@cslbehring.com"/>
    <s v="RAFAEL ESTEVES (RJ/SPI/SUL)"/>
    <n v="0"/>
    <n v="0"/>
    <n v="0"/>
    <n v="0"/>
    <n v="0"/>
  </r>
  <r>
    <x v="0"/>
    <x v="1"/>
    <x v="0"/>
    <n v="83899526000425"/>
    <x v="227"/>
    <s v="FLORIANOPOLIS"/>
    <s v="SC"/>
    <s v="1-Setorizado"/>
    <n v="2"/>
    <x v="9"/>
    <s v="FERNANDA BORNHAUSEN - HSP - SC/PR"/>
    <s v="Hospitalar"/>
    <s v="rafael.esteves@cslbehring.com"/>
    <s v="RAFAEL ESTEVES (RJ/SPI/SUL)"/>
    <n v="0"/>
    <n v="0"/>
    <n v="3"/>
    <n v="0"/>
    <n v="0"/>
  </r>
  <r>
    <x v="0"/>
    <x v="1"/>
    <x v="0"/>
    <n v="4670913000176"/>
    <x v="229"/>
    <s v="FLORIANOPOLIS"/>
    <s v="SC"/>
    <s v="1-Setorizado"/>
    <n v="2"/>
    <x v="8"/>
    <s v="MICHELE MORAES - ESP - PR/SC/RS"/>
    <s v="Especialidade"/>
    <s v="rafael.esteves@cslbehring.com"/>
    <s v="RAFAEL ESTEVES (RJ/SPI/SUL)"/>
    <n v="0"/>
    <n v="0"/>
    <n v="0"/>
    <n v="0"/>
    <n v="245"/>
  </r>
  <r>
    <x v="0"/>
    <x v="1"/>
    <x v="0"/>
    <n v="4670913000176"/>
    <x v="229"/>
    <s v="FLORIANOPOLIS"/>
    <s v="SC"/>
    <s v="1-Setorizado"/>
    <n v="2"/>
    <x v="9"/>
    <s v="FERNANDA BORNHAUSEN - HSP - SC/PR"/>
    <s v="Hospitalar"/>
    <s v="rafael.esteves@cslbehring.com"/>
    <s v="RAFAEL ESTEVES (RJ/SPI/SUL)"/>
    <n v="0"/>
    <n v="0"/>
    <n v="0"/>
    <n v="0"/>
    <n v="245"/>
  </r>
  <r>
    <x v="0"/>
    <x v="1"/>
    <x v="0"/>
    <n v="12361267004261"/>
    <x v="421"/>
    <s v="JOINVILLE"/>
    <s v="SC"/>
    <s v="1-Setorizado"/>
    <n v="2"/>
    <x v="8"/>
    <s v="MICHELE MORAES - ESP - PR/SC/RS"/>
    <s v="Especialidade"/>
    <s v="rafael.esteves@cslbehring.com"/>
    <s v="RAFAEL ESTEVES (RJ/SPI/SUL)"/>
    <n v="0"/>
    <n v="0"/>
    <n v="0"/>
    <n v="0"/>
    <n v="120"/>
  </r>
  <r>
    <x v="0"/>
    <x v="1"/>
    <x v="0"/>
    <n v="12361267004261"/>
    <x v="421"/>
    <s v="JOINVILLE"/>
    <s v="SC"/>
    <s v="1-Setorizado"/>
    <n v="2"/>
    <x v="9"/>
    <s v="FERNANDA BORNHAUSEN - HSP - SC/PR"/>
    <s v="Hospitalar"/>
    <s v="rafael.esteves@cslbehring.com"/>
    <s v="RAFAEL ESTEVES (RJ/SPI/SUL)"/>
    <n v="0"/>
    <n v="0"/>
    <n v="0"/>
    <n v="0"/>
    <n v="120"/>
  </r>
  <r>
    <x v="0"/>
    <x v="1"/>
    <x v="0"/>
    <n v="77858611001414"/>
    <x v="231"/>
    <s v="SAO JOSE"/>
    <s v="SC"/>
    <s v="1-Setorizado"/>
    <n v="2"/>
    <x v="8"/>
    <s v="MICHELE MORAES - ESP - PR/SC/RS"/>
    <s v="Especialidade"/>
    <s v="rafael.esteves@cslbehring.com"/>
    <s v="RAFAEL ESTEVES (RJ/SPI/SUL)"/>
    <n v="0"/>
    <n v="0"/>
    <n v="0"/>
    <n v="0"/>
    <n v="0"/>
  </r>
  <r>
    <x v="0"/>
    <x v="1"/>
    <x v="0"/>
    <n v="77858611001414"/>
    <x v="231"/>
    <s v="SAO JOSE"/>
    <s v="SC"/>
    <s v="1-Setorizado"/>
    <n v="2"/>
    <x v="9"/>
    <s v="FERNANDA BORNHAUSEN - HSP - SC/PR"/>
    <s v="Hospitalar"/>
    <s v="rafael.esteves@cslbehring.com"/>
    <s v="RAFAEL ESTEVES (RJ/SPI/SUL)"/>
    <n v="0"/>
    <n v="5"/>
    <n v="0"/>
    <n v="0"/>
    <n v="0"/>
  </r>
  <r>
    <x v="0"/>
    <x v="1"/>
    <x v="0"/>
    <n v="80490618000116"/>
    <x v="232"/>
    <s v="TUBARAO"/>
    <s v="SC"/>
    <s v="1-Setorizado"/>
    <n v="2"/>
    <x v="8"/>
    <s v="MICHELE MORAES - ESP - PR/SC/RS"/>
    <s v="Especialidade"/>
    <s v="rafael.esteves@cslbehring.com"/>
    <s v="RAFAEL ESTEVES (RJ/SPI/SUL)"/>
    <n v="0"/>
    <n v="0"/>
    <n v="0"/>
    <n v="0"/>
    <n v="60"/>
  </r>
  <r>
    <x v="0"/>
    <x v="1"/>
    <x v="0"/>
    <n v="80490618000116"/>
    <x v="232"/>
    <s v="TUBARAO"/>
    <s v="SC"/>
    <s v="1-Setorizado"/>
    <n v="2"/>
    <x v="9"/>
    <s v="FERNANDA BORNHAUSEN - HSP - SC/PR"/>
    <s v="Hospitalar"/>
    <s v="rafael.esteves@cslbehring.com"/>
    <s v="RAFAEL ESTEVES (RJ/SPI/SUL)"/>
    <n v="0"/>
    <n v="0"/>
    <n v="0"/>
    <n v="0"/>
    <n v="60"/>
  </r>
  <r>
    <x v="0"/>
    <x v="1"/>
    <x v="0"/>
    <n v="12361267000517"/>
    <x v="233"/>
    <s v="ARACAJU"/>
    <s v="SE"/>
    <s v="1-Setorizado"/>
    <n v="2"/>
    <x v="0"/>
    <s v="VALERIA BRAGA - ESP - (CE/MA/PI/BA/AL/SE/PB/PE/RN)"/>
    <s v="Especialidade"/>
    <s v="fernando.leony@cslbehring.com"/>
    <s v="FERNANDO LEONY (CO/NO/NE)"/>
    <n v="0"/>
    <n v="0"/>
    <n v="0"/>
    <n v="0"/>
    <n v="85"/>
  </r>
  <r>
    <x v="0"/>
    <x v="1"/>
    <x v="0"/>
    <n v="12361267000517"/>
    <x v="233"/>
    <s v="ARACAJU"/>
    <s v="SE"/>
    <s v="1-Setorizado"/>
    <n v="2"/>
    <x v="1"/>
    <s v="LAIS MAGALHAES - HSP - BA/AL/SE"/>
    <s v="Hospitalar"/>
    <s v="fernando.leony@cslbehring.com"/>
    <s v="FERNANDO LEONY (CO/NO/NE)"/>
    <n v="0"/>
    <n v="0"/>
    <n v="0"/>
    <n v="0"/>
    <n v="85"/>
  </r>
  <r>
    <x v="0"/>
    <x v="1"/>
    <x v="0"/>
    <n v="13086053000119"/>
    <x v="422"/>
    <s v="ARACAJU"/>
    <s v="SE"/>
    <s v="1-Setorizado"/>
    <n v="2"/>
    <x v="0"/>
    <s v="VALERIA BRAGA - ESP - (CE/MA/PI/BA/AL/SE/PB/PE/RN)"/>
    <s v="Especialidade"/>
    <s v="fernando.leony@cslbehring.com"/>
    <s v="FERNANDO LEONY (CO/NO/NE)"/>
    <n v="0"/>
    <n v="0"/>
    <n v="0"/>
    <n v="0"/>
    <n v="5"/>
  </r>
  <r>
    <x v="0"/>
    <x v="1"/>
    <x v="0"/>
    <n v="13086053000119"/>
    <x v="422"/>
    <s v="ARACAJU"/>
    <s v="SE"/>
    <s v="1-Setorizado"/>
    <n v="2"/>
    <x v="1"/>
    <s v="LAIS MAGALHAES - HSP - BA/AL/SE"/>
    <s v="Hospitalar"/>
    <s v="fernando.leony@cslbehring.com"/>
    <s v="FERNANDO LEONY (CO/NO/NE)"/>
    <n v="0"/>
    <n v="0"/>
    <n v="0"/>
    <n v="0"/>
    <n v="5"/>
  </r>
  <r>
    <x v="0"/>
    <x v="1"/>
    <x v="0"/>
    <n v="13016332000106"/>
    <x v="234"/>
    <s v="ARACAJU"/>
    <s v="SE"/>
    <s v="1-Setorizado"/>
    <n v="2"/>
    <x v="0"/>
    <s v="VALERIA BRAGA - ESP - (CE/MA/PI/BA/AL/SE/PB/PE/RN)"/>
    <s v="Especialidade"/>
    <s v="fernando.leony@cslbehring.com"/>
    <s v="FERNANDO LEONY (CO/NO/NE)"/>
    <n v="0"/>
    <n v="0"/>
    <n v="0"/>
    <n v="0"/>
    <n v="0"/>
  </r>
  <r>
    <x v="0"/>
    <x v="1"/>
    <x v="0"/>
    <n v="13016332000106"/>
    <x v="234"/>
    <s v="ARACAJU"/>
    <s v="SE"/>
    <s v="1-Setorizado"/>
    <n v="2"/>
    <x v="1"/>
    <s v="LAIS MAGALHAES - HSP - BA/AL/SE"/>
    <s v="Hospitalar"/>
    <s v="fernando.leony@cslbehring.com"/>
    <s v="FERNANDO LEONY (CO/NO/NE)"/>
    <n v="0"/>
    <n v="0"/>
    <n v="6"/>
    <n v="0"/>
    <n v="0"/>
  </r>
  <r>
    <x v="0"/>
    <x v="1"/>
    <x v="0"/>
    <n v="13131370000100"/>
    <x v="235"/>
    <s v="ARACAJU"/>
    <s v="SE"/>
    <s v="1-Setorizado"/>
    <n v="2"/>
    <x v="0"/>
    <s v="VALERIA BRAGA - ESP - (CE/MA/PI/BA/AL/SE/PB/PE/RN)"/>
    <s v="Especialidade"/>
    <s v="fernando.leony@cslbehring.com"/>
    <s v="FERNANDO LEONY (CO/NO/NE)"/>
    <n v="0"/>
    <n v="0"/>
    <n v="0"/>
    <n v="44"/>
    <n v="400"/>
  </r>
  <r>
    <x v="0"/>
    <x v="1"/>
    <x v="0"/>
    <n v="13131370000100"/>
    <x v="235"/>
    <s v="ARACAJU"/>
    <s v="SE"/>
    <s v="1-Setorizado"/>
    <n v="2"/>
    <x v="1"/>
    <s v="LAIS MAGALHAES - HSP - BA/AL/SE"/>
    <s v="Hospitalar"/>
    <s v="fernando.leony@cslbehring.com"/>
    <s v="FERNANDO LEONY (CO/NO/NE)"/>
    <n v="0"/>
    <n v="0"/>
    <n v="6"/>
    <n v="0"/>
    <n v="400"/>
  </r>
  <r>
    <x v="0"/>
    <x v="1"/>
    <x v="0"/>
    <n v="15592785000106"/>
    <x v="236"/>
    <s v="ARACAJU"/>
    <s v="SE"/>
    <s v="1-Setorizado"/>
    <n v="2"/>
    <x v="0"/>
    <s v="VALERIA BRAGA - ESP - (CE/MA/PI/BA/AL/SE/PB/PE/RN)"/>
    <s v="Especialidade"/>
    <s v="fernando.leony@cslbehring.com"/>
    <s v="FERNANDO LEONY (CO/NO/NE)"/>
    <n v="0"/>
    <n v="0"/>
    <n v="0"/>
    <n v="0"/>
    <n v="25"/>
  </r>
  <r>
    <x v="0"/>
    <x v="1"/>
    <x v="0"/>
    <n v="15592785000106"/>
    <x v="236"/>
    <s v="ARACAJU"/>
    <s v="SE"/>
    <s v="1-Setorizado"/>
    <n v="2"/>
    <x v="1"/>
    <s v="LAIS MAGALHAES - HSP - BA/AL/SE"/>
    <s v="Hospitalar"/>
    <s v="fernando.leony@cslbehring.com"/>
    <s v="FERNANDO LEONY (CO/NO/NE)"/>
    <n v="0"/>
    <n v="0"/>
    <n v="0"/>
    <n v="0"/>
    <n v="25"/>
  </r>
  <r>
    <x v="0"/>
    <x v="1"/>
    <x v="0"/>
    <n v="3091003000176"/>
    <x v="423"/>
    <s v="ARACAJU"/>
    <s v="SE"/>
    <s v="1-Setorizado"/>
    <n v="2"/>
    <x v="0"/>
    <s v="VALERIA BRAGA - ESP - (CE/MA/PI/BA/AL/SE/PB/PE/RN)"/>
    <s v="Especialidade"/>
    <s v="fernando.leony@cslbehring.com"/>
    <s v="FERNANDO LEONY (CO/NO/NE)"/>
    <n v="0"/>
    <n v="0"/>
    <n v="0"/>
    <n v="0"/>
    <n v="175"/>
  </r>
  <r>
    <x v="0"/>
    <x v="1"/>
    <x v="0"/>
    <n v="3091003000176"/>
    <x v="423"/>
    <s v="ARACAJU"/>
    <s v="SE"/>
    <s v="1-Setorizado"/>
    <n v="2"/>
    <x v="1"/>
    <s v="LAIS MAGALHAES - HSP - BA/AL/SE"/>
    <s v="Hospitalar"/>
    <s v="fernando.leony@cslbehring.com"/>
    <s v="FERNANDO LEONY (CO/NO/NE)"/>
    <n v="0"/>
    <n v="0"/>
    <n v="0"/>
    <n v="0"/>
    <n v="175"/>
  </r>
  <r>
    <x v="0"/>
    <x v="1"/>
    <x v="0"/>
    <n v="16064313000577"/>
    <x v="424"/>
    <s v="ARACAJU"/>
    <s v="SE"/>
    <s v="1-Setorizado"/>
    <n v="2"/>
    <x v="0"/>
    <s v="VALERIA BRAGA - ESP - (CE/MA/PI/BA/AL/SE/PB/PE/RN)"/>
    <s v="Especialidade"/>
    <s v="fernando.leony@cslbehring.com"/>
    <s v="FERNANDO LEONY (CO/NO/NE)"/>
    <n v="0"/>
    <n v="0"/>
    <n v="0"/>
    <n v="23"/>
    <n v="0"/>
  </r>
  <r>
    <x v="0"/>
    <x v="1"/>
    <x v="0"/>
    <n v="16064313000577"/>
    <x v="424"/>
    <s v="ARACAJU"/>
    <s v="SE"/>
    <s v="1-Setorizado"/>
    <n v="2"/>
    <x v="1"/>
    <s v="LAIS MAGALHAES - HSP - BA/AL/SE"/>
    <s v="Hospitalar"/>
    <s v="fernando.leony@cslbehring.com"/>
    <s v="FERNANDO LEONY (CO/NO/NE)"/>
    <n v="0"/>
    <n v="0"/>
    <n v="0"/>
    <n v="0"/>
    <n v="0"/>
  </r>
  <r>
    <x v="0"/>
    <x v="1"/>
    <x v="0"/>
    <n v="700386513"/>
    <x v="425"/>
    <s v="NOSSA SENHORA DA GLORIA"/>
    <s v="SE"/>
    <s v="1-Setorizado"/>
    <n v="2"/>
    <x v="0"/>
    <s v="VALERIA BRAGA - ESP - (CE/MA/PI/BA/AL/SE/PB/PE/RN)"/>
    <s v="Especialidade"/>
    <s v="fernando.leony@cslbehring.com"/>
    <s v="FERNANDO LEONY (CO/NO/NE)"/>
    <n v="4"/>
    <n v="0"/>
    <n v="0"/>
    <n v="0"/>
    <n v="0"/>
  </r>
  <r>
    <x v="0"/>
    <x v="1"/>
    <x v="0"/>
    <n v="700386513"/>
    <x v="425"/>
    <s v="NOSSA SENHORA DA GLORIA"/>
    <s v="SE"/>
    <s v="1-Setorizado"/>
    <n v="2"/>
    <x v="1"/>
    <s v="LAIS MAGALHAES - HSP - BA/AL/SE"/>
    <s v="Hospitalar"/>
    <s v="fernando.leony@cslbehring.com"/>
    <s v="FERNANDO LEONY (CO/NO/NE)"/>
    <n v="0"/>
    <n v="0"/>
    <n v="0"/>
    <n v="0"/>
    <n v="0"/>
  </r>
  <r>
    <x v="0"/>
    <x v="1"/>
    <x v="0"/>
    <n v="25026561000190"/>
    <x v="238"/>
    <s v="ANDRADINA"/>
    <s v="SP"/>
    <s v="1-Setorizado"/>
    <n v="2"/>
    <x v="14"/>
    <s v="BRUNA CLARO - ESP - SPI"/>
    <s v="Especialidade"/>
    <s v="claudia.bueno@cslbehring.com"/>
    <s v="CLAUDIA BUENO (SPC/SPI)"/>
    <n v="0"/>
    <n v="0"/>
    <n v="0"/>
    <n v="0"/>
    <n v="20"/>
  </r>
  <r>
    <x v="0"/>
    <x v="1"/>
    <x v="0"/>
    <n v="25026561000190"/>
    <x v="238"/>
    <s v="ANDRADINA"/>
    <s v="SP"/>
    <s v="1-Setorizado"/>
    <n v="2"/>
    <x v="15"/>
    <s v="ARTUR JUNIOR - HSP - SPI"/>
    <s v="Hospitalar"/>
    <s v="claudia.bueno@cslbehring.com"/>
    <s v="CLAUDIA BUENO (SPC/SPI)"/>
    <n v="0"/>
    <n v="0"/>
    <n v="0"/>
    <n v="0"/>
    <n v="20"/>
  </r>
  <r>
    <x v="0"/>
    <x v="1"/>
    <x v="0"/>
    <n v="46374500003886"/>
    <x v="426"/>
    <s v="ARACATUBA"/>
    <s v="SP"/>
    <s v="1-Setorizado"/>
    <n v="2"/>
    <x v="14"/>
    <s v="BRUNA CLARO - ESP - SPI"/>
    <s v="Especialidade"/>
    <s v="claudia.bueno@cslbehring.com"/>
    <s v="CLAUDIA BUENO (SPC/SPI)"/>
    <n v="18"/>
    <n v="0"/>
    <n v="0"/>
    <n v="0"/>
    <n v="0"/>
  </r>
  <r>
    <x v="0"/>
    <x v="1"/>
    <x v="0"/>
    <n v="46374500003886"/>
    <x v="426"/>
    <s v="ARACATUBA"/>
    <s v="SP"/>
    <s v="1-Setorizado"/>
    <n v="2"/>
    <x v="15"/>
    <s v="ARTUR JUNIOR - HSP - SPI"/>
    <s v="Hospitalar"/>
    <s v="claudia.bueno@cslbehring.com"/>
    <s v="CLAUDIA BUENO (SPC/SPI)"/>
    <n v="0"/>
    <n v="0"/>
    <n v="0"/>
    <n v="0"/>
    <n v="0"/>
  </r>
  <r>
    <x v="0"/>
    <x v="1"/>
    <x v="0"/>
    <n v="54012406000385"/>
    <x v="239"/>
    <s v="ARARAS"/>
    <s v="SP"/>
    <s v="1-Setorizado"/>
    <n v="2"/>
    <x v="14"/>
    <s v="BRUNA CLARO - ESP - SPI"/>
    <s v="Especialidade"/>
    <s v="claudia.bueno@cslbehring.com"/>
    <s v="CLAUDIA BUENO (SPC/SPI)"/>
    <n v="0"/>
    <n v="0"/>
    <n v="0"/>
    <n v="0"/>
    <n v="70"/>
  </r>
  <r>
    <x v="0"/>
    <x v="1"/>
    <x v="0"/>
    <n v="54012406000385"/>
    <x v="239"/>
    <s v="ARARAS"/>
    <s v="SP"/>
    <s v="1-Setorizado"/>
    <n v="2"/>
    <x v="15"/>
    <s v="ARTUR JUNIOR - HSP - SPI"/>
    <s v="Hospitalar"/>
    <s v="claudia.bueno@cslbehring.com"/>
    <s v="CLAUDIA BUENO (SPC/SPI)"/>
    <n v="0"/>
    <n v="0"/>
    <n v="0"/>
    <n v="0"/>
    <n v="70"/>
  </r>
  <r>
    <x v="0"/>
    <x v="1"/>
    <x v="0"/>
    <n v="4275687000129"/>
    <x v="240"/>
    <s v="ATIBAIA"/>
    <s v="SP"/>
    <s v="1-Setorizado"/>
    <n v="2"/>
    <x v="14"/>
    <s v="BRUNA CLARO - ESP - SPI"/>
    <s v="Especialidade"/>
    <s v="claudia.bueno@cslbehring.com"/>
    <s v="CLAUDIA BUENO (SPC/SPI)"/>
    <n v="0"/>
    <n v="0"/>
    <n v="0"/>
    <n v="15"/>
    <n v="0"/>
  </r>
  <r>
    <x v="0"/>
    <x v="1"/>
    <x v="0"/>
    <n v="4275687000129"/>
    <x v="240"/>
    <s v="ATIBAIA"/>
    <s v="SP"/>
    <s v="1-Setorizado"/>
    <n v="2"/>
    <x v="15"/>
    <s v="ARTUR JUNIOR - HSP - SPI"/>
    <s v="Hospitalar"/>
    <s v="claudia.bueno@cslbehring.com"/>
    <s v="CLAUDIA BUENO (SPC/SPI)"/>
    <n v="0"/>
    <n v="0"/>
    <n v="0"/>
    <n v="0"/>
    <n v="0"/>
  </r>
  <r>
    <x v="0"/>
    <x v="1"/>
    <x v="0"/>
    <n v="63025530008270"/>
    <x v="427"/>
    <s v="BAURU"/>
    <s v="SP"/>
    <s v="1-Setorizado"/>
    <n v="2"/>
    <x v="14"/>
    <s v="BRUNA CLARO - ESP - SPI"/>
    <s v="Especialidade"/>
    <s v="claudia.bueno@cslbehring.com"/>
    <s v="CLAUDIA BUENO (SPC/SPI)"/>
    <n v="0"/>
    <n v="0"/>
    <n v="0"/>
    <n v="0"/>
    <n v="5"/>
  </r>
  <r>
    <x v="0"/>
    <x v="1"/>
    <x v="0"/>
    <n v="63025530008270"/>
    <x v="427"/>
    <s v="BAURU"/>
    <s v="SP"/>
    <s v="1-Setorizado"/>
    <n v="2"/>
    <x v="15"/>
    <s v="ARTUR JUNIOR - HSP - SPI"/>
    <s v="Hospitalar"/>
    <s v="claudia.bueno@cslbehring.com"/>
    <s v="CLAUDIA BUENO (SPC/SPI)"/>
    <n v="0"/>
    <n v="0"/>
    <n v="0"/>
    <n v="0"/>
    <n v="5"/>
  </r>
  <r>
    <x v="0"/>
    <x v="1"/>
    <x v="0"/>
    <n v="44456036000311"/>
    <x v="241"/>
    <s v="BAURU"/>
    <s v="SP"/>
    <s v="1-Setorizado"/>
    <n v="2"/>
    <x v="14"/>
    <s v="BRUNA CLARO - ESP - SPI"/>
    <s v="Especialidade"/>
    <s v="claudia.bueno@cslbehring.com"/>
    <s v="CLAUDIA BUENO (SPC/SPI)"/>
    <n v="0"/>
    <n v="0"/>
    <n v="0"/>
    <n v="0"/>
    <n v="0"/>
  </r>
  <r>
    <x v="0"/>
    <x v="1"/>
    <x v="0"/>
    <n v="44456036000311"/>
    <x v="241"/>
    <s v="BAURU"/>
    <s v="SP"/>
    <s v="1-Setorizado"/>
    <n v="2"/>
    <x v="15"/>
    <s v="ARTUR JUNIOR - HSP - SPI"/>
    <s v="Hospitalar"/>
    <s v="claudia.bueno@cslbehring.com"/>
    <s v="CLAUDIA BUENO (SPC/SPI)"/>
    <n v="0"/>
    <n v="4"/>
    <n v="28"/>
    <n v="0"/>
    <n v="0"/>
  </r>
  <r>
    <x v="0"/>
    <x v="1"/>
    <x v="0"/>
    <n v="46020301000269"/>
    <x v="242"/>
    <s v="CAMPINAS"/>
    <s v="SP"/>
    <s v="1-Setorizado"/>
    <n v="2"/>
    <x v="14"/>
    <s v="BRUNA CLARO - ESP - SPI"/>
    <s v="Especialidade"/>
    <s v="claudia.bueno@cslbehring.com"/>
    <s v="CLAUDIA BUENO (SPC/SPI)"/>
    <n v="0"/>
    <n v="0"/>
    <n v="0"/>
    <n v="35"/>
    <n v="0"/>
  </r>
  <r>
    <x v="0"/>
    <x v="1"/>
    <x v="0"/>
    <n v="46020301000269"/>
    <x v="242"/>
    <s v="CAMPINAS"/>
    <s v="SP"/>
    <s v="1-Setorizado"/>
    <n v="2"/>
    <x v="15"/>
    <s v="ARTUR JUNIOR - HSP - SPI"/>
    <s v="Hospitalar"/>
    <s v="claudia.bueno@cslbehring.com"/>
    <s v="CLAUDIA BUENO (SPC/SPI)"/>
    <n v="0"/>
    <n v="0"/>
    <n v="0"/>
    <n v="0"/>
    <n v="0"/>
  </r>
  <r>
    <x v="0"/>
    <x v="1"/>
    <x v="0"/>
    <n v="46009718000140"/>
    <x v="243"/>
    <s v="CAMPINAS"/>
    <s v="SP"/>
    <s v="1-Setorizado"/>
    <n v="2"/>
    <x v="14"/>
    <s v="BRUNA CLARO - ESP - SPI"/>
    <s v="Especialidade"/>
    <s v="claudia.bueno@cslbehring.com"/>
    <s v="CLAUDIA BUENO (SPC/SPI)"/>
    <n v="6"/>
    <n v="0"/>
    <n v="0"/>
    <n v="83"/>
    <n v="1150"/>
  </r>
  <r>
    <x v="0"/>
    <x v="1"/>
    <x v="0"/>
    <n v="46009718000140"/>
    <x v="243"/>
    <s v="CAMPINAS"/>
    <s v="SP"/>
    <s v="1-Setorizado"/>
    <n v="2"/>
    <x v="15"/>
    <s v="ARTUR JUNIOR - HSP - SPI"/>
    <s v="Hospitalar"/>
    <s v="claudia.bueno@cslbehring.com"/>
    <s v="CLAUDIA BUENO (SPC/SPI)"/>
    <n v="0"/>
    <n v="0"/>
    <n v="0"/>
    <n v="0"/>
    <n v="1150"/>
  </r>
  <r>
    <x v="0"/>
    <x v="1"/>
    <x v="0"/>
    <n v="44649812019238"/>
    <x v="245"/>
    <s v="CAMPINAS"/>
    <s v="SP"/>
    <s v="1-Setorizado"/>
    <n v="2"/>
    <x v="14"/>
    <s v="BRUNA CLARO - ESP - SPI"/>
    <s v="Especialidade"/>
    <s v="claudia.bueno@cslbehring.com"/>
    <s v="CLAUDIA BUENO (SPC/SPI)"/>
    <n v="0"/>
    <n v="0"/>
    <n v="0"/>
    <n v="8"/>
    <n v="0"/>
  </r>
  <r>
    <x v="0"/>
    <x v="1"/>
    <x v="0"/>
    <n v="44649812019238"/>
    <x v="245"/>
    <s v="CAMPINAS"/>
    <s v="SP"/>
    <s v="1-Setorizado"/>
    <n v="2"/>
    <x v="15"/>
    <s v="ARTUR JUNIOR - HSP - SPI"/>
    <s v="Hospitalar"/>
    <s v="claudia.bueno@cslbehring.com"/>
    <s v="CLAUDIA BUENO (SPC/SPI)"/>
    <n v="0"/>
    <n v="0"/>
    <n v="0"/>
    <n v="0"/>
    <n v="0"/>
  </r>
  <r>
    <x v="0"/>
    <x v="1"/>
    <x v="0"/>
    <n v="29435005008456"/>
    <x v="247"/>
    <s v="CAMPINAS"/>
    <s v="SP"/>
    <s v="1-Setorizado"/>
    <n v="2"/>
    <x v="14"/>
    <s v="BRUNA CLARO - ESP - SPI"/>
    <s v="Especialidade"/>
    <s v="claudia.bueno@cslbehring.com"/>
    <s v="CLAUDIA BUENO (SPC/SPI)"/>
    <n v="0"/>
    <n v="0"/>
    <n v="0"/>
    <n v="0"/>
    <n v="35"/>
  </r>
  <r>
    <x v="0"/>
    <x v="1"/>
    <x v="0"/>
    <n v="29435005008456"/>
    <x v="247"/>
    <s v="CAMPINAS"/>
    <s v="SP"/>
    <s v="1-Setorizado"/>
    <n v="2"/>
    <x v="15"/>
    <s v="ARTUR JUNIOR - HSP - SPI"/>
    <s v="Hospitalar"/>
    <s v="claudia.bueno@cslbehring.com"/>
    <s v="CLAUDIA BUENO (SPC/SPI)"/>
    <n v="0"/>
    <n v="0"/>
    <n v="0"/>
    <n v="0"/>
    <n v="35"/>
  </r>
  <r>
    <x v="0"/>
    <x v="1"/>
    <x v="0"/>
    <n v="46124624000111"/>
    <x v="248"/>
    <s v="CAMPINAS"/>
    <s v="SP"/>
    <s v="1-Setorizado"/>
    <n v="2"/>
    <x v="14"/>
    <s v="BRUNA CLARO - ESP - SPI"/>
    <s v="Especialidade"/>
    <s v="claudia.bueno@cslbehring.com"/>
    <s v="CLAUDIA BUENO (SPC/SPI)"/>
    <n v="0"/>
    <n v="0"/>
    <n v="0"/>
    <n v="48"/>
    <n v="340"/>
  </r>
  <r>
    <x v="0"/>
    <x v="1"/>
    <x v="0"/>
    <n v="46124624000111"/>
    <x v="248"/>
    <s v="CAMPINAS"/>
    <s v="SP"/>
    <s v="1-Setorizado"/>
    <n v="2"/>
    <x v="15"/>
    <s v="ARTUR JUNIOR - HSP - SPI"/>
    <s v="Hospitalar"/>
    <s v="claudia.bueno@cslbehring.com"/>
    <s v="CLAUDIA BUENO (SPC/SPI)"/>
    <n v="0"/>
    <n v="0"/>
    <n v="0"/>
    <n v="0"/>
    <n v="340"/>
  </r>
  <r>
    <x v="0"/>
    <x v="1"/>
    <x v="0"/>
    <n v="46068425000133"/>
    <x v="428"/>
    <s v="CAMPINAS"/>
    <s v="SP"/>
    <s v="1-Setorizado"/>
    <n v="2"/>
    <x v="14"/>
    <s v="BRUNA CLARO - ESP - SPI"/>
    <s v="Especialidade"/>
    <s v="claudia.bueno@cslbehring.com"/>
    <s v="CLAUDIA BUENO (SPC/SPI)"/>
    <n v="2"/>
    <n v="0"/>
    <n v="0"/>
    <n v="0"/>
    <n v="0"/>
  </r>
  <r>
    <x v="0"/>
    <x v="1"/>
    <x v="0"/>
    <n v="46068425000133"/>
    <x v="428"/>
    <s v="CAMPINAS"/>
    <s v="SP"/>
    <s v="1-Setorizado"/>
    <n v="2"/>
    <x v="15"/>
    <s v="ARTUR JUNIOR - HSP - SPI"/>
    <s v="Hospitalar"/>
    <s v="claudia.bueno@cslbehring.com"/>
    <s v="CLAUDIA BUENO (SPC/SPI)"/>
    <n v="0"/>
    <n v="0"/>
    <n v="0"/>
    <n v="0"/>
    <n v="0"/>
  </r>
  <r>
    <x v="0"/>
    <x v="1"/>
    <x v="0"/>
    <n v="10447300000177"/>
    <x v="249"/>
    <s v="CAMPINAS "/>
    <s v="SP"/>
    <s v="1-Setorizado"/>
    <n v="2"/>
    <x v="14"/>
    <s v="BRUNA CLARO - ESP - SPI"/>
    <s v="Especialidade"/>
    <s v="claudia.bueno@cslbehring.com"/>
    <s v="CLAUDIA BUENO (SPC/SPI)"/>
    <n v="0"/>
    <n v="0"/>
    <n v="0"/>
    <n v="4"/>
    <n v="0"/>
  </r>
  <r>
    <x v="0"/>
    <x v="1"/>
    <x v="0"/>
    <n v="10447300000177"/>
    <x v="249"/>
    <s v="CAMPINAS "/>
    <s v="SP"/>
    <s v="1-Setorizado"/>
    <n v="2"/>
    <x v="15"/>
    <s v="ARTUR JUNIOR - HSP - SPI"/>
    <s v="Hospitalar"/>
    <s v="claudia.bueno@cslbehring.com"/>
    <s v="CLAUDIA BUENO (SPC/SPI)"/>
    <n v="0"/>
    <n v="0"/>
    <n v="0"/>
    <n v="0"/>
    <n v="0"/>
  </r>
  <r>
    <x v="0"/>
    <x v="1"/>
    <x v="0"/>
    <n v="47074851000819"/>
    <x v="250"/>
    <s v="CATANDUVA"/>
    <s v="SP"/>
    <s v="1-Setorizado"/>
    <n v="2"/>
    <x v="14"/>
    <s v="BRUNA CLARO - ESP - SPI"/>
    <s v="Especialidade"/>
    <s v="claudia.bueno@cslbehring.com"/>
    <s v="CLAUDIA BUENO (SPC/SPI)"/>
    <n v="0"/>
    <n v="0"/>
    <n v="0"/>
    <n v="6"/>
    <n v="0"/>
  </r>
  <r>
    <x v="0"/>
    <x v="1"/>
    <x v="0"/>
    <n v="47074851000819"/>
    <x v="250"/>
    <s v="CATANDUVA"/>
    <s v="SP"/>
    <s v="1-Setorizado"/>
    <n v="2"/>
    <x v="15"/>
    <s v="ARTUR JUNIOR - HSP - SPI"/>
    <s v="Hospitalar"/>
    <s v="claudia.bueno@cslbehring.com"/>
    <s v="CLAUDIA BUENO (SPC/SPI)"/>
    <n v="0"/>
    <n v="0"/>
    <n v="0"/>
    <n v="0"/>
    <n v="0"/>
  </r>
  <r>
    <x v="0"/>
    <x v="1"/>
    <x v="0"/>
    <n v="68204486000113"/>
    <x v="429"/>
    <s v="DRACENA"/>
    <s v="SP"/>
    <s v="1-Setorizado"/>
    <n v="2"/>
    <x v="14"/>
    <s v="BRUNA CLARO - ESP - SPI"/>
    <s v="Especialidade"/>
    <s v="claudia.bueno@cslbehring.com"/>
    <s v="CLAUDIA BUENO (SPC/SPI)"/>
    <n v="0"/>
    <n v="0"/>
    <n v="0"/>
    <n v="0"/>
    <n v="150"/>
  </r>
  <r>
    <x v="0"/>
    <x v="1"/>
    <x v="0"/>
    <n v="68204486000113"/>
    <x v="429"/>
    <s v="DRACENA"/>
    <s v="SP"/>
    <s v="1-Setorizado"/>
    <n v="2"/>
    <x v="15"/>
    <s v="ARTUR JUNIOR - HSP - SPI"/>
    <s v="Hospitalar"/>
    <s v="claudia.bueno@cslbehring.com"/>
    <s v="CLAUDIA BUENO (SPC/SPI)"/>
    <n v="0"/>
    <n v="0"/>
    <n v="0"/>
    <n v="0"/>
    <n v="150"/>
  </r>
  <r>
    <x v="0"/>
    <x v="1"/>
    <x v="0"/>
    <n v="50486026000160"/>
    <x v="252"/>
    <s v="FRANCA"/>
    <s v="SP"/>
    <s v="1-Setorizado"/>
    <n v="2"/>
    <x v="14"/>
    <s v="BRUNA CLARO - ESP - SPI"/>
    <s v="Especialidade"/>
    <s v="claudia.bueno@cslbehring.com"/>
    <s v="CLAUDIA BUENO (SPC/SPI)"/>
    <n v="0"/>
    <n v="0"/>
    <n v="0"/>
    <n v="0"/>
    <n v="100"/>
  </r>
  <r>
    <x v="0"/>
    <x v="1"/>
    <x v="0"/>
    <n v="50486026000160"/>
    <x v="252"/>
    <s v="FRANCA"/>
    <s v="SP"/>
    <s v="1-Setorizado"/>
    <n v="2"/>
    <x v="15"/>
    <s v="ARTUR JUNIOR - HSP - SPI"/>
    <s v="Hospitalar"/>
    <s v="claudia.bueno@cslbehring.com"/>
    <s v="CLAUDIA BUENO (SPC/SPI)"/>
    <n v="0"/>
    <n v="0"/>
    <n v="0"/>
    <n v="0"/>
    <n v="100"/>
  </r>
  <r>
    <x v="0"/>
    <x v="1"/>
    <x v="0"/>
    <n v="29435005008294"/>
    <x v="254"/>
    <s v="GUARULHOS"/>
    <s v="SP"/>
    <s v="1-Setorizado"/>
    <n v="2"/>
    <x v="16"/>
    <s v="JANAINA PALMIRO - ESP - SPC"/>
    <s v="Especialidade"/>
    <s v="claudia.bueno@cslbehring.com"/>
    <s v="CLAUDIA BUENO (SPC/SPI)"/>
    <n v="0"/>
    <n v="0"/>
    <n v="0"/>
    <n v="0"/>
    <n v="150"/>
  </r>
  <r>
    <x v="0"/>
    <x v="1"/>
    <x v="0"/>
    <n v="29435005008294"/>
    <x v="254"/>
    <s v="GUARULHOS"/>
    <s v="SP"/>
    <s v="1-Setorizado"/>
    <n v="2"/>
    <x v="17"/>
    <s v="ANTONIO TUNES - HSP - SPC"/>
    <s v="Hospitalar"/>
    <s v="claudia.bueno@cslbehring.com"/>
    <s v="CLAUDIA BUENO (SPC/SPI)"/>
    <n v="0"/>
    <n v="0"/>
    <n v="0"/>
    <n v="0"/>
    <n v="150"/>
  </r>
  <r>
    <x v="0"/>
    <x v="1"/>
    <x v="0"/>
    <n v="24082016000159"/>
    <x v="430"/>
    <s v="MARILIA"/>
    <s v="SP"/>
    <s v="1-Setorizado"/>
    <n v="2"/>
    <x v="14"/>
    <s v="BRUNA CLARO - ESP - SPI"/>
    <s v="Especialidade"/>
    <s v="claudia.bueno@cslbehring.com"/>
    <s v="CLAUDIA BUENO (SPC/SPI)"/>
    <n v="0"/>
    <n v="0"/>
    <n v="0"/>
    <n v="0"/>
    <n v="2000"/>
  </r>
  <r>
    <x v="0"/>
    <x v="1"/>
    <x v="0"/>
    <n v="24082016000159"/>
    <x v="430"/>
    <s v="MARILIA"/>
    <s v="SP"/>
    <s v="1-Setorizado"/>
    <n v="2"/>
    <x v="15"/>
    <s v="ARTUR JUNIOR - HSP - SPI"/>
    <s v="Hospitalar"/>
    <s v="claudia.bueno@cslbehring.com"/>
    <s v="CLAUDIA BUENO (SPC/SPI)"/>
    <n v="0"/>
    <n v="0"/>
    <n v="0"/>
    <n v="0"/>
    <n v="2000"/>
  </r>
  <r>
    <x v="0"/>
    <x v="1"/>
    <x v="0"/>
    <n v="46374500009060"/>
    <x v="431"/>
    <s v="PIRACICABA"/>
    <s v="SP"/>
    <s v="1-Setorizado"/>
    <n v="2"/>
    <x v="14"/>
    <s v="BRUNA CLARO - ESP - SPI"/>
    <s v="Especialidade"/>
    <s v="claudia.bueno@cslbehring.com"/>
    <s v="CLAUDIA BUENO (SPC/SPI)"/>
    <n v="0"/>
    <n v="0"/>
    <n v="0"/>
    <n v="0"/>
    <n v="300"/>
  </r>
  <r>
    <x v="0"/>
    <x v="1"/>
    <x v="0"/>
    <n v="46374500009060"/>
    <x v="431"/>
    <s v="PIRACICABA"/>
    <s v="SP"/>
    <s v="1-Setorizado"/>
    <n v="2"/>
    <x v="15"/>
    <s v="ARTUR JUNIOR - HSP - SPI"/>
    <s v="Hospitalar"/>
    <s v="claudia.bueno@cslbehring.com"/>
    <s v="CLAUDIA BUENO (SPC/SPI)"/>
    <n v="0"/>
    <n v="0"/>
    <n v="0"/>
    <n v="0"/>
    <n v="300"/>
  </r>
  <r>
    <x v="0"/>
    <x v="1"/>
    <x v="0"/>
    <n v="44803922000293"/>
    <x v="259"/>
    <s v="PIRACICABA"/>
    <s v="SP"/>
    <s v="1-Setorizado"/>
    <n v="2"/>
    <x v="14"/>
    <s v="BRUNA CLARO - ESP - SPI"/>
    <s v="Especialidade"/>
    <s v="claudia.bueno@cslbehring.com"/>
    <s v="CLAUDIA BUENO (SPC/SPI)"/>
    <n v="0"/>
    <n v="0"/>
    <n v="0"/>
    <n v="10"/>
    <n v="0"/>
  </r>
  <r>
    <x v="0"/>
    <x v="1"/>
    <x v="0"/>
    <n v="44803922000293"/>
    <x v="259"/>
    <s v="PIRACICABA"/>
    <s v="SP"/>
    <s v="1-Setorizado"/>
    <n v="2"/>
    <x v="15"/>
    <s v="ARTUR JUNIOR - HSP - SPI"/>
    <s v="Hospitalar"/>
    <s v="claudia.bueno@cslbehring.com"/>
    <s v="CLAUDIA BUENO (SPC/SPI)"/>
    <n v="0"/>
    <n v="0"/>
    <n v="0"/>
    <n v="0"/>
    <n v="0"/>
  </r>
  <r>
    <x v="0"/>
    <x v="1"/>
    <x v="0"/>
    <n v="840048000450"/>
    <x v="260"/>
    <s v="PIRASSUNUNGA"/>
    <s v="SP"/>
    <s v="1-Setorizado"/>
    <n v="2"/>
    <x v="14"/>
    <s v="BRUNA CLARO - ESP - SPI"/>
    <s v="Especialidade"/>
    <s v="claudia.bueno@cslbehring.com"/>
    <s v="CLAUDIA BUENO (SPC/SPI)"/>
    <n v="0"/>
    <n v="0"/>
    <n v="0"/>
    <n v="0"/>
    <n v="5"/>
  </r>
  <r>
    <x v="0"/>
    <x v="1"/>
    <x v="0"/>
    <n v="840048000450"/>
    <x v="260"/>
    <s v="PIRASSUNUNGA"/>
    <s v="SP"/>
    <s v="1-Setorizado"/>
    <n v="2"/>
    <x v="15"/>
    <s v="ARTUR JUNIOR - HSP - SPI"/>
    <s v="Hospitalar"/>
    <s v="claudia.bueno@cslbehring.com"/>
    <s v="CLAUDIA BUENO (SPC/SPI)"/>
    <n v="0"/>
    <n v="0"/>
    <n v="0"/>
    <n v="0"/>
    <n v="5"/>
  </r>
  <r>
    <x v="0"/>
    <x v="1"/>
    <x v="0"/>
    <n v="57722118000140"/>
    <x v="432"/>
    <s v="RIBEIRAO PRETO"/>
    <s v="SP"/>
    <s v="1-Setorizado"/>
    <n v="2"/>
    <x v="14"/>
    <s v="BRUNA CLARO - ESP - SPI"/>
    <s v="Especialidade"/>
    <s v="claudia.bueno@cslbehring.com"/>
    <s v="CLAUDIA BUENO (SPC/SPI)"/>
    <n v="0"/>
    <n v="0"/>
    <n v="0"/>
    <n v="0"/>
    <n v="150"/>
  </r>
  <r>
    <x v="0"/>
    <x v="1"/>
    <x v="0"/>
    <n v="57722118000140"/>
    <x v="432"/>
    <s v="RIBEIRAO PRETO"/>
    <s v="SP"/>
    <s v="1-Setorizado"/>
    <n v="2"/>
    <x v="15"/>
    <s v="ARTUR JUNIOR - HSP - SPI"/>
    <s v="Hospitalar"/>
    <s v="claudia.bueno@cslbehring.com"/>
    <s v="CLAUDIA BUENO (SPC/SPI)"/>
    <n v="0"/>
    <n v="0"/>
    <n v="0"/>
    <n v="0"/>
    <n v="150"/>
  </r>
  <r>
    <x v="0"/>
    <x v="1"/>
    <x v="0"/>
    <n v="1613433006892"/>
    <x v="263"/>
    <s v="RIBEIRAO PRETO"/>
    <s v="SP"/>
    <s v="1-Setorizado"/>
    <n v="2"/>
    <x v="14"/>
    <s v="BRUNA CLARO - ESP - SPI"/>
    <s v="Especialidade"/>
    <s v="claudia.bueno@cslbehring.com"/>
    <s v="CLAUDIA BUENO (SPC/SPI)"/>
    <n v="0"/>
    <n v="0"/>
    <n v="0"/>
    <n v="0"/>
    <n v="450"/>
  </r>
  <r>
    <x v="0"/>
    <x v="1"/>
    <x v="0"/>
    <n v="1613433006892"/>
    <x v="263"/>
    <s v="RIBEIRAO PRETO"/>
    <s v="SP"/>
    <s v="1-Setorizado"/>
    <n v="2"/>
    <x v="15"/>
    <s v="ARTUR JUNIOR - HSP - SPI"/>
    <s v="Hospitalar"/>
    <s v="claudia.bueno@cslbehring.com"/>
    <s v="CLAUDIA BUENO (SPC/SPI)"/>
    <n v="0"/>
    <n v="0"/>
    <n v="0"/>
    <n v="0"/>
    <n v="450"/>
  </r>
  <r>
    <x v="0"/>
    <x v="1"/>
    <x v="0"/>
    <n v="45232246000550"/>
    <x v="265"/>
    <s v="RIBEIRAO PRETO"/>
    <s v="SP"/>
    <s v="1-Setorizado"/>
    <n v="2"/>
    <x v="14"/>
    <s v="BRUNA CLARO - ESP - SPI"/>
    <s v="Especialidade"/>
    <s v="claudia.bueno@cslbehring.com"/>
    <s v="CLAUDIA BUENO (SPC/SPI)"/>
    <n v="0"/>
    <n v="0"/>
    <n v="0"/>
    <n v="51"/>
    <n v="60"/>
  </r>
  <r>
    <x v="0"/>
    <x v="1"/>
    <x v="0"/>
    <n v="45232246000550"/>
    <x v="265"/>
    <s v="RIBEIRAO PRETO"/>
    <s v="SP"/>
    <s v="1-Setorizado"/>
    <n v="2"/>
    <x v="15"/>
    <s v="ARTUR JUNIOR - HSP - SPI"/>
    <s v="Hospitalar"/>
    <s v="claudia.bueno@cslbehring.com"/>
    <s v="CLAUDIA BUENO (SPC/SPI)"/>
    <n v="0"/>
    <n v="0"/>
    <n v="0"/>
    <n v="0"/>
    <n v="60"/>
  </r>
  <r>
    <x v="0"/>
    <x v="1"/>
    <x v="0"/>
    <n v="44663631000590"/>
    <x v="266"/>
    <s v="RIO CLARO"/>
    <s v="SP"/>
    <s v="1-Setorizado"/>
    <n v="2"/>
    <x v="14"/>
    <s v="BRUNA CLARO - ESP - SPI"/>
    <s v="Especialidade"/>
    <s v="claudia.bueno@cslbehring.com"/>
    <s v="CLAUDIA BUENO (SPC/SPI)"/>
    <n v="0"/>
    <n v="0"/>
    <n v="0"/>
    <n v="32"/>
    <n v="165"/>
  </r>
  <r>
    <x v="0"/>
    <x v="1"/>
    <x v="0"/>
    <n v="44663631000590"/>
    <x v="266"/>
    <s v="RIO CLARO"/>
    <s v="SP"/>
    <s v="1-Setorizado"/>
    <n v="2"/>
    <x v="15"/>
    <s v="ARTUR JUNIOR - HSP - SPI"/>
    <s v="Hospitalar"/>
    <s v="claudia.bueno@cslbehring.com"/>
    <s v="CLAUDIA BUENO (SPC/SPI)"/>
    <n v="0"/>
    <n v="0"/>
    <n v="0"/>
    <n v="0"/>
    <n v="165"/>
  </r>
  <r>
    <x v="0"/>
    <x v="1"/>
    <x v="0"/>
    <n v="13718999001041"/>
    <x v="267"/>
    <s v="SANTO ANDRE"/>
    <s v="SP"/>
    <s v="1-Setorizado"/>
    <n v="2"/>
    <x v="18"/>
    <s v="XXX-ESP-VAGO SPC"/>
    <s v="Especialidade"/>
    <s v="claudia.bueno@cslbehring.com"/>
    <s v="CLAUDIA BUENO (SPC/SPI)"/>
    <n v="0"/>
    <n v="0"/>
    <n v="0"/>
    <n v="4"/>
    <n v="0"/>
  </r>
  <r>
    <x v="0"/>
    <x v="1"/>
    <x v="0"/>
    <n v="13718999001041"/>
    <x v="267"/>
    <s v="SANTO ANDRE"/>
    <s v="SP"/>
    <s v="1-Setorizado"/>
    <n v="2"/>
    <x v="17"/>
    <s v="ANTONIO TUNES - HSP - SPC"/>
    <s v="Hospitalar"/>
    <s v="claudia.bueno@cslbehring.com"/>
    <s v="CLAUDIA BUENO (SPC/SPI)"/>
    <n v="0"/>
    <n v="0"/>
    <n v="0"/>
    <n v="0"/>
    <n v="0"/>
  </r>
  <r>
    <x v="0"/>
    <x v="1"/>
    <x v="0"/>
    <n v="6047087007907"/>
    <x v="433"/>
    <s v="SANTO ANDRE"/>
    <s v="SP"/>
    <s v="1-Setorizado"/>
    <n v="2"/>
    <x v="18"/>
    <s v="XXX-ESP-VAGO SPC"/>
    <s v="Especialidade"/>
    <s v="claudia.bueno@cslbehring.com"/>
    <s v="CLAUDIA BUENO (SPC/SPI)"/>
    <n v="0"/>
    <n v="0"/>
    <n v="0"/>
    <n v="0"/>
    <n v="0"/>
  </r>
  <r>
    <x v="0"/>
    <x v="1"/>
    <x v="0"/>
    <n v="6047087007907"/>
    <x v="433"/>
    <s v="SANTO ANDRE"/>
    <s v="SP"/>
    <s v="1-Setorizado"/>
    <n v="2"/>
    <x v="17"/>
    <s v="ANTONIO TUNES - HSP - SPC"/>
    <s v="Hospitalar"/>
    <s v="claudia.bueno@cslbehring.com"/>
    <s v="CLAUDIA BUENO (SPC/SPI)"/>
    <n v="0"/>
    <n v="0"/>
    <n v="12"/>
    <n v="0"/>
    <n v="0"/>
  </r>
  <r>
    <x v="0"/>
    <x v="1"/>
    <x v="0"/>
    <n v="6033403000113"/>
    <x v="268"/>
    <s v="SANTO ANDRE"/>
    <s v="SP"/>
    <s v="1-Setorizado"/>
    <n v="2"/>
    <x v="16"/>
    <s v="JANAINA PALMIRO - ESP - SPC"/>
    <s v="Especialidade"/>
    <s v="claudia.bueno@cslbehring.com"/>
    <s v="CLAUDIA BUENO (SPC/SPI)"/>
    <n v="0"/>
    <n v="0"/>
    <n v="0"/>
    <n v="0"/>
    <n v="0"/>
  </r>
  <r>
    <x v="0"/>
    <x v="1"/>
    <x v="0"/>
    <n v="6033403000113"/>
    <x v="268"/>
    <s v="SANTO ANDRE"/>
    <s v="SP"/>
    <s v="1-Setorizado"/>
    <n v="2"/>
    <x v="17"/>
    <s v="ANTONIO TUNES - HSP - SPC"/>
    <s v="Hospitalar"/>
    <s v="claudia.bueno@cslbehring.com"/>
    <s v="CLAUDIA BUENO (SPC/SPI)"/>
    <n v="0"/>
    <n v="2"/>
    <n v="0"/>
    <n v="0"/>
    <n v="0"/>
  </r>
  <r>
    <x v="0"/>
    <x v="1"/>
    <x v="0"/>
    <n v="18290268000170"/>
    <x v="434"/>
    <s v="SANTOS"/>
    <s v="SP"/>
    <s v="1-Setorizado"/>
    <n v="2"/>
    <x v="18"/>
    <s v="XXX-ESP-VAGO SPC"/>
    <s v="Especialidade"/>
    <s v="claudia.bueno@cslbehring.com"/>
    <s v="CLAUDIA BUENO (SPC/SPI)"/>
    <n v="0"/>
    <n v="0"/>
    <n v="0"/>
    <n v="0"/>
    <n v="0"/>
  </r>
  <r>
    <x v="0"/>
    <x v="1"/>
    <x v="0"/>
    <n v="18290268000170"/>
    <x v="434"/>
    <s v="SANTOS"/>
    <s v="SP"/>
    <s v="1-Setorizado"/>
    <n v="2"/>
    <x v="17"/>
    <s v="ANTONIO TUNES - HSP - SPC"/>
    <s v="Hospitalar"/>
    <s v="claudia.bueno@cslbehring.com"/>
    <s v="CLAUDIA BUENO (SPC/SPI)"/>
    <n v="0"/>
    <n v="0"/>
    <n v="0"/>
    <n v="0"/>
    <n v="0"/>
  </r>
  <r>
    <x v="0"/>
    <x v="1"/>
    <x v="0"/>
    <n v="10868295000176"/>
    <x v="435"/>
    <s v="SANTOS"/>
    <s v="SP"/>
    <s v="1-Setorizado"/>
    <n v="2"/>
    <x v="18"/>
    <s v="XXX-ESP-VAGO SPC"/>
    <s v="Especialidade"/>
    <s v="claudia.bueno@cslbehring.com"/>
    <s v="CLAUDIA BUENO (SPC/SPI)"/>
    <n v="0"/>
    <n v="0"/>
    <n v="0"/>
    <n v="0"/>
    <n v="40"/>
  </r>
  <r>
    <x v="0"/>
    <x v="1"/>
    <x v="0"/>
    <n v="10868295000176"/>
    <x v="435"/>
    <s v="SANTOS"/>
    <s v="SP"/>
    <s v="1-Setorizado"/>
    <n v="2"/>
    <x v="17"/>
    <s v="ANTONIO TUNES - HSP - SPC"/>
    <s v="Hospitalar"/>
    <s v="claudia.bueno@cslbehring.com"/>
    <s v="CLAUDIA BUENO (SPC/SPI)"/>
    <n v="0"/>
    <n v="0"/>
    <n v="0"/>
    <n v="0"/>
    <n v="40"/>
  </r>
  <r>
    <x v="0"/>
    <x v="1"/>
    <x v="0"/>
    <n v="58229691001070"/>
    <x v="270"/>
    <s v="SANTOS"/>
    <s v="SP"/>
    <s v="1-Setorizado"/>
    <n v="2"/>
    <x v="18"/>
    <s v="XXX-ESP-VAGO SPC"/>
    <s v="Especialidade"/>
    <s v="claudia.bueno@cslbehring.com"/>
    <s v="CLAUDIA BUENO (SPC/SPI)"/>
    <n v="0"/>
    <n v="0"/>
    <n v="0"/>
    <n v="32"/>
    <n v="0"/>
  </r>
  <r>
    <x v="0"/>
    <x v="1"/>
    <x v="0"/>
    <n v="58229691001070"/>
    <x v="270"/>
    <s v="SANTOS"/>
    <s v="SP"/>
    <s v="1-Setorizado"/>
    <n v="2"/>
    <x v="17"/>
    <s v="ANTONIO TUNES - HSP - SPC"/>
    <s v="Hospitalar"/>
    <s v="claudia.bueno@cslbehring.com"/>
    <s v="CLAUDIA BUENO (SPC/SPI)"/>
    <n v="0"/>
    <n v="0"/>
    <n v="0"/>
    <n v="0"/>
    <n v="0"/>
  </r>
  <r>
    <x v="0"/>
    <x v="1"/>
    <x v="0"/>
    <n v="43293604002120"/>
    <x v="271"/>
    <s v="SAO BERNARDO DO CAMPO"/>
    <s v="SP"/>
    <s v="1-Setorizado"/>
    <n v="2"/>
    <x v="18"/>
    <s v="XXX-ESP-VAGO SPC"/>
    <s v="Especialidade"/>
    <s v="claudia.bueno@cslbehring.com"/>
    <s v="CLAUDIA BUENO (SPC/SPI)"/>
    <n v="0"/>
    <n v="0"/>
    <n v="0"/>
    <n v="0"/>
    <n v="80"/>
  </r>
  <r>
    <x v="0"/>
    <x v="1"/>
    <x v="0"/>
    <n v="43293604002120"/>
    <x v="271"/>
    <s v="SAO BERNARDO DO CAMPO"/>
    <s v="SP"/>
    <s v="1-Setorizado"/>
    <n v="2"/>
    <x v="17"/>
    <s v="ANTONIO TUNES - HSP - SPC"/>
    <s v="Hospitalar"/>
    <s v="claudia.bueno@cslbehring.com"/>
    <s v="CLAUDIA BUENO (SPC/SPI)"/>
    <n v="0"/>
    <n v="0"/>
    <n v="0"/>
    <n v="0"/>
    <n v="80"/>
  </r>
  <r>
    <x v="0"/>
    <x v="1"/>
    <x v="0"/>
    <n v="45359213000576"/>
    <x v="272"/>
    <s v="SAO CARLOS"/>
    <s v="SP"/>
    <s v="1-Setorizado"/>
    <n v="2"/>
    <x v="14"/>
    <s v="BRUNA CLARO - ESP - SPI"/>
    <s v="Especialidade"/>
    <s v="claudia.bueno@cslbehring.com"/>
    <s v="CLAUDIA BUENO (SPC/SPI)"/>
    <n v="0"/>
    <n v="0"/>
    <n v="0"/>
    <n v="40"/>
    <n v="0"/>
  </r>
  <r>
    <x v="0"/>
    <x v="1"/>
    <x v="0"/>
    <n v="45359213000576"/>
    <x v="272"/>
    <s v="SAO CARLOS"/>
    <s v="SP"/>
    <s v="1-Setorizado"/>
    <n v="2"/>
    <x v="15"/>
    <s v="ARTUR JUNIOR - HSP - SPI"/>
    <s v="Hospitalar"/>
    <s v="claudia.bueno@cslbehring.com"/>
    <s v="CLAUDIA BUENO (SPC/SPI)"/>
    <n v="0"/>
    <n v="0"/>
    <n v="0"/>
    <n v="0"/>
    <n v="0"/>
  </r>
  <r>
    <x v="0"/>
    <x v="1"/>
    <x v="0"/>
    <n v="59970947000178"/>
    <x v="273"/>
    <s v="SAO JOSE DO RIO PRETO"/>
    <s v="SP"/>
    <s v="1-Setorizado"/>
    <n v="2"/>
    <x v="14"/>
    <s v="BRUNA CLARO - ESP - SPI"/>
    <s v="Especialidade"/>
    <s v="claudia.bueno@cslbehring.com"/>
    <s v="CLAUDIA BUENO (SPC/SPI)"/>
    <n v="0"/>
    <n v="0"/>
    <n v="0"/>
    <n v="0"/>
    <n v="0"/>
  </r>
  <r>
    <x v="0"/>
    <x v="1"/>
    <x v="0"/>
    <n v="59970947000178"/>
    <x v="273"/>
    <s v="SAO JOSE DO RIO PRETO"/>
    <s v="SP"/>
    <s v="1-Setorizado"/>
    <n v="2"/>
    <x v="15"/>
    <s v="ARTUR JUNIOR - HSP - SPI"/>
    <s v="Hospitalar"/>
    <s v="claudia.bueno@cslbehring.com"/>
    <s v="CLAUDIA BUENO (SPC/SPI)"/>
    <n v="0"/>
    <n v="0"/>
    <n v="4"/>
    <n v="0"/>
    <n v="0"/>
  </r>
  <r>
    <x v="0"/>
    <x v="1"/>
    <x v="0"/>
    <n v="48310098000100"/>
    <x v="436"/>
    <s v="SAO JOSE DO RIO PRETO"/>
    <s v="SP"/>
    <s v="1-Setorizado"/>
    <n v="2"/>
    <x v="14"/>
    <s v="BRUNA CLARO - ESP - SPI"/>
    <s v="Especialidade"/>
    <s v="claudia.bueno@cslbehring.com"/>
    <s v="CLAUDIA BUENO (SPC/SPI)"/>
    <n v="0"/>
    <n v="0"/>
    <n v="0"/>
    <n v="0"/>
    <n v="0"/>
  </r>
  <r>
    <x v="0"/>
    <x v="1"/>
    <x v="0"/>
    <n v="48310098000100"/>
    <x v="436"/>
    <s v="SAO JOSE DO RIO PRETO"/>
    <s v="SP"/>
    <s v="1-Setorizado"/>
    <n v="2"/>
    <x v="15"/>
    <s v="ARTUR JUNIOR - HSP - SPI"/>
    <s v="Hospitalar"/>
    <s v="claudia.bueno@cslbehring.com"/>
    <s v="CLAUDIA BUENO (SPC/SPI)"/>
    <n v="0"/>
    <n v="1"/>
    <n v="0"/>
    <n v="0"/>
    <n v="0"/>
  </r>
  <r>
    <x v="0"/>
    <x v="1"/>
    <x v="0"/>
    <n v="10576443000189"/>
    <x v="437"/>
    <s v="SAO JOSE DO RIO PRETO"/>
    <s v="SP"/>
    <s v="1-Setorizado"/>
    <n v="2"/>
    <x v="14"/>
    <s v="BRUNA CLARO - ESP - SPI"/>
    <s v="Especialidade"/>
    <s v="claudia.bueno@cslbehring.com"/>
    <s v="CLAUDIA BUENO (SPC/SPI)"/>
    <n v="0"/>
    <n v="0"/>
    <n v="0"/>
    <n v="0"/>
    <n v="140"/>
  </r>
  <r>
    <x v="0"/>
    <x v="1"/>
    <x v="0"/>
    <n v="10576443000189"/>
    <x v="437"/>
    <s v="SAO JOSE DO RIO PRETO"/>
    <s v="SP"/>
    <s v="1-Setorizado"/>
    <n v="2"/>
    <x v="15"/>
    <s v="ARTUR JUNIOR - HSP - SPI"/>
    <s v="Hospitalar"/>
    <s v="claudia.bueno@cslbehring.com"/>
    <s v="CLAUDIA BUENO (SPC/SPI)"/>
    <n v="0"/>
    <n v="0"/>
    <n v="0"/>
    <n v="0"/>
    <n v="140"/>
  </r>
  <r>
    <x v="0"/>
    <x v="1"/>
    <x v="0"/>
    <n v="2643405000173"/>
    <x v="274"/>
    <s v="SAO JOSE DO RIO PRETO"/>
    <s v="SP"/>
    <s v="1-Setorizado"/>
    <n v="2"/>
    <x v="14"/>
    <s v="BRUNA CLARO - ESP - SPI"/>
    <s v="Especialidade"/>
    <s v="claudia.bueno@cslbehring.com"/>
    <s v="CLAUDIA BUENO (SPC/SPI)"/>
    <n v="0"/>
    <n v="0"/>
    <n v="0"/>
    <n v="12"/>
    <n v="0"/>
  </r>
  <r>
    <x v="0"/>
    <x v="1"/>
    <x v="0"/>
    <n v="2643405000173"/>
    <x v="274"/>
    <s v="SAO JOSE DO RIO PRETO"/>
    <s v="SP"/>
    <s v="1-Setorizado"/>
    <n v="2"/>
    <x v="15"/>
    <s v="ARTUR JUNIOR - HSP - SPI"/>
    <s v="Hospitalar"/>
    <s v="claudia.bueno@cslbehring.com"/>
    <s v="CLAUDIA BUENO (SPC/SPI)"/>
    <n v="0"/>
    <n v="0"/>
    <n v="0"/>
    <n v="0"/>
    <n v="0"/>
  </r>
  <r>
    <x v="0"/>
    <x v="1"/>
    <x v="0"/>
    <n v="60003761000129"/>
    <x v="275"/>
    <s v="SAO JOSE DO RIO PRETO"/>
    <s v="SP"/>
    <s v="1-Setorizado"/>
    <n v="2"/>
    <x v="14"/>
    <s v="BRUNA CLARO - ESP - SPI"/>
    <s v="Especialidade"/>
    <s v="claudia.bueno@cslbehring.com"/>
    <s v="CLAUDIA BUENO (SPC/SPI)"/>
    <n v="0"/>
    <n v="0"/>
    <n v="0"/>
    <n v="0"/>
    <n v="0"/>
  </r>
  <r>
    <x v="0"/>
    <x v="1"/>
    <x v="0"/>
    <n v="60003761000129"/>
    <x v="275"/>
    <s v="SAO JOSE DO RIO PRETO"/>
    <s v="SP"/>
    <s v="1-Setorizado"/>
    <n v="2"/>
    <x v="15"/>
    <s v="ARTUR JUNIOR - HSP - SPI"/>
    <s v="Hospitalar"/>
    <s v="claudia.bueno@cslbehring.com"/>
    <s v="CLAUDIA BUENO (SPC/SPI)"/>
    <n v="0"/>
    <n v="12"/>
    <n v="5"/>
    <n v="0"/>
    <n v="0"/>
  </r>
  <r>
    <x v="0"/>
    <x v="1"/>
    <x v="0"/>
    <n v="45184066000117"/>
    <x v="277"/>
    <s v="SAO JOSE DOS CAMPOS"/>
    <s v="SP"/>
    <s v="1-Setorizado"/>
    <n v="2"/>
    <x v="16"/>
    <s v="JANAINA PALMIRO - ESP - SPC"/>
    <s v="Especialidade"/>
    <s v="claudia.bueno@cslbehring.com"/>
    <s v="CLAUDIA BUENO (SPC/SPI)"/>
    <n v="0"/>
    <n v="0"/>
    <n v="0"/>
    <n v="15"/>
    <n v="50"/>
  </r>
  <r>
    <x v="0"/>
    <x v="1"/>
    <x v="0"/>
    <n v="45184066000117"/>
    <x v="277"/>
    <s v="SAO JOSE DOS CAMPOS"/>
    <s v="SP"/>
    <s v="1-Setorizado"/>
    <n v="2"/>
    <x v="19"/>
    <s v="TATHIANA PONCE - HSP - SPC"/>
    <s v="Hospitalar"/>
    <s v="claudia.bueno@cslbehring.com"/>
    <s v="CLAUDIA BUENO (SPC/SPI)"/>
    <n v="0"/>
    <n v="0"/>
    <n v="0"/>
    <n v="0"/>
    <n v="50"/>
  </r>
  <r>
    <x v="0"/>
    <x v="1"/>
    <x v="0"/>
    <n v="60214517001691"/>
    <x v="278"/>
    <s v="SAO JOSE DOS CAMPOS"/>
    <s v="SP"/>
    <s v="1-Setorizado"/>
    <n v="2"/>
    <x v="16"/>
    <s v="JANAINA PALMIRO - ESP - SPC"/>
    <s v="Especialidade"/>
    <s v="claudia.bueno@cslbehring.com"/>
    <s v="CLAUDIA BUENO (SPC/SPI)"/>
    <n v="0"/>
    <n v="0"/>
    <n v="0"/>
    <n v="0"/>
    <n v="660"/>
  </r>
  <r>
    <x v="0"/>
    <x v="1"/>
    <x v="0"/>
    <n v="60214517001691"/>
    <x v="278"/>
    <s v="SAO JOSE DOS CAMPOS"/>
    <s v="SP"/>
    <s v="1-Setorizado"/>
    <n v="2"/>
    <x v="19"/>
    <s v="TATHIANA PONCE - HSP - SPC"/>
    <s v="Hospitalar"/>
    <s v="claudia.bueno@cslbehring.com"/>
    <s v="CLAUDIA BUENO (SPC/SPI)"/>
    <n v="0"/>
    <n v="0"/>
    <n v="0"/>
    <n v="0"/>
    <n v="660"/>
  </r>
  <r>
    <x v="0"/>
    <x v="1"/>
    <x v="0"/>
    <n v="6047087003073"/>
    <x v="279"/>
    <s v="SAO JOSE DOS CAMPOS"/>
    <s v="SP"/>
    <s v="1-Setorizado"/>
    <n v="2"/>
    <x v="16"/>
    <s v="JANAINA PALMIRO - ESP - SPC"/>
    <s v="Especialidade"/>
    <s v="claudia.bueno@cslbehring.com"/>
    <s v="CLAUDIA BUENO (SPC/SPI)"/>
    <n v="1"/>
    <n v="0"/>
    <n v="0"/>
    <n v="48"/>
    <n v="0"/>
  </r>
  <r>
    <x v="0"/>
    <x v="1"/>
    <x v="0"/>
    <n v="6047087003073"/>
    <x v="279"/>
    <s v="SAO JOSE DOS CAMPOS"/>
    <s v="SP"/>
    <s v="1-Setorizado"/>
    <n v="2"/>
    <x v="19"/>
    <s v="TATHIANA PONCE - HSP - SPC"/>
    <s v="Hospitalar"/>
    <s v="claudia.bueno@cslbehring.com"/>
    <s v="CLAUDIA BUENO (SPC/SPI)"/>
    <n v="0"/>
    <n v="0"/>
    <n v="0"/>
    <n v="0"/>
    <n v="0"/>
  </r>
  <r>
    <x v="0"/>
    <x v="1"/>
    <x v="0"/>
    <n v="60214517000962"/>
    <x v="280"/>
    <s v="SAO JOSE DOS CAMPOS"/>
    <s v="SP"/>
    <s v="1-Setorizado"/>
    <n v="2"/>
    <x v="16"/>
    <s v="JANAINA PALMIRO - ESP - SPC"/>
    <s v="Especialidade"/>
    <s v="claudia.bueno@cslbehring.com"/>
    <s v="CLAUDIA BUENO (SPC/SPI)"/>
    <n v="0"/>
    <n v="0"/>
    <n v="0"/>
    <n v="0"/>
    <n v="60"/>
  </r>
  <r>
    <x v="0"/>
    <x v="1"/>
    <x v="0"/>
    <n v="60214517000962"/>
    <x v="280"/>
    <s v="SAO JOSE DOS CAMPOS"/>
    <s v="SP"/>
    <s v="1-Setorizado"/>
    <n v="2"/>
    <x v="19"/>
    <s v="TATHIANA PONCE - HSP - SPC"/>
    <s v="Hospitalar"/>
    <s v="claudia.bueno@cslbehring.com"/>
    <s v="CLAUDIA BUENO (SPC/SPI)"/>
    <n v="0"/>
    <n v="0"/>
    <n v="0"/>
    <n v="0"/>
    <n v="60"/>
  </r>
  <r>
    <x v="0"/>
    <x v="1"/>
    <x v="0"/>
    <n v="18321477000134"/>
    <x v="281"/>
    <s v="SAO JOSE DOS CAMPOS _x000d_"/>
    <s v="SP"/>
    <s v="1-Setorizado"/>
    <n v="2"/>
    <x v="16"/>
    <s v="JANAINA PALMIRO - ESP - SPC"/>
    <s v="Especialidade"/>
    <s v="claudia.bueno@cslbehring.com"/>
    <s v="CLAUDIA BUENO (SPC/SPI)"/>
    <n v="0"/>
    <n v="0"/>
    <n v="0"/>
    <n v="48"/>
    <n v="0"/>
  </r>
  <r>
    <x v="0"/>
    <x v="1"/>
    <x v="0"/>
    <n v="18321477000134"/>
    <x v="281"/>
    <s v="SAO JOSE DOS CAMPOS _x000d_"/>
    <s v="SP"/>
    <s v="1-Setorizado"/>
    <n v="2"/>
    <x v="19"/>
    <s v="TATHIANA PONCE - HSP - SPC"/>
    <s v="Hospitalar"/>
    <s v="claudia.bueno@cslbehring.com"/>
    <s v="CLAUDIA BUENO (SPC/SPI)"/>
    <n v="0"/>
    <n v="0"/>
    <n v="0"/>
    <n v="0"/>
    <n v="0"/>
  </r>
  <r>
    <x v="0"/>
    <x v="1"/>
    <x v="0"/>
    <n v="60961968000106"/>
    <x v="282"/>
    <s v="SAO PAULO"/>
    <s v="SP"/>
    <s v="1-Setorizado"/>
    <n v="2"/>
    <x v="18"/>
    <s v="XXX-ESP-VAGO SPC"/>
    <s v="Especialidade"/>
    <s v="claudia.bueno@cslbehring.com"/>
    <s v="CLAUDIA BUENO (SPC/SPI)"/>
    <n v="0"/>
    <n v="0"/>
    <n v="0"/>
    <n v="0"/>
    <n v="1500"/>
  </r>
  <r>
    <x v="0"/>
    <x v="1"/>
    <x v="0"/>
    <n v="60961968000106"/>
    <x v="282"/>
    <s v="SAO PAULO"/>
    <s v="SP"/>
    <s v="1-Setorizado"/>
    <n v="2"/>
    <x v="20"/>
    <s v="NELSON MARTINS - HSP - SPC"/>
    <s v="Hospitalar"/>
    <s v="claudia.bueno@cslbehring.com"/>
    <s v="CLAUDIA BUENO (SPC/SPI)"/>
    <n v="0"/>
    <n v="10"/>
    <n v="10"/>
    <n v="0"/>
    <n v="1500"/>
  </r>
  <r>
    <x v="0"/>
    <x v="1"/>
    <x v="0"/>
    <n v="51722957010226"/>
    <x v="283"/>
    <s v="SAO PAULO"/>
    <s v="SP"/>
    <s v="1-Setorizado"/>
    <n v="2"/>
    <x v="16"/>
    <s v="JANAINA PALMIRO - ESP - SPC"/>
    <s v="Especialidade"/>
    <s v="claudia.bueno@cslbehring.com"/>
    <s v="CLAUDIA BUENO (SPC/SPI)"/>
    <n v="0"/>
    <n v="0"/>
    <n v="0"/>
    <n v="42"/>
    <n v="950"/>
  </r>
  <r>
    <x v="0"/>
    <x v="1"/>
    <x v="0"/>
    <n v="51722957010226"/>
    <x v="283"/>
    <s v="SAO PAULO"/>
    <s v="SP"/>
    <s v="1-Setorizado"/>
    <n v="2"/>
    <x v="19"/>
    <s v="TATHIANA PONCE - HSP - SPC"/>
    <s v="Hospitalar"/>
    <s v="claudia.bueno@cslbehring.com"/>
    <s v="CLAUDIA BUENO (SPC/SPI)"/>
    <n v="0"/>
    <n v="0"/>
    <n v="0"/>
    <n v="0"/>
    <n v="950"/>
  </r>
  <r>
    <x v="0"/>
    <x v="1"/>
    <x v="0"/>
    <n v="51722957000506"/>
    <x v="438"/>
    <s v="SAO PAULO"/>
    <s v="SP"/>
    <s v="1-Setorizado"/>
    <n v="2"/>
    <x v="16"/>
    <s v="JANAINA PALMIRO - ESP - SPC"/>
    <s v="Especialidade"/>
    <s v="claudia.bueno@cslbehring.com"/>
    <s v="CLAUDIA BUENO (SPC/SPI)"/>
    <n v="0"/>
    <n v="0"/>
    <n v="0"/>
    <n v="0"/>
    <n v="400"/>
  </r>
  <r>
    <x v="0"/>
    <x v="1"/>
    <x v="0"/>
    <n v="51722957000506"/>
    <x v="438"/>
    <s v="SAO PAULO"/>
    <s v="SP"/>
    <s v="1-Setorizado"/>
    <n v="2"/>
    <x v="19"/>
    <s v="TATHIANA PONCE - HSP - SPC"/>
    <s v="Hospitalar"/>
    <s v="claudia.bueno@cslbehring.com"/>
    <s v="CLAUDIA BUENO (SPC/SPI)"/>
    <n v="0"/>
    <n v="0"/>
    <n v="0"/>
    <n v="0"/>
    <n v="400"/>
  </r>
  <r>
    <x v="0"/>
    <x v="1"/>
    <x v="0"/>
    <n v="2383508000494"/>
    <x v="285"/>
    <s v="SAO PAULO"/>
    <s v="SP"/>
    <s v="1-Setorizado"/>
    <n v="2"/>
    <x v="16"/>
    <s v="JANAINA PALMIRO - ESP - SPC"/>
    <s v="Especialidade"/>
    <s v="claudia.bueno@cslbehring.com"/>
    <s v="CLAUDIA BUENO (SPC/SPI)"/>
    <n v="0"/>
    <n v="0"/>
    <n v="0"/>
    <n v="39"/>
    <n v="280"/>
  </r>
  <r>
    <x v="0"/>
    <x v="1"/>
    <x v="0"/>
    <n v="2383508000494"/>
    <x v="285"/>
    <s v="SAO PAULO"/>
    <s v="SP"/>
    <s v="1-Setorizado"/>
    <n v="2"/>
    <x v="17"/>
    <s v="ANTONIO TUNES - HSP - SPC"/>
    <s v="Hospitalar"/>
    <s v="claudia.bueno@cslbehring.com"/>
    <s v="CLAUDIA BUENO (SPC/SPI)"/>
    <n v="0"/>
    <n v="0"/>
    <n v="0"/>
    <n v="0"/>
    <n v="280"/>
  </r>
  <r>
    <x v="0"/>
    <x v="1"/>
    <x v="0"/>
    <n v="43643139000409"/>
    <x v="286"/>
    <s v="SAO PAULO"/>
    <s v="SP"/>
    <s v="1-Setorizado"/>
    <n v="2"/>
    <x v="16"/>
    <s v="JANAINA PALMIRO - ESP - SPC"/>
    <s v="Especialidade"/>
    <s v="claudia.bueno@cslbehring.com"/>
    <s v="CLAUDIA BUENO (SPC/SPI)"/>
    <n v="0"/>
    <n v="0"/>
    <n v="0"/>
    <n v="0"/>
    <n v="160"/>
  </r>
  <r>
    <x v="0"/>
    <x v="1"/>
    <x v="0"/>
    <n v="43643139000409"/>
    <x v="286"/>
    <s v="SAO PAULO"/>
    <s v="SP"/>
    <s v="1-Setorizado"/>
    <n v="2"/>
    <x v="17"/>
    <s v="ANTONIO TUNES - HSP - SPC"/>
    <s v="Hospitalar"/>
    <s v="claudia.bueno@cslbehring.com"/>
    <s v="CLAUDIA BUENO (SPC/SPI)"/>
    <n v="0"/>
    <n v="0"/>
    <n v="0"/>
    <n v="0"/>
    <n v="160"/>
  </r>
  <r>
    <x v="0"/>
    <x v="1"/>
    <x v="0"/>
    <n v="8871521000126"/>
    <x v="287"/>
    <s v="SAO PAULO"/>
    <s v="SP"/>
    <s v="1-Setorizado"/>
    <n v="2"/>
    <x v="18"/>
    <s v="XXX-ESP-VAGO SPC"/>
    <s v="Especialidade"/>
    <s v="claudia.bueno@cslbehring.com"/>
    <s v="CLAUDIA BUENO (SPC/SPI)"/>
    <n v="0"/>
    <n v="0"/>
    <n v="0"/>
    <n v="0"/>
    <n v="398"/>
  </r>
  <r>
    <x v="0"/>
    <x v="1"/>
    <x v="0"/>
    <n v="8871521000126"/>
    <x v="287"/>
    <s v="SAO PAULO"/>
    <s v="SP"/>
    <s v="1-Setorizado"/>
    <n v="2"/>
    <x v="20"/>
    <s v="NELSON MARTINS - HSP - SPC"/>
    <s v="Hospitalar"/>
    <s v="claudia.bueno@cslbehring.com"/>
    <s v="CLAUDIA BUENO (SPC/SPI)"/>
    <n v="0"/>
    <n v="0"/>
    <n v="0"/>
    <n v="0"/>
    <n v="398"/>
  </r>
  <r>
    <x v="0"/>
    <x v="1"/>
    <x v="0"/>
    <n v="59481028000130"/>
    <x v="288"/>
    <s v="SAO PAULO"/>
    <s v="SP"/>
    <s v="1-Setorizado"/>
    <n v="2"/>
    <x v="16"/>
    <s v="JANAINA PALMIRO - ESP - SPC"/>
    <s v="Especialidade"/>
    <s v="claudia.bueno@cslbehring.com"/>
    <s v="CLAUDIA BUENO (SPC/SPI)"/>
    <n v="0"/>
    <n v="0"/>
    <n v="0"/>
    <n v="0"/>
    <n v="30"/>
  </r>
  <r>
    <x v="0"/>
    <x v="1"/>
    <x v="0"/>
    <n v="59481028000130"/>
    <x v="288"/>
    <s v="SAO PAULO"/>
    <s v="SP"/>
    <s v="1-Setorizado"/>
    <n v="2"/>
    <x v="17"/>
    <s v="ANTONIO TUNES - HSP - SPC"/>
    <s v="Hospitalar"/>
    <s v="claudia.bueno@cslbehring.com"/>
    <s v="CLAUDIA BUENO (SPC/SPI)"/>
    <n v="0"/>
    <n v="0"/>
    <n v="0"/>
    <n v="0"/>
    <n v="30"/>
  </r>
  <r>
    <x v="0"/>
    <x v="1"/>
    <x v="0"/>
    <n v="46374500026231"/>
    <x v="439"/>
    <s v="SAO PAULO"/>
    <s v="SP"/>
    <s v="1-Setorizado"/>
    <n v="2"/>
    <x v="18"/>
    <s v="XXX-ESP-VAGO SPC"/>
    <s v="Especialidade"/>
    <s v="claudia.bueno@cslbehring.com"/>
    <s v="CLAUDIA BUENO (SPC/SPI)"/>
    <n v="0"/>
    <n v="0"/>
    <n v="0"/>
    <n v="0"/>
    <n v="20285"/>
  </r>
  <r>
    <x v="0"/>
    <x v="1"/>
    <x v="0"/>
    <n v="46374500026231"/>
    <x v="439"/>
    <s v="SAO PAULO"/>
    <s v="SP"/>
    <s v="1-Setorizado"/>
    <n v="2"/>
    <x v="20"/>
    <s v="NELSON MARTINS - HSP - SPC"/>
    <s v="Hospitalar"/>
    <s v="claudia.bueno@cslbehring.com"/>
    <s v="CLAUDIA BUENO (SPC/SPI)"/>
    <n v="0"/>
    <n v="0"/>
    <n v="0"/>
    <n v="0"/>
    <n v="20285"/>
  </r>
  <r>
    <x v="0"/>
    <x v="1"/>
    <x v="0"/>
    <n v="10468341000220"/>
    <x v="289"/>
    <s v="SAO PAULO"/>
    <s v="SP"/>
    <s v="1-Setorizado"/>
    <n v="2"/>
    <x v="16"/>
    <s v="JANAINA PALMIRO - ESP - SPC"/>
    <s v="Especialidade"/>
    <s v="claudia.bueno@cslbehring.com"/>
    <s v="CLAUDIA BUENO (SPC/SPI)"/>
    <n v="0"/>
    <n v="0"/>
    <n v="0"/>
    <n v="24"/>
    <n v="550"/>
  </r>
  <r>
    <x v="0"/>
    <x v="1"/>
    <x v="0"/>
    <n v="10468341000220"/>
    <x v="289"/>
    <s v="SAO PAULO"/>
    <s v="SP"/>
    <s v="1-Setorizado"/>
    <n v="2"/>
    <x v="19"/>
    <s v="TATHIANA PONCE - HSP - SPC"/>
    <s v="Hospitalar"/>
    <s v="claudia.bueno@cslbehring.com"/>
    <s v="CLAUDIA BUENO (SPC/SPI)"/>
    <n v="0"/>
    <n v="0"/>
    <n v="0"/>
    <n v="0"/>
    <n v="550"/>
  </r>
  <r>
    <x v="0"/>
    <x v="1"/>
    <x v="0"/>
    <n v="10468341000140"/>
    <x v="290"/>
    <s v="SAO PAULO"/>
    <s v="SP"/>
    <s v="1-Setorizado"/>
    <n v="2"/>
    <x v="16"/>
    <s v="JANAINA PALMIRO - ESP - SPC"/>
    <s v="Especialidade"/>
    <s v="claudia.bueno@cslbehring.com"/>
    <s v="CLAUDIA BUENO (SPC/SPI)"/>
    <n v="0"/>
    <n v="0"/>
    <n v="0"/>
    <n v="0"/>
    <n v="805"/>
  </r>
  <r>
    <x v="0"/>
    <x v="1"/>
    <x v="0"/>
    <n v="10468341000140"/>
    <x v="290"/>
    <s v="SAO PAULO"/>
    <s v="SP"/>
    <s v="1-Setorizado"/>
    <n v="2"/>
    <x v="19"/>
    <s v="TATHIANA PONCE - HSP - SPC"/>
    <s v="Hospitalar"/>
    <s v="claudia.bueno@cslbehring.com"/>
    <s v="CLAUDIA BUENO (SPC/SPI)"/>
    <n v="0"/>
    <n v="0"/>
    <n v="0"/>
    <n v="0"/>
    <n v="805"/>
  </r>
  <r>
    <x v="0"/>
    <x v="1"/>
    <x v="0"/>
    <n v="29435005009932"/>
    <x v="291"/>
    <s v="SAO PAULO"/>
    <s v="SP"/>
    <s v="1-Setorizado"/>
    <n v="2"/>
    <x v="18"/>
    <s v="XXX-ESP-VAGO SPC"/>
    <s v="Especialidade"/>
    <s v="claudia.bueno@cslbehring.com"/>
    <s v="CLAUDIA BUENO (SPC/SPI)"/>
    <n v="0"/>
    <n v="0"/>
    <n v="0"/>
    <n v="0"/>
    <n v="1700"/>
  </r>
  <r>
    <x v="0"/>
    <x v="1"/>
    <x v="0"/>
    <n v="29435005009932"/>
    <x v="291"/>
    <s v="SAO PAULO"/>
    <s v="SP"/>
    <s v="1-Setorizado"/>
    <n v="2"/>
    <x v="17"/>
    <s v="ANTONIO TUNES - HSP - SPC"/>
    <s v="Hospitalar"/>
    <s v="claudia.bueno@cslbehring.com"/>
    <s v="CLAUDIA BUENO (SPC/SPI)"/>
    <n v="0"/>
    <n v="0"/>
    <n v="13"/>
    <n v="0"/>
    <n v="1700"/>
  </r>
  <r>
    <x v="0"/>
    <x v="1"/>
    <x v="0"/>
    <n v="10323381000101"/>
    <x v="292"/>
    <s v="SAO PAULO"/>
    <s v="SP"/>
    <s v="1-Setorizado"/>
    <n v="2"/>
    <x v="16"/>
    <s v="JANAINA PALMIRO - ESP - SPC"/>
    <s v="Especialidade"/>
    <s v="claudia.bueno@cslbehring.com"/>
    <s v="CLAUDIA BUENO (SPC/SPI)"/>
    <n v="0"/>
    <n v="0"/>
    <n v="0"/>
    <n v="6"/>
    <n v="0"/>
  </r>
  <r>
    <x v="0"/>
    <x v="1"/>
    <x v="0"/>
    <n v="10323381000101"/>
    <x v="292"/>
    <s v="SAO PAULO"/>
    <s v="SP"/>
    <s v="1-Setorizado"/>
    <n v="2"/>
    <x v="17"/>
    <s v="ANTONIO TUNES - HSP - SPC"/>
    <s v="Hospitalar"/>
    <s v="claudia.bueno@cslbehring.com"/>
    <s v="CLAUDIA BUENO (SPC/SPI)"/>
    <n v="0"/>
    <n v="0"/>
    <n v="0"/>
    <n v="0"/>
    <n v="0"/>
  </r>
  <r>
    <x v="0"/>
    <x v="1"/>
    <x v="0"/>
    <n v="28290788000307"/>
    <x v="293"/>
    <s v="SAO PAULO"/>
    <s v="SP"/>
    <s v="1-Setorizado"/>
    <n v="2"/>
    <x v="18"/>
    <s v="XXX-ESP-VAGO SPC"/>
    <s v="Especialidade"/>
    <s v="claudia.bueno@cslbehring.com"/>
    <s v="CLAUDIA BUENO (SPC/SPI)"/>
    <n v="0"/>
    <n v="0"/>
    <n v="0"/>
    <n v="20"/>
    <n v="0"/>
  </r>
  <r>
    <x v="0"/>
    <x v="1"/>
    <x v="0"/>
    <n v="28290788000307"/>
    <x v="293"/>
    <s v="SAO PAULO"/>
    <s v="SP"/>
    <s v="1-Setorizado"/>
    <n v="2"/>
    <x v="17"/>
    <s v="ANTONIO TUNES - HSP - SPC"/>
    <s v="Hospitalar"/>
    <s v="claudia.bueno@cslbehring.com"/>
    <s v="CLAUDIA BUENO (SPC/SPI)"/>
    <n v="0"/>
    <n v="0"/>
    <n v="0"/>
    <n v="0"/>
    <n v="0"/>
  </r>
  <r>
    <x v="0"/>
    <x v="1"/>
    <x v="0"/>
    <n v="3872790000193"/>
    <x v="294"/>
    <s v="SAO PAULO"/>
    <s v="SP"/>
    <s v="1-Setorizado"/>
    <n v="2"/>
    <x v="16"/>
    <s v="JANAINA PALMIRO - ESP - SPC"/>
    <s v="Especialidade"/>
    <s v="claudia.bueno@cslbehring.com"/>
    <s v="CLAUDIA BUENO (SPC/SPI)"/>
    <n v="0"/>
    <n v="0"/>
    <n v="0"/>
    <n v="8"/>
    <n v="0"/>
  </r>
  <r>
    <x v="0"/>
    <x v="1"/>
    <x v="0"/>
    <n v="3872790000193"/>
    <x v="294"/>
    <s v="SAO PAULO"/>
    <s v="SP"/>
    <s v="1-Setorizado"/>
    <n v="2"/>
    <x v="17"/>
    <s v="ANTONIO TUNES - HSP - SPC"/>
    <s v="Hospitalar"/>
    <s v="claudia.bueno@cslbehring.com"/>
    <s v="CLAUDIA BUENO (SPC/SPI)"/>
    <n v="0"/>
    <n v="0"/>
    <n v="0"/>
    <n v="0"/>
    <n v="0"/>
  </r>
  <r>
    <x v="0"/>
    <x v="1"/>
    <x v="0"/>
    <n v="10475230000160"/>
    <x v="297"/>
    <s v="SAO PAULO"/>
    <s v="SP"/>
    <s v="1-Setorizado"/>
    <n v="2"/>
    <x v="16"/>
    <s v="JANAINA PALMIRO - ESP - SPC"/>
    <s v="Especialidade"/>
    <s v="claudia.bueno@cslbehring.com"/>
    <s v="CLAUDIA BUENO (SPC/SPI)"/>
    <n v="0"/>
    <n v="0"/>
    <n v="0"/>
    <n v="0"/>
    <n v="45"/>
  </r>
  <r>
    <x v="0"/>
    <x v="1"/>
    <x v="0"/>
    <n v="10475230000160"/>
    <x v="297"/>
    <s v="SAO PAULO"/>
    <s v="SP"/>
    <s v="1-Setorizado"/>
    <n v="2"/>
    <x v="20"/>
    <s v="NELSON MARTINS - HSP - SPC"/>
    <s v="Hospitalar"/>
    <s v="claudia.bueno@cslbehring.com"/>
    <s v="CLAUDIA BUENO (SPC/SPI)"/>
    <n v="0"/>
    <n v="0"/>
    <n v="0"/>
    <n v="0"/>
    <n v="45"/>
  </r>
  <r>
    <x v="0"/>
    <x v="1"/>
    <x v="0"/>
    <n v="60884855000316"/>
    <x v="300"/>
    <s v="SAO PAULO"/>
    <s v="SP"/>
    <s v="1-Setorizado"/>
    <n v="2"/>
    <x v="18"/>
    <s v="XXX-ESP-VAGO SPC"/>
    <s v="Especialidade"/>
    <s v="claudia.bueno@cslbehring.com"/>
    <s v="CLAUDIA BUENO (SPC/SPI)"/>
    <n v="0"/>
    <n v="0"/>
    <n v="0"/>
    <n v="24"/>
    <n v="875"/>
  </r>
  <r>
    <x v="0"/>
    <x v="1"/>
    <x v="0"/>
    <n v="60884855000316"/>
    <x v="300"/>
    <s v="SAO PAULO"/>
    <s v="SP"/>
    <s v="1-Setorizado"/>
    <n v="2"/>
    <x v="19"/>
    <s v="TATHIANA PONCE - HSP - SPC"/>
    <s v="Hospitalar"/>
    <s v="claudia.bueno@cslbehring.com"/>
    <s v="CLAUDIA BUENO (SPC/SPI)"/>
    <n v="0"/>
    <n v="10"/>
    <n v="3"/>
    <n v="0"/>
    <n v="875"/>
  </r>
  <r>
    <x v="0"/>
    <x v="1"/>
    <x v="0"/>
    <n v="60961968000459"/>
    <x v="440"/>
    <s v="SAO PAULO"/>
    <s v="SP"/>
    <s v="1-Setorizado"/>
    <n v="2"/>
    <x v="18"/>
    <s v="XXX-ESP-VAGO SPC"/>
    <s v="Especialidade"/>
    <s v="claudia.bueno@cslbehring.com"/>
    <s v="CLAUDIA BUENO (SPC/SPI)"/>
    <n v="0"/>
    <n v="0"/>
    <n v="0"/>
    <n v="0"/>
    <n v="0"/>
  </r>
  <r>
    <x v="0"/>
    <x v="1"/>
    <x v="0"/>
    <n v="60961968000459"/>
    <x v="440"/>
    <s v="SAO PAULO"/>
    <s v="SP"/>
    <s v="1-Setorizado"/>
    <n v="2"/>
    <x v="20"/>
    <s v="NELSON MARTINS - HSP - SPC"/>
    <s v="Hospitalar"/>
    <s v="claudia.bueno@cslbehring.com"/>
    <s v="CLAUDIA BUENO (SPC/SPI)"/>
    <n v="0"/>
    <n v="2"/>
    <n v="5"/>
    <n v="0"/>
    <n v="0"/>
  </r>
  <r>
    <x v="0"/>
    <x v="1"/>
    <x v="0"/>
    <n v="60726502000126"/>
    <x v="301"/>
    <s v="SAO PAULO"/>
    <s v="SP"/>
    <s v="1-Setorizado"/>
    <n v="2"/>
    <x v="18"/>
    <s v="XXX-ESP-VAGO SPC"/>
    <s v="Especialidade"/>
    <s v="claudia.bueno@cslbehring.com"/>
    <s v="CLAUDIA BUENO (SPC/SPI)"/>
    <n v="0"/>
    <n v="0"/>
    <n v="0"/>
    <n v="16"/>
    <n v="830"/>
  </r>
  <r>
    <x v="0"/>
    <x v="1"/>
    <x v="0"/>
    <n v="60726502000126"/>
    <x v="301"/>
    <s v="SAO PAULO"/>
    <s v="SP"/>
    <s v="1-Setorizado"/>
    <n v="2"/>
    <x v="19"/>
    <s v="TATHIANA PONCE - HSP - SPC"/>
    <s v="Hospitalar"/>
    <s v="claudia.bueno@cslbehring.com"/>
    <s v="CLAUDIA BUENO (SPC/SPI)"/>
    <n v="0"/>
    <n v="6"/>
    <n v="2"/>
    <n v="0"/>
    <n v="830"/>
  </r>
  <r>
    <x v="0"/>
    <x v="1"/>
    <x v="0"/>
    <n v="8100676000592"/>
    <x v="303"/>
    <s v="SAO PAULO"/>
    <s v="SP"/>
    <s v="1-Setorizado"/>
    <n v="2"/>
    <x v="16"/>
    <s v="JANAINA PALMIRO - ESP - SPC"/>
    <s v="Especialidade"/>
    <s v="claudia.bueno@cslbehring.com"/>
    <s v="CLAUDIA BUENO (SPC/SPI)"/>
    <n v="0"/>
    <n v="0"/>
    <n v="0"/>
    <n v="0"/>
    <n v="220"/>
  </r>
  <r>
    <x v="0"/>
    <x v="1"/>
    <x v="0"/>
    <n v="8100676000592"/>
    <x v="303"/>
    <s v="SAO PAULO"/>
    <s v="SP"/>
    <s v="1-Setorizado"/>
    <n v="2"/>
    <x v="19"/>
    <s v="TATHIANA PONCE - HSP - SPC"/>
    <s v="Hospitalar"/>
    <s v="claudia.bueno@cslbehring.com"/>
    <s v="CLAUDIA BUENO (SPC/SPI)"/>
    <n v="0"/>
    <n v="0"/>
    <n v="0"/>
    <n v="0"/>
    <n v="220"/>
  </r>
  <r>
    <x v="0"/>
    <x v="1"/>
    <x v="0"/>
    <n v="8100676002455"/>
    <x v="304"/>
    <s v="SAO PAULO"/>
    <s v="SP"/>
    <s v="1-Setorizado"/>
    <n v="2"/>
    <x v="16"/>
    <s v="JANAINA PALMIRO - ESP - SPC"/>
    <s v="Especialidade"/>
    <s v="claudia.bueno@cslbehring.com"/>
    <s v="CLAUDIA BUENO (SPC/SPI)"/>
    <n v="0"/>
    <n v="0"/>
    <n v="0"/>
    <n v="0"/>
    <n v="525"/>
  </r>
  <r>
    <x v="0"/>
    <x v="1"/>
    <x v="0"/>
    <n v="8100676002455"/>
    <x v="304"/>
    <s v="SAO PAULO"/>
    <s v="SP"/>
    <s v="1-Setorizado"/>
    <n v="2"/>
    <x v="19"/>
    <s v="TATHIANA PONCE - HSP - SPC"/>
    <s v="Hospitalar"/>
    <s v="claudia.bueno@cslbehring.com"/>
    <s v="CLAUDIA BUENO (SPC/SPI)"/>
    <n v="0"/>
    <n v="12"/>
    <n v="0"/>
    <n v="0"/>
    <n v="525"/>
  </r>
  <r>
    <x v="0"/>
    <x v="1"/>
    <x v="0"/>
    <n v="60922168004335"/>
    <x v="305"/>
    <s v="SAO PAULO"/>
    <s v="SP"/>
    <s v="1-Setorizado"/>
    <n v="2"/>
    <x v="16"/>
    <s v="JANAINA PALMIRO - ESP - SPC"/>
    <s v="Especialidade"/>
    <s v="claudia.bueno@cslbehring.com"/>
    <s v="CLAUDIA BUENO (SPC/SPI)"/>
    <n v="0"/>
    <n v="0"/>
    <n v="0"/>
    <n v="0"/>
    <n v="60"/>
  </r>
  <r>
    <x v="0"/>
    <x v="1"/>
    <x v="0"/>
    <n v="60922168004335"/>
    <x v="305"/>
    <s v="SAO PAULO"/>
    <s v="SP"/>
    <s v="1-Setorizado"/>
    <n v="2"/>
    <x v="19"/>
    <s v="TATHIANA PONCE - HSP - SPC"/>
    <s v="Hospitalar"/>
    <s v="claudia.bueno@cslbehring.com"/>
    <s v="CLAUDIA BUENO (SPC/SPI)"/>
    <n v="0"/>
    <n v="0"/>
    <n v="0"/>
    <n v="0"/>
    <n v="60"/>
  </r>
  <r>
    <x v="0"/>
    <x v="1"/>
    <x v="0"/>
    <n v="21371777000132"/>
    <x v="306"/>
    <s v="SAO PAULO"/>
    <s v="SP"/>
    <s v="1-Setorizado"/>
    <n v="2"/>
    <x v="16"/>
    <s v="JANAINA PALMIRO - ESP - SPC"/>
    <s v="Especialidade"/>
    <s v="claudia.bueno@cslbehring.com"/>
    <s v="CLAUDIA BUENO (SPC/SPI)"/>
    <n v="0"/>
    <n v="0"/>
    <n v="0"/>
    <n v="0"/>
    <n v="600"/>
  </r>
  <r>
    <x v="0"/>
    <x v="1"/>
    <x v="0"/>
    <n v="21371777000132"/>
    <x v="306"/>
    <s v="SAO PAULO"/>
    <s v="SP"/>
    <s v="1-Setorizado"/>
    <n v="2"/>
    <x v="19"/>
    <s v="TATHIANA PONCE - HSP - SPC"/>
    <s v="Hospitalar"/>
    <s v="claudia.bueno@cslbehring.com"/>
    <s v="CLAUDIA BUENO (SPC/SPI)"/>
    <n v="0"/>
    <n v="38"/>
    <n v="16"/>
    <n v="0"/>
    <n v="600"/>
  </r>
  <r>
    <x v="0"/>
    <x v="1"/>
    <x v="0"/>
    <n v="60448040000122"/>
    <x v="307"/>
    <s v="SAO PAULO"/>
    <s v="SP"/>
    <s v="1-Setorizado"/>
    <n v="2"/>
    <x v="18"/>
    <s v="XXX-ESP-VAGO SPC"/>
    <s v="Especialidade"/>
    <s v="claudia.bueno@cslbehring.com"/>
    <s v="CLAUDIA BUENO (SPC/SPI)"/>
    <n v="0"/>
    <n v="0"/>
    <n v="0"/>
    <n v="0"/>
    <n v="0"/>
  </r>
  <r>
    <x v="0"/>
    <x v="1"/>
    <x v="0"/>
    <n v="60448040000122"/>
    <x v="307"/>
    <s v="SAO PAULO"/>
    <s v="SP"/>
    <s v="1-Setorizado"/>
    <n v="2"/>
    <x v="20"/>
    <s v="NELSON MARTINS - HSP - SPC"/>
    <s v="Hospitalar"/>
    <s v="claudia.bueno@cslbehring.com"/>
    <s v="CLAUDIA BUENO (SPC/SPI)"/>
    <n v="0"/>
    <n v="57"/>
    <n v="87"/>
    <n v="0"/>
    <n v="0"/>
  </r>
  <r>
    <x v="0"/>
    <x v="1"/>
    <x v="0"/>
    <n v="60453024000390"/>
    <x v="308"/>
    <s v="SAO PAULO"/>
    <s v="SP"/>
    <s v="1-Setorizado"/>
    <n v="2"/>
    <x v="16"/>
    <s v="JANAINA PALMIRO - ESP - SPC"/>
    <s v="Especialidade"/>
    <s v="claudia.bueno@cslbehring.com"/>
    <s v="CLAUDIA BUENO (SPC/SPI)"/>
    <n v="0"/>
    <n v="0"/>
    <n v="0"/>
    <n v="0"/>
    <n v="0"/>
  </r>
  <r>
    <x v="0"/>
    <x v="1"/>
    <x v="0"/>
    <n v="60453024000390"/>
    <x v="308"/>
    <s v="SAO PAULO"/>
    <s v="SP"/>
    <s v="1-Setorizado"/>
    <n v="2"/>
    <x v="20"/>
    <s v="NELSON MARTINS - HSP - SPC"/>
    <s v="Hospitalar"/>
    <s v="claudia.bueno@cslbehring.com"/>
    <s v="CLAUDIA BUENO (SPC/SPI)"/>
    <n v="0"/>
    <n v="10"/>
    <n v="37"/>
    <n v="0"/>
    <n v="0"/>
  </r>
  <r>
    <x v="0"/>
    <x v="1"/>
    <x v="0"/>
    <n v="51722957012512"/>
    <x v="309"/>
    <s v="SAO PAULO"/>
    <s v="SP"/>
    <s v="1-Setorizado"/>
    <n v="2"/>
    <x v="16"/>
    <s v="JANAINA PALMIRO - ESP - SPC"/>
    <s v="Especialidade"/>
    <s v="claudia.bueno@cslbehring.com"/>
    <s v="CLAUDIA BUENO (SPC/SPI)"/>
    <n v="0"/>
    <n v="0"/>
    <n v="0"/>
    <n v="0"/>
    <n v="265"/>
  </r>
  <r>
    <x v="0"/>
    <x v="1"/>
    <x v="0"/>
    <n v="51722957012512"/>
    <x v="309"/>
    <s v="SAO PAULO"/>
    <s v="SP"/>
    <s v="1-Setorizado"/>
    <n v="2"/>
    <x v="19"/>
    <s v="TATHIANA PONCE - HSP - SPC"/>
    <s v="Hospitalar"/>
    <s v="claudia.bueno@cslbehring.com"/>
    <s v="CLAUDIA BUENO (SPC/SPI)"/>
    <n v="0"/>
    <n v="0"/>
    <n v="0"/>
    <n v="0"/>
    <n v="265"/>
  </r>
  <r>
    <x v="0"/>
    <x v="1"/>
    <x v="0"/>
    <n v="60678604000113"/>
    <x v="310"/>
    <s v="SAO PAULO"/>
    <s v="SP"/>
    <s v="1-Setorizado"/>
    <n v="2"/>
    <x v="16"/>
    <s v="JANAINA PALMIRO - ESP - SPC"/>
    <s v="Especialidade"/>
    <s v="claudia.bueno@cslbehring.com"/>
    <s v="CLAUDIA BUENO (SPC/SPI)"/>
    <n v="0"/>
    <n v="0"/>
    <n v="0"/>
    <n v="0"/>
    <n v="0"/>
  </r>
  <r>
    <x v="0"/>
    <x v="1"/>
    <x v="0"/>
    <n v="60678604000113"/>
    <x v="310"/>
    <s v="SAO PAULO"/>
    <s v="SP"/>
    <s v="1-Setorizado"/>
    <n v="2"/>
    <x v="17"/>
    <s v="ANTONIO TUNES - HSP - SPC"/>
    <s v="Hospitalar"/>
    <s v="claudia.bueno@cslbehring.com"/>
    <s v="CLAUDIA BUENO (SPC/SPI)"/>
    <n v="0"/>
    <n v="0"/>
    <n v="23"/>
    <n v="0"/>
    <n v="0"/>
  </r>
  <r>
    <x v="0"/>
    <x v="1"/>
    <x v="0"/>
    <n v="61213674000240"/>
    <x v="314"/>
    <s v="SAO PAULO"/>
    <s v="SP"/>
    <s v="1-Setorizado"/>
    <n v="2"/>
    <x v="18"/>
    <s v="XXX-ESP-VAGO SPC"/>
    <s v="Especialidade"/>
    <s v="claudia.bueno@cslbehring.com"/>
    <s v="CLAUDIA BUENO (SPC/SPI)"/>
    <n v="0"/>
    <n v="0"/>
    <n v="0"/>
    <n v="77"/>
    <n v="0"/>
  </r>
  <r>
    <x v="0"/>
    <x v="1"/>
    <x v="0"/>
    <n v="61213674000240"/>
    <x v="314"/>
    <s v="SAO PAULO"/>
    <s v="SP"/>
    <s v="1-Setorizado"/>
    <n v="2"/>
    <x v="17"/>
    <s v="ANTONIO TUNES - HSP - SPC"/>
    <s v="Hospitalar"/>
    <s v="claudia.bueno@cslbehring.com"/>
    <s v="CLAUDIA BUENO (SPC/SPI)"/>
    <n v="0"/>
    <n v="5"/>
    <n v="4"/>
    <n v="0"/>
    <n v="0"/>
  </r>
  <r>
    <x v="0"/>
    <x v="1"/>
    <x v="0"/>
    <n v="60765823000130"/>
    <x v="441"/>
    <s v="SAO PAULO"/>
    <s v="SP"/>
    <s v="1-Setorizado"/>
    <n v="2"/>
    <x v="18"/>
    <s v="XXX-ESP-VAGO SPC"/>
    <s v="Especialidade"/>
    <s v="claudia.bueno@cslbehring.com"/>
    <s v="CLAUDIA BUENO (SPC/SPI)"/>
    <n v="0"/>
    <n v="0"/>
    <n v="0"/>
    <n v="0"/>
    <n v="0"/>
  </r>
  <r>
    <x v="0"/>
    <x v="1"/>
    <x v="0"/>
    <n v="60765823000130"/>
    <x v="441"/>
    <s v="SAO PAULO"/>
    <s v="SP"/>
    <s v="1-Setorizado"/>
    <n v="2"/>
    <x v="17"/>
    <s v="ANTONIO TUNES - HSP - SPC"/>
    <s v="Hospitalar"/>
    <s v="claudia.bueno@cslbehring.com"/>
    <s v="CLAUDIA BUENO (SPC/SPI)"/>
    <n v="0"/>
    <n v="0"/>
    <n v="65"/>
    <n v="0"/>
    <n v="0"/>
  </r>
  <r>
    <x v="0"/>
    <x v="1"/>
    <x v="0"/>
    <n v="19803199000114"/>
    <x v="315"/>
    <s v="SAO PAULO"/>
    <s v="SP"/>
    <s v="1-Setorizado"/>
    <n v="2"/>
    <x v="16"/>
    <s v="JANAINA PALMIRO - ESP - SPC"/>
    <s v="Especialidade"/>
    <s v="claudia.bueno@cslbehring.com"/>
    <s v="CLAUDIA BUENO (SPC/SPI)"/>
    <n v="0"/>
    <n v="0"/>
    <n v="0"/>
    <n v="0"/>
    <n v="175"/>
  </r>
  <r>
    <x v="0"/>
    <x v="1"/>
    <x v="0"/>
    <n v="19803199000114"/>
    <x v="315"/>
    <s v="SAO PAULO"/>
    <s v="SP"/>
    <s v="1-Setorizado"/>
    <n v="2"/>
    <x v="19"/>
    <s v="TATHIANA PONCE - HSP - SPC"/>
    <s v="Hospitalar"/>
    <s v="claudia.bueno@cslbehring.com"/>
    <s v="CLAUDIA BUENO (SPC/SPI)"/>
    <n v="0"/>
    <n v="2"/>
    <n v="3"/>
    <n v="0"/>
    <n v="175"/>
  </r>
  <r>
    <x v="0"/>
    <x v="1"/>
    <x v="0"/>
    <n v="19056055000141"/>
    <x v="442"/>
    <s v="SAO PAULO"/>
    <s v="SP"/>
    <s v="1-Setorizado"/>
    <n v="2"/>
    <x v="16"/>
    <s v="JANAINA PALMIRO - ESP - SPC"/>
    <s v="Especialidade"/>
    <s v="claudia.bueno@cslbehring.com"/>
    <s v="CLAUDIA BUENO (SPC/SPI)"/>
    <n v="0"/>
    <n v="0"/>
    <n v="0"/>
    <n v="0"/>
    <n v="0"/>
  </r>
  <r>
    <x v="0"/>
    <x v="1"/>
    <x v="0"/>
    <n v="19056055000141"/>
    <x v="442"/>
    <s v="SAO PAULO"/>
    <s v="SP"/>
    <s v="1-Setorizado"/>
    <n v="2"/>
    <x v="20"/>
    <s v="NELSON MARTINS - HSP - SPC"/>
    <s v="Hospitalar"/>
    <s v="claudia.bueno@cslbehring.com"/>
    <s v="CLAUDIA BUENO (SPC/SPI)"/>
    <n v="0"/>
    <n v="0"/>
    <n v="3"/>
    <n v="0"/>
    <n v="0"/>
  </r>
  <r>
    <x v="0"/>
    <x v="1"/>
    <x v="0"/>
    <n v="29435005002687"/>
    <x v="316"/>
    <s v="SAO PAULO"/>
    <s v="SP"/>
    <s v="1-Setorizado"/>
    <n v="2"/>
    <x v="16"/>
    <s v="JANAINA PALMIRO - ESP - SPC"/>
    <s v="Especialidade"/>
    <s v="claudia.bueno@cslbehring.com"/>
    <s v="CLAUDIA BUENO (SPC/SPI)"/>
    <n v="0"/>
    <n v="0"/>
    <n v="0"/>
    <n v="0"/>
    <n v="1350"/>
  </r>
  <r>
    <x v="0"/>
    <x v="1"/>
    <x v="0"/>
    <n v="29435005002687"/>
    <x v="316"/>
    <s v="SAO PAULO"/>
    <s v="SP"/>
    <s v="1-Setorizado"/>
    <n v="2"/>
    <x v="19"/>
    <s v="TATHIANA PONCE - HSP - SPC"/>
    <s v="Hospitalar"/>
    <s v="claudia.bueno@cslbehring.com"/>
    <s v="CLAUDIA BUENO (SPC/SPI)"/>
    <n v="0"/>
    <n v="0"/>
    <n v="0"/>
    <n v="0"/>
    <n v="1350"/>
  </r>
  <r>
    <x v="0"/>
    <x v="1"/>
    <x v="0"/>
    <n v="60922168000771"/>
    <x v="318"/>
    <s v="SAO PAULO"/>
    <s v="SP"/>
    <s v="1-Setorizado"/>
    <n v="2"/>
    <x v="18"/>
    <s v="XXX-ESP-VAGO SPC"/>
    <s v="Especialidade"/>
    <s v="claudia.bueno@cslbehring.com"/>
    <s v="CLAUDIA BUENO (SPC/SPI)"/>
    <n v="0"/>
    <n v="0"/>
    <n v="0"/>
    <n v="4"/>
    <n v="105"/>
  </r>
  <r>
    <x v="0"/>
    <x v="1"/>
    <x v="0"/>
    <n v="60922168000771"/>
    <x v="318"/>
    <s v="SAO PAULO"/>
    <s v="SP"/>
    <s v="1-Setorizado"/>
    <n v="2"/>
    <x v="17"/>
    <s v="ANTONIO TUNES - HSP - SPC"/>
    <s v="Hospitalar"/>
    <s v="claudia.bueno@cslbehring.com"/>
    <s v="CLAUDIA BUENO (SPC/SPI)"/>
    <n v="0"/>
    <n v="0"/>
    <n v="5"/>
    <n v="0"/>
    <n v="105"/>
  </r>
  <r>
    <x v="0"/>
    <x v="1"/>
    <x v="0"/>
    <n v="60552098000111"/>
    <x v="319"/>
    <s v="SAO PAULO"/>
    <s v="SP"/>
    <s v="1-Setorizado"/>
    <n v="2"/>
    <x v="16"/>
    <s v="JANAINA PALMIRO - ESP - SPC"/>
    <s v="Especialidade"/>
    <s v="claudia.bueno@cslbehring.com"/>
    <s v="CLAUDIA BUENO (SPC/SPI)"/>
    <n v="0"/>
    <n v="0"/>
    <n v="0"/>
    <n v="0"/>
    <n v="405"/>
  </r>
  <r>
    <x v="0"/>
    <x v="1"/>
    <x v="0"/>
    <n v="60552098000111"/>
    <x v="319"/>
    <s v="SAO PAULO"/>
    <s v="SP"/>
    <s v="1-Setorizado"/>
    <n v="2"/>
    <x v="17"/>
    <s v="ANTONIO TUNES - HSP - SPC"/>
    <s v="Hospitalar"/>
    <s v="claudia.bueno@cslbehring.com"/>
    <s v="CLAUDIA BUENO (SPC/SPI)"/>
    <n v="0"/>
    <n v="0"/>
    <n v="0"/>
    <n v="0"/>
    <n v="405"/>
  </r>
  <r>
    <x v="0"/>
    <x v="1"/>
    <x v="0"/>
    <n v="60777901000116"/>
    <x v="320"/>
    <s v="SAO PAULO"/>
    <s v="SP"/>
    <s v="1-Setorizado"/>
    <n v="2"/>
    <x v="16"/>
    <s v="JANAINA PALMIRO - ESP - SPC"/>
    <s v="Especialidade"/>
    <s v="claudia.bueno@cslbehring.com"/>
    <s v="CLAUDIA BUENO (SPC/SPI)"/>
    <n v="0"/>
    <n v="0"/>
    <n v="0"/>
    <n v="0"/>
    <n v="1000"/>
  </r>
  <r>
    <x v="0"/>
    <x v="1"/>
    <x v="0"/>
    <n v="60777901000116"/>
    <x v="320"/>
    <s v="SAO PAULO"/>
    <s v="SP"/>
    <s v="1-Setorizado"/>
    <n v="2"/>
    <x v="19"/>
    <s v="TATHIANA PONCE - HSP - SPC"/>
    <s v="Hospitalar"/>
    <s v="claudia.bueno@cslbehring.com"/>
    <s v="CLAUDIA BUENO (SPC/SPI)"/>
    <n v="0"/>
    <n v="100"/>
    <n v="0"/>
    <n v="0"/>
    <n v="1000"/>
  </r>
  <r>
    <x v="0"/>
    <x v="1"/>
    <x v="0"/>
    <n v="60975737005110"/>
    <x v="443"/>
    <s v="SAO PAULO"/>
    <s v="SP"/>
    <s v="1-Setorizado"/>
    <n v="2"/>
    <x v="16"/>
    <s v="JANAINA PALMIRO - ESP - SPC"/>
    <s v="Especialidade"/>
    <s v="claudia.bueno@cslbehring.com"/>
    <s v="CLAUDIA BUENO (SPC/SPI)"/>
    <n v="0"/>
    <n v="0"/>
    <n v="0"/>
    <n v="0"/>
    <n v="0"/>
  </r>
  <r>
    <x v="0"/>
    <x v="1"/>
    <x v="0"/>
    <n v="60975737005110"/>
    <x v="443"/>
    <s v="SAO PAULO"/>
    <s v="SP"/>
    <s v="1-Setorizado"/>
    <n v="2"/>
    <x v="20"/>
    <s v="NELSON MARTINS - HSP - SPC"/>
    <s v="Hospitalar"/>
    <s v="claudia.bueno@cslbehring.com"/>
    <s v="CLAUDIA BUENO (SPC/SPI)"/>
    <n v="0"/>
    <n v="1"/>
    <n v="0"/>
    <n v="0"/>
    <n v="0"/>
  </r>
  <r>
    <x v="0"/>
    <x v="1"/>
    <x v="0"/>
    <n v="60975737000232"/>
    <x v="444"/>
    <s v="SAO PAULO"/>
    <s v="SP"/>
    <s v="1-Setorizado"/>
    <n v="2"/>
    <x v="16"/>
    <s v="JANAINA PALMIRO - ESP - SPC"/>
    <s v="Especialidade"/>
    <s v="claudia.bueno@cslbehring.com"/>
    <s v="CLAUDIA BUENO (SPC/SPI)"/>
    <n v="0"/>
    <n v="0"/>
    <n v="0"/>
    <n v="0"/>
    <n v="0"/>
  </r>
  <r>
    <x v="0"/>
    <x v="1"/>
    <x v="0"/>
    <n v="60975737000232"/>
    <x v="444"/>
    <s v="SAO PAULO"/>
    <s v="SP"/>
    <s v="1-Setorizado"/>
    <n v="2"/>
    <x v="20"/>
    <s v="NELSON MARTINS - HSP - SPC"/>
    <s v="Hospitalar"/>
    <s v="claudia.bueno@cslbehring.com"/>
    <s v="CLAUDIA BUENO (SPC/SPI)"/>
    <n v="0"/>
    <n v="6"/>
    <n v="4"/>
    <n v="0"/>
    <n v="0"/>
  </r>
  <r>
    <x v="0"/>
    <x v="1"/>
    <x v="0"/>
    <n v="60975737001204"/>
    <x v="321"/>
    <s v="SAO PAULO"/>
    <s v="SP"/>
    <s v="1-Setorizado"/>
    <n v="2"/>
    <x v="16"/>
    <s v="JANAINA PALMIRO - ESP - SPC"/>
    <s v="Especialidade"/>
    <s v="claudia.bueno@cslbehring.com"/>
    <s v="CLAUDIA BUENO (SPC/SPI)"/>
    <n v="0"/>
    <n v="0"/>
    <n v="0"/>
    <n v="0"/>
    <n v="0"/>
  </r>
  <r>
    <x v="0"/>
    <x v="1"/>
    <x v="0"/>
    <n v="60975737001204"/>
    <x v="321"/>
    <s v="SAO PAULO"/>
    <s v="SP"/>
    <s v="1-Setorizado"/>
    <n v="2"/>
    <x v="20"/>
    <s v="NELSON MARTINS - HSP - SPC"/>
    <s v="Hospitalar"/>
    <s v="claudia.bueno@cslbehring.com"/>
    <s v="CLAUDIA BUENO (SPC/SPI)"/>
    <n v="0"/>
    <n v="4"/>
    <n v="0"/>
    <n v="0"/>
    <n v="0"/>
  </r>
  <r>
    <x v="0"/>
    <x v="1"/>
    <x v="0"/>
    <n v="6047087003820"/>
    <x v="322"/>
    <s v="SAO PAULO"/>
    <s v="SP"/>
    <s v="1-Setorizado"/>
    <n v="2"/>
    <x v="16"/>
    <s v="JANAINA PALMIRO - ESP - SPC"/>
    <s v="Especialidade"/>
    <s v="claudia.bueno@cslbehring.com"/>
    <s v="CLAUDIA BUENO (SPC/SPI)"/>
    <n v="0"/>
    <n v="0"/>
    <n v="0"/>
    <n v="0"/>
    <n v="0"/>
  </r>
  <r>
    <x v="0"/>
    <x v="1"/>
    <x v="0"/>
    <n v="6047087003820"/>
    <x v="322"/>
    <s v="SAO PAULO"/>
    <s v="SP"/>
    <s v="1-Setorizado"/>
    <n v="2"/>
    <x v="17"/>
    <s v="ANTONIO TUNES - HSP - SPC"/>
    <s v="Hospitalar"/>
    <s v="claudia.bueno@cslbehring.com"/>
    <s v="CLAUDIA BUENO (SPC/SPI)"/>
    <n v="0"/>
    <n v="2"/>
    <n v="11"/>
    <n v="0"/>
    <n v="0"/>
  </r>
  <r>
    <x v="0"/>
    <x v="1"/>
    <x v="0"/>
    <n v="28290788000137"/>
    <x v="323"/>
    <s v="SAO PAULO"/>
    <s v="SP"/>
    <s v="1-Setorizado"/>
    <n v="2"/>
    <x v="16"/>
    <s v="JANAINA PALMIRO - ESP - SPC"/>
    <s v="Especialidade"/>
    <s v="claudia.bueno@cslbehring.com"/>
    <s v="CLAUDIA BUENO (SPC/SPI)"/>
    <n v="0"/>
    <n v="0"/>
    <n v="0"/>
    <n v="0"/>
    <n v="0"/>
  </r>
  <r>
    <x v="0"/>
    <x v="1"/>
    <x v="0"/>
    <n v="28290788000137"/>
    <x v="323"/>
    <s v="SAO PAULO"/>
    <s v="SP"/>
    <s v="1-Setorizado"/>
    <n v="2"/>
    <x v="17"/>
    <s v="ANTONIO TUNES - HSP - SPC"/>
    <s v="Hospitalar"/>
    <s v="claudia.bueno@cslbehring.com"/>
    <s v="CLAUDIA BUENO (SPC/SPI)"/>
    <n v="0"/>
    <n v="5"/>
    <n v="5"/>
    <n v="0"/>
    <n v="0"/>
  </r>
  <r>
    <x v="0"/>
    <x v="1"/>
    <x v="0"/>
    <n v="5831510000124"/>
    <x v="324"/>
    <s v="SAO PAULO"/>
    <s v="SP"/>
    <s v="1-Setorizado"/>
    <n v="2"/>
    <x v="16"/>
    <s v="JANAINA PALMIRO - ESP - SPC"/>
    <s v="Especialidade"/>
    <s v="claudia.bueno@cslbehring.com"/>
    <s v="CLAUDIA BUENO (SPC/SPI)"/>
    <n v="0"/>
    <n v="0"/>
    <n v="0"/>
    <n v="0"/>
    <n v="140"/>
  </r>
  <r>
    <x v="0"/>
    <x v="1"/>
    <x v="0"/>
    <n v="5831510000124"/>
    <x v="324"/>
    <s v="SAO PAULO"/>
    <s v="SP"/>
    <s v="1-Setorizado"/>
    <n v="2"/>
    <x v="17"/>
    <s v="ANTONIO TUNES - HSP - SPC"/>
    <s v="Hospitalar"/>
    <s v="claudia.bueno@cslbehring.com"/>
    <s v="CLAUDIA BUENO (SPC/SPI)"/>
    <n v="0"/>
    <n v="0"/>
    <n v="0"/>
    <n v="0"/>
    <n v="140"/>
  </r>
  <r>
    <x v="0"/>
    <x v="1"/>
    <x v="0"/>
    <n v="67185694000150"/>
    <x v="445"/>
    <s v="SAO PAULO"/>
    <s v="SP"/>
    <s v="1-Setorizado"/>
    <n v="2"/>
    <x v="16"/>
    <s v="JANAINA PALMIRO - ESP - SPC"/>
    <s v="Especialidade"/>
    <s v="claudia.bueno@cslbehring.com"/>
    <s v="CLAUDIA BUENO (SPC/SPI)"/>
    <n v="0"/>
    <n v="0"/>
    <n v="0"/>
    <n v="0"/>
    <n v="0"/>
  </r>
  <r>
    <x v="0"/>
    <x v="1"/>
    <x v="0"/>
    <n v="67185694000150"/>
    <x v="445"/>
    <s v="SAO PAULO"/>
    <s v="SP"/>
    <s v="1-Setorizado"/>
    <n v="2"/>
    <x v="17"/>
    <s v="ANTONIO TUNES - HSP - SPC"/>
    <s v="Hospitalar"/>
    <s v="claudia.bueno@cslbehring.com"/>
    <s v="CLAUDIA BUENO (SPC/SPI)"/>
    <n v="0"/>
    <n v="2"/>
    <n v="0"/>
    <n v="0"/>
    <n v="0"/>
  </r>
  <r>
    <x v="0"/>
    <x v="1"/>
    <x v="0"/>
    <n v="44649812005520"/>
    <x v="327"/>
    <s v="SAO PAULO"/>
    <s v="SP"/>
    <s v="1-Setorizado"/>
    <n v="2"/>
    <x v="16"/>
    <s v="JANAINA PALMIRO - ESP - SPC"/>
    <s v="Especialidade"/>
    <s v="claudia.bueno@cslbehring.com"/>
    <s v="CLAUDIA BUENO (SPC/SPI)"/>
    <n v="0"/>
    <n v="0"/>
    <n v="0"/>
    <n v="16"/>
    <n v="150"/>
  </r>
  <r>
    <x v="0"/>
    <x v="1"/>
    <x v="0"/>
    <n v="44649812005520"/>
    <x v="327"/>
    <s v="SAO PAULO"/>
    <s v="SP"/>
    <s v="1-Setorizado"/>
    <n v="2"/>
    <x v="17"/>
    <s v="ANTONIO TUNES - HSP - SPC"/>
    <s v="Hospitalar"/>
    <s v="claudia.bueno@cslbehring.com"/>
    <s v="CLAUDIA BUENO (SPC/SPI)"/>
    <n v="0"/>
    <n v="0"/>
    <n v="0"/>
    <n v="0"/>
    <n v="150"/>
  </r>
  <r>
    <x v="0"/>
    <x v="1"/>
    <x v="0"/>
    <n v="62779145000190"/>
    <x v="328"/>
    <s v="SAO PAULO"/>
    <s v="SP"/>
    <s v="1-Setorizado"/>
    <n v="2"/>
    <x v="18"/>
    <s v="XXX-ESP-VAGO SPC"/>
    <s v="Especialidade"/>
    <s v="claudia.bueno@cslbehring.com"/>
    <s v="CLAUDIA BUENO (SPC/SPI)"/>
    <n v="0"/>
    <n v="0"/>
    <n v="0"/>
    <n v="0"/>
    <n v="0"/>
  </r>
  <r>
    <x v="0"/>
    <x v="1"/>
    <x v="0"/>
    <n v="62779145000190"/>
    <x v="328"/>
    <s v="SAO PAULO"/>
    <s v="SP"/>
    <s v="1-Setorizado"/>
    <n v="2"/>
    <x v="20"/>
    <s v="NELSON MARTINS - HSP - SPC"/>
    <s v="Hospitalar"/>
    <s v="claudia.bueno@cslbehring.com"/>
    <s v="CLAUDIA BUENO (SPC/SPI)"/>
    <n v="0"/>
    <n v="2"/>
    <n v="0"/>
    <n v="0"/>
    <n v="0"/>
  </r>
  <r>
    <x v="0"/>
    <x v="1"/>
    <x v="0"/>
    <n v="13718999000150"/>
    <x v="329"/>
    <s v="SAO PAULO"/>
    <s v="SP"/>
    <s v="1-Setorizado"/>
    <n v="2"/>
    <x v="16"/>
    <s v="JANAINA PALMIRO - ESP - SPC"/>
    <s v="Especialidade"/>
    <s v="claudia.bueno@cslbehring.com"/>
    <s v="CLAUDIA BUENO (SPC/SPI)"/>
    <n v="0"/>
    <n v="0"/>
    <n v="0"/>
    <n v="4"/>
    <n v="0"/>
  </r>
  <r>
    <x v="0"/>
    <x v="1"/>
    <x v="0"/>
    <n v="13718999000150"/>
    <x v="329"/>
    <s v="SAO PAULO"/>
    <s v="SP"/>
    <s v="1-Setorizado"/>
    <n v="2"/>
    <x v="17"/>
    <s v="ANTONIO TUNES - HSP - SPC"/>
    <s v="Hospitalar"/>
    <s v="claudia.bueno@cslbehring.com"/>
    <s v="CLAUDIA BUENO (SPC/SPI)"/>
    <n v="0"/>
    <n v="0"/>
    <n v="0"/>
    <n v="0"/>
    <n v="0"/>
  </r>
  <r>
    <x v="0"/>
    <x v="1"/>
    <x v="0"/>
    <n v="4036348000190"/>
    <x v="330"/>
    <s v="SAO PAULO"/>
    <s v="SP"/>
    <s v="1-Setorizado"/>
    <n v="2"/>
    <x v="16"/>
    <s v="JANAINA PALMIRO - ESP - SPC"/>
    <s v="Especialidade"/>
    <s v="claudia.bueno@cslbehring.com"/>
    <s v="CLAUDIA BUENO (SPC/SPI)"/>
    <n v="0"/>
    <n v="0"/>
    <n v="0"/>
    <n v="0"/>
    <n v="320"/>
  </r>
  <r>
    <x v="0"/>
    <x v="1"/>
    <x v="0"/>
    <n v="4036348000190"/>
    <x v="330"/>
    <s v="SAO PAULO"/>
    <s v="SP"/>
    <s v="1-Setorizado"/>
    <n v="2"/>
    <x v="17"/>
    <s v="ANTONIO TUNES - HSP - SPC"/>
    <s v="Hospitalar"/>
    <s v="claudia.bueno@cslbehring.com"/>
    <s v="CLAUDIA BUENO (SPC/SPI)"/>
    <n v="0"/>
    <n v="0"/>
    <n v="0"/>
    <n v="0"/>
    <n v="320"/>
  </r>
  <r>
    <x v="0"/>
    <x v="1"/>
    <x v="0"/>
    <n v="10211939000230"/>
    <x v="331"/>
    <s v="SAO PAULO"/>
    <s v="SP"/>
    <s v="1-Setorizado"/>
    <n v="2"/>
    <x v="18"/>
    <s v="XXX-ESP-VAGO SPC"/>
    <s v="Especialidade"/>
    <s v="claudia.bueno@cslbehring.com"/>
    <s v="CLAUDIA BUENO (SPC/SPI)"/>
    <n v="0"/>
    <n v="0"/>
    <n v="0"/>
    <n v="8"/>
    <n v="0"/>
  </r>
  <r>
    <x v="0"/>
    <x v="1"/>
    <x v="0"/>
    <n v="10211939000230"/>
    <x v="331"/>
    <s v="SAO PAULO"/>
    <s v="SP"/>
    <s v="1-Setorizado"/>
    <n v="2"/>
    <x v="19"/>
    <s v="TATHIANA PONCE - HSP - SPC"/>
    <s v="Hospitalar"/>
    <s v="claudia.bueno@cslbehring.com"/>
    <s v="CLAUDIA BUENO (SPC/SPI)"/>
    <n v="0"/>
    <n v="0"/>
    <n v="0"/>
    <n v="0"/>
    <n v="0"/>
  </r>
  <r>
    <x v="0"/>
    <x v="1"/>
    <x v="0"/>
    <n v="2837922000183"/>
    <x v="332"/>
    <s v="SAO PAULO"/>
    <s v="SP"/>
    <s v="1-Setorizado"/>
    <n v="2"/>
    <x v="16"/>
    <s v="JANAINA PALMIRO - ESP - SPC"/>
    <s v="Especialidade"/>
    <s v="claudia.bueno@cslbehring.com"/>
    <s v="CLAUDIA BUENO (SPC/SPI)"/>
    <n v="0"/>
    <n v="0"/>
    <n v="0"/>
    <n v="100"/>
    <n v="0"/>
  </r>
  <r>
    <x v="0"/>
    <x v="1"/>
    <x v="0"/>
    <n v="2837922000183"/>
    <x v="332"/>
    <s v="SAO PAULO"/>
    <s v="SP"/>
    <s v="1-Setorizado"/>
    <n v="2"/>
    <x v="17"/>
    <s v="ANTONIO TUNES - HSP - SPC"/>
    <s v="Hospitalar"/>
    <s v="claudia.bueno@cslbehring.com"/>
    <s v="CLAUDIA BUENO (SPC/SPI)"/>
    <n v="0"/>
    <n v="0"/>
    <n v="0"/>
    <n v="0"/>
    <n v="0"/>
  </r>
  <r>
    <x v="0"/>
    <x v="1"/>
    <x v="0"/>
    <n v="61599908000158"/>
    <x v="333"/>
    <s v="SAO PAULO"/>
    <s v="SP"/>
    <s v="1-Setorizado"/>
    <n v="2"/>
    <x v="16"/>
    <s v="JANAINA PALMIRO - ESP - SPC"/>
    <s v="Especialidade"/>
    <s v="claudia.bueno@cslbehring.com"/>
    <s v="CLAUDIA BUENO (SPC/SPI)"/>
    <n v="0"/>
    <n v="0"/>
    <n v="0"/>
    <n v="0"/>
    <n v="0"/>
  </r>
  <r>
    <x v="0"/>
    <x v="1"/>
    <x v="0"/>
    <n v="61599908000158"/>
    <x v="333"/>
    <s v="SAO PAULO"/>
    <s v="SP"/>
    <s v="1-Setorizado"/>
    <n v="2"/>
    <x v="19"/>
    <s v="TATHIANA PONCE - HSP - SPC"/>
    <s v="Hospitalar"/>
    <s v="claudia.bueno@cslbehring.com"/>
    <s v="CLAUDIA BUENO (SPC/SPI)"/>
    <n v="0"/>
    <n v="20"/>
    <n v="75"/>
    <n v="0"/>
    <n v="0"/>
  </r>
  <r>
    <x v="0"/>
    <x v="1"/>
    <x v="0"/>
    <n v="7045325000130"/>
    <x v="334"/>
    <s v="SAO PAULO"/>
    <s v="SP"/>
    <s v="1-Setorizado"/>
    <n v="2"/>
    <x v="16"/>
    <s v="JANAINA PALMIRO - ESP - SPC"/>
    <s v="Especialidade"/>
    <s v="claudia.bueno@cslbehring.com"/>
    <s v="CLAUDIA BUENO (SPC/SPI)"/>
    <n v="0"/>
    <n v="0"/>
    <n v="0"/>
    <n v="80"/>
    <n v="200"/>
  </r>
  <r>
    <x v="0"/>
    <x v="1"/>
    <x v="0"/>
    <n v="7045325000130"/>
    <x v="334"/>
    <s v="SAO PAULO"/>
    <s v="SP"/>
    <s v="1-Setorizado"/>
    <n v="2"/>
    <x v="17"/>
    <s v="ANTONIO TUNES - HSP - SPC"/>
    <s v="Hospitalar"/>
    <s v="claudia.bueno@cslbehring.com"/>
    <s v="CLAUDIA BUENO (SPC/SPI)"/>
    <n v="0"/>
    <n v="0"/>
    <n v="0"/>
    <n v="0"/>
    <n v="200"/>
  </r>
  <r>
    <x v="0"/>
    <x v="1"/>
    <x v="0"/>
    <n v="6047087000210"/>
    <x v="335"/>
    <s v="SAO PAULO"/>
    <s v="SP"/>
    <s v="1-Setorizado"/>
    <n v="2"/>
    <x v="16"/>
    <s v="JANAINA PALMIRO - ESP - SPC"/>
    <s v="Especialidade"/>
    <s v="claudia.bueno@cslbehring.com"/>
    <s v="CLAUDIA BUENO (SPC/SPI)"/>
    <n v="0"/>
    <n v="0"/>
    <n v="0"/>
    <n v="0"/>
    <n v="0"/>
  </r>
  <r>
    <x v="0"/>
    <x v="1"/>
    <x v="0"/>
    <n v="6047087000210"/>
    <x v="335"/>
    <s v="SAO PAULO"/>
    <s v="SP"/>
    <s v="1-Setorizado"/>
    <n v="2"/>
    <x v="17"/>
    <s v="ANTONIO TUNES - HSP - SPC"/>
    <s v="Hospitalar"/>
    <s v="claudia.bueno@cslbehring.com"/>
    <s v="CLAUDIA BUENO (SPC/SPI)"/>
    <n v="0"/>
    <n v="41"/>
    <n v="33"/>
    <n v="0"/>
    <n v="0"/>
  </r>
  <r>
    <x v="0"/>
    <x v="1"/>
    <x v="0"/>
    <n v="8677327000104"/>
    <x v="446"/>
    <s v="SAO PAULO"/>
    <s v="SP"/>
    <s v="1-Setorizado"/>
    <n v="2"/>
    <x v="16"/>
    <s v="JANAINA PALMIRO - ESP - SPC"/>
    <s v="Especialidade"/>
    <s v="claudia.bueno@cslbehring.com"/>
    <s v="CLAUDIA BUENO (SPC/SPI)"/>
    <n v="0"/>
    <n v="0"/>
    <n v="0"/>
    <n v="0"/>
    <n v="0"/>
  </r>
  <r>
    <x v="0"/>
    <x v="1"/>
    <x v="0"/>
    <n v="8677327000104"/>
    <x v="446"/>
    <s v="SAO PAULO"/>
    <s v="SP"/>
    <s v="1-Setorizado"/>
    <n v="2"/>
    <x v="20"/>
    <s v="NELSON MARTINS - HSP - SPC"/>
    <s v="Hospitalar"/>
    <s v="claudia.bueno@cslbehring.com"/>
    <s v="CLAUDIA BUENO (SPC/SPI)"/>
    <n v="0"/>
    <n v="2"/>
    <n v="0"/>
    <n v="0"/>
    <n v="0"/>
  </r>
  <r>
    <x v="0"/>
    <x v="1"/>
    <x v="0"/>
    <n v="60961422000155"/>
    <x v="336"/>
    <s v="SAO PAULO"/>
    <s v="SP"/>
    <s v="1-Setorizado"/>
    <n v="2"/>
    <x v="16"/>
    <s v="JANAINA PALMIRO - ESP - SPC"/>
    <s v="Especialidade"/>
    <s v="claudia.bueno@cslbehring.com"/>
    <s v="CLAUDIA BUENO (SPC/SPI)"/>
    <n v="0"/>
    <n v="0"/>
    <n v="0"/>
    <n v="0"/>
    <n v="20"/>
  </r>
  <r>
    <x v="0"/>
    <x v="1"/>
    <x v="0"/>
    <n v="60961422000155"/>
    <x v="336"/>
    <s v="SAO PAULO"/>
    <s v="SP"/>
    <s v="1-Setorizado"/>
    <n v="2"/>
    <x v="17"/>
    <s v="ANTONIO TUNES - HSP - SPC"/>
    <s v="Hospitalar"/>
    <s v="claudia.bueno@cslbehring.com"/>
    <s v="CLAUDIA BUENO (SPC/SPI)"/>
    <n v="0"/>
    <n v="3"/>
    <n v="3"/>
    <n v="0"/>
    <n v="20"/>
  </r>
  <r>
    <x v="0"/>
    <x v="1"/>
    <x v="0"/>
    <n v="61590410000124"/>
    <x v="337"/>
    <s v="SAO PAULO"/>
    <s v="SP"/>
    <s v="1-Setorizado"/>
    <n v="2"/>
    <x v="16"/>
    <s v="JANAINA PALMIRO - ESP - SPC"/>
    <s v="Especialidade"/>
    <s v="claudia.bueno@cslbehring.com"/>
    <s v="CLAUDIA BUENO (SPC/SPI)"/>
    <n v="0"/>
    <n v="0"/>
    <n v="0"/>
    <n v="0"/>
    <n v="2670"/>
  </r>
  <r>
    <x v="0"/>
    <x v="1"/>
    <x v="0"/>
    <n v="61590410000124"/>
    <x v="337"/>
    <s v="SAO PAULO"/>
    <s v="SP"/>
    <s v="1-Setorizado"/>
    <n v="2"/>
    <x v="20"/>
    <s v="NELSON MARTINS - HSP - SPC"/>
    <s v="Hospitalar"/>
    <s v="claudia.bueno@cslbehring.com"/>
    <s v="CLAUDIA BUENO (SPC/SPI)"/>
    <n v="0"/>
    <n v="0"/>
    <n v="81"/>
    <n v="0"/>
    <n v="2670"/>
  </r>
  <r>
    <x v="0"/>
    <x v="1"/>
    <x v="0"/>
    <n v="20812223000241"/>
    <x v="338"/>
    <s v="SAO PAULO"/>
    <s v="SP"/>
    <s v="1-Setorizado"/>
    <n v="2"/>
    <x v="16"/>
    <s v="JANAINA PALMIRO - ESP - SPC"/>
    <s v="Especialidade"/>
    <s v="claudia.bueno@cslbehring.com"/>
    <s v="CLAUDIA BUENO (SPC/SPI)"/>
    <n v="0"/>
    <n v="0"/>
    <n v="0"/>
    <n v="20"/>
    <n v="0"/>
  </r>
  <r>
    <x v="0"/>
    <x v="1"/>
    <x v="0"/>
    <n v="20812223000241"/>
    <x v="338"/>
    <s v="SAO PAULO"/>
    <s v="SP"/>
    <s v="1-Setorizado"/>
    <n v="2"/>
    <x v="17"/>
    <s v="ANTONIO TUNES - HSP - SPC"/>
    <s v="Hospitalar"/>
    <s v="claudia.bueno@cslbehring.com"/>
    <s v="CLAUDIA BUENO (SPC/SPI)"/>
    <n v="0"/>
    <n v="0"/>
    <n v="0"/>
    <n v="0"/>
    <n v="0"/>
  </r>
  <r>
    <x v="0"/>
    <x v="1"/>
    <x v="0"/>
    <n v="45399961000230"/>
    <x v="340"/>
    <s v="SOROCABA"/>
    <s v="SP"/>
    <s v="1-Setorizado"/>
    <n v="2"/>
    <x v="18"/>
    <s v="XXX-ESP-VAGO SPC"/>
    <s v="Especialidade"/>
    <s v="claudia.bueno@cslbehring.com"/>
    <s v="CLAUDIA BUENO (SPC/SPI)"/>
    <n v="0"/>
    <n v="0"/>
    <n v="0"/>
    <n v="0"/>
    <n v="450"/>
  </r>
  <r>
    <x v="0"/>
    <x v="1"/>
    <x v="0"/>
    <n v="45399961000230"/>
    <x v="340"/>
    <s v="SOROCABA"/>
    <s v="SP"/>
    <s v="1-Setorizado"/>
    <n v="2"/>
    <x v="19"/>
    <s v="TATHIANA PONCE - HSP - SPC"/>
    <s v="Hospitalar"/>
    <s v="claudia.bueno@cslbehring.com"/>
    <s v="CLAUDIA BUENO (SPC/SPI)"/>
    <n v="0"/>
    <n v="0"/>
    <n v="0"/>
    <n v="0"/>
    <n v="450"/>
  </r>
  <r>
    <x v="0"/>
    <x v="1"/>
    <x v="0"/>
    <n v="46124624002599"/>
    <x v="341"/>
    <s v="SUMARE"/>
    <s v="SP"/>
    <s v="1-Setorizado"/>
    <n v="2"/>
    <x v="14"/>
    <s v="BRUNA CLARO - ESP - SPI"/>
    <s v="Especialidade"/>
    <s v="claudia.bueno@cslbehring.com"/>
    <s v="CLAUDIA BUENO (SPC/SPI)"/>
    <n v="0"/>
    <n v="0"/>
    <n v="0"/>
    <n v="240"/>
    <n v="700"/>
  </r>
  <r>
    <x v="0"/>
    <x v="1"/>
    <x v="0"/>
    <n v="46124624002599"/>
    <x v="341"/>
    <s v="SUMARE"/>
    <s v="SP"/>
    <s v="1-Setorizado"/>
    <n v="2"/>
    <x v="15"/>
    <s v="ARTUR JUNIOR - HSP - SPI"/>
    <s v="Hospitalar"/>
    <s v="claudia.bueno@cslbehring.com"/>
    <s v="CLAUDIA BUENO (SPC/SPI)"/>
    <n v="0"/>
    <n v="0"/>
    <n v="0"/>
    <n v="0"/>
    <n v="700"/>
  </r>
  <r>
    <x v="0"/>
    <x v="2"/>
    <x v="0"/>
    <n v="44482299472"/>
    <x v="447"/>
    <s v="MACEIO"/>
    <s v="AL"/>
    <s v="1-Setorizado"/>
    <n v="2"/>
    <x v="0"/>
    <s v="VALERIA BRAGA - ESP - (CE/MA/PI/BA/AL/SE/PB/PE/RN)"/>
    <s v="Especialidade"/>
    <s v="fernando.leony@cslbehring.com"/>
    <s v="FERNANDO LEONY (CO/NO/NE)"/>
    <n v="90"/>
    <n v="0"/>
    <n v="0"/>
    <n v="0"/>
    <n v="0"/>
  </r>
  <r>
    <x v="0"/>
    <x v="2"/>
    <x v="0"/>
    <n v="44482299472"/>
    <x v="447"/>
    <s v="MACEIO"/>
    <s v="AL"/>
    <s v="1-Setorizado"/>
    <n v="2"/>
    <x v="1"/>
    <s v="LAIS MAGALHAES - HSP - BA/AL/SE"/>
    <s v="Hospitalar"/>
    <s v="fernando.leony@cslbehring.com"/>
    <s v="FERNANDO LEONY (CO/NO/NE)"/>
    <n v="0"/>
    <n v="0"/>
    <n v="0"/>
    <n v="0"/>
    <n v="0"/>
  </r>
  <r>
    <x v="0"/>
    <x v="2"/>
    <x v="0"/>
    <n v="1454407000151"/>
    <x v="0"/>
    <s v="MACEIO"/>
    <s v="AL"/>
    <s v="1-Setorizado"/>
    <n v="2"/>
    <x v="0"/>
    <s v="VALERIA BRAGA - ESP - (CE/MA/PI/BA/AL/SE/PB/PE/RN)"/>
    <s v="Especialidade"/>
    <s v="fernando.leony@cslbehring.com"/>
    <s v="FERNANDO LEONY (CO/NO/NE)"/>
    <n v="0"/>
    <n v="0"/>
    <n v="0"/>
    <n v="0"/>
    <n v="235"/>
  </r>
  <r>
    <x v="0"/>
    <x v="2"/>
    <x v="0"/>
    <n v="1454407000151"/>
    <x v="0"/>
    <s v="MACEIO"/>
    <s v="AL"/>
    <s v="1-Setorizado"/>
    <n v="2"/>
    <x v="1"/>
    <s v="LAIS MAGALHAES - HSP - BA/AL/SE"/>
    <s v="Hospitalar"/>
    <s v="fernando.leony@cslbehring.com"/>
    <s v="FERNANDO LEONY (CO/NO/NE)"/>
    <n v="0"/>
    <n v="0"/>
    <n v="0"/>
    <n v="0"/>
    <n v="235"/>
  </r>
  <r>
    <x v="0"/>
    <x v="2"/>
    <x v="0"/>
    <n v="12361267000860"/>
    <x v="448"/>
    <s v="MACEIO"/>
    <s v="AL"/>
    <s v="1-Setorizado"/>
    <n v="2"/>
    <x v="0"/>
    <s v="VALERIA BRAGA - ESP - (CE/MA/PI/BA/AL/SE/PB/PE/RN)"/>
    <s v="Especialidade"/>
    <s v="fernando.leony@cslbehring.com"/>
    <s v="FERNANDO LEONY (CO/NO/NE)"/>
    <n v="0"/>
    <n v="0"/>
    <n v="0"/>
    <n v="0"/>
    <n v="0"/>
  </r>
  <r>
    <x v="0"/>
    <x v="2"/>
    <x v="0"/>
    <n v="12361267000860"/>
    <x v="448"/>
    <s v="MACEIO"/>
    <s v="AL"/>
    <s v="1-Setorizado"/>
    <n v="2"/>
    <x v="1"/>
    <s v="LAIS MAGALHAES - HSP - BA/AL/SE"/>
    <s v="Hospitalar"/>
    <s v="fernando.leony@cslbehring.com"/>
    <s v="FERNANDO LEONY (CO/NO/NE)"/>
    <n v="0"/>
    <n v="2"/>
    <n v="0"/>
    <n v="0"/>
    <n v="0"/>
  </r>
  <r>
    <x v="0"/>
    <x v="2"/>
    <x v="0"/>
    <n v="1722424000122"/>
    <x v="449"/>
    <s v="MACEIO"/>
    <s v="AL"/>
    <s v="1-Setorizado"/>
    <n v="2"/>
    <x v="0"/>
    <s v="VALERIA BRAGA - ESP - (CE/MA/PI/BA/AL/SE/PB/PE/RN)"/>
    <s v="Especialidade"/>
    <s v="fernando.leony@cslbehring.com"/>
    <s v="FERNANDO LEONY (CO/NO/NE)"/>
    <n v="0"/>
    <n v="0"/>
    <n v="0"/>
    <n v="0"/>
    <n v="515"/>
  </r>
  <r>
    <x v="0"/>
    <x v="2"/>
    <x v="0"/>
    <n v="1722424000122"/>
    <x v="449"/>
    <s v="MACEIO"/>
    <s v="AL"/>
    <s v="1-Setorizado"/>
    <n v="2"/>
    <x v="1"/>
    <s v="LAIS MAGALHAES - HSP - BA/AL/SE"/>
    <s v="Hospitalar"/>
    <s v="fernando.leony@cslbehring.com"/>
    <s v="FERNANDO LEONY (CO/NO/NE)"/>
    <n v="0"/>
    <n v="0"/>
    <n v="0"/>
    <n v="0"/>
    <n v="515"/>
  </r>
  <r>
    <x v="0"/>
    <x v="2"/>
    <x v="0"/>
    <n v="12442737000496"/>
    <x v="1"/>
    <s v="MACEIO"/>
    <s v="AL"/>
    <s v="1-Setorizado"/>
    <n v="2"/>
    <x v="0"/>
    <s v="VALERIA BRAGA - ESP - (CE/MA/PI/BA/AL/SE/PB/PE/RN)"/>
    <s v="Especialidade"/>
    <s v="fernando.leony@cslbehring.com"/>
    <s v="FERNANDO LEONY (CO/NO/NE)"/>
    <n v="0"/>
    <n v="0"/>
    <n v="0"/>
    <n v="0"/>
    <n v="0"/>
  </r>
  <r>
    <x v="0"/>
    <x v="2"/>
    <x v="0"/>
    <n v="12442737000496"/>
    <x v="1"/>
    <s v="MACEIO"/>
    <s v="AL"/>
    <s v="1-Setorizado"/>
    <n v="2"/>
    <x v="1"/>
    <s v="LAIS MAGALHAES - HSP - BA/AL/SE"/>
    <s v="Hospitalar"/>
    <s v="fernando.leony@cslbehring.com"/>
    <s v="FERNANDO LEONY (CO/NO/NE)"/>
    <n v="0"/>
    <n v="0"/>
    <n v="2"/>
    <n v="0"/>
    <n v="0"/>
  </r>
  <r>
    <x v="0"/>
    <x v="2"/>
    <x v="0"/>
    <n v="12361267011632"/>
    <x v="3"/>
    <s v="MANAUS"/>
    <s v="AM"/>
    <s v="1-Setorizado"/>
    <n v="1"/>
    <x v="2"/>
    <s v="WLADIMIR CAMPELO - ESP/HSP - AC/AM/AP/PA/RO/RR/DF"/>
    <s v="Hosp-Esp"/>
    <s v="fernando.leony@cslbehring.com"/>
    <s v="FERNANDO LEONY (CO/NO/NE)"/>
    <n v="0"/>
    <n v="2"/>
    <n v="4"/>
    <n v="0"/>
    <n v="0"/>
  </r>
  <r>
    <x v="0"/>
    <x v="2"/>
    <x v="0"/>
    <n v="6070425000153"/>
    <x v="4"/>
    <s v="MACAPA"/>
    <s v="AP"/>
    <s v="1-Setorizado"/>
    <n v="1"/>
    <x v="2"/>
    <s v="WLADIMIR CAMPELO - ESP/HSP - AC/AM/AP/PA/RO/RR/DF"/>
    <s v="Hosp-Esp"/>
    <s v="fernando.leony@cslbehring.com"/>
    <s v="FERNANDO LEONY (CO/NO/NE)"/>
    <n v="0"/>
    <n v="0"/>
    <n v="0"/>
    <n v="12"/>
    <n v="0"/>
  </r>
  <r>
    <x v="0"/>
    <x v="2"/>
    <x v="0"/>
    <n v="12361267010407"/>
    <x v="344"/>
    <s v="FEIRA DE SANTANA"/>
    <s v="BA"/>
    <s v="1-Setorizado"/>
    <n v="2"/>
    <x v="0"/>
    <s v="VALERIA BRAGA - ESP - (CE/MA/PI/BA/AL/SE/PB/PE/RN)"/>
    <s v="Especialidade"/>
    <s v="fernando.leony@cslbehring.com"/>
    <s v="FERNANDO LEONY (CO/NO/NE)"/>
    <n v="0"/>
    <n v="0"/>
    <n v="0"/>
    <n v="0"/>
    <n v="0"/>
  </r>
  <r>
    <x v="0"/>
    <x v="2"/>
    <x v="0"/>
    <n v="12361267010407"/>
    <x v="344"/>
    <s v="FEIRA DE SANTANA"/>
    <s v="BA"/>
    <s v="1-Setorizado"/>
    <n v="2"/>
    <x v="1"/>
    <s v="LAIS MAGALHAES - HSP - BA/AL/SE"/>
    <s v="Hospitalar"/>
    <s v="fernando.leony@cslbehring.com"/>
    <s v="FERNANDO LEONY (CO/NO/NE)"/>
    <n v="0"/>
    <n v="2"/>
    <n v="0"/>
    <n v="0"/>
    <n v="0"/>
  </r>
  <r>
    <x v="0"/>
    <x v="2"/>
    <x v="0"/>
    <n v="13952064000134"/>
    <x v="8"/>
    <s v="SALVADOR"/>
    <s v="BA"/>
    <s v="1-Setorizado"/>
    <n v="2"/>
    <x v="0"/>
    <s v="VALERIA BRAGA - ESP - (CE/MA/PI/BA/AL/SE/PB/PE/RN)"/>
    <s v="Especialidade"/>
    <s v="fernando.leony@cslbehring.com"/>
    <s v="FERNANDO LEONY (CO/NO/NE)"/>
    <n v="0"/>
    <n v="0"/>
    <n v="0"/>
    <n v="0"/>
    <n v="0"/>
  </r>
  <r>
    <x v="0"/>
    <x v="2"/>
    <x v="0"/>
    <n v="13952064000134"/>
    <x v="8"/>
    <s v="SALVADOR"/>
    <s v="BA"/>
    <s v="1-Setorizado"/>
    <n v="2"/>
    <x v="1"/>
    <s v="LAIS MAGALHAES - HSP - BA/AL/SE"/>
    <s v="Hospitalar"/>
    <s v="fernando.leony@cslbehring.com"/>
    <s v="FERNANDO LEONY (CO/NO/NE)"/>
    <n v="0"/>
    <n v="22"/>
    <n v="8"/>
    <n v="0"/>
    <n v="0"/>
  </r>
  <r>
    <x v="0"/>
    <x v="2"/>
    <x v="0"/>
    <n v="1837492000137"/>
    <x v="450"/>
    <s v="SALVADOR"/>
    <s v="BA"/>
    <s v="1-Setorizado"/>
    <n v="2"/>
    <x v="0"/>
    <s v="VALERIA BRAGA - ESP - (CE/MA/PI/BA/AL/SE/PB/PE/RN)"/>
    <s v="Especialidade"/>
    <s v="fernando.leony@cslbehring.com"/>
    <s v="FERNANDO LEONY (CO/NO/NE)"/>
    <n v="0"/>
    <n v="0"/>
    <n v="0"/>
    <n v="0"/>
    <n v="0"/>
  </r>
  <r>
    <x v="0"/>
    <x v="2"/>
    <x v="0"/>
    <n v="1837492000137"/>
    <x v="450"/>
    <s v="SALVADOR"/>
    <s v="BA"/>
    <s v="1-Setorizado"/>
    <n v="2"/>
    <x v="1"/>
    <s v="LAIS MAGALHAES - HSP - BA/AL/SE"/>
    <s v="Hospitalar"/>
    <s v="fernando.leony@cslbehring.com"/>
    <s v="FERNANDO LEONY (CO/NO/NE)"/>
    <n v="0"/>
    <n v="2"/>
    <n v="0"/>
    <n v="0"/>
    <n v="0"/>
  </r>
  <r>
    <x v="0"/>
    <x v="2"/>
    <x v="0"/>
    <n v="9324322559"/>
    <x v="451"/>
    <s v="SALVADOR"/>
    <s v="BA"/>
    <s v="1-Setorizado"/>
    <n v="2"/>
    <x v="0"/>
    <s v="VALERIA BRAGA - ESP - (CE/MA/PI/BA/AL/SE/PB/PE/RN)"/>
    <s v="Especialidade"/>
    <s v="fernando.leony@cslbehring.com"/>
    <s v="FERNANDO LEONY (CO/NO/NE)"/>
    <n v="0"/>
    <n v="0"/>
    <n v="0"/>
    <n v="5"/>
    <n v="0"/>
  </r>
  <r>
    <x v="0"/>
    <x v="2"/>
    <x v="0"/>
    <n v="9324322559"/>
    <x v="451"/>
    <s v="SALVADOR"/>
    <s v="BA"/>
    <s v="1-Setorizado"/>
    <n v="2"/>
    <x v="1"/>
    <s v="LAIS MAGALHAES - HSP - BA/AL/SE"/>
    <s v="Hospitalar"/>
    <s v="fernando.leony@cslbehring.com"/>
    <s v="FERNANDO LEONY (CO/NO/NE)"/>
    <n v="0"/>
    <n v="0"/>
    <n v="0"/>
    <n v="0"/>
    <n v="0"/>
  </r>
  <r>
    <x v="0"/>
    <x v="2"/>
    <x v="0"/>
    <n v="5816630000152"/>
    <x v="9"/>
    <s v="SALVADOR"/>
    <s v="BA"/>
    <s v="1-Setorizado"/>
    <n v="2"/>
    <x v="0"/>
    <s v="VALERIA BRAGA - ESP - (CE/MA/PI/BA/AL/SE/PB/PE/RN)"/>
    <s v="Especialidade"/>
    <s v="fernando.leony@cslbehring.com"/>
    <s v="FERNANDO LEONY (CO/NO/NE)"/>
    <n v="0"/>
    <n v="0"/>
    <n v="0"/>
    <n v="0"/>
    <n v="650"/>
  </r>
  <r>
    <x v="0"/>
    <x v="2"/>
    <x v="0"/>
    <n v="5816630000152"/>
    <x v="9"/>
    <s v="SALVADOR"/>
    <s v="BA"/>
    <s v="1-Setorizado"/>
    <n v="2"/>
    <x v="1"/>
    <s v="LAIS MAGALHAES - HSP - BA/AL/SE"/>
    <s v="Hospitalar"/>
    <s v="fernando.leony@cslbehring.com"/>
    <s v="FERNANDO LEONY (CO/NO/NE)"/>
    <n v="0"/>
    <n v="15"/>
    <n v="10"/>
    <n v="0"/>
    <n v="650"/>
  </r>
  <r>
    <x v="0"/>
    <x v="2"/>
    <x v="0"/>
    <n v="15194004000125"/>
    <x v="10"/>
    <s v="SALVADOR"/>
    <s v="BA"/>
    <s v="1-Setorizado"/>
    <n v="2"/>
    <x v="0"/>
    <s v="VALERIA BRAGA - ESP - (CE/MA/PI/BA/AL/SE/PB/PE/RN)"/>
    <s v="Especialidade"/>
    <s v="fernando.leony@cslbehring.com"/>
    <s v="FERNANDO LEONY (CO/NO/NE)"/>
    <n v="0"/>
    <n v="0"/>
    <n v="0"/>
    <n v="0"/>
    <n v="0"/>
  </r>
  <r>
    <x v="0"/>
    <x v="2"/>
    <x v="0"/>
    <n v="15194004000125"/>
    <x v="10"/>
    <s v="SALVADOR"/>
    <s v="BA"/>
    <s v="1-Setorizado"/>
    <n v="2"/>
    <x v="1"/>
    <s v="LAIS MAGALHAES - HSP - BA/AL/SE"/>
    <s v="Hospitalar"/>
    <s v="fernando.leony@cslbehring.com"/>
    <s v="FERNANDO LEONY (CO/NO/NE)"/>
    <n v="0"/>
    <n v="24"/>
    <n v="0"/>
    <n v="0"/>
    <n v="0"/>
  </r>
  <r>
    <x v="0"/>
    <x v="2"/>
    <x v="0"/>
    <n v="5469172000122"/>
    <x v="11"/>
    <s v="SALVADOR"/>
    <s v="BA"/>
    <s v="1-Setorizado"/>
    <n v="2"/>
    <x v="0"/>
    <s v="VALERIA BRAGA - ESP - (CE/MA/PI/BA/AL/SE/PB/PE/RN)"/>
    <s v="Especialidade"/>
    <s v="fernando.leony@cslbehring.com"/>
    <s v="FERNANDO LEONY (CO/NO/NE)"/>
    <n v="0"/>
    <n v="0"/>
    <n v="0"/>
    <n v="0"/>
    <n v="0"/>
  </r>
  <r>
    <x v="0"/>
    <x v="2"/>
    <x v="0"/>
    <n v="5469172000122"/>
    <x v="11"/>
    <s v="SALVADOR"/>
    <s v="BA"/>
    <s v="1-Setorizado"/>
    <n v="2"/>
    <x v="1"/>
    <s v="LAIS MAGALHAES - HSP - BA/AL/SE"/>
    <s v="Hospitalar"/>
    <s v="fernando.leony@cslbehring.com"/>
    <s v="FERNANDO LEONY (CO/NO/NE)"/>
    <n v="0"/>
    <n v="0"/>
    <n v="4"/>
    <n v="0"/>
    <n v="0"/>
  </r>
  <r>
    <x v="0"/>
    <x v="2"/>
    <x v="0"/>
    <n v="97397848000138"/>
    <x v="452"/>
    <s v="SALVADOR"/>
    <s v="BA"/>
    <s v="1-Setorizado"/>
    <n v="2"/>
    <x v="0"/>
    <s v="VALERIA BRAGA - ESP - (CE/MA/PI/BA/AL/SE/PB/PE/RN)"/>
    <s v="Especialidade"/>
    <s v="fernando.leony@cslbehring.com"/>
    <s v="FERNANDO LEONY (CO/NO/NE)"/>
    <n v="0"/>
    <n v="0"/>
    <n v="0"/>
    <n v="0"/>
    <n v="0"/>
  </r>
  <r>
    <x v="0"/>
    <x v="2"/>
    <x v="0"/>
    <n v="97397848000138"/>
    <x v="452"/>
    <s v="SALVADOR"/>
    <s v="BA"/>
    <s v="1-Setorizado"/>
    <n v="2"/>
    <x v="1"/>
    <s v="LAIS MAGALHAES - HSP - BA/AL/SE"/>
    <s v="Hospitalar"/>
    <s v="fernando.leony@cslbehring.com"/>
    <s v="FERNANDO LEONY (CO/NO/NE)"/>
    <n v="0"/>
    <n v="4"/>
    <n v="0"/>
    <n v="0"/>
    <n v="0"/>
  </r>
  <r>
    <x v="0"/>
    <x v="2"/>
    <x v="0"/>
    <n v="15166416000151"/>
    <x v="14"/>
    <s v="SALVADOR"/>
    <s v="BA"/>
    <s v="1-Setorizado"/>
    <n v="2"/>
    <x v="0"/>
    <s v="VALERIA BRAGA - ESP - (CE/MA/PI/BA/AL/SE/PB/PE/RN)"/>
    <s v="Especialidade"/>
    <s v="fernando.leony@cslbehring.com"/>
    <s v="FERNANDO LEONY (CO/NO/NE)"/>
    <n v="0"/>
    <n v="0"/>
    <n v="0"/>
    <n v="0"/>
    <n v="0"/>
  </r>
  <r>
    <x v="0"/>
    <x v="2"/>
    <x v="0"/>
    <n v="15166416000151"/>
    <x v="14"/>
    <s v="SALVADOR"/>
    <s v="BA"/>
    <s v="1-Setorizado"/>
    <n v="2"/>
    <x v="1"/>
    <s v="LAIS MAGALHAES - HSP - BA/AL/SE"/>
    <s v="Hospitalar"/>
    <s v="fernando.leony@cslbehring.com"/>
    <s v="FERNANDO LEONY (CO/NO/NE)"/>
    <n v="0"/>
    <n v="10"/>
    <n v="10"/>
    <n v="0"/>
    <n v="0"/>
  </r>
  <r>
    <x v="0"/>
    <x v="2"/>
    <x v="0"/>
    <n v="15153745000249"/>
    <x v="15"/>
    <s v="SALVADOR"/>
    <s v="BA"/>
    <s v="1-Setorizado"/>
    <n v="2"/>
    <x v="0"/>
    <s v="VALERIA BRAGA - ESP - (CE/MA/PI/BA/AL/SE/PB/PE/RN)"/>
    <s v="Especialidade"/>
    <s v="fernando.leony@cslbehring.com"/>
    <s v="FERNANDO LEONY (CO/NO/NE)"/>
    <n v="0"/>
    <n v="0"/>
    <n v="0"/>
    <n v="0"/>
    <n v="0"/>
  </r>
  <r>
    <x v="0"/>
    <x v="2"/>
    <x v="0"/>
    <n v="15153745000249"/>
    <x v="15"/>
    <s v="SALVADOR"/>
    <s v="BA"/>
    <s v="1-Setorizado"/>
    <n v="2"/>
    <x v="1"/>
    <s v="LAIS MAGALHAES - HSP - BA/AL/SE"/>
    <s v="Hospitalar"/>
    <s v="fernando.leony@cslbehring.com"/>
    <s v="FERNANDO LEONY (CO/NO/NE)"/>
    <n v="0"/>
    <n v="4"/>
    <n v="13"/>
    <n v="0"/>
    <n v="0"/>
  </r>
  <r>
    <x v="0"/>
    <x v="2"/>
    <x v="0"/>
    <n v="27372066000169"/>
    <x v="16"/>
    <s v="SALVADOR"/>
    <s v="BA"/>
    <s v="1-Setorizado"/>
    <n v="2"/>
    <x v="0"/>
    <s v="VALERIA BRAGA - ESP - (CE/MA/PI/BA/AL/SE/PB/PE/RN)"/>
    <s v="Especialidade"/>
    <s v="fernando.leony@cslbehring.com"/>
    <s v="FERNANDO LEONY (CO/NO/NE)"/>
    <n v="0"/>
    <n v="0"/>
    <n v="0"/>
    <n v="0"/>
    <n v="0"/>
  </r>
  <r>
    <x v="0"/>
    <x v="2"/>
    <x v="0"/>
    <n v="27372066000169"/>
    <x v="16"/>
    <s v="SALVADOR"/>
    <s v="BA"/>
    <s v="1-Setorizado"/>
    <n v="2"/>
    <x v="1"/>
    <s v="LAIS MAGALHAES - HSP - BA/AL/SE"/>
    <s v="Hospitalar"/>
    <s v="fernando.leony@cslbehring.com"/>
    <s v="FERNANDO LEONY (CO/NO/NE)"/>
    <n v="0"/>
    <n v="8"/>
    <n v="5"/>
    <n v="0"/>
    <n v="0"/>
  </r>
  <r>
    <x v="0"/>
    <x v="2"/>
    <x v="0"/>
    <n v="12361267010318"/>
    <x v="17"/>
    <s v="SALVADOR"/>
    <s v="BA"/>
    <s v="1-Setorizado"/>
    <n v="2"/>
    <x v="0"/>
    <s v="VALERIA BRAGA - ESP - (CE/MA/PI/BA/AL/SE/PB/PE/RN)"/>
    <s v="Especialidade"/>
    <s v="fernando.leony@cslbehring.com"/>
    <s v="FERNANDO LEONY (CO/NO/NE)"/>
    <n v="0"/>
    <n v="0"/>
    <n v="0"/>
    <n v="0"/>
    <n v="0"/>
  </r>
  <r>
    <x v="0"/>
    <x v="2"/>
    <x v="0"/>
    <n v="12361267010318"/>
    <x v="17"/>
    <s v="SALVADOR"/>
    <s v="BA"/>
    <s v="1-Setorizado"/>
    <n v="2"/>
    <x v="1"/>
    <s v="LAIS MAGALHAES - HSP - BA/AL/SE"/>
    <s v="Hospitalar"/>
    <s v="fernando.leony@cslbehring.com"/>
    <s v="FERNANDO LEONY (CO/NO/NE)"/>
    <n v="0"/>
    <n v="2"/>
    <n v="5"/>
    <n v="0"/>
    <n v="0"/>
  </r>
  <r>
    <x v="0"/>
    <x v="2"/>
    <x v="0"/>
    <n v="15242761000127"/>
    <x v="20"/>
    <s v="SALVADOR"/>
    <s v="BA"/>
    <s v="1-Setorizado"/>
    <n v="2"/>
    <x v="0"/>
    <s v="VALERIA BRAGA - ESP - (CE/MA/PI/BA/AL/SE/PB/PE/RN)"/>
    <s v="Especialidade"/>
    <s v="fernando.leony@cslbehring.com"/>
    <s v="FERNANDO LEONY (CO/NO/NE)"/>
    <n v="0"/>
    <n v="0"/>
    <n v="0"/>
    <n v="112"/>
    <n v="100"/>
  </r>
  <r>
    <x v="0"/>
    <x v="2"/>
    <x v="0"/>
    <n v="15242761000127"/>
    <x v="20"/>
    <s v="SALVADOR"/>
    <s v="BA"/>
    <s v="1-Setorizado"/>
    <n v="2"/>
    <x v="1"/>
    <s v="LAIS MAGALHAES - HSP - BA/AL/SE"/>
    <s v="Hospitalar"/>
    <s v="fernando.leony@cslbehring.com"/>
    <s v="FERNANDO LEONY (CO/NO/NE)"/>
    <n v="0"/>
    <n v="0"/>
    <n v="0"/>
    <n v="0"/>
    <n v="100"/>
  </r>
  <r>
    <x v="0"/>
    <x v="2"/>
    <x v="0"/>
    <n v="15180714000520"/>
    <x v="21"/>
    <s v="SALVADOR"/>
    <s v="BA"/>
    <s v="1-Setorizado"/>
    <n v="2"/>
    <x v="0"/>
    <s v="VALERIA BRAGA - ESP - (CE/MA/PI/BA/AL/SE/PB/PE/RN)"/>
    <s v="Especialidade"/>
    <s v="fernando.leony@cslbehring.com"/>
    <s v="FERNANDO LEONY (CO/NO/NE)"/>
    <n v="0"/>
    <n v="0"/>
    <n v="0"/>
    <n v="0"/>
    <n v="0"/>
  </r>
  <r>
    <x v="0"/>
    <x v="2"/>
    <x v="0"/>
    <n v="15180714000520"/>
    <x v="21"/>
    <s v="SALVADOR"/>
    <s v="BA"/>
    <s v="1-Setorizado"/>
    <n v="2"/>
    <x v="1"/>
    <s v="LAIS MAGALHAES - HSP - BA/AL/SE"/>
    <s v="Hospitalar"/>
    <s v="fernando.leony@cslbehring.com"/>
    <s v="FERNANDO LEONY (CO/NO/NE)"/>
    <n v="0"/>
    <n v="0"/>
    <n v="20"/>
    <n v="0"/>
    <n v="0"/>
  </r>
  <r>
    <x v="0"/>
    <x v="2"/>
    <x v="0"/>
    <n v="5652543000107"/>
    <x v="349"/>
    <s v="SANTO ANTONIO DE JESUS"/>
    <s v="BA"/>
    <s v="1-Setorizado"/>
    <n v="2"/>
    <x v="0"/>
    <s v="VALERIA BRAGA - ESP - (CE/MA/PI/BA/AL/SE/PB/PE/RN)"/>
    <s v="Especialidade"/>
    <s v="fernando.leony@cslbehring.com"/>
    <s v="FERNANDO LEONY (CO/NO/NE)"/>
    <n v="0"/>
    <n v="0"/>
    <n v="0"/>
    <n v="0"/>
    <n v="0"/>
  </r>
  <r>
    <x v="0"/>
    <x v="2"/>
    <x v="0"/>
    <n v="5652543000107"/>
    <x v="349"/>
    <s v="SANTO ANTONIO DE JESUS"/>
    <s v="BA"/>
    <s v="1-Setorizado"/>
    <n v="2"/>
    <x v="1"/>
    <s v="LAIS MAGALHAES - HSP - BA/AL/SE"/>
    <s v="Hospitalar"/>
    <s v="fernando.leony@cslbehring.com"/>
    <s v="FERNANDO LEONY (CO/NO/NE)"/>
    <n v="0"/>
    <n v="11"/>
    <n v="0"/>
    <n v="0"/>
    <n v="0"/>
  </r>
  <r>
    <x v="0"/>
    <x v="2"/>
    <x v="0"/>
    <n v="7245269000187"/>
    <x v="350"/>
    <s v="FORTALEZA"/>
    <s v="CE"/>
    <s v="1-Setorizado"/>
    <n v="2"/>
    <x v="0"/>
    <s v="VALERIA BRAGA - ESP - (CE/MA/PI/BA/AL/SE/PB/PE/RN)"/>
    <s v="Especialidade"/>
    <s v="fernando.leony@cslbehring.com"/>
    <s v="FERNANDO LEONY (CO/NO/NE)"/>
    <n v="0"/>
    <n v="0"/>
    <n v="0"/>
    <n v="0"/>
    <n v="0"/>
  </r>
  <r>
    <x v="0"/>
    <x v="2"/>
    <x v="0"/>
    <n v="7245269000187"/>
    <x v="350"/>
    <s v="FORTALEZA"/>
    <s v="CE"/>
    <s v="1-Setorizado"/>
    <n v="2"/>
    <x v="3"/>
    <s v="KLEBER SILVA - HSP - CE/MA/PI"/>
    <s v="Hospitalar"/>
    <s v="fernando.leony@cslbehring.com"/>
    <s v="FERNANDO LEONY (CO/NO/NE)"/>
    <n v="0"/>
    <n v="7"/>
    <n v="0"/>
    <n v="0"/>
    <n v="0"/>
  </r>
  <r>
    <x v="0"/>
    <x v="2"/>
    <x v="0"/>
    <n v="12361267011802"/>
    <x v="23"/>
    <s v="FORTALEZA"/>
    <s v="CE"/>
    <s v="1-Setorizado"/>
    <n v="2"/>
    <x v="0"/>
    <s v="VALERIA BRAGA - ESP - (CE/MA/PI/BA/AL/SE/PB/PE/RN)"/>
    <s v="Especialidade"/>
    <s v="fernando.leony@cslbehring.com"/>
    <s v="FERNANDO LEONY (CO/NO/NE)"/>
    <n v="0"/>
    <n v="0"/>
    <n v="0"/>
    <n v="0"/>
    <n v="0"/>
  </r>
  <r>
    <x v="0"/>
    <x v="2"/>
    <x v="0"/>
    <n v="12361267011802"/>
    <x v="23"/>
    <s v="FORTALEZA"/>
    <s v="CE"/>
    <s v="1-Setorizado"/>
    <n v="2"/>
    <x v="3"/>
    <s v="KLEBER SILVA - HSP - CE/MA/PI"/>
    <s v="Hospitalar"/>
    <s v="fernando.leony@cslbehring.com"/>
    <s v="FERNANDO LEONY (CO/NO/NE)"/>
    <n v="0"/>
    <n v="4"/>
    <n v="2"/>
    <n v="0"/>
    <n v="0"/>
  </r>
  <r>
    <x v="0"/>
    <x v="2"/>
    <x v="0"/>
    <n v="5874946000281"/>
    <x v="351"/>
    <s v="FORTALEZA"/>
    <s v="CE"/>
    <s v="1-Setorizado"/>
    <n v="2"/>
    <x v="0"/>
    <s v="VALERIA BRAGA - ESP - (CE/MA/PI/BA/AL/SE/PB/PE/RN)"/>
    <s v="Especialidade"/>
    <s v="fernando.leony@cslbehring.com"/>
    <s v="FERNANDO LEONY (CO/NO/NE)"/>
    <n v="0"/>
    <n v="0"/>
    <n v="0"/>
    <n v="0"/>
    <n v="0"/>
  </r>
  <r>
    <x v="0"/>
    <x v="2"/>
    <x v="0"/>
    <n v="5874946000281"/>
    <x v="351"/>
    <s v="FORTALEZA"/>
    <s v="CE"/>
    <s v="1-Setorizado"/>
    <n v="2"/>
    <x v="3"/>
    <s v="KLEBER SILVA - HSP - CE/MA/PI"/>
    <s v="Hospitalar"/>
    <s v="fernando.leony@cslbehring.com"/>
    <s v="FERNANDO LEONY (CO/NO/NE)"/>
    <n v="0"/>
    <n v="7"/>
    <n v="5"/>
    <n v="0"/>
    <n v="0"/>
  </r>
  <r>
    <x v="0"/>
    <x v="2"/>
    <x v="0"/>
    <n v="74031865000151"/>
    <x v="24"/>
    <s v="FORTALEZA"/>
    <s v="CE"/>
    <s v="1-Setorizado"/>
    <n v="2"/>
    <x v="0"/>
    <s v="VALERIA BRAGA - ESP - (CE/MA/PI/BA/AL/SE/PB/PE/RN)"/>
    <s v="Especialidade"/>
    <s v="fernando.leony@cslbehring.com"/>
    <s v="FERNANDO LEONY (CO/NO/NE)"/>
    <n v="192"/>
    <n v="0"/>
    <n v="0"/>
    <n v="0"/>
    <n v="0"/>
  </r>
  <r>
    <x v="0"/>
    <x v="2"/>
    <x v="0"/>
    <n v="74031865000151"/>
    <x v="24"/>
    <s v="FORTALEZA"/>
    <s v="CE"/>
    <s v="1-Setorizado"/>
    <n v="2"/>
    <x v="3"/>
    <s v="KLEBER SILVA - HSP - CE/MA/PI"/>
    <s v="Hospitalar"/>
    <s v="fernando.leony@cslbehring.com"/>
    <s v="FERNANDO LEONY (CO/NO/NE)"/>
    <n v="0"/>
    <n v="0"/>
    <n v="0"/>
    <n v="0"/>
    <n v="0"/>
  </r>
  <r>
    <x v="0"/>
    <x v="2"/>
    <x v="0"/>
    <n v="60975737003509"/>
    <x v="27"/>
    <s v="FORTALEZA"/>
    <s v="CE"/>
    <s v="1-Setorizado"/>
    <n v="2"/>
    <x v="0"/>
    <s v="VALERIA BRAGA - ESP - (CE/MA/PI/BA/AL/SE/PB/PE/RN)"/>
    <s v="Especialidade"/>
    <s v="fernando.leony@cslbehring.com"/>
    <s v="FERNANDO LEONY (CO/NO/NE)"/>
    <n v="0"/>
    <n v="0"/>
    <n v="0"/>
    <n v="0"/>
    <n v="0"/>
  </r>
  <r>
    <x v="0"/>
    <x v="2"/>
    <x v="0"/>
    <n v="60975737003509"/>
    <x v="27"/>
    <s v="FORTALEZA"/>
    <s v="CE"/>
    <s v="1-Setorizado"/>
    <n v="2"/>
    <x v="3"/>
    <s v="KLEBER SILVA - HSP - CE/MA/PI"/>
    <s v="Hospitalar"/>
    <s v="fernando.leony@cslbehring.com"/>
    <s v="FERNANDO LEONY (CO/NO/NE)"/>
    <n v="0"/>
    <n v="10"/>
    <n v="19"/>
    <n v="0"/>
    <n v="0"/>
  </r>
  <r>
    <x v="0"/>
    <x v="2"/>
    <x v="0"/>
    <n v="5868278000280"/>
    <x v="28"/>
    <s v="FORTALEZA"/>
    <s v="CE"/>
    <s v="1-Setorizado"/>
    <n v="2"/>
    <x v="0"/>
    <s v="VALERIA BRAGA - ESP - (CE/MA/PI/BA/AL/SE/PB/PE/RN)"/>
    <s v="Especialidade"/>
    <s v="fernando.leony@cslbehring.com"/>
    <s v="FERNANDO LEONY (CO/NO/NE)"/>
    <n v="0"/>
    <n v="0"/>
    <n v="0"/>
    <n v="26"/>
    <n v="235"/>
  </r>
  <r>
    <x v="0"/>
    <x v="2"/>
    <x v="0"/>
    <n v="5868278000280"/>
    <x v="28"/>
    <s v="FORTALEZA"/>
    <s v="CE"/>
    <s v="1-Setorizado"/>
    <n v="2"/>
    <x v="3"/>
    <s v="KLEBER SILVA - HSP - CE/MA/PI"/>
    <s v="Hospitalar"/>
    <s v="fernando.leony@cslbehring.com"/>
    <s v="FERNANDO LEONY (CO/NO/NE)"/>
    <n v="0"/>
    <n v="13"/>
    <n v="8"/>
    <n v="0"/>
    <n v="235"/>
  </r>
  <r>
    <x v="0"/>
    <x v="2"/>
    <x v="0"/>
    <n v="11794674000121"/>
    <x v="353"/>
    <s v="FORTALEZA"/>
    <s v="CE"/>
    <s v="1-Setorizado"/>
    <n v="2"/>
    <x v="0"/>
    <s v="VALERIA BRAGA - ESP - (CE/MA/PI/BA/AL/SE/PB/PE/RN)"/>
    <s v="Especialidade"/>
    <s v="fernando.leony@cslbehring.com"/>
    <s v="FERNANDO LEONY (CO/NO/NE)"/>
    <n v="0"/>
    <n v="0"/>
    <n v="0"/>
    <n v="0"/>
    <n v="180"/>
  </r>
  <r>
    <x v="0"/>
    <x v="2"/>
    <x v="0"/>
    <n v="11794674000121"/>
    <x v="353"/>
    <s v="FORTALEZA"/>
    <s v="CE"/>
    <s v="1-Setorizado"/>
    <n v="2"/>
    <x v="3"/>
    <s v="KLEBER SILVA - HSP - CE/MA/PI"/>
    <s v="Hospitalar"/>
    <s v="fernando.leony@cslbehring.com"/>
    <s v="FERNANDO LEONY (CO/NO/NE)"/>
    <n v="0"/>
    <n v="0"/>
    <n v="4"/>
    <n v="0"/>
    <n v="180"/>
  </r>
  <r>
    <x v="0"/>
    <x v="2"/>
    <x v="0"/>
    <n v="41580077000165"/>
    <x v="354"/>
    <s v="FORTALEZA"/>
    <s v="CE"/>
    <s v="1-Setorizado"/>
    <n v="2"/>
    <x v="0"/>
    <s v="VALERIA BRAGA - ESP - (CE/MA/PI/BA/AL/SE/PB/PE/RN)"/>
    <s v="Especialidade"/>
    <s v="fernando.leony@cslbehring.com"/>
    <s v="FERNANDO LEONY (CO/NO/NE)"/>
    <n v="0"/>
    <n v="0"/>
    <n v="0"/>
    <n v="0"/>
    <n v="0"/>
  </r>
  <r>
    <x v="0"/>
    <x v="2"/>
    <x v="0"/>
    <n v="41580077000165"/>
    <x v="354"/>
    <s v="FORTALEZA"/>
    <s v="CE"/>
    <s v="1-Setorizado"/>
    <n v="2"/>
    <x v="3"/>
    <s v="KLEBER SILVA - HSP - CE/MA/PI"/>
    <s v="Hospitalar"/>
    <s v="fernando.leony@cslbehring.com"/>
    <s v="FERNANDO LEONY (CO/NO/NE)"/>
    <n v="0"/>
    <n v="0"/>
    <n v="3"/>
    <n v="0"/>
    <n v="0"/>
  </r>
  <r>
    <x v="0"/>
    <x v="2"/>
    <x v="0"/>
    <n v="7272636000212"/>
    <x v="29"/>
    <s v="FORTALEZA"/>
    <s v="CE"/>
    <s v="1-Setorizado"/>
    <n v="2"/>
    <x v="0"/>
    <s v="VALERIA BRAGA - ESP - (CE/MA/PI/BA/AL/SE/PB/PE/RN)"/>
    <s v="Especialidade"/>
    <s v="fernando.leony@cslbehring.com"/>
    <s v="FERNANDO LEONY (CO/NO/NE)"/>
    <n v="0"/>
    <n v="0"/>
    <n v="0"/>
    <n v="0"/>
    <n v="600"/>
  </r>
  <r>
    <x v="0"/>
    <x v="2"/>
    <x v="0"/>
    <n v="7272636000212"/>
    <x v="29"/>
    <s v="FORTALEZA"/>
    <s v="CE"/>
    <s v="1-Setorizado"/>
    <n v="2"/>
    <x v="3"/>
    <s v="KLEBER SILVA - HSP - CE/MA/PI"/>
    <s v="Hospitalar"/>
    <s v="fernando.leony@cslbehring.com"/>
    <s v="FERNANDO LEONY (CO/NO/NE)"/>
    <n v="0"/>
    <n v="0"/>
    <n v="30"/>
    <n v="0"/>
    <n v="600"/>
  </r>
  <r>
    <x v="0"/>
    <x v="2"/>
    <x v="0"/>
    <n v="7835044000180"/>
    <x v="30"/>
    <s v="FORTALEZA"/>
    <s v="CE"/>
    <s v="1-Setorizado"/>
    <n v="2"/>
    <x v="0"/>
    <s v="VALERIA BRAGA - ESP - (CE/MA/PI/BA/AL/SE/PB/PE/RN)"/>
    <s v="Especialidade"/>
    <s v="fernando.leony@cslbehring.com"/>
    <s v="FERNANDO LEONY (CO/NO/NE)"/>
    <n v="0"/>
    <n v="0"/>
    <n v="0"/>
    <n v="0"/>
    <n v="0"/>
  </r>
  <r>
    <x v="0"/>
    <x v="2"/>
    <x v="0"/>
    <n v="7835044000180"/>
    <x v="30"/>
    <s v="FORTALEZA"/>
    <s v="CE"/>
    <s v="1-Setorizado"/>
    <n v="2"/>
    <x v="3"/>
    <s v="KLEBER SILVA - HSP - CE/MA/PI"/>
    <s v="Hospitalar"/>
    <s v="fernando.leony@cslbehring.com"/>
    <s v="FERNANDO LEONY (CO/NO/NE)"/>
    <n v="0"/>
    <n v="0"/>
    <n v="12"/>
    <n v="0"/>
    <n v="0"/>
  </r>
  <r>
    <x v="0"/>
    <x v="2"/>
    <x v="0"/>
    <n v="12568570000161"/>
    <x v="31"/>
    <s v="FORTALEZA"/>
    <s v="CE"/>
    <s v="1-Setorizado"/>
    <n v="2"/>
    <x v="0"/>
    <s v="VALERIA BRAGA - ESP - (CE/MA/PI/BA/AL/SE/PB/PE/RN)"/>
    <s v="Especialidade"/>
    <s v="fernando.leony@cslbehring.com"/>
    <s v="FERNANDO LEONY (CO/NO/NE)"/>
    <n v="0"/>
    <n v="0"/>
    <n v="0"/>
    <n v="0"/>
    <n v="-5"/>
  </r>
  <r>
    <x v="0"/>
    <x v="2"/>
    <x v="0"/>
    <n v="12568570000161"/>
    <x v="31"/>
    <s v="FORTALEZA"/>
    <s v="CE"/>
    <s v="1-Setorizado"/>
    <n v="2"/>
    <x v="3"/>
    <s v="KLEBER SILVA - HSP - CE/MA/PI"/>
    <s v="Hospitalar"/>
    <s v="fernando.leony@cslbehring.com"/>
    <s v="FERNANDO LEONY (CO/NO/NE)"/>
    <n v="0"/>
    <n v="0"/>
    <n v="0"/>
    <n v="0"/>
    <n v="-5"/>
  </r>
  <r>
    <x v="0"/>
    <x v="2"/>
    <x v="0"/>
    <n v="5867015000175"/>
    <x v="32"/>
    <s v="FORTALEZA"/>
    <s v="CE"/>
    <s v="1-Setorizado"/>
    <n v="2"/>
    <x v="0"/>
    <s v="VALERIA BRAGA - ESP - (CE/MA/PI/BA/AL/SE/PB/PE/RN)"/>
    <s v="Especialidade"/>
    <s v="fernando.leony@cslbehring.com"/>
    <s v="FERNANDO LEONY (CO/NO/NE)"/>
    <n v="0"/>
    <n v="0"/>
    <n v="0"/>
    <n v="8"/>
    <n v="0"/>
  </r>
  <r>
    <x v="0"/>
    <x v="2"/>
    <x v="0"/>
    <n v="5867015000175"/>
    <x v="32"/>
    <s v="FORTALEZA"/>
    <s v="CE"/>
    <s v="1-Setorizado"/>
    <n v="2"/>
    <x v="3"/>
    <s v="KLEBER SILVA - HSP - CE/MA/PI"/>
    <s v="Hospitalar"/>
    <s v="fernando.leony@cslbehring.com"/>
    <s v="FERNANDO LEONY (CO/NO/NE)"/>
    <n v="0"/>
    <n v="0"/>
    <n v="0"/>
    <n v="0"/>
    <n v="0"/>
  </r>
  <r>
    <x v="0"/>
    <x v="2"/>
    <x v="0"/>
    <n v="29435005007484"/>
    <x v="33"/>
    <s v="FORTALEZA "/>
    <s v="CE"/>
    <s v="1-Setorizado"/>
    <n v="2"/>
    <x v="0"/>
    <s v="VALERIA BRAGA - ESP - (CE/MA/PI/BA/AL/SE/PB/PE/RN)"/>
    <s v="Especialidade"/>
    <s v="fernando.leony@cslbehring.com"/>
    <s v="FERNANDO LEONY (CO/NO/NE)"/>
    <n v="0"/>
    <n v="0"/>
    <n v="0"/>
    <n v="0"/>
    <n v="200"/>
  </r>
  <r>
    <x v="0"/>
    <x v="2"/>
    <x v="0"/>
    <n v="29435005007484"/>
    <x v="33"/>
    <s v="FORTALEZA "/>
    <s v="CE"/>
    <s v="1-Setorizado"/>
    <n v="2"/>
    <x v="3"/>
    <s v="KLEBER SILVA - HSP - CE/MA/PI"/>
    <s v="Hospitalar"/>
    <s v="fernando.leony@cslbehring.com"/>
    <s v="FERNANDO LEONY (CO/NO/NE)"/>
    <n v="0"/>
    <n v="13"/>
    <n v="5"/>
    <n v="0"/>
    <n v="200"/>
  </r>
  <r>
    <x v="0"/>
    <x v="2"/>
    <x v="0"/>
    <n v="12361267008410"/>
    <x v="453"/>
    <s v="MARACANAU"/>
    <s v="CE"/>
    <s v="1-Setorizado"/>
    <n v="2"/>
    <x v="0"/>
    <s v="VALERIA BRAGA - ESP - (CE/MA/PI/BA/AL/SE/PB/PE/RN)"/>
    <s v="Especialidade"/>
    <s v="fernando.leony@cslbehring.com"/>
    <s v="FERNANDO LEONY (CO/NO/NE)"/>
    <n v="0"/>
    <n v="0"/>
    <n v="0"/>
    <n v="0"/>
    <n v="0"/>
  </r>
  <r>
    <x v="0"/>
    <x v="2"/>
    <x v="0"/>
    <n v="12361267008410"/>
    <x v="453"/>
    <s v="MARACANAU"/>
    <s v="CE"/>
    <s v="1-Setorizado"/>
    <n v="2"/>
    <x v="3"/>
    <s v="KLEBER SILVA - HSP - CE/MA/PI"/>
    <s v="Hospitalar"/>
    <s v="fernando.leony@cslbehring.com"/>
    <s v="FERNANDO LEONY (CO/NO/NE)"/>
    <n v="0"/>
    <n v="2"/>
    <n v="0"/>
    <n v="0"/>
    <n v="0"/>
  </r>
  <r>
    <x v="0"/>
    <x v="2"/>
    <x v="0"/>
    <n v="9104513000974"/>
    <x v="34"/>
    <s v="BRASILIA"/>
    <s v="DF"/>
    <s v="1-Setorizado"/>
    <n v="2"/>
    <x v="2"/>
    <s v="WLADIMIR CAMPELO - ESP/HSP - AC/AM/AP/PA/RO/RR/DF"/>
    <s v="Hosp-Esp"/>
    <s v="fernando.leony@cslbehring.com"/>
    <s v="FERNANDO LEONY (CO/NO/NE)"/>
    <n v="0"/>
    <n v="0"/>
    <n v="0"/>
    <n v="0"/>
    <n v="515"/>
  </r>
  <r>
    <x v="0"/>
    <x v="2"/>
    <x v="0"/>
    <n v="9104513000974"/>
    <x v="34"/>
    <s v="BRASILIA"/>
    <s v="DF"/>
    <s v="1-Setorizado"/>
    <n v="2"/>
    <x v="4"/>
    <s v="KAREN ROSA - HSP - DF/GO/MS/MT/TO"/>
    <s v="Hospitalar"/>
    <s v="fernando.leony@cslbehring.com"/>
    <s v="FERNANDO LEONY (CO/NO/NE)"/>
    <n v="0"/>
    <n v="0"/>
    <n v="0"/>
    <n v="0"/>
    <n v="515"/>
  </r>
  <r>
    <x v="0"/>
    <x v="2"/>
    <x v="0"/>
    <n v="520237000101"/>
    <x v="36"/>
    <s v="BRASILIA"/>
    <s v="DF"/>
    <s v="1-Setorizado"/>
    <n v="2"/>
    <x v="2"/>
    <s v="WLADIMIR CAMPELO - ESP/HSP - AC/AM/AP/PA/RO/RR/DF"/>
    <s v="Hosp-Esp"/>
    <s v="fernando.leony@cslbehring.com"/>
    <s v="FERNANDO LEONY (CO/NO/NE)"/>
    <n v="0"/>
    <n v="0"/>
    <n v="0"/>
    <n v="155"/>
    <n v="350"/>
  </r>
  <r>
    <x v="0"/>
    <x v="2"/>
    <x v="0"/>
    <n v="520237000101"/>
    <x v="36"/>
    <s v="BRASILIA"/>
    <s v="DF"/>
    <s v="1-Setorizado"/>
    <n v="2"/>
    <x v="4"/>
    <s v="KAREN ROSA - HSP - DF/GO/MS/MT/TO"/>
    <s v="Hospitalar"/>
    <s v="fernando.leony@cslbehring.com"/>
    <s v="FERNANDO LEONY (CO/NO/NE)"/>
    <n v="0"/>
    <n v="0"/>
    <n v="0"/>
    <n v="0"/>
    <n v="350"/>
  </r>
  <r>
    <x v="0"/>
    <x v="2"/>
    <x v="0"/>
    <n v="30135335000188"/>
    <x v="356"/>
    <s v="BRASILIA"/>
    <s v="DF"/>
    <s v="1-Setorizado"/>
    <n v="2"/>
    <x v="2"/>
    <s v="WLADIMIR CAMPELO - ESP/HSP - AC/AM/AP/PA/RO/RR/DF"/>
    <s v="Hosp-Esp"/>
    <s v="fernando.leony@cslbehring.com"/>
    <s v="FERNANDO LEONY (CO/NO/NE)"/>
    <n v="0"/>
    <n v="0"/>
    <n v="0"/>
    <n v="0"/>
    <n v="455"/>
  </r>
  <r>
    <x v="0"/>
    <x v="2"/>
    <x v="0"/>
    <n v="30135335000188"/>
    <x v="356"/>
    <s v="BRASILIA"/>
    <s v="DF"/>
    <s v="1-Setorizado"/>
    <n v="2"/>
    <x v="4"/>
    <s v="KAREN ROSA - HSP - DF/GO/MS/MT/TO"/>
    <s v="Hospitalar"/>
    <s v="fernando.leony@cslbehring.com"/>
    <s v="FERNANDO LEONY (CO/NO/NE)"/>
    <n v="0"/>
    <n v="0"/>
    <n v="0"/>
    <n v="0"/>
    <n v="455"/>
  </r>
  <r>
    <x v="0"/>
    <x v="2"/>
    <x v="0"/>
    <n v="394544000851"/>
    <x v="357"/>
    <s v="BRASILIA"/>
    <s v="DF"/>
    <s v="1-Setorizado"/>
    <n v="2"/>
    <x v="6"/>
    <s v="XXX-ESP-VAGO NO (DF/GO/MS/MT/TO)"/>
    <s v="Especialidade"/>
    <s v="fernando.leony@cslbehring.com"/>
    <s v="FERNANDO LEONY (CO/NO/NE)"/>
    <n v="0"/>
    <n v="0"/>
    <n v="0"/>
    <n v="0"/>
    <n v="120"/>
  </r>
  <r>
    <x v="0"/>
    <x v="2"/>
    <x v="0"/>
    <n v="394544000851"/>
    <x v="357"/>
    <s v="BRASILIA"/>
    <s v="DF"/>
    <s v="1-Setorizado"/>
    <n v="2"/>
    <x v="21"/>
    <s v="XXX-HSP-VAGO NO (DF/GO/MS/MT/TO)"/>
    <s v="Hospitalar"/>
    <s v="fernando.leony@cslbehring.com"/>
    <s v="FERNANDO LEONY (CO/NO/NE)"/>
    <n v="0"/>
    <n v="0"/>
    <n v="1050"/>
    <n v="0"/>
    <n v="120"/>
  </r>
  <r>
    <x v="0"/>
    <x v="2"/>
    <x v="0"/>
    <n v="3989821000190"/>
    <x v="37"/>
    <s v="BRASILIA"/>
    <s v="DF"/>
    <s v="1-Setorizado"/>
    <n v="2"/>
    <x v="2"/>
    <s v="WLADIMIR CAMPELO - ESP/HSP - AC/AM/AP/PA/RO/RR/DF"/>
    <s v="Hosp-Esp"/>
    <s v="fernando.leony@cslbehring.com"/>
    <s v="FERNANDO LEONY (CO/NO/NE)"/>
    <n v="0"/>
    <n v="0"/>
    <n v="0"/>
    <n v="0"/>
    <n v="45"/>
  </r>
  <r>
    <x v="0"/>
    <x v="2"/>
    <x v="0"/>
    <n v="3989821000190"/>
    <x v="37"/>
    <s v="BRASILIA"/>
    <s v="DF"/>
    <s v="1-Setorizado"/>
    <n v="2"/>
    <x v="4"/>
    <s v="KAREN ROSA - HSP - DF/GO/MS/MT/TO"/>
    <s v="Hospitalar"/>
    <s v="fernando.leony@cslbehring.com"/>
    <s v="FERNANDO LEONY (CO/NO/NE)"/>
    <n v="0"/>
    <n v="0"/>
    <n v="0"/>
    <n v="0"/>
    <n v="45"/>
  </r>
  <r>
    <x v="0"/>
    <x v="2"/>
    <x v="0"/>
    <n v="37108388000159"/>
    <x v="38"/>
    <s v="BRASILIA"/>
    <s v="DF"/>
    <s v="1-Setorizado"/>
    <n v="2"/>
    <x v="2"/>
    <s v="WLADIMIR CAMPELO - ESP/HSP - AC/AM/AP/PA/RO/RR/DF"/>
    <s v="Hosp-Esp"/>
    <s v="fernando.leony@cslbehring.com"/>
    <s v="FERNANDO LEONY (CO/NO/NE)"/>
    <n v="0"/>
    <n v="0"/>
    <n v="0"/>
    <n v="0"/>
    <n v="0"/>
  </r>
  <r>
    <x v="0"/>
    <x v="2"/>
    <x v="0"/>
    <n v="37108388000159"/>
    <x v="38"/>
    <s v="BRASILIA"/>
    <s v="DF"/>
    <s v="1-Setorizado"/>
    <n v="2"/>
    <x v="4"/>
    <s v="KAREN ROSA - HSP - DF/GO/MS/MT/TO"/>
    <s v="Hospitalar"/>
    <s v="fernando.leony@cslbehring.com"/>
    <s v="FERNANDO LEONY (CO/NO/NE)"/>
    <n v="0"/>
    <n v="30"/>
    <n v="15"/>
    <n v="0"/>
    <n v="0"/>
  </r>
  <r>
    <x v="0"/>
    <x v="2"/>
    <x v="0"/>
    <n v="29435005004620"/>
    <x v="39"/>
    <s v="BRASILIA"/>
    <s v="DF"/>
    <s v="1-Setorizado"/>
    <n v="2"/>
    <x v="2"/>
    <s v="WLADIMIR CAMPELO - ESP/HSP - AC/AM/AP/PA/RO/RR/DF"/>
    <s v="Hosp-Esp"/>
    <s v="fernando.leony@cslbehring.com"/>
    <s v="FERNANDO LEONY (CO/NO/NE)"/>
    <n v="0"/>
    <n v="0"/>
    <n v="0"/>
    <n v="0"/>
    <n v="145"/>
  </r>
  <r>
    <x v="0"/>
    <x v="2"/>
    <x v="0"/>
    <n v="29435005004620"/>
    <x v="39"/>
    <s v="BRASILIA"/>
    <s v="DF"/>
    <s v="1-Setorizado"/>
    <n v="2"/>
    <x v="4"/>
    <s v="KAREN ROSA - HSP - DF/GO/MS/MT/TO"/>
    <s v="Hospitalar"/>
    <s v="fernando.leony@cslbehring.com"/>
    <s v="FERNANDO LEONY (CO/NO/NE)"/>
    <n v="0"/>
    <n v="15"/>
    <n v="1"/>
    <n v="0"/>
    <n v="145"/>
  </r>
  <r>
    <x v="0"/>
    <x v="2"/>
    <x v="0"/>
    <n v="2560878000107"/>
    <x v="40"/>
    <s v="BRASILIA"/>
    <s v="DF"/>
    <s v="1-Setorizado"/>
    <n v="2"/>
    <x v="2"/>
    <s v="WLADIMIR CAMPELO - ESP/HSP - AC/AM/AP/PA/RO/RR/DF"/>
    <s v="Hosp-Esp"/>
    <s v="fernando.leony@cslbehring.com"/>
    <s v="FERNANDO LEONY (CO/NO/NE)"/>
    <n v="0"/>
    <n v="0"/>
    <n v="0"/>
    <n v="0"/>
    <n v="135"/>
  </r>
  <r>
    <x v="0"/>
    <x v="2"/>
    <x v="0"/>
    <n v="2560878000107"/>
    <x v="40"/>
    <s v="BRASILIA"/>
    <s v="DF"/>
    <s v="1-Setorizado"/>
    <n v="2"/>
    <x v="4"/>
    <s v="KAREN ROSA - HSP - DF/GO/MS/MT/TO"/>
    <s v="Hospitalar"/>
    <s v="fernando.leony@cslbehring.com"/>
    <s v="FERNANDO LEONY (CO/NO/NE)"/>
    <n v="0"/>
    <n v="15"/>
    <n v="0"/>
    <n v="0"/>
    <n v="135"/>
  </r>
  <r>
    <x v="0"/>
    <x v="2"/>
    <x v="0"/>
    <n v="60884855002289"/>
    <x v="41"/>
    <s v="BRASILIA"/>
    <s v="DF"/>
    <s v="1-Setorizado"/>
    <n v="2"/>
    <x v="2"/>
    <s v="WLADIMIR CAMPELO - ESP/HSP - AC/AM/AP/PA/RO/RR/DF"/>
    <s v="Hosp-Esp"/>
    <s v="fernando.leony@cslbehring.com"/>
    <s v="FERNANDO LEONY (CO/NO/NE)"/>
    <n v="0"/>
    <n v="0"/>
    <n v="0"/>
    <n v="0"/>
    <n v="650"/>
  </r>
  <r>
    <x v="0"/>
    <x v="2"/>
    <x v="0"/>
    <n v="60884855002289"/>
    <x v="41"/>
    <s v="BRASILIA"/>
    <s v="DF"/>
    <s v="1-Setorizado"/>
    <n v="2"/>
    <x v="4"/>
    <s v="KAREN ROSA - HSP - DF/GO/MS/MT/TO"/>
    <s v="Hospitalar"/>
    <s v="fernando.leony@cslbehring.com"/>
    <s v="FERNANDO LEONY (CO/NO/NE)"/>
    <n v="0"/>
    <n v="61"/>
    <n v="38"/>
    <n v="0"/>
    <n v="650"/>
  </r>
  <r>
    <x v="0"/>
    <x v="2"/>
    <x v="0"/>
    <n v="382069000127"/>
    <x v="454"/>
    <s v="BRASILIA"/>
    <s v="DF"/>
    <s v="1-Setorizado"/>
    <n v="2"/>
    <x v="2"/>
    <s v="WLADIMIR CAMPELO - ESP/HSP - AC/AM/AP/PA/RO/RR/DF"/>
    <s v="Hosp-Esp"/>
    <s v="fernando.leony@cslbehring.com"/>
    <s v="FERNANDO LEONY (CO/NO/NE)"/>
    <n v="0"/>
    <n v="0"/>
    <n v="0"/>
    <n v="0"/>
    <n v="0"/>
  </r>
  <r>
    <x v="0"/>
    <x v="2"/>
    <x v="0"/>
    <n v="382069000127"/>
    <x v="454"/>
    <s v="BRASILIA"/>
    <s v="DF"/>
    <s v="1-Setorizado"/>
    <n v="2"/>
    <x v="4"/>
    <s v="KAREN ROSA - HSP - DF/GO/MS/MT/TO"/>
    <s v="Hospitalar"/>
    <s v="fernando.leony@cslbehring.com"/>
    <s v="FERNANDO LEONY (CO/NO/NE)"/>
    <n v="0"/>
    <n v="4"/>
    <n v="0"/>
    <n v="0"/>
    <n v="0"/>
  </r>
  <r>
    <x v="0"/>
    <x v="2"/>
    <x v="0"/>
    <n v="6047087004207"/>
    <x v="42"/>
    <s v="BRASILIA"/>
    <s v="DF"/>
    <s v="1-Setorizado"/>
    <n v="2"/>
    <x v="2"/>
    <s v="WLADIMIR CAMPELO - ESP/HSP - AC/AM/AP/PA/RO/RR/DF"/>
    <s v="Hosp-Esp"/>
    <s v="fernando.leony@cslbehring.com"/>
    <s v="FERNANDO LEONY (CO/NO/NE)"/>
    <n v="0"/>
    <n v="0"/>
    <n v="0"/>
    <n v="0"/>
    <n v="0"/>
  </r>
  <r>
    <x v="0"/>
    <x v="2"/>
    <x v="0"/>
    <n v="6047087004207"/>
    <x v="42"/>
    <s v="BRASILIA"/>
    <s v="DF"/>
    <s v="1-Setorizado"/>
    <n v="2"/>
    <x v="4"/>
    <s v="KAREN ROSA - HSP - DF/GO/MS/MT/TO"/>
    <s v="Hospitalar"/>
    <s v="fernando.leony@cslbehring.com"/>
    <s v="FERNANDO LEONY (CO/NO/NE)"/>
    <n v="0"/>
    <n v="28"/>
    <n v="18"/>
    <n v="0"/>
    <n v="0"/>
  </r>
  <r>
    <x v="0"/>
    <x v="2"/>
    <x v="0"/>
    <n v="38000485000196"/>
    <x v="43"/>
    <s v="BRASILIA"/>
    <s v="DF"/>
    <s v="1-Setorizado"/>
    <n v="2"/>
    <x v="2"/>
    <s v="WLADIMIR CAMPELO - ESP/HSP - AC/AM/AP/PA/RO/RR/DF"/>
    <s v="Hosp-Esp"/>
    <s v="fernando.leony@cslbehring.com"/>
    <s v="FERNANDO LEONY (CO/NO/NE)"/>
    <n v="0"/>
    <n v="0"/>
    <n v="0"/>
    <n v="0"/>
    <n v="0"/>
  </r>
  <r>
    <x v="0"/>
    <x v="2"/>
    <x v="0"/>
    <n v="38000485000196"/>
    <x v="43"/>
    <s v="BRASILIA"/>
    <s v="DF"/>
    <s v="1-Setorizado"/>
    <n v="2"/>
    <x v="4"/>
    <s v="KAREN ROSA - HSP - DF/GO/MS/MT/TO"/>
    <s v="Hospitalar"/>
    <s v="fernando.leony@cslbehring.com"/>
    <s v="FERNANDO LEONY (CO/NO/NE)"/>
    <n v="0"/>
    <n v="0"/>
    <n v="9"/>
    <n v="0"/>
    <n v="0"/>
  </r>
  <r>
    <x v="0"/>
    <x v="2"/>
    <x v="0"/>
    <n v="6047087004126"/>
    <x v="44"/>
    <s v="BRASILIA"/>
    <s v="DF"/>
    <s v="1-Setorizado"/>
    <n v="2"/>
    <x v="2"/>
    <s v="WLADIMIR CAMPELO - ESP/HSP - AC/AM/AP/PA/RO/RR/DF"/>
    <s v="Hosp-Esp"/>
    <s v="fernando.leony@cslbehring.com"/>
    <s v="FERNANDO LEONY (CO/NO/NE)"/>
    <n v="0"/>
    <n v="0"/>
    <n v="0"/>
    <n v="0"/>
    <n v="0"/>
  </r>
  <r>
    <x v="0"/>
    <x v="2"/>
    <x v="0"/>
    <n v="6047087004126"/>
    <x v="44"/>
    <s v="BRASILIA"/>
    <s v="DF"/>
    <s v="1-Setorizado"/>
    <n v="2"/>
    <x v="4"/>
    <s v="KAREN ROSA - HSP - DF/GO/MS/MT/TO"/>
    <s v="Hospitalar"/>
    <s v="fernando.leony@cslbehring.com"/>
    <s v="FERNANDO LEONY (CO/NO/NE)"/>
    <n v="0"/>
    <n v="3"/>
    <n v="0"/>
    <n v="0"/>
    <n v="0"/>
  </r>
  <r>
    <x v="0"/>
    <x v="2"/>
    <x v="0"/>
    <n v="610980000144"/>
    <x v="45"/>
    <s v="BRASILIA"/>
    <s v="DF"/>
    <s v="1-Setorizado"/>
    <n v="2"/>
    <x v="2"/>
    <s v="WLADIMIR CAMPELO - ESP/HSP - AC/AM/AP/PA/RO/RR/DF"/>
    <s v="Hosp-Esp"/>
    <s v="fernando.leony@cslbehring.com"/>
    <s v="FERNANDO LEONY (CO/NO/NE)"/>
    <n v="0"/>
    <n v="0"/>
    <n v="0"/>
    <n v="0"/>
    <n v="400"/>
  </r>
  <r>
    <x v="0"/>
    <x v="2"/>
    <x v="0"/>
    <n v="610980000144"/>
    <x v="45"/>
    <s v="BRASILIA"/>
    <s v="DF"/>
    <s v="1-Setorizado"/>
    <n v="2"/>
    <x v="4"/>
    <s v="KAREN ROSA - HSP - DF/GO/MS/MT/TO"/>
    <s v="Hospitalar"/>
    <s v="fernando.leony@cslbehring.com"/>
    <s v="FERNANDO LEONY (CO/NO/NE)"/>
    <n v="0"/>
    <n v="12"/>
    <n v="0"/>
    <n v="0"/>
    <n v="400"/>
  </r>
  <r>
    <x v="0"/>
    <x v="2"/>
    <x v="0"/>
    <n v="10942995000163"/>
    <x v="359"/>
    <s v="BRASILIA"/>
    <s v="DF"/>
    <s v="1-Setorizado"/>
    <n v="2"/>
    <x v="2"/>
    <s v="WLADIMIR CAMPELO - ESP/HSP - AC/AM/AP/PA/RO/RR/DF"/>
    <s v="Hosp-Esp"/>
    <s v="fernando.leony@cslbehring.com"/>
    <s v="FERNANDO LEONY (CO/NO/NE)"/>
    <n v="0"/>
    <n v="0"/>
    <n v="0"/>
    <n v="160"/>
    <n v="500"/>
  </r>
  <r>
    <x v="0"/>
    <x v="2"/>
    <x v="0"/>
    <n v="10942995000163"/>
    <x v="359"/>
    <s v="BRASILIA"/>
    <s v="DF"/>
    <s v="1-Setorizado"/>
    <n v="2"/>
    <x v="4"/>
    <s v="KAREN ROSA - HSP - DF/GO/MS/MT/TO"/>
    <s v="Hospitalar"/>
    <s v="fernando.leony@cslbehring.com"/>
    <s v="FERNANDO LEONY (CO/NO/NE)"/>
    <n v="0"/>
    <n v="0"/>
    <n v="0"/>
    <n v="0"/>
    <n v="500"/>
  </r>
  <r>
    <x v="0"/>
    <x v="2"/>
    <x v="0"/>
    <n v="11859927000106"/>
    <x v="48"/>
    <s v="BRASILIA"/>
    <s v="DF"/>
    <s v="1-Setorizado"/>
    <n v="2"/>
    <x v="2"/>
    <s v="WLADIMIR CAMPELO - ESP/HSP - AC/AM/AP/PA/RO/RR/DF"/>
    <s v="Hosp-Esp"/>
    <s v="fernando.leony@cslbehring.com"/>
    <s v="FERNANDO LEONY (CO/NO/NE)"/>
    <n v="0"/>
    <n v="0"/>
    <n v="0"/>
    <n v="45"/>
    <n v="0"/>
  </r>
  <r>
    <x v="0"/>
    <x v="2"/>
    <x v="0"/>
    <n v="11859927000106"/>
    <x v="48"/>
    <s v="BRASILIA"/>
    <s v="DF"/>
    <s v="1-Setorizado"/>
    <n v="2"/>
    <x v="4"/>
    <s v="KAREN ROSA - HSP - DF/GO/MS/MT/TO"/>
    <s v="Hospitalar"/>
    <s v="fernando.leony@cslbehring.com"/>
    <s v="FERNANDO LEONY (CO/NO/NE)"/>
    <n v="0"/>
    <n v="0"/>
    <n v="0"/>
    <n v="0"/>
    <n v="0"/>
  </r>
  <r>
    <x v="0"/>
    <x v="2"/>
    <x v="0"/>
    <n v="60884855001983"/>
    <x v="455"/>
    <s v="BRASILIA"/>
    <s v="DF"/>
    <s v="1-Setorizado"/>
    <n v="2"/>
    <x v="2"/>
    <s v="WLADIMIR CAMPELO - ESP/HSP - AC/AM/AP/PA/RO/RR/DF"/>
    <s v="Hosp-Esp"/>
    <s v="fernando.leony@cslbehring.com"/>
    <s v="FERNANDO LEONY (CO/NO/NE)"/>
    <n v="0"/>
    <n v="0"/>
    <n v="0"/>
    <n v="0"/>
    <n v="0"/>
  </r>
  <r>
    <x v="0"/>
    <x v="2"/>
    <x v="0"/>
    <n v="60884855001983"/>
    <x v="455"/>
    <s v="BRASILIA"/>
    <s v="DF"/>
    <s v="1-Setorizado"/>
    <n v="2"/>
    <x v="4"/>
    <s v="KAREN ROSA - HSP - DF/GO/MS/MT/TO"/>
    <s v="Hospitalar"/>
    <s v="fernando.leony@cslbehring.com"/>
    <s v="FERNANDO LEONY (CO/NO/NE)"/>
    <n v="0"/>
    <n v="0"/>
    <n v="1"/>
    <n v="0"/>
    <n v="0"/>
  </r>
  <r>
    <x v="0"/>
    <x v="2"/>
    <x v="0"/>
    <n v="85465526149"/>
    <x v="456"/>
    <s v="BRASILIA"/>
    <s v="DF"/>
    <s v="1-Setorizado"/>
    <n v="2"/>
    <x v="2"/>
    <s v="WLADIMIR CAMPELO - ESP/HSP - AC/AM/AP/PA/RO/RR/DF"/>
    <s v="Hosp-Esp"/>
    <s v="fernando.leony@cslbehring.com"/>
    <s v="FERNANDO LEONY (CO/NO/NE)"/>
    <n v="3"/>
    <n v="0"/>
    <n v="0"/>
    <n v="0"/>
    <n v="0"/>
  </r>
  <r>
    <x v="0"/>
    <x v="2"/>
    <x v="0"/>
    <n v="85465526149"/>
    <x v="456"/>
    <s v="BRASILIA"/>
    <s v="DF"/>
    <s v="1-Setorizado"/>
    <n v="2"/>
    <x v="4"/>
    <s v="KAREN ROSA - HSP - DF/GO/MS/MT/TO"/>
    <s v="Hospitalar"/>
    <s v="fernando.leony@cslbehring.com"/>
    <s v="FERNANDO LEONY (CO/NO/NE)"/>
    <n v="0"/>
    <n v="0"/>
    <n v="0"/>
    <n v="0"/>
    <n v="0"/>
  </r>
  <r>
    <x v="0"/>
    <x v="2"/>
    <x v="0"/>
    <n v="16739984000167"/>
    <x v="51"/>
    <s v="BRASILIA"/>
    <s v="DF"/>
    <s v="1-Setorizado"/>
    <n v="2"/>
    <x v="2"/>
    <s v="WLADIMIR CAMPELO - ESP/HSP - AC/AM/AP/PA/RO/RR/DF"/>
    <s v="Hosp-Esp"/>
    <s v="fernando.leony@cslbehring.com"/>
    <s v="FERNANDO LEONY (CO/NO/NE)"/>
    <n v="0"/>
    <n v="0"/>
    <n v="0"/>
    <n v="36"/>
    <n v="0"/>
  </r>
  <r>
    <x v="0"/>
    <x v="2"/>
    <x v="0"/>
    <n v="16739984000167"/>
    <x v="51"/>
    <s v="BRASILIA"/>
    <s v="DF"/>
    <s v="1-Setorizado"/>
    <n v="2"/>
    <x v="4"/>
    <s v="KAREN ROSA - HSP - DF/GO/MS/MT/TO"/>
    <s v="Hospitalar"/>
    <s v="fernando.leony@cslbehring.com"/>
    <s v="FERNANDO LEONY (CO/NO/NE)"/>
    <n v="0"/>
    <n v="0"/>
    <n v="0"/>
    <n v="0"/>
    <n v="0"/>
  </r>
  <r>
    <x v="0"/>
    <x v="2"/>
    <x v="0"/>
    <n v="49791000144"/>
    <x v="53"/>
    <s v="BRASILIA"/>
    <s v="DF"/>
    <s v="1-Setorizado"/>
    <n v="2"/>
    <x v="2"/>
    <s v="WLADIMIR CAMPELO - ESP/HSP - AC/AM/AP/PA/RO/RR/DF"/>
    <s v="Hosp-Esp"/>
    <s v="fernando.leony@cslbehring.com"/>
    <s v="FERNANDO LEONY (CO/NO/NE)"/>
    <n v="0"/>
    <n v="0"/>
    <n v="0"/>
    <n v="0"/>
    <n v="0"/>
  </r>
  <r>
    <x v="0"/>
    <x v="2"/>
    <x v="0"/>
    <n v="49791000144"/>
    <x v="53"/>
    <s v="BRASILIA"/>
    <s v="DF"/>
    <s v="1-Setorizado"/>
    <n v="2"/>
    <x v="4"/>
    <s v="KAREN ROSA - HSP - DF/GO/MS/MT/TO"/>
    <s v="Hospitalar"/>
    <s v="fernando.leony@cslbehring.com"/>
    <s v="FERNANDO LEONY (CO/NO/NE)"/>
    <n v="0"/>
    <n v="1"/>
    <n v="0"/>
    <n v="0"/>
    <n v="0"/>
  </r>
  <r>
    <x v="0"/>
    <x v="2"/>
    <x v="0"/>
    <n v="25841000153"/>
    <x v="360"/>
    <s v="BRASILIA"/>
    <s v="DF"/>
    <s v="1-Setorizado"/>
    <n v="2"/>
    <x v="2"/>
    <s v="WLADIMIR CAMPELO - ESP/HSP - AC/AM/AP/PA/RO/RR/DF"/>
    <s v="Hosp-Esp"/>
    <s v="fernando.leony@cslbehring.com"/>
    <s v="FERNANDO LEONY (CO/NO/NE)"/>
    <n v="0"/>
    <n v="0"/>
    <n v="0"/>
    <n v="0"/>
    <n v="0"/>
  </r>
  <r>
    <x v="0"/>
    <x v="2"/>
    <x v="0"/>
    <n v="25841000153"/>
    <x v="360"/>
    <s v="BRASILIA"/>
    <s v="DF"/>
    <s v="1-Setorizado"/>
    <n v="2"/>
    <x v="4"/>
    <s v="KAREN ROSA - HSP - DF/GO/MS/MT/TO"/>
    <s v="Hospitalar"/>
    <s v="fernando.leony@cslbehring.com"/>
    <s v="FERNANDO LEONY (CO/NO/NE)"/>
    <n v="0"/>
    <n v="0"/>
    <n v="4"/>
    <n v="0"/>
    <n v="0"/>
  </r>
  <r>
    <x v="0"/>
    <x v="2"/>
    <x v="0"/>
    <n v="61590410001287"/>
    <x v="54"/>
    <s v="BRASILIA"/>
    <s v="DF"/>
    <s v="1-Setorizado"/>
    <n v="2"/>
    <x v="2"/>
    <s v="WLADIMIR CAMPELO - ESP/HSP - AC/AM/AP/PA/RO/RR/DF"/>
    <s v="Hosp-Esp"/>
    <s v="fernando.leony@cslbehring.com"/>
    <s v="FERNANDO LEONY (CO/NO/NE)"/>
    <n v="0"/>
    <n v="0"/>
    <n v="0"/>
    <n v="0"/>
    <n v="170"/>
  </r>
  <r>
    <x v="0"/>
    <x v="2"/>
    <x v="0"/>
    <n v="61590410001287"/>
    <x v="54"/>
    <s v="BRASILIA"/>
    <s v="DF"/>
    <s v="1-Setorizado"/>
    <n v="2"/>
    <x v="4"/>
    <s v="KAREN ROSA - HSP - DF/GO/MS/MT/TO"/>
    <s v="Hospitalar"/>
    <s v="fernando.leony@cslbehring.com"/>
    <s v="FERNANDO LEONY (CO/NO/NE)"/>
    <n v="0"/>
    <n v="0"/>
    <n v="0"/>
    <n v="0"/>
    <n v="170"/>
  </r>
  <r>
    <x v="0"/>
    <x v="2"/>
    <x v="0"/>
    <n v="7039651000134"/>
    <x v="55"/>
    <s v="COLATINA"/>
    <s v="ES"/>
    <s v="1-Setorizado"/>
    <n v="1"/>
    <x v="5"/>
    <s v="IWENS SILVA - HSP - MG/ES"/>
    <s v="Hosp-Esp"/>
    <s v="rafael.esteves@cslbehring.com"/>
    <s v="RAFAEL ESTEVES (RJ/SPI/SUL)"/>
    <n v="0"/>
    <n v="0"/>
    <n v="0"/>
    <n v="0"/>
    <n v="25"/>
  </r>
  <r>
    <x v="0"/>
    <x v="2"/>
    <x v="0"/>
    <n v="27080605000358"/>
    <x v="361"/>
    <s v="SAO MATEUS"/>
    <s v="ES"/>
    <s v="1-Setorizado"/>
    <n v="1"/>
    <x v="5"/>
    <s v="IWENS SILVA - HSP - MG/ES"/>
    <s v="Hosp-Esp"/>
    <s v="rafael.esteves@cslbehring.com"/>
    <s v="RAFAEL ESTEVES (RJ/SPI/SUL)"/>
    <n v="0"/>
    <n v="0"/>
    <n v="0"/>
    <n v="0"/>
    <n v="200"/>
  </r>
  <r>
    <x v="0"/>
    <x v="2"/>
    <x v="0"/>
    <n v="27578434001525"/>
    <x v="363"/>
    <s v="VITORIA"/>
    <s v="ES"/>
    <s v="1-Setorizado"/>
    <n v="1"/>
    <x v="5"/>
    <s v="IWENS SILVA - HSP - MG/ES"/>
    <s v="Hosp-Esp"/>
    <s v="rafael.esteves@cslbehring.com"/>
    <s v="RAFAEL ESTEVES (RJ/SPI/SUL)"/>
    <n v="0"/>
    <n v="0"/>
    <n v="0"/>
    <n v="0"/>
    <n v="1000"/>
  </r>
  <r>
    <x v="0"/>
    <x v="2"/>
    <x v="0"/>
    <n v="39387477000107"/>
    <x v="59"/>
    <s v="VITORIA"/>
    <s v="ES"/>
    <s v="1-Setorizado"/>
    <n v="1"/>
    <x v="5"/>
    <s v="IWENS SILVA - HSP - MG/ES"/>
    <s v="Hosp-Esp"/>
    <s v="rafael.esteves@cslbehring.com"/>
    <s v="RAFAEL ESTEVES (RJ/SPI/SUL)"/>
    <n v="0"/>
    <n v="0"/>
    <n v="0"/>
    <n v="0"/>
    <n v="350"/>
  </r>
  <r>
    <x v="0"/>
    <x v="2"/>
    <x v="0"/>
    <n v="10586940000168"/>
    <x v="457"/>
    <s v="VITORIA"/>
    <s v="ES"/>
    <s v="1-Setorizado"/>
    <n v="1"/>
    <x v="5"/>
    <s v="IWENS SILVA - HSP - MG/ES"/>
    <s v="Hosp-Esp"/>
    <s v="rafael.esteves@cslbehring.com"/>
    <s v="RAFAEL ESTEVES (RJ/SPI/SUL)"/>
    <n v="0"/>
    <n v="25"/>
    <n v="10"/>
    <n v="98"/>
    <n v="1150"/>
  </r>
  <r>
    <x v="0"/>
    <x v="2"/>
    <x v="0"/>
    <n v="1326206000179"/>
    <x v="60"/>
    <s v="CATALAO"/>
    <s v="GO"/>
    <s v="1-Setorizado"/>
    <n v="2"/>
    <x v="6"/>
    <s v="XXX-ESP-VAGO NO (DF/GO/MS/MT/TO)"/>
    <s v="Especialidade"/>
    <s v="fernando.leony@cslbehring.com"/>
    <s v="FERNANDO LEONY (CO/NO/NE)"/>
    <n v="0"/>
    <n v="0"/>
    <n v="0"/>
    <n v="77"/>
    <n v="0"/>
  </r>
  <r>
    <x v="0"/>
    <x v="2"/>
    <x v="0"/>
    <n v="1326206000179"/>
    <x v="60"/>
    <s v="CATALAO"/>
    <s v="GO"/>
    <s v="1-Setorizado"/>
    <n v="2"/>
    <x v="4"/>
    <s v="KAREN ROSA - HSP - DF/GO/MS/MT/TO"/>
    <s v="Hospitalar"/>
    <s v="fernando.leony@cslbehring.com"/>
    <s v="FERNANDO LEONY (CO/NO/NE)"/>
    <n v="0"/>
    <n v="0"/>
    <n v="0"/>
    <n v="0"/>
    <n v="0"/>
  </r>
  <r>
    <x v="0"/>
    <x v="2"/>
    <x v="0"/>
    <n v="2476067000394"/>
    <x v="61"/>
    <s v="GOIANIA"/>
    <s v="GO"/>
    <s v="1-Setorizado"/>
    <n v="2"/>
    <x v="6"/>
    <s v="XXX-ESP-VAGO NO (DF/GO/MS/MT/TO)"/>
    <s v="Especialidade"/>
    <s v="fernando.leony@cslbehring.com"/>
    <s v="FERNANDO LEONY (CO/NO/NE)"/>
    <n v="0"/>
    <n v="0"/>
    <n v="0"/>
    <n v="0"/>
    <n v="70"/>
  </r>
  <r>
    <x v="0"/>
    <x v="2"/>
    <x v="0"/>
    <n v="2476067000394"/>
    <x v="61"/>
    <s v="GOIANIA"/>
    <s v="GO"/>
    <s v="1-Setorizado"/>
    <n v="2"/>
    <x v="4"/>
    <s v="KAREN ROSA - HSP - DF/GO/MS/MT/TO"/>
    <s v="Hospitalar"/>
    <s v="fernando.leony@cslbehring.com"/>
    <s v="FERNANDO LEONY (CO/NO/NE)"/>
    <n v="0"/>
    <n v="0"/>
    <n v="0"/>
    <n v="0"/>
    <n v="70"/>
  </r>
  <r>
    <x v="0"/>
    <x v="2"/>
    <x v="0"/>
    <n v="418954000119"/>
    <x v="62"/>
    <s v="GOIANIA"/>
    <s v="GO"/>
    <s v="1-Setorizado"/>
    <n v="2"/>
    <x v="6"/>
    <s v="XXX-ESP-VAGO NO (DF/GO/MS/MT/TO)"/>
    <s v="Especialidade"/>
    <s v="fernando.leony@cslbehring.com"/>
    <s v="FERNANDO LEONY (CO/NO/NE)"/>
    <n v="0"/>
    <n v="0"/>
    <n v="0"/>
    <n v="0"/>
    <n v="0"/>
  </r>
  <r>
    <x v="0"/>
    <x v="2"/>
    <x v="0"/>
    <n v="418954000119"/>
    <x v="62"/>
    <s v="GOIANIA"/>
    <s v="GO"/>
    <s v="1-Setorizado"/>
    <n v="2"/>
    <x v="4"/>
    <s v="KAREN ROSA - HSP - DF/GO/MS/MT/TO"/>
    <s v="Hospitalar"/>
    <s v="fernando.leony@cslbehring.com"/>
    <s v="FERNANDO LEONY (CO/NO/NE)"/>
    <n v="0"/>
    <n v="18"/>
    <n v="0"/>
    <n v="0"/>
    <n v="0"/>
  </r>
  <r>
    <x v="0"/>
    <x v="2"/>
    <x v="0"/>
    <n v="418954000704"/>
    <x v="458"/>
    <s v="GOIANIA"/>
    <s v="GO"/>
    <s v="1-Setorizado"/>
    <n v="2"/>
    <x v="6"/>
    <s v="XXX-ESP-VAGO NO (DF/GO/MS/MT/TO)"/>
    <s v="Especialidade"/>
    <s v="fernando.leony@cslbehring.com"/>
    <s v="FERNANDO LEONY (CO/NO/NE)"/>
    <n v="0"/>
    <n v="0"/>
    <n v="0"/>
    <n v="0"/>
    <n v="0"/>
  </r>
  <r>
    <x v="0"/>
    <x v="2"/>
    <x v="0"/>
    <n v="418954000704"/>
    <x v="458"/>
    <s v="GOIANIA"/>
    <s v="GO"/>
    <s v="1-Setorizado"/>
    <n v="2"/>
    <x v="4"/>
    <s v="KAREN ROSA - HSP - DF/GO/MS/MT/TO"/>
    <s v="Hospitalar"/>
    <s v="fernando.leony@cslbehring.com"/>
    <s v="FERNANDO LEONY (CO/NO/NE)"/>
    <n v="0"/>
    <n v="20"/>
    <n v="0"/>
    <n v="0"/>
    <n v="0"/>
  </r>
  <r>
    <x v="0"/>
    <x v="2"/>
    <x v="0"/>
    <n v="6337035000105"/>
    <x v="459"/>
    <s v="GOIANIA"/>
    <s v="GO"/>
    <s v="1-Setorizado"/>
    <n v="2"/>
    <x v="6"/>
    <s v="XXX-ESP-VAGO NO (DF/GO/MS/MT/TO)"/>
    <s v="Especialidade"/>
    <s v="fernando.leony@cslbehring.com"/>
    <s v="FERNANDO LEONY (CO/NO/NE)"/>
    <n v="0"/>
    <n v="0"/>
    <n v="0"/>
    <n v="0"/>
    <n v="25"/>
  </r>
  <r>
    <x v="0"/>
    <x v="2"/>
    <x v="0"/>
    <n v="6337035000105"/>
    <x v="459"/>
    <s v="GOIANIA"/>
    <s v="GO"/>
    <s v="1-Setorizado"/>
    <n v="2"/>
    <x v="4"/>
    <s v="KAREN ROSA - HSP - DF/GO/MS/MT/TO"/>
    <s v="Hospitalar"/>
    <s v="fernando.leony@cslbehring.com"/>
    <s v="FERNANDO LEONY (CO/NO/NE)"/>
    <n v="0"/>
    <n v="0"/>
    <n v="0"/>
    <n v="0"/>
    <n v="25"/>
  </r>
  <r>
    <x v="0"/>
    <x v="2"/>
    <x v="0"/>
    <n v="5919720000179"/>
    <x v="460"/>
    <s v="GOIANIA"/>
    <s v="GO"/>
    <s v="1-Setorizado"/>
    <n v="2"/>
    <x v="6"/>
    <s v="XXX-ESP-VAGO NO (DF/GO/MS/MT/TO)"/>
    <s v="Especialidade"/>
    <s v="fernando.leony@cslbehring.com"/>
    <s v="FERNANDO LEONY (CO/NO/NE)"/>
    <n v="0"/>
    <n v="0"/>
    <n v="0"/>
    <n v="0"/>
    <n v="25"/>
  </r>
  <r>
    <x v="0"/>
    <x v="2"/>
    <x v="0"/>
    <n v="5919720000179"/>
    <x v="460"/>
    <s v="GOIANIA"/>
    <s v="GO"/>
    <s v="1-Setorizado"/>
    <n v="2"/>
    <x v="4"/>
    <s v="KAREN ROSA - HSP - DF/GO/MS/MT/TO"/>
    <s v="Hospitalar"/>
    <s v="fernando.leony@cslbehring.com"/>
    <s v="FERNANDO LEONY (CO/NO/NE)"/>
    <n v="0"/>
    <n v="0"/>
    <n v="0"/>
    <n v="0"/>
    <n v="25"/>
  </r>
  <r>
    <x v="0"/>
    <x v="2"/>
    <x v="0"/>
    <n v="1656123000148"/>
    <x v="461"/>
    <s v="GOIANIA"/>
    <s v="GO"/>
    <s v="1-Setorizado"/>
    <n v="2"/>
    <x v="6"/>
    <s v="XXX-ESP-VAGO NO (DF/GO/MS/MT/TO)"/>
    <s v="Especialidade"/>
    <s v="fernando.leony@cslbehring.com"/>
    <s v="FERNANDO LEONY (CO/NO/NE)"/>
    <n v="0"/>
    <n v="0"/>
    <n v="0"/>
    <n v="0"/>
    <n v="90"/>
  </r>
  <r>
    <x v="0"/>
    <x v="2"/>
    <x v="0"/>
    <n v="1656123000148"/>
    <x v="461"/>
    <s v="GOIANIA"/>
    <s v="GO"/>
    <s v="1-Setorizado"/>
    <n v="2"/>
    <x v="4"/>
    <s v="KAREN ROSA - HSP - DF/GO/MS/MT/TO"/>
    <s v="Hospitalar"/>
    <s v="fernando.leony@cslbehring.com"/>
    <s v="FERNANDO LEONY (CO/NO/NE)"/>
    <n v="0"/>
    <n v="0"/>
    <n v="0"/>
    <n v="0"/>
    <n v="90"/>
  </r>
  <r>
    <x v="0"/>
    <x v="2"/>
    <x v="0"/>
    <n v="1277573000120"/>
    <x v="462"/>
    <s v="GOIANIA"/>
    <s v="GO"/>
    <s v="1-Setorizado"/>
    <n v="2"/>
    <x v="6"/>
    <s v="XXX-ESP-VAGO NO (DF/GO/MS/MT/TO)"/>
    <s v="Especialidade"/>
    <s v="fernando.leony@cslbehring.com"/>
    <s v="FERNANDO LEONY (CO/NO/NE)"/>
    <n v="0"/>
    <n v="0"/>
    <n v="0"/>
    <n v="0"/>
    <n v="0"/>
  </r>
  <r>
    <x v="0"/>
    <x v="2"/>
    <x v="0"/>
    <n v="1277573000120"/>
    <x v="462"/>
    <s v="GOIANIA"/>
    <s v="GO"/>
    <s v="1-Setorizado"/>
    <n v="2"/>
    <x v="4"/>
    <s v="KAREN ROSA - HSP - DF/GO/MS/MT/TO"/>
    <s v="Hospitalar"/>
    <s v="fernando.leony@cslbehring.com"/>
    <s v="FERNANDO LEONY (CO/NO/NE)"/>
    <n v="0"/>
    <n v="3"/>
    <n v="0"/>
    <n v="0"/>
    <n v="0"/>
  </r>
  <r>
    <x v="0"/>
    <x v="2"/>
    <x v="0"/>
    <n v="1011865000116"/>
    <x v="63"/>
    <s v="GOIANIA"/>
    <s v="GO"/>
    <s v="1-Setorizado"/>
    <n v="2"/>
    <x v="6"/>
    <s v="XXX-ESP-VAGO NO (DF/GO/MS/MT/TO)"/>
    <s v="Especialidade"/>
    <s v="fernando.leony@cslbehring.com"/>
    <s v="FERNANDO LEONY (CO/NO/NE)"/>
    <n v="0"/>
    <n v="0"/>
    <n v="0"/>
    <n v="0"/>
    <n v="250"/>
  </r>
  <r>
    <x v="0"/>
    <x v="2"/>
    <x v="0"/>
    <n v="1011865000116"/>
    <x v="63"/>
    <s v="GOIANIA"/>
    <s v="GO"/>
    <s v="1-Setorizado"/>
    <n v="2"/>
    <x v="4"/>
    <s v="KAREN ROSA - HSP - DF/GO/MS/MT/TO"/>
    <s v="Hospitalar"/>
    <s v="fernando.leony@cslbehring.com"/>
    <s v="FERNANDO LEONY (CO/NO/NE)"/>
    <n v="0"/>
    <n v="0"/>
    <n v="0"/>
    <n v="0"/>
    <n v="250"/>
  </r>
  <r>
    <x v="0"/>
    <x v="2"/>
    <x v="0"/>
    <n v="1570589000126"/>
    <x v="463"/>
    <s v="GOIANIA"/>
    <s v="GO"/>
    <s v="1-Setorizado"/>
    <n v="2"/>
    <x v="6"/>
    <s v="XXX-ESP-VAGO NO (DF/GO/MS/MT/TO)"/>
    <s v="Especialidade"/>
    <s v="fernando.leony@cslbehring.com"/>
    <s v="FERNANDO LEONY (CO/NO/NE)"/>
    <n v="0"/>
    <n v="0"/>
    <n v="0"/>
    <n v="0"/>
    <n v="190"/>
  </r>
  <r>
    <x v="0"/>
    <x v="2"/>
    <x v="0"/>
    <n v="1570589000126"/>
    <x v="463"/>
    <s v="GOIANIA"/>
    <s v="GO"/>
    <s v="1-Setorizado"/>
    <n v="2"/>
    <x v="4"/>
    <s v="KAREN ROSA - HSP - DF/GO/MS/MT/TO"/>
    <s v="Hospitalar"/>
    <s v="fernando.leony@cslbehring.com"/>
    <s v="FERNANDO LEONY (CO/NO/NE)"/>
    <n v="0"/>
    <n v="0"/>
    <n v="0"/>
    <n v="0"/>
    <n v="190"/>
  </r>
  <r>
    <x v="0"/>
    <x v="2"/>
    <x v="0"/>
    <n v="2476067000203"/>
    <x v="64"/>
    <s v="GOIANIA"/>
    <s v="GO"/>
    <s v="1-Setorizado"/>
    <n v="2"/>
    <x v="6"/>
    <s v="XXX-ESP-VAGO NO (DF/GO/MS/MT/TO)"/>
    <s v="Especialidade"/>
    <s v="fernando.leony@cslbehring.com"/>
    <s v="FERNANDO LEONY (CO/NO/NE)"/>
    <n v="0"/>
    <n v="0"/>
    <n v="0"/>
    <n v="20"/>
    <n v="0"/>
  </r>
  <r>
    <x v="0"/>
    <x v="2"/>
    <x v="0"/>
    <n v="2476067000203"/>
    <x v="64"/>
    <s v="GOIANIA"/>
    <s v="GO"/>
    <s v="1-Setorizado"/>
    <n v="2"/>
    <x v="4"/>
    <s v="KAREN ROSA - HSP - DF/GO/MS/MT/TO"/>
    <s v="Hospitalar"/>
    <s v="fernando.leony@cslbehring.com"/>
    <s v="FERNANDO LEONY (CO/NO/NE)"/>
    <n v="0"/>
    <n v="0"/>
    <n v="0"/>
    <n v="0"/>
    <n v="0"/>
  </r>
  <r>
    <x v="0"/>
    <x v="2"/>
    <x v="0"/>
    <n v="2476067000122"/>
    <x v="65"/>
    <s v="GOIANIA"/>
    <s v="GO"/>
    <s v="1-Setorizado"/>
    <n v="2"/>
    <x v="6"/>
    <s v="XXX-ESP-VAGO NO (DF/GO/MS/MT/TO)"/>
    <s v="Especialidade"/>
    <s v="fernando.leony@cslbehring.com"/>
    <s v="FERNANDO LEONY (CO/NO/NE)"/>
    <n v="0"/>
    <n v="0"/>
    <n v="0"/>
    <n v="0"/>
    <n v="-15"/>
  </r>
  <r>
    <x v="0"/>
    <x v="2"/>
    <x v="0"/>
    <n v="2476067000122"/>
    <x v="65"/>
    <s v="GOIANIA"/>
    <s v="GO"/>
    <s v="1-Setorizado"/>
    <n v="2"/>
    <x v="4"/>
    <s v="KAREN ROSA - HSP - DF/GO/MS/MT/TO"/>
    <s v="Hospitalar"/>
    <s v="fernando.leony@cslbehring.com"/>
    <s v="FERNANDO LEONY (CO/NO/NE)"/>
    <n v="0"/>
    <n v="0"/>
    <n v="0"/>
    <n v="0"/>
    <n v="-15"/>
  </r>
  <r>
    <x v="0"/>
    <x v="2"/>
    <x v="0"/>
    <n v="33000167002155"/>
    <x v="366"/>
    <s v="SENADOR CANEDO"/>
    <s v="GO"/>
    <s v="1-Setorizado"/>
    <n v="2"/>
    <x v="6"/>
    <s v="XXX-ESP-VAGO NO (DF/GO/MS/MT/TO)"/>
    <s v="Especialidade"/>
    <s v="fernando.leony@cslbehring.com"/>
    <s v="FERNANDO LEONY (CO/NO/NE)"/>
    <n v="0"/>
    <n v="0"/>
    <n v="0"/>
    <n v="0"/>
    <n v="25"/>
  </r>
  <r>
    <x v="0"/>
    <x v="2"/>
    <x v="0"/>
    <n v="33000167002155"/>
    <x v="366"/>
    <s v="SENADOR CANEDO"/>
    <s v="GO"/>
    <s v="1-Setorizado"/>
    <n v="2"/>
    <x v="4"/>
    <s v="KAREN ROSA - HSP - DF/GO/MS/MT/TO"/>
    <s v="Hospitalar"/>
    <s v="fernando.leony@cslbehring.com"/>
    <s v="FERNANDO LEONY (CO/NO/NE)"/>
    <n v="0"/>
    <n v="0"/>
    <n v="0"/>
    <n v="0"/>
    <n v="25"/>
  </r>
  <r>
    <x v="0"/>
    <x v="2"/>
    <x v="0"/>
    <n v="9192098000109"/>
    <x v="464"/>
    <s v="SAO JOSE DE RIBAMAR"/>
    <s v="MA"/>
    <s v="1-Setorizado"/>
    <n v="2"/>
    <x v="0"/>
    <s v="VALERIA BRAGA - ESP - (CE/MA/PI/BA/AL/SE/PB/PE/RN)"/>
    <s v="Especialidade"/>
    <s v="fernando.leony@cslbehring.com"/>
    <s v="FERNANDO LEONY (CO/NO/NE)"/>
    <n v="0"/>
    <n v="0"/>
    <n v="0"/>
    <n v="0"/>
    <n v="100"/>
  </r>
  <r>
    <x v="0"/>
    <x v="2"/>
    <x v="0"/>
    <n v="9192098000109"/>
    <x v="464"/>
    <s v="SAO JOSE DE RIBAMAR"/>
    <s v="MA"/>
    <s v="1-Setorizado"/>
    <n v="2"/>
    <x v="3"/>
    <s v="KLEBER SILVA - HSP - CE/MA/PI"/>
    <s v="Hospitalar"/>
    <s v="fernando.leony@cslbehring.com"/>
    <s v="FERNANDO LEONY (CO/NO/NE)"/>
    <n v="0"/>
    <n v="0"/>
    <n v="0"/>
    <n v="0"/>
    <n v="100"/>
  </r>
  <r>
    <x v="0"/>
    <x v="2"/>
    <x v="0"/>
    <n v="15126437000496"/>
    <x v="68"/>
    <s v="SAO LUIS"/>
    <s v="MA"/>
    <s v="1-Setorizado"/>
    <n v="2"/>
    <x v="0"/>
    <s v="VALERIA BRAGA - ESP - (CE/MA/PI/BA/AL/SE/PB/PE/RN)"/>
    <s v="Especialidade"/>
    <s v="fernando.leony@cslbehring.com"/>
    <s v="FERNANDO LEONY (CO/NO/NE)"/>
    <n v="0"/>
    <n v="0"/>
    <n v="0"/>
    <n v="0"/>
    <n v="500"/>
  </r>
  <r>
    <x v="0"/>
    <x v="2"/>
    <x v="0"/>
    <n v="15126437000496"/>
    <x v="68"/>
    <s v="SAO LUIS"/>
    <s v="MA"/>
    <s v="1-Setorizado"/>
    <n v="2"/>
    <x v="3"/>
    <s v="KLEBER SILVA - HSP - CE/MA/PI"/>
    <s v="Hospitalar"/>
    <s v="fernando.leony@cslbehring.com"/>
    <s v="FERNANDO LEONY (CO/NO/NE)"/>
    <n v="0"/>
    <n v="0"/>
    <n v="0"/>
    <n v="0"/>
    <n v="500"/>
  </r>
  <r>
    <x v="0"/>
    <x v="2"/>
    <x v="0"/>
    <n v="12361267000789"/>
    <x v="465"/>
    <s v="SAO LUIS"/>
    <s v="MA"/>
    <s v="1-Setorizado"/>
    <n v="2"/>
    <x v="0"/>
    <s v="VALERIA BRAGA - ESP - (CE/MA/PI/BA/AL/SE/PB/PE/RN)"/>
    <s v="Especialidade"/>
    <s v="fernando.leony@cslbehring.com"/>
    <s v="FERNANDO LEONY (CO/NO/NE)"/>
    <n v="0"/>
    <n v="0"/>
    <n v="0"/>
    <n v="0"/>
    <n v="0"/>
  </r>
  <r>
    <x v="0"/>
    <x v="2"/>
    <x v="0"/>
    <n v="12361267000789"/>
    <x v="465"/>
    <s v="SAO LUIS"/>
    <s v="MA"/>
    <s v="1-Setorizado"/>
    <n v="2"/>
    <x v="3"/>
    <s v="KLEBER SILVA - HSP - CE/MA/PI"/>
    <s v="Hospitalar"/>
    <s v="fernando.leony@cslbehring.com"/>
    <s v="FERNANDO LEONY (CO/NO/NE)"/>
    <n v="0"/>
    <n v="2"/>
    <n v="0"/>
    <n v="0"/>
    <n v="0"/>
  </r>
  <r>
    <x v="0"/>
    <x v="2"/>
    <x v="0"/>
    <n v="11006293000130"/>
    <x v="69"/>
    <s v="SAO LUIS"/>
    <s v="MA"/>
    <s v="1-Setorizado"/>
    <n v="2"/>
    <x v="0"/>
    <s v="VALERIA BRAGA - ESP - (CE/MA/PI/BA/AL/SE/PB/PE/RN)"/>
    <s v="Especialidade"/>
    <s v="fernando.leony@cslbehring.com"/>
    <s v="FERNANDO LEONY (CO/NO/NE)"/>
    <n v="0"/>
    <n v="0"/>
    <n v="0"/>
    <n v="0"/>
    <n v="450"/>
  </r>
  <r>
    <x v="0"/>
    <x v="2"/>
    <x v="0"/>
    <n v="11006293000130"/>
    <x v="69"/>
    <s v="SAO LUIS"/>
    <s v="MA"/>
    <s v="1-Setorizado"/>
    <n v="2"/>
    <x v="3"/>
    <s v="KLEBER SILVA - HSP - CE/MA/PI"/>
    <s v="Hospitalar"/>
    <s v="fernando.leony@cslbehring.com"/>
    <s v="FERNANDO LEONY (CO/NO/NE)"/>
    <n v="0"/>
    <n v="0"/>
    <n v="0"/>
    <n v="0"/>
    <n v="450"/>
  </r>
  <r>
    <x v="0"/>
    <x v="2"/>
    <x v="0"/>
    <n v="20909271000171"/>
    <x v="369"/>
    <s v="ARAGUARI"/>
    <s v="MG"/>
    <s v="1-Setorizado"/>
    <n v="1"/>
    <x v="5"/>
    <s v="IWENS SILVA - HSP - MG/ES"/>
    <s v="Hosp-Esp"/>
    <s v="rafael.esteves@cslbehring.com"/>
    <s v="RAFAEL ESTEVES (RJ/SPI/SUL)"/>
    <n v="0"/>
    <n v="0"/>
    <n v="0"/>
    <n v="70"/>
    <n v="0"/>
  </r>
  <r>
    <x v="0"/>
    <x v="2"/>
    <x v="0"/>
    <n v="25910449000460"/>
    <x v="466"/>
    <s v="ARAXA"/>
    <s v="MG"/>
    <s v="1-Setorizado"/>
    <n v="1"/>
    <x v="5"/>
    <s v="IWENS SILVA - HSP - MG/ES"/>
    <s v="Hosp-Esp"/>
    <s v="rafael.esteves@cslbehring.com"/>
    <s v="RAFAEL ESTEVES (RJ/SPI/SUL)"/>
    <n v="0"/>
    <n v="0"/>
    <n v="0"/>
    <n v="0"/>
    <n v="30"/>
  </r>
  <r>
    <x v="0"/>
    <x v="2"/>
    <x v="0"/>
    <n v="17214149000176"/>
    <x v="70"/>
    <s v="BELO HORIZONTE"/>
    <s v="MG"/>
    <s v="1-Setorizado"/>
    <n v="1"/>
    <x v="5"/>
    <s v="IWENS SILVA - HSP - MG/ES"/>
    <s v="Hosp-Esp"/>
    <s v="rafael.esteves@cslbehring.com"/>
    <s v="RAFAEL ESTEVES (RJ/SPI/SUL)"/>
    <n v="0"/>
    <n v="0"/>
    <n v="9"/>
    <n v="0"/>
    <n v="0"/>
  </r>
  <r>
    <x v="0"/>
    <x v="2"/>
    <x v="0"/>
    <n v="410960000120"/>
    <x v="71"/>
    <s v="BELO HORIZONTE"/>
    <s v="MG"/>
    <s v="1-Setorizado"/>
    <n v="1"/>
    <x v="5"/>
    <s v="IWENS SILVA - HSP - MG/ES"/>
    <s v="Hosp-Esp"/>
    <s v="rafael.esteves@cslbehring.com"/>
    <s v="RAFAEL ESTEVES (RJ/SPI/SUL)"/>
    <n v="0"/>
    <n v="0"/>
    <n v="0"/>
    <n v="46"/>
    <n v="662"/>
  </r>
  <r>
    <x v="0"/>
    <x v="2"/>
    <x v="0"/>
    <n v="2623693000102"/>
    <x v="73"/>
    <s v="BELO HORIZONTE"/>
    <s v="MG"/>
    <s v="1-Setorizado"/>
    <n v="1"/>
    <x v="5"/>
    <s v="IWENS SILVA - HSP - MG/ES"/>
    <s v="Hosp-Esp"/>
    <s v="rafael.esteves@cslbehring.com"/>
    <s v="RAFAEL ESTEVES (RJ/SPI/SUL)"/>
    <n v="0"/>
    <n v="0"/>
    <n v="0"/>
    <n v="0"/>
    <n v="20"/>
  </r>
  <r>
    <x v="0"/>
    <x v="2"/>
    <x v="0"/>
    <n v="19878404000100"/>
    <x v="76"/>
    <s v="IPATINGA"/>
    <s v="MG"/>
    <s v="1-Setorizado"/>
    <n v="1"/>
    <x v="5"/>
    <s v="IWENS SILVA - HSP - MG/ES"/>
    <s v="Hosp-Esp"/>
    <s v="rafael.esteves@cslbehring.com"/>
    <s v="RAFAEL ESTEVES (RJ/SPI/SUL)"/>
    <n v="0"/>
    <n v="0"/>
    <n v="0"/>
    <n v="52"/>
    <n v="0"/>
  </r>
  <r>
    <x v="0"/>
    <x v="2"/>
    <x v="0"/>
    <n v="17689407000928"/>
    <x v="78"/>
    <s v="JUIZ DE FORA"/>
    <s v="MG"/>
    <s v="1-Setorizado"/>
    <n v="1"/>
    <x v="5"/>
    <s v="IWENS SILVA - HSP - MG/ES"/>
    <s v="Hosp-Esp"/>
    <s v="rafael.esteves@cslbehring.com"/>
    <s v="RAFAEL ESTEVES (RJ/SPI/SUL)"/>
    <n v="0"/>
    <n v="0"/>
    <n v="0"/>
    <n v="6"/>
    <n v="0"/>
  </r>
  <r>
    <x v="0"/>
    <x v="2"/>
    <x v="0"/>
    <n v="18836965000184"/>
    <x v="467"/>
    <s v="RAUL SOARES"/>
    <s v="MG"/>
    <s v="1-Setorizado"/>
    <n v="1"/>
    <x v="5"/>
    <s v="IWENS SILVA - HSP - MG/ES"/>
    <s v="Hosp-Esp"/>
    <s v="rafael.esteves@cslbehring.com"/>
    <s v="RAFAEL ESTEVES (RJ/SPI/SUL)"/>
    <n v="0"/>
    <n v="0"/>
    <n v="0"/>
    <n v="20"/>
    <n v="0"/>
  </r>
  <r>
    <x v="0"/>
    <x v="2"/>
    <x v="0"/>
    <n v="25648387000207"/>
    <x v="83"/>
    <s v="UBERLANDIA"/>
    <s v="MG"/>
    <s v="1-Setorizado"/>
    <n v="1"/>
    <x v="5"/>
    <s v="IWENS SILVA - HSP - MG/ES"/>
    <s v="Hosp-Esp"/>
    <s v="rafael.esteves@cslbehring.com"/>
    <s v="RAFAEL ESTEVES (RJ/SPI/SUL)"/>
    <n v="0"/>
    <n v="0"/>
    <n v="0"/>
    <n v="0"/>
    <n v="650"/>
  </r>
  <r>
    <x v="0"/>
    <x v="2"/>
    <x v="0"/>
    <n v="20150900000122"/>
    <x v="84"/>
    <s v="UBERLANDIA"/>
    <s v="MG"/>
    <s v="1-Setorizado"/>
    <n v="1"/>
    <x v="5"/>
    <s v="IWENS SILVA - HSP - MG/ES"/>
    <s v="Hosp-Esp"/>
    <s v="rafael.esteves@cslbehring.com"/>
    <s v="RAFAEL ESTEVES (RJ/SPI/SUL)"/>
    <n v="0"/>
    <n v="0"/>
    <n v="0"/>
    <n v="18"/>
    <n v="0"/>
  </r>
  <r>
    <x v="0"/>
    <x v="2"/>
    <x v="0"/>
    <n v="25761040000187"/>
    <x v="375"/>
    <s v="UBERLANDIA"/>
    <s v="MG"/>
    <s v="1-Setorizado"/>
    <n v="1"/>
    <x v="5"/>
    <s v="IWENS SILVA - HSP - MG/ES"/>
    <s v="Hosp-Esp"/>
    <s v="rafael.esteves@cslbehring.com"/>
    <s v="RAFAEL ESTEVES (RJ/SPI/SUL)"/>
    <n v="0"/>
    <n v="0"/>
    <n v="6"/>
    <n v="0"/>
    <n v="0"/>
  </r>
  <r>
    <x v="0"/>
    <x v="2"/>
    <x v="0"/>
    <n v="17087591000189"/>
    <x v="86"/>
    <s v="UBERLANDIA"/>
    <s v="MG"/>
    <s v="1-Setorizado"/>
    <n v="1"/>
    <x v="5"/>
    <s v="IWENS SILVA - HSP - MG/ES"/>
    <s v="Hosp-Esp"/>
    <s v="rafael.esteves@cslbehring.com"/>
    <s v="RAFAEL ESTEVES (RJ/SPI/SUL)"/>
    <n v="0"/>
    <n v="0"/>
    <n v="2"/>
    <n v="0"/>
    <n v="0"/>
  </r>
  <r>
    <x v="0"/>
    <x v="2"/>
    <x v="0"/>
    <n v="14408631000159"/>
    <x v="87"/>
    <s v="VICOSA"/>
    <s v="MG"/>
    <s v="1-Setorizado"/>
    <n v="1"/>
    <x v="5"/>
    <s v="IWENS SILVA - HSP - MG/ES"/>
    <s v="Hosp-Esp"/>
    <s v="rafael.esteves@cslbehring.com"/>
    <s v="RAFAEL ESTEVES (RJ/SPI/SUL)"/>
    <n v="0"/>
    <n v="0"/>
    <n v="0"/>
    <n v="8"/>
    <n v="0"/>
  </r>
  <r>
    <x v="0"/>
    <x v="2"/>
    <x v="0"/>
    <n v="3533726001583"/>
    <x v="89"/>
    <s v="CUIABA"/>
    <s v="MT"/>
    <s v="1-Setorizado"/>
    <n v="2"/>
    <x v="6"/>
    <s v="XXX-ESP-VAGO NO (DF/GO/MS/MT/TO)"/>
    <s v="Especialidade"/>
    <s v="fernando.leony@cslbehring.com"/>
    <s v="FERNANDO LEONY (CO/NO/NE)"/>
    <n v="0"/>
    <n v="0"/>
    <n v="0"/>
    <n v="0"/>
    <n v="105"/>
  </r>
  <r>
    <x v="0"/>
    <x v="2"/>
    <x v="0"/>
    <n v="3533726001583"/>
    <x v="89"/>
    <s v="CUIABA"/>
    <s v="MT"/>
    <s v="1-Setorizado"/>
    <n v="2"/>
    <x v="4"/>
    <s v="KAREN ROSA - HSP - DF/GO/MS/MT/TO"/>
    <s v="Hospitalar"/>
    <s v="fernando.leony@cslbehring.com"/>
    <s v="FERNANDO LEONY (CO/NO/NE)"/>
    <n v="0"/>
    <n v="0"/>
    <n v="0"/>
    <n v="0"/>
    <n v="105"/>
  </r>
  <r>
    <x v="0"/>
    <x v="2"/>
    <x v="0"/>
    <n v="15126437001204"/>
    <x v="468"/>
    <s v="CUIABA"/>
    <s v="MT"/>
    <s v="1-Setorizado"/>
    <n v="2"/>
    <x v="6"/>
    <s v="XXX-ESP-VAGO NO (DF/GO/MS/MT/TO)"/>
    <s v="Especialidade"/>
    <s v="fernando.leony@cslbehring.com"/>
    <s v="FERNANDO LEONY (CO/NO/NE)"/>
    <n v="0"/>
    <n v="0"/>
    <n v="0"/>
    <n v="0"/>
    <n v="750"/>
  </r>
  <r>
    <x v="0"/>
    <x v="2"/>
    <x v="0"/>
    <n v="15126437001204"/>
    <x v="468"/>
    <s v="CUIABA"/>
    <s v="MT"/>
    <s v="1-Setorizado"/>
    <n v="2"/>
    <x v="4"/>
    <s v="KAREN ROSA - HSP - DF/GO/MS/MT/TO"/>
    <s v="Hospitalar"/>
    <s v="fernando.leony@cslbehring.com"/>
    <s v="FERNANDO LEONY (CO/NO/NE)"/>
    <n v="0"/>
    <n v="0"/>
    <n v="0"/>
    <n v="0"/>
    <n v="750"/>
  </r>
  <r>
    <x v="0"/>
    <x v="2"/>
    <x v="0"/>
    <n v="3925419000142"/>
    <x v="92"/>
    <s v="CUIABA"/>
    <s v="MT"/>
    <s v="1-Setorizado"/>
    <n v="2"/>
    <x v="6"/>
    <s v="XXX-ESP-VAGO NO (DF/GO/MS/MT/TO)"/>
    <s v="Especialidade"/>
    <s v="fernando.leony@cslbehring.com"/>
    <s v="FERNANDO LEONY (CO/NO/NE)"/>
    <n v="0"/>
    <n v="0"/>
    <n v="0"/>
    <n v="0"/>
    <n v="0"/>
  </r>
  <r>
    <x v="0"/>
    <x v="2"/>
    <x v="0"/>
    <n v="3925419000142"/>
    <x v="92"/>
    <s v="CUIABA"/>
    <s v="MT"/>
    <s v="1-Setorizado"/>
    <n v="2"/>
    <x v="4"/>
    <s v="KAREN ROSA - HSP - DF/GO/MS/MT/TO"/>
    <s v="Hospitalar"/>
    <s v="fernando.leony@cslbehring.com"/>
    <s v="FERNANDO LEONY (CO/NO/NE)"/>
    <n v="0"/>
    <n v="4"/>
    <n v="0"/>
    <n v="0"/>
    <n v="0"/>
  </r>
  <r>
    <x v="0"/>
    <x v="2"/>
    <x v="0"/>
    <n v="4966545000370"/>
    <x v="96"/>
    <s v="BELEM"/>
    <s v="PA"/>
    <s v="1-Setorizado"/>
    <n v="1"/>
    <x v="2"/>
    <s v="WLADIMIR CAMPELO - ESP/HSP - AC/AM/AP/PA/RO/RR/DF"/>
    <s v="Hosp-Esp"/>
    <s v="fernando.leony@cslbehring.com"/>
    <s v="FERNANDO LEONY (CO/NO/NE)"/>
    <n v="0"/>
    <n v="0"/>
    <n v="0"/>
    <n v="0"/>
    <n v="40"/>
  </r>
  <r>
    <x v="0"/>
    <x v="2"/>
    <x v="0"/>
    <n v="83367342000252"/>
    <x v="97"/>
    <s v="BELEM"/>
    <s v="PA"/>
    <s v="1-Setorizado"/>
    <n v="1"/>
    <x v="2"/>
    <s v="WLADIMIR CAMPELO - ESP/HSP - AC/AM/AP/PA/RO/RR/DF"/>
    <s v="Hosp-Esp"/>
    <s v="fernando.leony@cslbehring.com"/>
    <s v="FERNANDO LEONY (CO/NO/NE)"/>
    <n v="0"/>
    <n v="0"/>
    <n v="0"/>
    <n v="0"/>
    <n v="40"/>
  </r>
  <r>
    <x v="0"/>
    <x v="2"/>
    <x v="0"/>
    <n v="12361267000274"/>
    <x v="377"/>
    <s v="BELEM"/>
    <s v="PA"/>
    <s v="1-Setorizado"/>
    <n v="1"/>
    <x v="2"/>
    <s v="WLADIMIR CAMPELO - ESP/HSP - AC/AM/AP/PA/RO/RR/DF"/>
    <s v="Hosp-Esp"/>
    <s v="fernando.leony@cslbehring.com"/>
    <s v="FERNANDO LEONY (CO/NO/NE)"/>
    <n v="0"/>
    <n v="4"/>
    <n v="0"/>
    <n v="0"/>
    <n v="0"/>
  </r>
  <r>
    <x v="0"/>
    <x v="2"/>
    <x v="0"/>
    <n v="12371009253"/>
    <x v="99"/>
    <s v="BELEM"/>
    <s v="PA"/>
    <s v="1-Setorizado"/>
    <n v="1"/>
    <x v="2"/>
    <s v="WLADIMIR CAMPELO - ESP/HSP - AC/AM/AP/PA/RO/RR/DF"/>
    <s v="Hosp-Esp"/>
    <s v="fernando.leony@cslbehring.com"/>
    <s v="FERNANDO LEONY (CO/NO/NE)"/>
    <n v="0"/>
    <n v="0"/>
    <n v="0"/>
    <n v="12"/>
    <n v="0"/>
  </r>
  <r>
    <x v="0"/>
    <x v="2"/>
    <x v="0"/>
    <n v="93326645287"/>
    <x v="469"/>
    <s v="BELEM"/>
    <s v="PA"/>
    <s v="1-Setorizado"/>
    <n v="1"/>
    <x v="2"/>
    <s v="WLADIMIR CAMPELO - ESP/HSP - AC/AM/AP/PA/RO/RR/DF"/>
    <s v="Hosp-Esp"/>
    <s v="fernando.leony@cslbehring.com"/>
    <s v="FERNANDO LEONY (CO/NO/NE)"/>
    <n v="0"/>
    <n v="0"/>
    <n v="0"/>
    <n v="16"/>
    <n v="0"/>
  </r>
  <r>
    <x v="0"/>
    <x v="2"/>
    <x v="0"/>
    <n v="4201372001028"/>
    <x v="100"/>
    <s v="BELEM"/>
    <s v="PA"/>
    <s v="1-Setorizado"/>
    <n v="1"/>
    <x v="2"/>
    <s v="WLADIMIR CAMPELO - ESP/HSP - AC/AM/AP/PA/RO/RR/DF"/>
    <s v="Hosp-Esp"/>
    <s v="fernando.leony@cslbehring.com"/>
    <s v="FERNANDO LEONY (CO/NO/NE)"/>
    <n v="0"/>
    <n v="0"/>
    <n v="0"/>
    <n v="32"/>
    <n v="0"/>
  </r>
  <r>
    <x v="0"/>
    <x v="2"/>
    <x v="0"/>
    <n v="5055128000257"/>
    <x v="470"/>
    <s v="CAMPINA GRANDE"/>
    <s v="PB"/>
    <s v="1-Setorizado"/>
    <n v="2"/>
    <x v="0"/>
    <s v="VALERIA BRAGA - ESP - (CE/MA/PI/BA/AL/SE/PB/PE/RN)"/>
    <s v="Especialidade"/>
    <s v="fernando.leony@cslbehring.com"/>
    <s v="FERNANDO LEONY (CO/NO/NE)"/>
    <n v="0"/>
    <n v="0"/>
    <n v="0"/>
    <n v="0"/>
    <n v="75"/>
  </r>
  <r>
    <x v="0"/>
    <x v="2"/>
    <x v="0"/>
    <n v="5055128000257"/>
    <x v="470"/>
    <s v="CAMPINA GRANDE"/>
    <s v="PB"/>
    <s v="1-Setorizado"/>
    <n v="2"/>
    <x v="7"/>
    <s v="LENILSON SILVA - HSP - PB/PE/RN"/>
    <s v="Hospitalar"/>
    <s v="fernando.leony@cslbehring.com"/>
    <s v="FERNANDO LEONY (CO/NO/NE)"/>
    <n v="0"/>
    <n v="0"/>
    <n v="0"/>
    <n v="0"/>
    <n v="75"/>
  </r>
  <r>
    <x v="0"/>
    <x v="2"/>
    <x v="0"/>
    <n v="12361267008844"/>
    <x v="471"/>
    <s v="JOAO PESSOA"/>
    <s v="PB"/>
    <s v="1-Setorizado"/>
    <n v="2"/>
    <x v="0"/>
    <s v="VALERIA BRAGA - ESP - (CE/MA/PI/BA/AL/SE/PB/PE/RN)"/>
    <s v="Especialidade"/>
    <s v="fernando.leony@cslbehring.com"/>
    <s v="FERNANDO LEONY (CO/NO/NE)"/>
    <n v="0"/>
    <n v="0"/>
    <n v="0"/>
    <n v="0"/>
    <n v="0"/>
  </r>
  <r>
    <x v="0"/>
    <x v="2"/>
    <x v="0"/>
    <n v="12361267008844"/>
    <x v="471"/>
    <s v="JOAO PESSOA"/>
    <s v="PB"/>
    <s v="1-Setorizado"/>
    <n v="2"/>
    <x v="7"/>
    <s v="LENILSON SILVA - HSP - PB/PE/RN"/>
    <s v="Hospitalar"/>
    <s v="fernando.leony@cslbehring.com"/>
    <s v="FERNANDO LEONY (CO/NO/NE)"/>
    <n v="0"/>
    <n v="2"/>
    <n v="2"/>
    <n v="0"/>
    <n v="0"/>
  </r>
  <r>
    <x v="0"/>
    <x v="2"/>
    <x v="0"/>
    <n v="83925694404"/>
    <x v="102"/>
    <s v="JOAO PESSOA"/>
    <s v="PB"/>
    <s v="1-Setorizado"/>
    <n v="2"/>
    <x v="0"/>
    <s v="VALERIA BRAGA - ESP - (CE/MA/PI/BA/AL/SE/PB/PE/RN)"/>
    <s v="Especialidade"/>
    <s v="fernando.leony@cslbehring.com"/>
    <s v="FERNANDO LEONY (CO/NO/NE)"/>
    <n v="26"/>
    <n v="0"/>
    <n v="0"/>
    <n v="0"/>
    <n v="0"/>
  </r>
  <r>
    <x v="0"/>
    <x v="2"/>
    <x v="0"/>
    <n v="83925694404"/>
    <x v="102"/>
    <s v="JOAO PESSOA"/>
    <s v="PB"/>
    <s v="1-Setorizado"/>
    <n v="2"/>
    <x v="7"/>
    <s v="LENILSON SILVA - HSP - PB/PE/RN"/>
    <s v="Hospitalar"/>
    <s v="fernando.leony@cslbehring.com"/>
    <s v="FERNANDO LEONY (CO/NO/NE)"/>
    <n v="0"/>
    <n v="0"/>
    <n v="0"/>
    <n v="0"/>
    <n v="0"/>
  </r>
  <r>
    <x v="0"/>
    <x v="2"/>
    <x v="0"/>
    <n v="8680639000681"/>
    <x v="103"/>
    <s v="JOAO PESSOA"/>
    <s v="PB"/>
    <s v="1-Setorizado"/>
    <n v="2"/>
    <x v="0"/>
    <s v="VALERIA BRAGA - ESP - (CE/MA/PI/BA/AL/SE/PB/PE/RN)"/>
    <s v="Especialidade"/>
    <s v="fernando.leony@cslbehring.com"/>
    <s v="FERNANDO LEONY (CO/NO/NE)"/>
    <n v="0"/>
    <n v="0"/>
    <n v="0"/>
    <n v="80"/>
    <n v="140"/>
  </r>
  <r>
    <x v="0"/>
    <x v="2"/>
    <x v="0"/>
    <n v="8680639000681"/>
    <x v="103"/>
    <s v="JOAO PESSOA"/>
    <s v="PB"/>
    <s v="1-Setorizado"/>
    <n v="2"/>
    <x v="7"/>
    <s v="LENILSON SILVA - HSP - PB/PE/RN"/>
    <s v="Hospitalar"/>
    <s v="fernando.leony@cslbehring.com"/>
    <s v="FERNANDO LEONY (CO/NO/NE)"/>
    <n v="0"/>
    <n v="0"/>
    <n v="0"/>
    <n v="0"/>
    <n v="140"/>
  </r>
  <r>
    <x v="0"/>
    <x v="2"/>
    <x v="0"/>
    <n v="3904395000145"/>
    <x v="472"/>
    <s v="JABOATAO DOS GUARARAPES"/>
    <s v="PE"/>
    <s v="1-Setorizado"/>
    <n v="2"/>
    <x v="0"/>
    <s v="VALERIA BRAGA - ESP - (CE/MA/PI/BA/AL/SE/PB/PE/RN)"/>
    <s v="Especialidade"/>
    <s v="fernando.leony@cslbehring.com"/>
    <s v="FERNANDO LEONY (CO/NO/NE)"/>
    <n v="24"/>
    <n v="0"/>
    <n v="0"/>
    <n v="0"/>
    <n v="0"/>
  </r>
  <r>
    <x v="0"/>
    <x v="2"/>
    <x v="0"/>
    <n v="3904395000145"/>
    <x v="472"/>
    <s v="JABOATAO DOS GUARARAPES"/>
    <s v="PE"/>
    <s v="1-Setorizado"/>
    <n v="2"/>
    <x v="7"/>
    <s v="LENILSON SILVA - HSP - PB/PE/RN"/>
    <s v="Hospitalar"/>
    <s v="fernando.leony@cslbehring.com"/>
    <s v="FERNANDO LEONY (CO/NO/NE)"/>
    <n v="0"/>
    <n v="0"/>
    <n v="0"/>
    <n v="0"/>
    <n v="0"/>
  </r>
  <r>
    <x v="0"/>
    <x v="2"/>
    <x v="0"/>
    <n v="6047087001291"/>
    <x v="473"/>
    <s v="OLINDA"/>
    <s v="PE"/>
    <s v="1-Setorizado"/>
    <n v="2"/>
    <x v="0"/>
    <s v="VALERIA BRAGA - ESP - (CE/MA/PI/BA/AL/SE/PB/PE/RN)"/>
    <s v="Especialidade"/>
    <s v="fernando.leony@cslbehring.com"/>
    <s v="FERNANDO LEONY (CO/NO/NE)"/>
    <n v="0"/>
    <n v="0"/>
    <n v="0"/>
    <n v="0"/>
    <n v="0"/>
  </r>
  <r>
    <x v="0"/>
    <x v="2"/>
    <x v="0"/>
    <n v="6047087001291"/>
    <x v="473"/>
    <s v="OLINDA"/>
    <s v="PE"/>
    <s v="1-Setorizado"/>
    <n v="2"/>
    <x v="7"/>
    <s v="LENILSON SILVA - HSP - PB/PE/RN"/>
    <s v="Hospitalar"/>
    <s v="fernando.leony@cslbehring.com"/>
    <s v="FERNANDO LEONY (CO/NO/NE)"/>
    <n v="0"/>
    <n v="8"/>
    <n v="0"/>
    <n v="0"/>
    <n v="0"/>
  </r>
  <r>
    <x v="0"/>
    <x v="2"/>
    <x v="0"/>
    <n v="9039744000275"/>
    <x v="380"/>
    <s v="PAULISTA"/>
    <s v="PE"/>
    <s v="1-Setorizado"/>
    <n v="2"/>
    <x v="0"/>
    <s v="VALERIA BRAGA - ESP - (CE/MA/PI/BA/AL/SE/PB/PE/RN)"/>
    <s v="Especialidade"/>
    <s v="fernando.leony@cslbehring.com"/>
    <s v="FERNANDO LEONY (CO/NO/NE)"/>
    <n v="0"/>
    <n v="0"/>
    <n v="0"/>
    <n v="0"/>
    <n v="0"/>
  </r>
  <r>
    <x v="0"/>
    <x v="2"/>
    <x v="0"/>
    <n v="9039744000275"/>
    <x v="380"/>
    <s v="PAULISTA"/>
    <s v="PE"/>
    <s v="1-Setorizado"/>
    <n v="2"/>
    <x v="7"/>
    <s v="LENILSON SILVA - HSP - PB/PE/RN"/>
    <s v="Hospitalar"/>
    <s v="fernando.leony@cslbehring.com"/>
    <s v="FERNANDO LEONY (CO/NO/NE)"/>
    <n v="0"/>
    <n v="7"/>
    <n v="0"/>
    <n v="0"/>
    <n v="0"/>
  </r>
  <r>
    <x v="0"/>
    <x v="2"/>
    <x v="0"/>
    <n v="12361267007287"/>
    <x v="382"/>
    <s v="RECIFE"/>
    <s v="PE"/>
    <s v="1-Setorizado"/>
    <n v="2"/>
    <x v="0"/>
    <s v="VALERIA BRAGA - ESP - (CE/MA/PI/BA/AL/SE/PB/PE/RN)"/>
    <s v="Especialidade"/>
    <s v="fernando.leony@cslbehring.com"/>
    <s v="FERNANDO LEONY (CO/NO/NE)"/>
    <n v="0"/>
    <n v="0"/>
    <n v="0"/>
    <n v="0"/>
    <n v="0"/>
  </r>
  <r>
    <x v="0"/>
    <x v="2"/>
    <x v="0"/>
    <n v="12361267007287"/>
    <x v="382"/>
    <s v="RECIFE"/>
    <s v="PE"/>
    <s v="1-Setorizado"/>
    <n v="2"/>
    <x v="7"/>
    <s v="LENILSON SILVA - HSP - PB/PE/RN"/>
    <s v="Hospitalar"/>
    <s v="fernando.leony@cslbehring.com"/>
    <s v="FERNANDO LEONY (CO/NO/NE)"/>
    <n v="0"/>
    <n v="8"/>
    <n v="16"/>
    <n v="0"/>
    <n v="0"/>
  </r>
  <r>
    <x v="0"/>
    <x v="2"/>
    <x v="0"/>
    <n v="11452240000143"/>
    <x v="106"/>
    <s v="RECIFE"/>
    <s v="PE"/>
    <s v="1-Setorizado"/>
    <n v="2"/>
    <x v="0"/>
    <s v="VALERIA BRAGA - ESP - (CE/MA/PI/BA/AL/SE/PB/PE/RN)"/>
    <s v="Especialidade"/>
    <s v="fernando.leony@cslbehring.com"/>
    <s v="FERNANDO LEONY (CO/NO/NE)"/>
    <n v="0"/>
    <n v="0"/>
    <n v="0"/>
    <n v="0"/>
    <n v="0"/>
  </r>
  <r>
    <x v="0"/>
    <x v="2"/>
    <x v="0"/>
    <n v="11452240000143"/>
    <x v="106"/>
    <s v="RECIFE"/>
    <s v="PE"/>
    <s v="1-Setorizado"/>
    <n v="2"/>
    <x v="7"/>
    <s v="LENILSON SILVA - HSP - PB/PE/RN"/>
    <s v="Hospitalar"/>
    <s v="fernando.leony@cslbehring.com"/>
    <s v="FERNANDO LEONY (CO/NO/NE)"/>
    <n v="0"/>
    <n v="0"/>
    <n v="4"/>
    <n v="0"/>
    <n v="0"/>
  </r>
  <r>
    <x v="0"/>
    <x v="2"/>
    <x v="0"/>
    <n v="6047087009276"/>
    <x v="107"/>
    <s v="RECIFE"/>
    <s v="PE"/>
    <s v="1-Setorizado"/>
    <n v="2"/>
    <x v="0"/>
    <s v="VALERIA BRAGA - ESP - (CE/MA/PI/BA/AL/SE/PB/PE/RN)"/>
    <s v="Especialidade"/>
    <s v="fernando.leony@cslbehring.com"/>
    <s v="FERNANDO LEONY (CO/NO/NE)"/>
    <n v="0"/>
    <n v="0"/>
    <n v="0"/>
    <n v="0"/>
    <n v="0"/>
  </r>
  <r>
    <x v="0"/>
    <x v="2"/>
    <x v="0"/>
    <n v="6047087009276"/>
    <x v="107"/>
    <s v="RECIFE"/>
    <s v="PE"/>
    <s v="1-Setorizado"/>
    <n v="2"/>
    <x v="7"/>
    <s v="LENILSON SILVA - HSP - PB/PE/RN"/>
    <s v="Hospitalar"/>
    <s v="fernando.leony@cslbehring.com"/>
    <s v="FERNANDO LEONY (CO/NO/NE)"/>
    <n v="0"/>
    <n v="30"/>
    <n v="0"/>
    <n v="0"/>
    <n v="0"/>
  </r>
  <r>
    <x v="0"/>
    <x v="2"/>
    <x v="0"/>
    <n v="10892164000124"/>
    <x v="108"/>
    <s v="RECIFE"/>
    <s v="PE"/>
    <s v="1-Setorizado"/>
    <n v="2"/>
    <x v="0"/>
    <s v="VALERIA BRAGA - ESP - (CE/MA/PI/BA/AL/SE/PB/PE/RN)"/>
    <s v="Especialidade"/>
    <s v="fernando.leony@cslbehring.com"/>
    <s v="FERNANDO LEONY (CO/NO/NE)"/>
    <n v="0"/>
    <n v="0"/>
    <n v="0"/>
    <n v="40"/>
    <n v="0"/>
  </r>
  <r>
    <x v="0"/>
    <x v="2"/>
    <x v="0"/>
    <n v="10892164000124"/>
    <x v="108"/>
    <s v="RECIFE"/>
    <s v="PE"/>
    <s v="1-Setorizado"/>
    <n v="2"/>
    <x v="7"/>
    <s v="LENILSON SILVA - HSP - PB/PE/RN"/>
    <s v="Hospitalar"/>
    <s v="fernando.leony@cslbehring.com"/>
    <s v="FERNANDO LEONY (CO/NO/NE)"/>
    <n v="0"/>
    <n v="0"/>
    <n v="0"/>
    <n v="0"/>
    <n v="0"/>
  </r>
  <r>
    <x v="0"/>
    <x v="2"/>
    <x v="0"/>
    <n v="2284062000440"/>
    <x v="109"/>
    <s v="RECIFE"/>
    <s v="PE"/>
    <s v="1-Setorizado"/>
    <n v="2"/>
    <x v="0"/>
    <s v="VALERIA BRAGA - ESP - (CE/MA/PI/BA/AL/SE/PB/PE/RN)"/>
    <s v="Especialidade"/>
    <s v="fernando.leony@cslbehring.com"/>
    <s v="FERNANDO LEONY (CO/NO/NE)"/>
    <n v="0"/>
    <n v="0"/>
    <n v="0"/>
    <n v="0"/>
    <n v="0"/>
  </r>
  <r>
    <x v="0"/>
    <x v="2"/>
    <x v="0"/>
    <n v="2284062000440"/>
    <x v="109"/>
    <s v="RECIFE"/>
    <s v="PE"/>
    <s v="1-Setorizado"/>
    <n v="2"/>
    <x v="7"/>
    <s v="LENILSON SILVA - HSP - PB/PE/RN"/>
    <s v="Hospitalar"/>
    <s v="fernando.leony@cslbehring.com"/>
    <s v="FERNANDO LEONY (CO/NO/NE)"/>
    <n v="0"/>
    <n v="20"/>
    <n v="0"/>
    <n v="0"/>
    <n v="0"/>
  </r>
  <r>
    <x v="0"/>
    <x v="2"/>
    <x v="0"/>
    <n v="11214624000470"/>
    <x v="383"/>
    <s v="RECIFE"/>
    <s v="PE"/>
    <s v="1-Setorizado"/>
    <n v="2"/>
    <x v="0"/>
    <s v="VALERIA BRAGA - ESP - (CE/MA/PI/BA/AL/SE/PB/PE/RN)"/>
    <s v="Especialidade"/>
    <s v="fernando.leony@cslbehring.com"/>
    <s v="FERNANDO LEONY (CO/NO/NE)"/>
    <n v="0"/>
    <n v="0"/>
    <n v="0"/>
    <n v="0"/>
    <n v="50"/>
  </r>
  <r>
    <x v="0"/>
    <x v="2"/>
    <x v="0"/>
    <n v="11214624000470"/>
    <x v="383"/>
    <s v="RECIFE"/>
    <s v="PE"/>
    <s v="1-Setorizado"/>
    <n v="2"/>
    <x v="7"/>
    <s v="LENILSON SILVA - HSP - PB/PE/RN"/>
    <s v="Hospitalar"/>
    <s v="fernando.leony@cslbehring.com"/>
    <s v="FERNANDO LEONY (CO/NO/NE)"/>
    <n v="0"/>
    <n v="0"/>
    <n v="0"/>
    <n v="0"/>
    <n v="50"/>
  </r>
  <r>
    <x v="0"/>
    <x v="2"/>
    <x v="0"/>
    <n v="11214624001957"/>
    <x v="474"/>
    <s v="RECIFE"/>
    <s v="PE"/>
    <s v="1-Setorizado"/>
    <n v="2"/>
    <x v="0"/>
    <s v="VALERIA BRAGA - ESP - (CE/MA/PI/BA/AL/SE/PB/PE/RN)"/>
    <s v="Especialidade"/>
    <s v="fernando.leony@cslbehring.com"/>
    <s v="FERNANDO LEONY (CO/NO/NE)"/>
    <n v="0"/>
    <n v="0"/>
    <n v="0"/>
    <n v="0"/>
    <n v="0"/>
  </r>
  <r>
    <x v="0"/>
    <x v="2"/>
    <x v="0"/>
    <n v="11214624001957"/>
    <x v="474"/>
    <s v="RECIFE"/>
    <s v="PE"/>
    <s v="1-Setorizado"/>
    <n v="2"/>
    <x v="7"/>
    <s v="LENILSON SILVA - HSP - PB/PE/RN"/>
    <s v="Hospitalar"/>
    <s v="fernando.leony@cslbehring.com"/>
    <s v="FERNANDO LEONY (CO/NO/NE)"/>
    <n v="0"/>
    <n v="6"/>
    <n v="0"/>
    <n v="0"/>
    <n v="0"/>
  </r>
  <r>
    <x v="0"/>
    <x v="2"/>
    <x v="0"/>
    <n v="11022597001597"/>
    <x v="384"/>
    <s v="RECIFE"/>
    <s v="PE"/>
    <s v="1-Setorizado"/>
    <n v="2"/>
    <x v="0"/>
    <s v="VALERIA BRAGA - ESP - (CE/MA/PI/BA/AL/SE/PB/PE/RN)"/>
    <s v="Especialidade"/>
    <s v="fernando.leony@cslbehring.com"/>
    <s v="FERNANDO LEONY (CO/NO/NE)"/>
    <n v="0"/>
    <n v="0"/>
    <n v="0"/>
    <n v="0"/>
    <n v="0"/>
  </r>
  <r>
    <x v="0"/>
    <x v="2"/>
    <x v="0"/>
    <n v="11022597001597"/>
    <x v="384"/>
    <s v="RECIFE"/>
    <s v="PE"/>
    <s v="1-Setorizado"/>
    <n v="2"/>
    <x v="7"/>
    <s v="LENILSON SILVA - HSP - PB/PE/RN"/>
    <s v="Hospitalar"/>
    <s v="fernando.leony@cslbehring.com"/>
    <s v="FERNANDO LEONY (CO/NO/NE)"/>
    <n v="0"/>
    <n v="25"/>
    <n v="0"/>
    <n v="0"/>
    <n v="0"/>
  </r>
  <r>
    <x v="0"/>
    <x v="2"/>
    <x v="0"/>
    <n v="10839561000132"/>
    <x v="111"/>
    <s v="RECIFE"/>
    <s v="PE"/>
    <s v="1-Setorizado"/>
    <n v="2"/>
    <x v="0"/>
    <s v="VALERIA BRAGA - ESP - (CE/MA/PI/BA/AL/SE/PB/PE/RN)"/>
    <s v="Especialidade"/>
    <s v="fernando.leony@cslbehring.com"/>
    <s v="FERNANDO LEONY (CO/NO/NE)"/>
    <n v="0"/>
    <n v="0"/>
    <n v="0"/>
    <n v="28"/>
    <n v="0"/>
  </r>
  <r>
    <x v="0"/>
    <x v="2"/>
    <x v="0"/>
    <n v="10839561000132"/>
    <x v="111"/>
    <s v="RECIFE"/>
    <s v="PE"/>
    <s v="1-Setorizado"/>
    <n v="2"/>
    <x v="7"/>
    <s v="LENILSON SILVA - HSP - PB/PE/RN"/>
    <s v="Hospitalar"/>
    <s v="fernando.leony@cslbehring.com"/>
    <s v="FERNANDO LEONY (CO/NO/NE)"/>
    <n v="0"/>
    <n v="0"/>
    <n v="6"/>
    <n v="0"/>
    <n v="0"/>
  </r>
  <r>
    <x v="0"/>
    <x v="2"/>
    <x v="0"/>
    <n v="12361267004008"/>
    <x v="475"/>
    <s v="TERESINA"/>
    <s v="PI"/>
    <s v="1-Setorizado"/>
    <n v="2"/>
    <x v="0"/>
    <s v="VALERIA BRAGA - ESP - (CE/MA/PI/BA/AL/SE/PB/PE/RN)"/>
    <s v="Especialidade"/>
    <s v="fernando.leony@cslbehring.com"/>
    <s v="FERNANDO LEONY (CO/NO/NE)"/>
    <n v="0"/>
    <n v="0"/>
    <n v="0"/>
    <n v="0"/>
    <n v="0"/>
  </r>
  <r>
    <x v="0"/>
    <x v="2"/>
    <x v="0"/>
    <n v="12361267004008"/>
    <x v="475"/>
    <s v="TERESINA"/>
    <s v="PI"/>
    <s v="1-Setorizado"/>
    <n v="2"/>
    <x v="3"/>
    <s v="KLEBER SILVA - HSP - CE/MA/PI"/>
    <s v="Hospitalar"/>
    <s v="fernando.leony@cslbehring.com"/>
    <s v="FERNANDO LEONY (CO/NO/NE)"/>
    <n v="0"/>
    <n v="2"/>
    <n v="0"/>
    <n v="0"/>
    <n v="0"/>
  </r>
  <r>
    <x v="0"/>
    <x v="2"/>
    <x v="0"/>
    <n v="81715716000410"/>
    <x v="476"/>
    <s v="CAMPO MOURAO"/>
    <s v="PR"/>
    <s v="1-Setorizado"/>
    <n v="2"/>
    <x v="8"/>
    <s v="MICHELE MORAES - ESP - PR/SC/RS"/>
    <s v="Especialidade"/>
    <s v="rafael.esteves@cslbehring.com"/>
    <s v="RAFAEL ESTEVES (RJ/SPI/SUL)"/>
    <n v="0"/>
    <n v="0"/>
    <n v="0"/>
    <n v="0"/>
    <n v="30"/>
  </r>
  <r>
    <x v="0"/>
    <x v="2"/>
    <x v="0"/>
    <n v="81715716000410"/>
    <x v="476"/>
    <s v="CAMPO MOURAO"/>
    <s v="PR"/>
    <s v="1-Setorizado"/>
    <n v="2"/>
    <x v="9"/>
    <s v="FERNANDA BORNHAUSEN - HSP - SC/PR"/>
    <s v="Hospitalar"/>
    <s v="rafael.esteves@cslbehring.com"/>
    <s v="RAFAEL ESTEVES (RJ/SPI/SUL)"/>
    <n v="0"/>
    <n v="0"/>
    <n v="0"/>
    <n v="0"/>
    <n v="30"/>
  </r>
  <r>
    <x v="0"/>
    <x v="2"/>
    <x v="0"/>
    <n v="81270548000153"/>
    <x v="477"/>
    <s v="CASCAVEL"/>
    <s v="PR"/>
    <s v="1-Setorizado"/>
    <n v="2"/>
    <x v="8"/>
    <s v="MICHELE MORAES - ESP - PR/SC/RS"/>
    <s v="Especialidade"/>
    <s v="rafael.esteves@cslbehring.com"/>
    <s v="RAFAEL ESTEVES (RJ/SPI/SUL)"/>
    <n v="0"/>
    <n v="0"/>
    <n v="0"/>
    <n v="0"/>
    <n v="0"/>
  </r>
  <r>
    <x v="0"/>
    <x v="2"/>
    <x v="0"/>
    <n v="81270548000153"/>
    <x v="477"/>
    <s v="CASCAVEL"/>
    <s v="PR"/>
    <s v="1-Setorizado"/>
    <n v="2"/>
    <x v="9"/>
    <s v="FERNANDA BORNHAUSEN - HSP - SC/PR"/>
    <s v="Hospitalar"/>
    <s v="rafael.esteves@cslbehring.com"/>
    <s v="RAFAEL ESTEVES (RJ/SPI/SUL)"/>
    <n v="0"/>
    <n v="0"/>
    <n v="3"/>
    <n v="0"/>
    <n v="0"/>
  </r>
  <r>
    <x v="0"/>
    <x v="2"/>
    <x v="0"/>
    <n v="7734165000136"/>
    <x v="117"/>
    <s v="CURITIBA"/>
    <s v="PR"/>
    <s v="1-Setorizado"/>
    <n v="2"/>
    <x v="8"/>
    <s v="MICHELE MORAES - ESP - PR/SC/RS"/>
    <s v="Especialidade"/>
    <s v="rafael.esteves@cslbehring.com"/>
    <s v="RAFAEL ESTEVES (RJ/SPI/SUL)"/>
    <n v="0"/>
    <n v="0"/>
    <n v="0"/>
    <n v="96"/>
    <n v="5575"/>
  </r>
  <r>
    <x v="0"/>
    <x v="2"/>
    <x v="0"/>
    <n v="7734165000136"/>
    <x v="117"/>
    <s v="CURITIBA"/>
    <s v="PR"/>
    <s v="1-Setorizado"/>
    <n v="2"/>
    <x v="9"/>
    <s v="FERNANDA BORNHAUSEN - HSP - SC/PR"/>
    <s v="Hospitalar"/>
    <s v="rafael.esteves@cslbehring.com"/>
    <s v="RAFAEL ESTEVES (RJ/SPI/SUL)"/>
    <n v="0"/>
    <n v="0"/>
    <n v="0"/>
    <n v="0"/>
    <n v="5575"/>
  </r>
  <r>
    <x v="0"/>
    <x v="2"/>
    <x v="0"/>
    <n v="7404052000172"/>
    <x v="118"/>
    <s v="CURITIBA"/>
    <s v="PR"/>
    <s v="1-Setorizado"/>
    <n v="2"/>
    <x v="8"/>
    <s v="MICHELE MORAES - ESP - PR/SC/RS"/>
    <s v="Especialidade"/>
    <s v="rafael.esteves@cslbehring.com"/>
    <s v="RAFAEL ESTEVES (RJ/SPI/SUL)"/>
    <n v="0"/>
    <n v="0"/>
    <n v="0"/>
    <n v="0"/>
    <n v="130"/>
  </r>
  <r>
    <x v="0"/>
    <x v="2"/>
    <x v="0"/>
    <n v="7404052000172"/>
    <x v="118"/>
    <s v="CURITIBA"/>
    <s v="PR"/>
    <s v="1-Setorizado"/>
    <n v="2"/>
    <x v="9"/>
    <s v="FERNANDA BORNHAUSEN - HSP - SC/PR"/>
    <s v="Hospitalar"/>
    <s v="rafael.esteves@cslbehring.com"/>
    <s v="RAFAEL ESTEVES (RJ/SPI/SUL)"/>
    <n v="0"/>
    <n v="0"/>
    <n v="0"/>
    <n v="0"/>
    <n v="130"/>
  </r>
  <r>
    <x v="0"/>
    <x v="2"/>
    <x v="0"/>
    <n v="8597121000174"/>
    <x v="119"/>
    <s v="CURITIBA"/>
    <s v="PR"/>
    <s v="1-Setorizado"/>
    <n v="2"/>
    <x v="8"/>
    <s v="MICHELE MORAES - ESP - PR/SC/RS"/>
    <s v="Especialidade"/>
    <s v="rafael.esteves@cslbehring.com"/>
    <s v="RAFAEL ESTEVES (RJ/SPI/SUL)"/>
    <n v="0"/>
    <n v="0"/>
    <n v="0"/>
    <n v="0"/>
    <n v="560"/>
  </r>
  <r>
    <x v="0"/>
    <x v="2"/>
    <x v="0"/>
    <n v="8597121000174"/>
    <x v="119"/>
    <s v="CURITIBA"/>
    <s v="PR"/>
    <s v="1-Setorizado"/>
    <n v="2"/>
    <x v="9"/>
    <s v="FERNANDA BORNHAUSEN - HSP - SC/PR"/>
    <s v="Hospitalar"/>
    <s v="rafael.esteves@cslbehring.com"/>
    <s v="RAFAEL ESTEVES (RJ/SPI/SUL)"/>
    <n v="0"/>
    <n v="0"/>
    <n v="0"/>
    <n v="0"/>
    <n v="560"/>
  </r>
  <r>
    <x v="0"/>
    <x v="2"/>
    <x v="0"/>
    <n v="942063000167"/>
    <x v="120"/>
    <s v="CURITIBA"/>
    <s v="PR"/>
    <s v="1-Setorizado"/>
    <n v="2"/>
    <x v="8"/>
    <s v="MICHELE MORAES - ESP - PR/SC/RS"/>
    <s v="Especialidade"/>
    <s v="rafael.esteves@cslbehring.com"/>
    <s v="RAFAEL ESTEVES (RJ/SPI/SUL)"/>
    <n v="0"/>
    <n v="0"/>
    <n v="0"/>
    <n v="0"/>
    <n v="800"/>
  </r>
  <r>
    <x v="0"/>
    <x v="2"/>
    <x v="0"/>
    <n v="942063000167"/>
    <x v="120"/>
    <s v="CURITIBA"/>
    <s v="PR"/>
    <s v="1-Setorizado"/>
    <n v="2"/>
    <x v="9"/>
    <s v="FERNANDA BORNHAUSEN - HSP - SC/PR"/>
    <s v="Hospitalar"/>
    <s v="rafael.esteves@cslbehring.com"/>
    <s v="RAFAEL ESTEVES (RJ/SPI/SUL)"/>
    <n v="0"/>
    <n v="0"/>
    <n v="0"/>
    <n v="0"/>
    <n v="800"/>
  </r>
  <r>
    <x v="0"/>
    <x v="2"/>
    <x v="0"/>
    <n v="76591569000130"/>
    <x v="121"/>
    <s v="CURITIBA"/>
    <s v="PR"/>
    <s v="1-Setorizado"/>
    <n v="2"/>
    <x v="8"/>
    <s v="MICHELE MORAES - ESP - PR/SC/RS"/>
    <s v="Especialidade"/>
    <s v="rafael.esteves@cslbehring.com"/>
    <s v="RAFAEL ESTEVES (RJ/SPI/SUL)"/>
    <n v="0"/>
    <n v="0"/>
    <n v="0"/>
    <n v="12"/>
    <n v="1000"/>
  </r>
  <r>
    <x v="0"/>
    <x v="2"/>
    <x v="0"/>
    <n v="76591569000130"/>
    <x v="121"/>
    <s v="CURITIBA"/>
    <s v="PR"/>
    <s v="1-Setorizado"/>
    <n v="2"/>
    <x v="9"/>
    <s v="FERNANDA BORNHAUSEN - HSP - SC/PR"/>
    <s v="Hospitalar"/>
    <s v="rafael.esteves@cslbehring.com"/>
    <s v="RAFAEL ESTEVES (RJ/SPI/SUL)"/>
    <n v="0"/>
    <n v="0"/>
    <n v="0"/>
    <n v="0"/>
    <n v="1000"/>
  </r>
  <r>
    <x v="0"/>
    <x v="2"/>
    <x v="0"/>
    <n v="76659820002367"/>
    <x v="122"/>
    <s v="CURITIBA"/>
    <s v="PR"/>
    <s v="1-Setorizado"/>
    <n v="2"/>
    <x v="8"/>
    <s v="MICHELE MORAES - ESP - PR/SC/RS"/>
    <s v="Especialidade"/>
    <s v="rafael.esteves@cslbehring.com"/>
    <s v="RAFAEL ESTEVES (RJ/SPI/SUL)"/>
    <n v="0"/>
    <n v="0"/>
    <n v="0"/>
    <n v="0"/>
    <n v="45"/>
  </r>
  <r>
    <x v="0"/>
    <x v="2"/>
    <x v="0"/>
    <n v="76659820002367"/>
    <x v="122"/>
    <s v="CURITIBA"/>
    <s v="PR"/>
    <s v="1-Setorizado"/>
    <n v="2"/>
    <x v="9"/>
    <s v="FERNANDA BORNHAUSEN - HSP - SC/PR"/>
    <s v="Hospitalar"/>
    <s v="rafael.esteves@cslbehring.com"/>
    <s v="RAFAEL ESTEVES (RJ/SPI/SUL)"/>
    <n v="0"/>
    <n v="0"/>
    <n v="0"/>
    <n v="0"/>
    <n v="45"/>
  </r>
  <r>
    <x v="0"/>
    <x v="2"/>
    <x v="0"/>
    <n v="76555069000143"/>
    <x v="124"/>
    <s v="CURITIBA"/>
    <s v="PR"/>
    <s v="1-Setorizado"/>
    <n v="2"/>
    <x v="8"/>
    <s v="MICHELE MORAES - ESP - PR/SC/RS"/>
    <s v="Especialidade"/>
    <s v="rafael.esteves@cslbehring.com"/>
    <s v="RAFAEL ESTEVES (RJ/SPI/SUL)"/>
    <n v="0"/>
    <n v="0"/>
    <n v="0"/>
    <n v="0"/>
    <n v="280"/>
  </r>
  <r>
    <x v="0"/>
    <x v="2"/>
    <x v="0"/>
    <n v="76555069000143"/>
    <x v="124"/>
    <s v="CURITIBA"/>
    <s v="PR"/>
    <s v="1-Setorizado"/>
    <n v="2"/>
    <x v="9"/>
    <s v="FERNANDA BORNHAUSEN - HSP - SC/PR"/>
    <s v="Hospitalar"/>
    <s v="rafael.esteves@cslbehring.com"/>
    <s v="RAFAEL ESTEVES (RJ/SPI/SUL)"/>
    <n v="0"/>
    <n v="0"/>
    <n v="2"/>
    <n v="0"/>
    <n v="280"/>
  </r>
  <r>
    <x v="0"/>
    <x v="2"/>
    <x v="0"/>
    <n v="29435005005600"/>
    <x v="125"/>
    <s v="CURITIBA"/>
    <s v="PR"/>
    <s v="1-Setorizado"/>
    <n v="2"/>
    <x v="8"/>
    <s v="MICHELE MORAES - ESP - PR/SC/RS"/>
    <s v="Especialidade"/>
    <s v="rafael.esteves@cslbehring.com"/>
    <s v="RAFAEL ESTEVES (RJ/SPI/SUL)"/>
    <n v="0"/>
    <n v="0"/>
    <n v="0"/>
    <n v="0"/>
    <n v="185"/>
  </r>
  <r>
    <x v="0"/>
    <x v="2"/>
    <x v="0"/>
    <n v="29435005005600"/>
    <x v="125"/>
    <s v="CURITIBA"/>
    <s v="PR"/>
    <s v="1-Setorizado"/>
    <n v="2"/>
    <x v="9"/>
    <s v="FERNANDA BORNHAUSEN - HSP - SC/PR"/>
    <s v="Hospitalar"/>
    <s v="rafael.esteves@cslbehring.com"/>
    <s v="RAFAEL ESTEVES (RJ/SPI/SUL)"/>
    <n v="0"/>
    <n v="0"/>
    <n v="0"/>
    <n v="0"/>
    <n v="185"/>
  </r>
  <r>
    <x v="0"/>
    <x v="2"/>
    <x v="0"/>
    <n v="3850913000195"/>
    <x v="127"/>
    <s v="CURITIBA"/>
    <s v="PR"/>
    <s v="1-Setorizado"/>
    <n v="2"/>
    <x v="8"/>
    <s v="MICHELE MORAES - ESP - PR/SC/RS"/>
    <s v="Especialidade"/>
    <s v="rafael.esteves@cslbehring.com"/>
    <s v="RAFAEL ESTEVES (RJ/SPI/SUL)"/>
    <n v="0"/>
    <n v="0"/>
    <n v="0"/>
    <n v="0"/>
    <n v="660"/>
  </r>
  <r>
    <x v="0"/>
    <x v="2"/>
    <x v="0"/>
    <n v="3850913000195"/>
    <x v="127"/>
    <s v="CURITIBA"/>
    <s v="PR"/>
    <s v="1-Setorizado"/>
    <n v="2"/>
    <x v="9"/>
    <s v="FERNANDA BORNHAUSEN - HSP - SC/PR"/>
    <s v="Hospitalar"/>
    <s v="rafael.esteves@cslbehring.com"/>
    <s v="RAFAEL ESTEVES (RJ/SPI/SUL)"/>
    <n v="0"/>
    <n v="0"/>
    <n v="0"/>
    <n v="0"/>
    <n v="660"/>
  </r>
  <r>
    <x v="0"/>
    <x v="2"/>
    <x v="0"/>
    <n v="30117769000155"/>
    <x v="129"/>
    <s v="CURITIBA"/>
    <s v="PR"/>
    <s v="1-Setorizado"/>
    <n v="2"/>
    <x v="8"/>
    <s v="MICHELE MORAES - ESP - PR/SC/RS"/>
    <s v="Especialidade"/>
    <s v="rafael.esteves@cslbehring.com"/>
    <s v="RAFAEL ESTEVES (RJ/SPI/SUL)"/>
    <n v="0"/>
    <n v="0"/>
    <n v="0"/>
    <n v="0"/>
    <n v="205"/>
  </r>
  <r>
    <x v="0"/>
    <x v="2"/>
    <x v="0"/>
    <n v="30117769000155"/>
    <x v="129"/>
    <s v="CURITIBA"/>
    <s v="PR"/>
    <s v="1-Setorizado"/>
    <n v="2"/>
    <x v="9"/>
    <s v="FERNANDA BORNHAUSEN - HSP - SC/PR"/>
    <s v="Hospitalar"/>
    <s v="rafael.esteves@cslbehring.com"/>
    <s v="RAFAEL ESTEVES (RJ/SPI/SUL)"/>
    <n v="0"/>
    <n v="0"/>
    <n v="0"/>
    <n v="0"/>
    <n v="205"/>
  </r>
  <r>
    <x v="0"/>
    <x v="2"/>
    <x v="0"/>
    <n v="304148000110"/>
    <x v="130"/>
    <s v="FOZ DO IGUACU"/>
    <s v="PR"/>
    <s v="1-Setorizado"/>
    <n v="2"/>
    <x v="8"/>
    <s v="MICHELE MORAES - ESP - PR/SC/RS"/>
    <s v="Especialidade"/>
    <s v="rafael.esteves@cslbehring.com"/>
    <s v="RAFAEL ESTEVES (RJ/SPI/SUL)"/>
    <n v="0"/>
    <n v="0"/>
    <n v="0"/>
    <n v="0"/>
    <n v="175"/>
  </r>
  <r>
    <x v="0"/>
    <x v="2"/>
    <x v="0"/>
    <n v="304148000110"/>
    <x v="130"/>
    <s v="FOZ DO IGUACU"/>
    <s v="PR"/>
    <s v="1-Setorizado"/>
    <n v="2"/>
    <x v="9"/>
    <s v="FERNANDA BORNHAUSEN - HSP - SC/PR"/>
    <s v="Hospitalar"/>
    <s v="rafael.esteves@cslbehring.com"/>
    <s v="RAFAEL ESTEVES (RJ/SPI/SUL)"/>
    <n v="0"/>
    <n v="0"/>
    <n v="0"/>
    <n v="0"/>
    <n v="175"/>
  </r>
  <r>
    <x v="0"/>
    <x v="2"/>
    <x v="0"/>
    <n v="78633088000176"/>
    <x v="388"/>
    <s v="LONDRINA"/>
    <s v="PR"/>
    <s v="1-Setorizado"/>
    <n v="2"/>
    <x v="8"/>
    <s v="MICHELE MORAES - ESP - PR/SC/RS"/>
    <s v="Especialidade"/>
    <s v="rafael.esteves@cslbehring.com"/>
    <s v="RAFAEL ESTEVES (RJ/SPI/SUL)"/>
    <n v="0"/>
    <n v="0"/>
    <n v="0"/>
    <n v="0"/>
    <n v="10"/>
  </r>
  <r>
    <x v="0"/>
    <x v="2"/>
    <x v="0"/>
    <n v="78633088000176"/>
    <x v="388"/>
    <s v="LONDRINA"/>
    <s v="PR"/>
    <s v="1-Setorizado"/>
    <n v="2"/>
    <x v="9"/>
    <s v="FERNANDA BORNHAUSEN - HSP - SC/PR"/>
    <s v="Hospitalar"/>
    <s v="rafael.esteves@cslbehring.com"/>
    <s v="RAFAEL ESTEVES (RJ/SPI/SUL)"/>
    <n v="0"/>
    <n v="0"/>
    <n v="0"/>
    <n v="0"/>
    <n v="10"/>
  </r>
  <r>
    <x v="0"/>
    <x v="2"/>
    <x v="0"/>
    <n v="4762301000103"/>
    <x v="389"/>
    <s v="LONDRINA"/>
    <s v="PR"/>
    <s v="1-Setorizado"/>
    <n v="2"/>
    <x v="8"/>
    <s v="MICHELE MORAES - ESP - PR/SC/RS"/>
    <s v="Especialidade"/>
    <s v="rafael.esteves@cslbehring.com"/>
    <s v="RAFAEL ESTEVES (RJ/SPI/SUL)"/>
    <n v="0"/>
    <n v="0"/>
    <n v="0"/>
    <n v="0"/>
    <n v="405"/>
  </r>
  <r>
    <x v="0"/>
    <x v="2"/>
    <x v="0"/>
    <n v="4762301000103"/>
    <x v="389"/>
    <s v="LONDRINA"/>
    <s v="PR"/>
    <s v="1-Setorizado"/>
    <n v="2"/>
    <x v="9"/>
    <s v="FERNANDA BORNHAUSEN - HSP - SC/PR"/>
    <s v="Hospitalar"/>
    <s v="rafael.esteves@cslbehring.com"/>
    <s v="RAFAEL ESTEVES (RJ/SPI/SUL)"/>
    <n v="0"/>
    <n v="0"/>
    <n v="0"/>
    <n v="0"/>
    <n v="405"/>
  </r>
  <r>
    <x v="0"/>
    <x v="2"/>
    <x v="0"/>
    <n v="73863342000109"/>
    <x v="131"/>
    <s v="LONDRINA"/>
    <s v="PR"/>
    <s v="1-Setorizado"/>
    <n v="2"/>
    <x v="8"/>
    <s v="MICHELE MORAES - ESP - PR/SC/RS"/>
    <s v="Especialidade"/>
    <s v="rafael.esteves@cslbehring.com"/>
    <s v="RAFAEL ESTEVES (RJ/SPI/SUL)"/>
    <n v="0"/>
    <n v="0"/>
    <n v="0"/>
    <n v="0"/>
    <n v="20"/>
  </r>
  <r>
    <x v="0"/>
    <x v="2"/>
    <x v="0"/>
    <n v="73863342000109"/>
    <x v="131"/>
    <s v="LONDRINA"/>
    <s v="PR"/>
    <s v="1-Setorizado"/>
    <n v="2"/>
    <x v="9"/>
    <s v="FERNANDA BORNHAUSEN - HSP - SC/PR"/>
    <s v="Hospitalar"/>
    <s v="rafael.esteves@cslbehring.com"/>
    <s v="RAFAEL ESTEVES (RJ/SPI/SUL)"/>
    <n v="0"/>
    <n v="0"/>
    <n v="0"/>
    <n v="0"/>
    <n v="20"/>
  </r>
  <r>
    <x v="0"/>
    <x v="2"/>
    <x v="0"/>
    <n v="75222224001895"/>
    <x v="132"/>
    <s v="LONDRINA"/>
    <s v="PR"/>
    <s v="1-Setorizado"/>
    <n v="2"/>
    <x v="8"/>
    <s v="MICHELE MORAES - ESP - PR/SC/RS"/>
    <s v="Especialidade"/>
    <s v="rafael.esteves@cslbehring.com"/>
    <s v="RAFAEL ESTEVES (RJ/SPI/SUL)"/>
    <n v="0"/>
    <n v="0"/>
    <n v="0"/>
    <n v="0"/>
    <n v="1485"/>
  </r>
  <r>
    <x v="0"/>
    <x v="2"/>
    <x v="0"/>
    <n v="75222224001895"/>
    <x v="132"/>
    <s v="LONDRINA"/>
    <s v="PR"/>
    <s v="1-Setorizado"/>
    <n v="2"/>
    <x v="9"/>
    <s v="FERNANDA BORNHAUSEN - HSP - SC/PR"/>
    <s v="Hospitalar"/>
    <s v="rafael.esteves@cslbehring.com"/>
    <s v="RAFAEL ESTEVES (RJ/SPI/SUL)"/>
    <n v="0"/>
    <n v="0"/>
    <n v="0"/>
    <n v="0"/>
    <n v="1485"/>
  </r>
  <r>
    <x v="0"/>
    <x v="2"/>
    <x v="0"/>
    <n v="79115762000193"/>
    <x v="390"/>
    <s v="MARINGA"/>
    <s v="PR"/>
    <s v="1-Setorizado"/>
    <n v="2"/>
    <x v="8"/>
    <s v="MICHELE MORAES - ESP - PR/SC/RS"/>
    <s v="Especialidade"/>
    <s v="rafael.esteves@cslbehring.com"/>
    <s v="RAFAEL ESTEVES (RJ/SPI/SUL)"/>
    <n v="0"/>
    <n v="0"/>
    <n v="0"/>
    <n v="0"/>
    <n v="25"/>
  </r>
  <r>
    <x v="0"/>
    <x v="2"/>
    <x v="0"/>
    <n v="79115762000193"/>
    <x v="390"/>
    <s v="MARINGA"/>
    <s v="PR"/>
    <s v="1-Setorizado"/>
    <n v="2"/>
    <x v="9"/>
    <s v="FERNANDA BORNHAUSEN - HSP - SC/PR"/>
    <s v="Hospitalar"/>
    <s v="rafael.esteves@cslbehring.com"/>
    <s v="RAFAEL ESTEVES (RJ/SPI/SUL)"/>
    <n v="0"/>
    <n v="0"/>
    <n v="0"/>
    <n v="0"/>
    <n v="25"/>
  </r>
  <r>
    <x v="0"/>
    <x v="2"/>
    <x v="0"/>
    <n v="7794623002257"/>
    <x v="134"/>
    <s v="SAO JOSE DOS PINHAIS"/>
    <s v="PR"/>
    <s v="1-Setorizado"/>
    <n v="2"/>
    <x v="8"/>
    <s v="MICHELE MORAES - ESP - PR/SC/RS"/>
    <s v="Especialidade"/>
    <s v="rafael.esteves@cslbehring.com"/>
    <s v="RAFAEL ESTEVES (RJ/SPI/SUL)"/>
    <n v="0"/>
    <n v="0"/>
    <n v="0"/>
    <n v="0"/>
    <n v="630"/>
  </r>
  <r>
    <x v="0"/>
    <x v="2"/>
    <x v="0"/>
    <n v="7794623002257"/>
    <x v="134"/>
    <s v="SAO JOSE DOS PINHAIS"/>
    <s v="PR"/>
    <s v="1-Setorizado"/>
    <n v="2"/>
    <x v="9"/>
    <s v="FERNANDA BORNHAUSEN - HSP - SC/PR"/>
    <s v="Hospitalar"/>
    <s v="rafael.esteves@cslbehring.com"/>
    <s v="RAFAEL ESTEVES (RJ/SPI/SUL)"/>
    <n v="0"/>
    <n v="0"/>
    <n v="0"/>
    <n v="0"/>
    <n v="630"/>
  </r>
  <r>
    <x v="0"/>
    <x v="2"/>
    <x v="0"/>
    <n v="6047087001372"/>
    <x v="135"/>
    <s v="DUQUE DE CAXIAS"/>
    <s v="RJ"/>
    <s v="1-Setorizado"/>
    <n v="2"/>
    <x v="10"/>
    <s v="EVELINE GOULART - ESP - RJ"/>
    <s v="Especialidade"/>
    <s v="rafael.esteves@cslbehring.com"/>
    <s v="RAFAEL ESTEVES (RJ/SPI/SUL)"/>
    <n v="0"/>
    <n v="0"/>
    <n v="0"/>
    <n v="0"/>
    <n v="0"/>
  </r>
  <r>
    <x v="0"/>
    <x v="2"/>
    <x v="0"/>
    <n v="6047087001372"/>
    <x v="135"/>
    <s v="DUQUE DE CAXIAS"/>
    <s v="RJ"/>
    <s v="1-Setorizado"/>
    <n v="2"/>
    <x v="11"/>
    <s v="ROMEU SOARES - HSP - RJ"/>
    <s v="Hospitalar"/>
    <s v="rafael.esteves@cslbehring.com"/>
    <s v="RAFAEL ESTEVES (RJ/SPI/SUL)"/>
    <n v="0"/>
    <n v="2"/>
    <n v="0"/>
    <n v="0"/>
    <n v="0"/>
  </r>
  <r>
    <x v="0"/>
    <x v="2"/>
    <x v="0"/>
    <n v="10558548000105"/>
    <x v="478"/>
    <s v="MANGARATIBA"/>
    <s v="RJ"/>
    <s v="1-Setorizado"/>
    <n v="2"/>
    <x v="10"/>
    <s v="EVELINE GOULART - ESP - RJ"/>
    <s v="Especialidade"/>
    <s v="rafael.esteves@cslbehring.com"/>
    <s v="RAFAEL ESTEVES (RJ/SPI/SUL)"/>
    <n v="3"/>
    <n v="0"/>
    <n v="0"/>
    <n v="0"/>
    <n v="0"/>
  </r>
  <r>
    <x v="0"/>
    <x v="2"/>
    <x v="0"/>
    <n v="10558548000105"/>
    <x v="478"/>
    <s v="MANGARATIBA"/>
    <s v="RJ"/>
    <s v="1-Setorizado"/>
    <n v="2"/>
    <x v="12"/>
    <s v="MARCUS BASTOS - HSP - RJ"/>
    <s v="Hospitalar"/>
    <s v="rafael.esteves@cslbehring.com"/>
    <s v="RAFAEL ESTEVES (RJ/SPI/SUL)"/>
    <n v="0"/>
    <n v="0"/>
    <n v="0"/>
    <n v="0"/>
    <n v="0"/>
  </r>
  <r>
    <x v="0"/>
    <x v="2"/>
    <x v="0"/>
    <n v="25308058000128"/>
    <x v="479"/>
    <s v="NILOPOLIS"/>
    <s v="RJ"/>
    <s v="1-Setorizado"/>
    <n v="2"/>
    <x v="10"/>
    <s v="EVELINE GOULART - ESP - RJ"/>
    <s v="Especialidade"/>
    <s v="rafael.esteves@cslbehring.com"/>
    <s v="RAFAEL ESTEVES (RJ/SPI/SUL)"/>
    <n v="0"/>
    <n v="0"/>
    <n v="0"/>
    <n v="0"/>
    <n v="0"/>
  </r>
  <r>
    <x v="0"/>
    <x v="2"/>
    <x v="0"/>
    <n v="25308058000128"/>
    <x v="479"/>
    <s v="NILOPOLIS"/>
    <s v="RJ"/>
    <s v="1-Setorizado"/>
    <n v="2"/>
    <x v="12"/>
    <s v="MARCUS BASTOS - HSP - RJ"/>
    <s v="Hospitalar"/>
    <s v="rafael.esteves@cslbehring.com"/>
    <s v="RAFAEL ESTEVES (RJ/SPI/SUL)"/>
    <n v="0"/>
    <n v="2"/>
    <n v="0"/>
    <n v="0"/>
    <n v="0"/>
  </r>
  <r>
    <x v="0"/>
    <x v="2"/>
    <x v="0"/>
    <n v="437007000175"/>
    <x v="137"/>
    <s v="NITEROI"/>
    <s v="RJ"/>
    <s v="1-Setorizado"/>
    <n v="2"/>
    <x v="10"/>
    <s v="EVELINE GOULART - ESP - RJ"/>
    <s v="Especialidade"/>
    <s v="rafael.esteves@cslbehring.com"/>
    <s v="RAFAEL ESTEVES (RJ/SPI/SUL)"/>
    <n v="0"/>
    <n v="0"/>
    <n v="0"/>
    <n v="298"/>
    <n v="500"/>
  </r>
  <r>
    <x v="0"/>
    <x v="2"/>
    <x v="0"/>
    <n v="437007000175"/>
    <x v="137"/>
    <s v="NITEROI"/>
    <s v="RJ"/>
    <s v="1-Setorizado"/>
    <n v="2"/>
    <x v="11"/>
    <s v="ROMEU SOARES - HSP - RJ"/>
    <s v="Hospitalar"/>
    <s v="rafael.esteves@cslbehring.com"/>
    <s v="RAFAEL ESTEVES (RJ/SPI/SUL)"/>
    <n v="0"/>
    <n v="0"/>
    <n v="0"/>
    <n v="0"/>
    <n v="500"/>
  </r>
  <r>
    <x v="0"/>
    <x v="2"/>
    <x v="0"/>
    <n v="60884855001207"/>
    <x v="138"/>
    <s v="NITEROI"/>
    <s v="RJ"/>
    <s v="1-Setorizado"/>
    <n v="2"/>
    <x v="10"/>
    <s v="EVELINE GOULART - ESP - RJ"/>
    <s v="Especialidade"/>
    <s v="rafael.esteves@cslbehring.com"/>
    <s v="RAFAEL ESTEVES (RJ/SPI/SUL)"/>
    <n v="0"/>
    <n v="0"/>
    <n v="0"/>
    <n v="40"/>
    <n v="790"/>
  </r>
  <r>
    <x v="0"/>
    <x v="2"/>
    <x v="0"/>
    <n v="60884855001207"/>
    <x v="138"/>
    <s v="NITEROI"/>
    <s v="RJ"/>
    <s v="1-Setorizado"/>
    <n v="2"/>
    <x v="11"/>
    <s v="ROMEU SOARES - HSP - RJ"/>
    <s v="Hospitalar"/>
    <s v="rafael.esteves@cslbehring.com"/>
    <s v="RAFAEL ESTEVES (RJ/SPI/SUL)"/>
    <n v="0"/>
    <n v="0"/>
    <n v="13"/>
    <n v="0"/>
    <n v="790"/>
  </r>
  <r>
    <x v="0"/>
    <x v="2"/>
    <x v="0"/>
    <n v="28523215000378"/>
    <x v="480"/>
    <s v="NITEROI"/>
    <s v="RJ"/>
    <s v="1-Setorizado"/>
    <n v="2"/>
    <x v="10"/>
    <s v="EVELINE GOULART - ESP - RJ"/>
    <s v="Especialidade"/>
    <s v="rafael.esteves@cslbehring.com"/>
    <s v="RAFAEL ESTEVES (RJ/SPI/SUL)"/>
    <n v="0"/>
    <n v="0"/>
    <n v="0"/>
    <n v="0"/>
    <n v="300"/>
  </r>
  <r>
    <x v="0"/>
    <x v="2"/>
    <x v="0"/>
    <n v="28523215000378"/>
    <x v="480"/>
    <s v="NITEROI"/>
    <s v="RJ"/>
    <s v="1-Setorizado"/>
    <n v="2"/>
    <x v="11"/>
    <s v="ROMEU SOARES - HSP - RJ"/>
    <s v="Hospitalar"/>
    <s v="rafael.esteves@cslbehring.com"/>
    <s v="RAFAEL ESTEVES (RJ/SPI/SUL)"/>
    <n v="0"/>
    <n v="0"/>
    <n v="0"/>
    <n v="0"/>
    <n v="300"/>
  </r>
  <r>
    <x v="0"/>
    <x v="2"/>
    <x v="0"/>
    <n v="521197000104"/>
    <x v="139"/>
    <s v="NITEROI"/>
    <s v="RJ"/>
    <s v="1-Setorizado"/>
    <n v="2"/>
    <x v="10"/>
    <s v="EVELINE GOULART - ESP - RJ"/>
    <s v="Especialidade"/>
    <s v="rafael.esteves@cslbehring.com"/>
    <s v="RAFAEL ESTEVES (RJ/SPI/SUL)"/>
    <n v="0"/>
    <n v="0"/>
    <n v="0"/>
    <n v="0"/>
    <n v="298"/>
  </r>
  <r>
    <x v="0"/>
    <x v="2"/>
    <x v="0"/>
    <n v="521197000104"/>
    <x v="139"/>
    <s v="NITEROI"/>
    <s v="RJ"/>
    <s v="1-Setorizado"/>
    <n v="2"/>
    <x v="12"/>
    <s v="MARCUS BASTOS - HSP - RJ"/>
    <s v="Hospitalar"/>
    <s v="rafael.esteves@cslbehring.com"/>
    <s v="RAFAEL ESTEVES (RJ/SPI/SUL)"/>
    <n v="0"/>
    <n v="0"/>
    <n v="0"/>
    <n v="0"/>
    <n v="298"/>
  </r>
  <r>
    <x v="0"/>
    <x v="2"/>
    <x v="0"/>
    <n v="7794623001528"/>
    <x v="141"/>
    <s v="NOVA IGUACU"/>
    <s v="RJ"/>
    <s v="1-Setorizado"/>
    <n v="2"/>
    <x v="10"/>
    <s v="EVELINE GOULART - ESP - RJ"/>
    <s v="Especialidade"/>
    <s v="rafael.esteves@cslbehring.com"/>
    <s v="RAFAEL ESTEVES (RJ/SPI/SUL)"/>
    <n v="0"/>
    <n v="0"/>
    <n v="0"/>
    <n v="28"/>
    <n v="0"/>
  </r>
  <r>
    <x v="0"/>
    <x v="2"/>
    <x v="0"/>
    <n v="7794623001528"/>
    <x v="141"/>
    <s v="NOVA IGUACU"/>
    <s v="RJ"/>
    <s v="1-Setorizado"/>
    <n v="2"/>
    <x v="11"/>
    <s v="ROMEU SOARES - HSP - RJ"/>
    <s v="Hospitalar"/>
    <s v="rafael.esteves@cslbehring.com"/>
    <s v="RAFAEL ESTEVES (RJ/SPI/SUL)"/>
    <n v="0"/>
    <n v="0"/>
    <n v="0"/>
    <n v="0"/>
    <n v="0"/>
  </r>
  <r>
    <x v="0"/>
    <x v="2"/>
    <x v="0"/>
    <n v="30638381000108"/>
    <x v="481"/>
    <s v="PETROPOLIS"/>
    <s v="RJ"/>
    <s v="1-Setorizado"/>
    <n v="2"/>
    <x v="10"/>
    <s v="EVELINE GOULART - ESP - RJ"/>
    <s v="Especialidade"/>
    <s v="rafael.esteves@cslbehring.com"/>
    <s v="RAFAEL ESTEVES (RJ/SPI/SUL)"/>
    <n v="0"/>
    <n v="0"/>
    <n v="0"/>
    <n v="0"/>
    <n v="125"/>
  </r>
  <r>
    <x v="0"/>
    <x v="2"/>
    <x v="0"/>
    <n v="30638381000108"/>
    <x v="481"/>
    <s v="PETROPOLIS"/>
    <s v="RJ"/>
    <s v="1-Setorizado"/>
    <n v="2"/>
    <x v="12"/>
    <s v="MARCUS BASTOS - HSP - RJ"/>
    <s v="Hospitalar"/>
    <s v="rafael.esteves@cslbehring.com"/>
    <s v="RAFAEL ESTEVES (RJ/SPI/SUL)"/>
    <n v="0"/>
    <n v="0"/>
    <n v="0"/>
    <n v="0"/>
    <n v="125"/>
  </r>
  <r>
    <x v="0"/>
    <x v="2"/>
    <x v="0"/>
    <n v="28806545000532"/>
    <x v="142"/>
    <s v="PETROPOLIS"/>
    <s v="RJ"/>
    <s v="1-Setorizado"/>
    <n v="2"/>
    <x v="10"/>
    <s v="EVELINE GOULART - ESP - RJ"/>
    <s v="Especialidade"/>
    <s v="rafael.esteves@cslbehring.com"/>
    <s v="RAFAEL ESTEVES (RJ/SPI/SUL)"/>
    <n v="0"/>
    <n v="0"/>
    <n v="0"/>
    <n v="96"/>
    <n v="0"/>
  </r>
  <r>
    <x v="0"/>
    <x v="2"/>
    <x v="0"/>
    <n v="28806545000532"/>
    <x v="142"/>
    <s v="PETROPOLIS"/>
    <s v="RJ"/>
    <s v="1-Setorizado"/>
    <n v="2"/>
    <x v="12"/>
    <s v="MARCUS BASTOS - HSP - RJ"/>
    <s v="Hospitalar"/>
    <s v="rafael.esteves@cslbehring.com"/>
    <s v="RAFAEL ESTEVES (RJ/SPI/SUL)"/>
    <n v="0"/>
    <n v="0"/>
    <n v="0"/>
    <n v="0"/>
    <n v="0"/>
  </r>
  <r>
    <x v="0"/>
    <x v="2"/>
    <x v="0"/>
    <n v="68709211000212"/>
    <x v="143"/>
    <s v="RESENDE"/>
    <s v="RJ"/>
    <s v="1-Setorizado"/>
    <n v="2"/>
    <x v="10"/>
    <s v="EVELINE GOULART - ESP - RJ"/>
    <s v="Especialidade"/>
    <s v="rafael.esteves@cslbehring.com"/>
    <s v="RAFAEL ESTEVES (RJ/SPI/SUL)"/>
    <n v="0"/>
    <n v="0"/>
    <n v="0"/>
    <n v="0"/>
    <n v="200"/>
  </r>
  <r>
    <x v="0"/>
    <x v="2"/>
    <x v="0"/>
    <n v="68709211000212"/>
    <x v="143"/>
    <s v="RESENDE"/>
    <s v="RJ"/>
    <s v="1-Setorizado"/>
    <n v="2"/>
    <x v="12"/>
    <s v="MARCUS BASTOS - HSP - RJ"/>
    <s v="Hospitalar"/>
    <s v="rafael.esteves@cslbehring.com"/>
    <s v="RAFAEL ESTEVES (RJ/SPI/SUL)"/>
    <n v="0"/>
    <n v="2"/>
    <n v="0"/>
    <n v="0"/>
    <n v="200"/>
  </r>
  <r>
    <x v="0"/>
    <x v="2"/>
    <x v="0"/>
    <n v="29072642000188"/>
    <x v="144"/>
    <s v="RESENDE"/>
    <s v="RJ"/>
    <s v="1-Setorizado"/>
    <n v="2"/>
    <x v="10"/>
    <s v="EVELINE GOULART - ESP - RJ"/>
    <s v="Especialidade"/>
    <s v="rafael.esteves@cslbehring.com"/>
    <s v="RAFAEL ESTEVES (RJ/SPI/SUL)"/>
    <n v="0"/>
    <n v="0"/>
    <n v="0"/>
    <n v="0"/>
    <n v="0"/>
  </r>
  <r>
    <x v="0"/>
    <x v="2"/>
    <x v="0"/>
    <n v="29072642000188"/>
    <x v="144"/>
    <s v="RESENDE"/>
    <s v="RJ"/>
    <s v="1-Setorizado"/>
    <n v="2"/>
    <x v="12"/>
    <s v="MARCUS BASTOS - HSP - RJ"/>
    <s v="Hospitalar"/>
    <s v="rafael.esteves@cslbehring.com"/>
    <s v="RAFAEL ESTEVES (RJ/SPI/SUL)"/>
    <n v="0"/>
    <n v="10"/>
    <n v="0"/>
    <n v="0"/>
    <n v="0"/>
  </r>
  <r>
    <x v="0"/>
    <x v="2"/>
    <x v="0"/>
    <n v="21109731000140"/>
    <x v="145"/>
    <s v="RIO DE JANEIRO"/>
    <s v="RJ"/>
    <s v="1-Setorizado"/>
    <n v="2"/>
    <x v="10"/>
    <s v="EVELINE GOULART - ESP - RJ"/>
    <s v="Especialidade"/>
    <s v="rafael.esteves@cslbehring.com"/>
    <s v="RAFAEL ESTEVES (RJ/SPI/SUL)"/>
    <n v="0"/>
    <n v="0"/>
    <n v="0"/>
    <n v="112"/>
    <n v="0"/>
  </r>
  <r>
    <x v="0"/>
    <x v="2"/>
    <x v="0"/>
    <n v="21109731000140"/>
    <x v="145"/>
    <s v="RIO DE JANEIRO"/>
    <s v="RJ"/>
    <s v="1-Setorizado"/>
    <n v="2"/>
    <x v="11"/>
    <s v="ROMEU SOARES - HSP - RJ"/>
    <s v="Hospitalar"/>
    <s v="rafael.esteves@cslbehring.com"/>
    <s v="RAFAEL ESTEVES (RJ/SPI/SUL)"/>
    <n v="0"/>
    <n v="0"/>
    <n v="0"/>
    <n v="0"/>
    <n v="0"/>
  </r>
  <r>
    <x v="0"/>
    <x v="2"/>
    <x v="0"/>
    <n v="60922168000348"/>
    <x v="146"/>
    <s v="RIO DE JANEIRO"/>
    <s v="RJ"/>
    <s v="1-Setorizado"/>
    <n v="2"/>
    <x v="10"/>
    <s v="EVELINE GOULART - ESP - RJ"/>
    <s v="Especialidade"/>
    <s v="rafael.esteves@cslbehring.com"/>
    <s v="RAFAEL ESTEVES (RJ/SPI/SUL)"/>
    <n v="0"/>
    <n v="0"/>
    <n v="0"/>
    <n v="0"/>
    <n v="130"/>
  </r>
  <r>
    <x v="0"/>
    <x v="2"/>
    <x v="0"/>
    <n v="60922168000348"/>
    <x v="146"/>
    <s v="RIO DE JANEIRO"/>
    <s v="RJ"/>
    <s v="1-Setorizado"/>
    <n v="2"/>
    <x v="11"/>
    <s v="ROMEU SOARES - HSP - RJ"/>
    <s v="Hospitalar"/>
    <s v="rafael.esteves@cslbehring.com"/>
    <s v="RAFAEL ESTEVES (RJ/SPI/SUL)"/>
    <n v="0"/>
    <n v="3"/>
    <n v="6"/>
    <n v="0"/>
    <n v="130"/>
  </r>
  <r>
    <x v="0"/>
    <x v="2"/>
    <x v="0"/>
    <n v="7794623004896"/>
    <x v="147"/>
    <s v="RIO DE JANEIRO"/>
    <s v="RJ"/>
    <s v="1-Setorizado"/>
    <n v="2"/>
    <x v="10"/>
    <s v="EVELINE GOULART - ESP - RJ"/>
    <s v="Especialidade"/>
    <s v="rafael.esteves@cslbehring.com"/>
    <s v="RAFAEL ESTEVES (RJ/SPI/SUL)"/>
    <n v="0"/>
    <n v="0"/>
    <n v="0"/>
    <n v="0"/>
    <n v="1750"/>
  </r>
  <r>
    <x v="0"/>
    <x v="2"/>
    <x v="0"/>
    <n v="7794623004896"/>
    <x v="147"/>
    <s v="RIO DE JANEIRO"/>
    <s v="RJ"/>
    <s v="1-Setorizado"/>
    <n v="2"/>
    <x v="11"/>
    <s v="ROMEU SOARES - HSP - RJ"/>
    <s v="Hospitalar"/>
    <s v="rafael.esteves@cslbehring.com"/>
    <s v="RAFAEL ESTEVES (RJ/SPI/SUL)"/>
    <n v="0"/>
    <n v="0"/>
    <n v="0"/>
    <n v="0"/>
    <n v="1750"/>
  </r>
  <r>
    <x v="0"/>
    <x v="2"/>
    <x v="0"/>
    <n v="2864097000106"/>
    <x v="149"/>
    <s v="RIO DE JANEIRO"/>
    <s v="RJ"/>
    <s v="1-Setorizado"/>
    <n v="2"/>
    <x v="10"/>
    <s v="EVELINE GOULART - ESP - RJ"/>
    <s v="Especialidade"/>
    <s v="rafael.esteves@cslbehring.com"/>
    <s v="RAFAEL ESTEVES (RJ/SPI/SUL)"/>
    <n v="0"/>
    <n v="0"/>
    <n v="0"/>
    <n v="0"/>
    <n v="40"/>
  </r>
  <r>
    <x v="0"/>
    <x v="2"/>
    <x v="0"/>
    <n v="2864097000106"/>
    <x v="149"/>
    <s v="RIO DE JANEIRO"/>
    <s v="RJ"/>
    <s v="1-Setorizado"/>
    <n v="2"/>
    <x v="11"/>
    <s v="ROMEU SOARES - HSP - RJ"/>
    <s v="Hospitalar"/>
    <s v="rafael.esteves@cslbehring.com"/>
    <s v="RAFAEL ESTEVES (RJ/SPI/SUL)"/>
    <n v="0"/>
    <n v="0"/>
    <n v="0"/>
    <n v="0"/>
    <n v="40"/>
  </r>
  <r>
    <x v="0"/>
    <x v="2"/>
    <x v="0"/>
    <n v="39086160000130"/>
    <x v="151"/>
    <s v="RIO DE JANEIRO"/>
    <s v="RJ"/>
    <s v="1-Setorizado"/>
    <n v="2"/>
    <x v="10"/>
    <s v="EVELINE GOULART - ESP - RJ"/>
    <s v="Especialidade"/>
    <s v="rafael.esteves@cslbehring.com"/>
    <s v="RAFAEL ESTEVES (RJ/SPI/SUL)"/>
    <n v="0"/>
    <n v="0"/>
    <n v="0"/>
    <n v="88"/>
    <n v="180"/>
  </r>
  <r>
    <x v="0"/>
    <x v="2"/>
    <x v="0"/>
    <n v="39086160000130"/>
    <x v="151"/>
    <s v="RIO DE JANEIRO"/>
    <s v="RJ"/>
    <s v="1-Setorizado"/>
    <n v="2"/>
    <x v="11"/>
    <s v="ROMEU SOARES - HSP - RJ"/>
    <s v="Hospitalar"/>
    <s v="rafael.esteves@cslbehring.com"/>
    <s v="RAFAEL ESTEVES (RJ/SPI/SUL)"/>
    <n v="0"/>
    <n v="0"/>
    <n v="0"/>
    <n v="0"/>
    <n v="180"/>
  </r>
  <r>
    <x v="0"/>
    <x v="2"/>
    <x v="0"/>
    <n v="40226946000276"/>
    <x v="482"/>
    <s v="RIO DE JANEIRO"/>
    <s v="RJ"/>
    <s v="1-Setorizado"/>
    <n v="2"/>
    <x v="10"/>
    <s v="EVELINE GOULART - ESP - RJ"/>
    <s v="Especialidade"/>
    <s v="rafael.esteves@cslbehring.com"/>
    <s v="RAFAEL ESTEVES (RJ/SPI/SUL)"/>
    <n v="0"/>
    <n v="0"/>
    <n v="0"/>
    <n v="0"/>
    <n v="0"/>
  </r>
  <r>
    <x v="0"/>
    <x v="2"/>
    <x v="0"/>
    <n v="40226946000276"/>
    <x v="482"/>
    <s v="RIO DE JANEIRO"/>
    <s v="RJ"/>
    <s v="1-Setorizado"/>
    <n v="2"/>
    <x v="11"/>
    <s v="ROMEU SOARES - HSP - RJ"/>
    <s v="Hospitalar"/>
    <s v="rafael.esteves@cslbehring.com"/>
    <s v="RAFAEL ESTEVES (RJ/SPI/SUL)"/>
    <n v="0"/>
    <n v="2"/>
    <n v="0"/>
    <n v="0"/>
    <n v="0"/>
  </r>
  <r>
    <x v="0"/>
    <x v="2"/>
    <x v="0"/>
    <n v="21265360000195"/>
    <x v="152"/>
    <s v="RIO DE JANEIRO"/>
    <s v="RJ"/>
    <s v="1-Setorizado"/>
    <n v="2"/>
    <x v="10"/>
    <s v="EVELINE GOULART - ESP - RJ"/>
    <s v="Especialidade"/>
    <s v="rafael.esteves@cslbehring.com"/>
    <s v="RAFAEL ESTEVES (RJ/SPI/SUL)"/>
    <n v="0"/>
    <n v="0"/>
    <n v="0"/>
    <n v="16"/>
    <n v="0"/>
  </r>
  <r>
    <x v="0"/>
    <x v="2"/>
    <x v="0"/>
    <n v="21265360000195"/>
    <x v="152"/>
    <s v="RIO DE JANEIRO"/>
    <s v="RJ"/>
    <s v="1-Setorizado"/>
    <n v="2"/>
    <x v="12"/>
    <s v="MARCUS BASTOS - HSP - RJ"/>
    <s v="Hospitalar"/>
    <s v="rafael.esteves@cslbehring.com"/>
    <s v="RAFAEL ESTEVES (RJ/SPI/SUL)"/>
    <n v="0"/>
    <n v="0"/>
    <n v="0"/>
    <n v="0"/>
    <n v="0"/>
  </r>
  <r>
    <x v="0"/>
    <x v="2"/>
    <x v="0"/>
    <n v="31635857000292"/>
    <x v="153"/>
    <s v="RIO DE JANEIRO"/>
    <s v="RJ"/>
    <s v="1-Setorizado"/>
    <n v="2"/>
    <x v="10"/>
    <s v="EVELINE GOULART - ESP - RJ"/>
    <s v="Especialidade"/>
    <s v="rafael.esteves@cslbehring.com"/>
    <s v="RAFAEL ESTEVES (RJ/SPI/SUL)"/>
    <n v="0"/>
    <n v="0"/>
    <n v="0"/>
    <n v="16"/>
    <n v="0"/>
  </r>
  <r>
    <x v="0"/>
    <x v="2"/>
    <x v="0"/>
    <n v="31635857000292"/>
    <x v="153"/>
    <s v="RIO DE JANEIRO"/>
    <s v="RJ"/>
    <s v="1-Setorizado"/>
    <n v="2"/>
    <x v="11"/>
    <s v="ROMEU SOARES - HSP - RJ"/>
    <s v="Hospitalar"/>
    <s v="rafael.esteves@cslbehring.com"/>
    <s v="RAFAEL ESTEVES (RJ/SPI/SUL)"/>
    <n v="0"/>
    <n v="0"/>
    <n v="0"/>
    <n v="0"/>
    <n v="0"/>
  </r>
  <r>
    <x v="0"/>
    <x v="2"/>
    <x v="0"/>
    <n v="73696718000219"/>
    <x v="154"/>
    <s v="RIO DE JANEIRO"/>
    <s v="RJ"/>
    <s v="1-Setorizado"/>
    <n v="2"/>
    <x v="10"/>
    <s v="EVELINE GOULART - ESP - RJ"/>
    <s v="Especialidade"/>
    <s v="rafael.esteves@cslbehring.com"/>
    <s v="RAFAEL ESTEVES (RJ/SPI/SUL)"/>
    <n v="0"/>
    <n v="0"/>
    <n v="0"/>
    <n v="0"/>
    <n v="0"/>
  </r>
  <r>
    <x v="0"/>
    <x v="2"/>
    <x v="0"/>
    <n v="73696718000219"/>
    <x v="154"/>
    <s v="RIO DE JANEIRO"/>
    <s v="RJ"/>
    <s v="1-Setorizado"/>
    <n v="2"/>
    <x v="12"/>
    <s v="MARCUS BASTOS - HSP - RJ"/>
    <s v="Hospitalar"/>
    <s v="rafael.esteves@cslbehring.com"/>
    <s v="RAFAEL ESTEVES (RJ/SPI/SUL)"/>
    <n v="0"/>
    <n v="0"/>
    <n v="7"/>
    <n v="0"/>
    <n v="0"/>
  </r>
  <r>
    <x v="0"/>
    <x v="2"/>
    <x v="0"/>
    <n v="2284062000521"/>
    <x v="155"/>
    <s v="RIO DE JANEIRO"/>
    <s v="RJ"/>
    <s v="1-Setorizado"/>
    <n v="2"/>
    <x v="10"/>
    <s v="EVELINE GOULART - ESP - RJ"/>
    <s v="Especialidade"/>
    <s v="rafael.esteves@cslbehring.com"/>
    <s v="RAFAEL ESTEVES (RJ/SPI/SUL)"/>
    <n v="0"/>
    <n v="0"/>
    <n v="0"/>
    <n v="0"/>
    <n v="0"/>
  </r>
  <r>
    <x v="0"/>
    <x v="2"/>
    <x v="0"/>
    <n v="2284062000521"/>
    <x v="155"/>
    <s v="RIO DE JANEIRO"/>
    <s v="RJ"/>
    <s v="1-Setorizado"/>
    <n v="2"/>
    <x v="12"/>
    <s v="MARCUS BASTOS - HSP - RJ"/>
    <s v="Hospitalar"/>
    <s v="rafael.esteves@cslbehring.com"/>
    <s v="RAFAEL ESTEVES (RJ/SPI/SUL)"/>
    <n v="0"/>
    <n v="13"/>
    <n v="5"/>
    <n v="0"/>
    <n v="0"/>
  </r>
  <r>
    <x v="0"/>
    <x v="2"/>
    <x v="0"/>
    <n v="24217779000160"/>
    <x v="156"/>
    <s v="RIO DE JANEIRO"/>
    <s v="RJ"/>
    <s v="1-Setorizado"/>
    <n v="2"/>
    <x v="10"/>
    <s v="EVELINE GOULART - ESP - RJ"/>
    <s v="Especialidade"/>
    <s v="rafael.esteves@cslbehring.com"/>
    <s v="RAFAEL ESTEVES (RJ/SPI/SUL)"/>
    <n v="0"/>
    <n v="0"/>
    <n v="0"/>
    <n v="0"/>
    <n v="0"/>
  </r>
  <r>
    <x v="0"/>
    <x v="2"/>
    <x v="0"/>
    <n v="24217779000160"/>
    <x v="156"/>
    <s v="RIO DE JANEIRO"/>
    <s v="RJ"/>
    <s v="1-Setorizado"/>
    <n v="2"/>
    <x v="12"/>
    <s v="MARCUS BASTOS - HSP - RJ"/>
    <s v="Hospitalar"/>
    <s v="rafael.esteves@cslbehring.com"/>
    <s v="RAFAEL ESTEVES (RJ/SPI/SUL)"/>
    <n v="0"/>
    <n v="29"/>
    <n v="14"/>
    <n v="0"/>
    <n v="0"/>
  </r>
  <r>
    <x v="0"/>
    <x v="2"/>
    <x v="0"/>
    <n v="6047087000996"/>
    <x v="159"/>
    <s v="RIO DE JANEIRO"/>
    <s v="RJ"/>
    <s v="1-Setorizado"/>
    <n v="2"/>
    <x v="10"/>
    <s v="EVELINE GOULART - ESP - RJ"/>
    <s v="Especialidade"/>
    <s v="rafael.esteves@cslbehring.com"/>
    <s v="RAFAEL ESTEVES (RJ/SPI/SUL)"/>
    <n v="0"/>
    <n v="0"/>
    <n v="0"/>
    <n v="0"/>
    <n v="225"/>
  </r>
  <r>
    <x v="0"/>
    <x v="2"/>
    <x v="0"/>
    <n v="6047087000996"/>
    <x v="159"/>
    <s v="RIO DE JANEIRO"/>
    <s v="RJ"/>
    <s v="1-Setorizado"/>
    <n v="2"/>
    <x v="11"/>
    <s v="ROMEU SOARES - HSP - RJ"/>
    <s v="Hospitalar"/>
    <s v="rafael.esteves@cslbehring.com"/>
    <s v="RAFAEL ESTEVES (RJ/SPI/SUL)"/>
    <n v="0"/>
    <n v="0"/>
    <n v="13"/>
    <n v="0"/>
    <n v="225"/>
  </r>
  <r>
    <x v="0"/>
    <x v="2"/>
    <x v="0"/>
    <n v="6047087002697"/>
    <x v="160"/>
    <s v="RIO DE JANEIRO"/>
    <s v="RJ"/>
    <s v="1-Setorizado"/>
    <n v="2"/>
    <x v="10"/>
    <s v="EVELINE GOULART - ESP - RJ"/>
    <s v="Especialidade"/>
    <s v="rafael.esteves@cslbehring.com"/>
    <s v="RAFAEL ESTEVES (RJ/SPI/SUL)"/>
    <n v="0"/>
    <n v="0"/>
    <n v="0"/>
    <n v="0"/>
    <n v="0"/>
  </r>
  <r>
    <x v="0"/>
    <x v="2"/>
    <x v="0"/>
    <n v="6047087002697"/>
    <x v="160"/>
    <s v="RIO DE JANEIRO"/>
    <s v="RJ"/>
    <s v="1-Setorizado"/>
    <n v="2"/>
    <x v="11"/>
    <s v="ROMEU SOARES - HSP - RJ"/>
    <s v="Hospitalar"/>
    <s v="rafael.esteves@cslbehring.com"/>
    <s v="RAFAEL ESTEVES (RJ/SPI/SUL)"/>
    <n v="0"/>
    <n v="22"/>
    <n v="10"/>
    <n v="0"/>
    <n v="0"/>
  </r>
  <r>
    <x v="0"/>
    <x v="2"/>
    <x v="0"/>
    <n v="394544020453"/>
    <x v="161"/>
    <s v="RIO DE JANEIRO"/>
    <s v="RJ"/>
    <s v="1-Setorizado"/>
    <n v="2"/>
    <x v="10"/>
    <s v="EVELINE GOULART - ESP - RJ"/>
    <s v="Especialidade"/>
    <s v="rafael.esteves@cslbehring.com"/>
    <s v="RAFAEL ESTEVES (RJ/SPI/SUL)"/>
    <n v="0"/>
    <n v="0"/>
    <n v="0"/>
    <n v="0"/>
    <n v="200"/>
  </r>
  <r>
    <x v="0"/>
    <x v="2"/>
    <x v="0"/>
    <n v="394544020453"/>
    <x v="161"/>
    <s v="RIO DE JANEIRO"/>
    <s v="RJ"/>
    <s v="1-Setorizado"/>
    <n v="2"/>
    <x v="11"/>
    <s v="ROMEU SOARES - HSP - RJ"/>
    <s v="Hospitalar"/>
    <s v="rafael.esteves@cslbehring.com"/>
    <s v="RAFAEL ESTEVES (RJ/SPI/SUL)"/>
    <n v="0"/>
    <n v="0"/>
    <n v="0"/>
    <n v="0"/>
    <n v="200"/>
  </r>
  <r>
    <x v="0"/>
    <x v="2"/>
    <x v="0"/>
    <n v="27901222000131"/>
    <x v="163"/>
    <s v="RIO DE JANEIRO"/>
    <s v="RJ"/>
    <s v="1-Setorizado"/>
    <n v="2"/>
    <x v="10"/>
    <s v="EVELINE GOULART - ESP - RJ"/>
    <s v="Especialidade"/>
    <s v="rafael.esteves@cslbehring.com"/>
    <s v="RAFAEL ESTEVES (RJ/SPI/SUL)"/>
    <n v="0"/>
    <n v="0"/>
    <n v="0"/>
    <n v="0"/>
    <n v="0"/>
  </r>
  <r>
    <x v="0"/>
    <x v="2"/>
    <x v="0"/>
    <n v="27901222000131"/>
    <x v="163"/>
    <s v="RIO DE JANEIRO"/>
    <s v="RJ"/>
    <s v="1-Setorizado"/>
    <n v="2"/>
    <x v="11"/>
    <s v="ROMEU SOARES - HSP - RJ"/>
    <s v="Hospitalar"/>
    <s v="rafael.esteves@cslbehring.com"/>
    <s v="RAFAEL ESTEVES (RJ/SPI/SUL)"/>
    <n v="0"/>
    <n v="0"/>
    <n v="6"/>
    <n v="0"/>
    <n v="0"/>
  </r>
  <r>
    <x v="0"/>
    <x v="2"/>
    <x v="0"/>
    <n v="394502014870"/>
    <x v="401"/>
    <s v="RIO DE JANEIRO"/>
    <s v="RJ"/>
    <s v="1-Setorizado"/>
    <n v="2"/>
    <x v="10"/>
    <s v="EVELINE GOULART - ESP - RJ"/>
    <s v="Especialidade"/>
    <s v="rafael.esteves@cslbehring.com"/>
    <s v="RAFAEL ESTEVES (RJ/SPI/SUL)"/>
    <n v="0"/>
    <n v="0"/>
    <n v="0"/>
    <n v="0"/>
    <n v="0"/>
  </r>
  <r>
    <x v="0"/>
    <x v="2"/>
    <x v="0"/>
    <n v="394502014870"/>
    <x v="401"/>
    <s v="RIO DE JANEIRO"/>
    <s v="RJ"/>
    <s v="1-Setorizado"/>
    <n v="2"/>
    <x v="12"/>
    <s v="MARCUS BASTOS - HSP - RJ"/>
    <s v="Hospitalar"/>
    <s v="rafael.esteves@cslbehring.com"/>
    <s v="RAFAEL ESTEVES (RJ/SPI/SUL)"/>
    <n v="0"/>
    <n v="5"/>
    <n v="0"/>
    <n v="0"/>
    <n v="0"/>
  </r>
  <r>
    <x v="0"/>
    <x v="2"/>
    <x v="0"/>
    <n v="6047087003316"/>
    <x v="168"/>
    <s v="RIO DE JANEIRO"/>
    <s v="RJ"/>
    <s v="1-Setorizado"/>
    <n v="2"/>
    <x v="10"/>
    <s v="EVELINE GOULART - ESP - RJ"/>
    <s v="Especialidade"/>
    <s v="rafael.esteves@cslbehring.com"/>
    <s v="RAFAEL ESTEVES (RJ/SPI/SUL)"/>
    <n v="0"/>
    <n v="0"/>
    <n v="0"/>
    <n v="0"/>
    <n v="0"/>
  </r>
  <r>
    <x v="0"/>
    <x v="2"/>
    <x v="0"/>
    <n v="6047087003316"/>
    <x v="168"/>
    <s v="RIO DE JANEIRO"/>
    <s v="RJ"/>
    <s v="1-Setorizado"/>
    <n v="2"/>
    <x v="11"/>
    <s v="ROMEU SOARES - HSP - RJ"/>
    <s v="Hospitalar"/>
    <s v="rafael.esteves@cslbehring.com"/>
    <s v="RAFAEL ESTEVES (RJ/SPI/SUL)"/>
    <n v="0"/>
    <n v="0"/>
    <n v="1"/>
    <n v="0"/>
    <n v="0"/>
  </r>
  <r>
    <x v="0"/>
    <x v="2"/>
    <x v="0"/>
    <n v="29435005005783"/>
    <x v="169"/>
    <s v="RIO DE JANEIRO"/>
    <s v="RJ"/>
    <s v="1-Setorizado"/>
    <n v="2"/>
    <x v="10"/>
    <s v="EVELINE GOULART - ESP - RJ"/>
    <s v="Especialidade"/>
    <s v="rafael.esteves@cslbehring.com"/>
    <s v="RAFAEL ESTEVES (RJ/SPI/SUL)"/>
    <n v="0"/>
    <n v="0"/>
    <n v="0"/>
    <n v="0"/>
    <n v="250"/>
  </r>
  <r>
    <x v="0"/>
    <x v="2"/>
    <x v="0"/>
    <n v="29435005005783"/>
    <x v="169"/>
    <s v="RIO DE JANEIRO"/>
    <s v="RJ"/>
    <s v="1-Setorizado"/>
    <n v="2"/>
    <x v="12"/>
    <s v="MARCUS BASTOS - HSP - RJ"/>
    <s v="Hospitalar"/>
    <s v="rafael.esteves@cslbehring.com"/>
    <s v="RAFAEL ESTEVES (RJ/SPI/SUL)"/>
    <n v="0"/>
    <n v="1"/>
    <n v="0"/>
    <n v="0"/>
    <n v="250"/>
  </r>
  <r>
    <x v="0"/>
    <x v="2"/>
    <x v="0"/>
    <n v="29435005005198"/>
    <x v="170"/>
    <s v="RIO DE JANEIRO"/>
    <s v="RJ"/>
    <s v="1-Setorizado"/>
    <n v="2"/>
    <x v="10"/>
    <s v="EVELINE GOULART - ESP - RJ"/>
    <s v="Especialidade"/>
    <s v="rafael.esteves@cslbehring.com"/>
    <s v="RAFAEL ESTEVES (RJ/SPI/SUL)"/>
    <n v="0"/>
    <n v="0"/>
    <n v="0"/>
    <n v="0"/>
    <n v="0"/>
  </r>
  <r>
    <x v="0"/>
    <x v="2"/>
    <x v="0"/>
    <n v="29435005005198"/>
    <x v="170"/>
    <s v="RIO DE JANEIRO"/>
    <s v="RJ"/>
    <s v="1-Setorizado"/>
    <n v="2"/>
    <x v="11"/>
    <s v="ROMEU SOARES - HSP - RJ"/>
    <s v="Hospitalar"/>
    <s v="rafael.esteves@cslbehring.com"/>
    <s v="RAFAEL ESTEVES (RJ/SPI/SUL)"/>
    <n v="0"/>
    <n v="15"/>
    <n v="14"/>
    <n v="0"/>
    <n v="0"/>
  </r>
  <r>
    <x v="0"/>
    <x v="2"/>
    <x v="0"/>
    <n v="6047087001020"/>
    <x v="171"/>
    <s v="RIO DE JANEIRO"/>
    <s v="RJ"/>
    <s v="1-Setorizado"/>
    <n v="2"/>
    <x v="10"/>
    <s v="EVELINE GOULART - ESP - RJ"/>
    <s v="Especialidade"/>
    <s v="rafael.esteves@cslbehring.com"/>
    <s v="RAFAEL ESTEVES (RJ/SPI/SUL)"/>
    <n v="0"/>
    <n v="0"/>
    <n v="0"/>
    <n v="0"/>
    <n v="0"/>
  </r>
  <r>
    <x v="0"/>
    <x v="2"/>
    <x v="0"/>
    <n v="6047087001020"/>
    <x v="171"/>
    <s v="RIO DE JANEIRO"/>
    <s v="RJ"/>
    <s v="1-Setorizado"/>
    <n v="2"/>
    <x v="11"/>
    <s v="ROMEU SOARES - HSP - RJ"/>
    <s v="Hospitalar"/>
    <s v="rafael.esteves@cslbehring.com"/>
    <s v="RAFAEL ESTEVES (RJ/SPI/SUL)"/>
    <n v="0"/>
    <n v="33"/>
    <n v="66"/>
    <n v="0"/>
    <n v="0"/>
  </r>
  <r>
    <x v="0"/>
    <x v="2"/>
    <x v="0"/>
    <n v="29259736000403"/>
    <x v="172"/>
    <s v="RIO DE JANEIRO"/>
    <s v="RJ"/>
    <s v="1-Setorizado"/>
    <n v="2"/>
    <x v="10"/>
    <s v="EVELINE GOULART - ESP - RJ"/>
    <s v="Especialidade"/>
    <s v="rafael.esteves@cslbehring.com"/>
    <s v="RAFAEL ESTEVES (RJ/SPI/SUL)"/>
    <n v="0"/>
    <n v="0"/>
    <n v="0"/>
    <n v="1"/>
    <n v="0"/>
  </r>
  <r>
    <x v="0"/>
    <x v="2"/>
    <x v="0"/>
    <n v="29259736000403"/>
    <x v="172"/>
    <s v="RIO DE JANEIRO"/>
    <s v="RJ"/>
    <s v="1-Setorizado"/>
    <n v="2"/>
    <x v="11"/>
    <s v="ROMEU SOARES - HSP - RJ"/>
    <s v="Hospitalar"/>
    <s v="rafael.esteves@cslbehring.com"/>
    <s v="RAFAEL ESTEVES (RJ/SPI/SUL)"/>
    <n v="0"/>
    <n v="3"/>
    <n v="0"/>
    <n v="0"/>
    <n v="0"/>
  </r>
  <r>
    <x v="0"/>
    <x v="2"/>
    <x v="0"/>
    <n v="8100676002102"/>
    <x v="173"/>
    <s v="RIO DE JANEIRO"/>
    <s v="RJ"/>
    <s v="1-Setorizado"/>
    <n v="2"/>
    <x v="10"/>
    <s v="EVELINE GOULART - ESP - RJ"/>
    <s v="Especialidade"/>
    <s v="rafael.esteves@cslbehring.com"/>
    <s v="RAFAEL ESTEVES (RJ/SPI/SUL)"/>
    <n v="0"/>
    <n v="0"/>
    <n v="0"/>
    <n v="0"/>
    <n v="0"/>
  </r>
  <r>
    <x v="0"/>
    <x v="2"/>
    <x v="0"/>
    <n v="8100676002102"/>
    <x v="173"/>
    <s v="RIO DE JANEIRO"/>
    <s v="RJ"/>
    <s v="1-Setorizado"/>
    <n v="2"/>
    <x v="11"/>
    <s v="ROMEU SOARES - HSP - RJ"/>
    <s v="Hospitalar"/>
    <s v="rafael.esteves@cslbehring.com"/>
    <s v="RAFAEL ESTEVES (RJ/SPI/SUL)"/>
    <n v="0"/>
    <n v="23"/>
    <n v="16"/>
    <n v="0"/>
    <n v="0"/>
  </r>
  <r>
    <x v="0"/>
    <x v="2"/>
    <x v="0"/>
    <n v="29435005006160"/>
    <x v="174"/>
    <s v="RIO DE JANEIRO"/>
    <s v="RJ"/>
    <s v="1-Setorizado"/>
    <n v="2"/>
    <x v="10"/>
    <s v="EVELINE GOULART - ESP - RJ"/>
    <s v="Especialidade"/>
    <s v="rafael.esteves@cslbehring.com"/>
    <s v="RAFAEL ESTEVES (RJ/SPI/SUL)"/>
    <n v="0"/>
    <n v="0"/>
    <n v="0"/>
    <n v="0"/>
    <n v="80"/>
  </r>
  <r>
    <x v="0"/>
    <x v="2"/>
    <x v="0"/>
    <n v="29435005006160"/>
    <x v="174"/>
    <s v="RIO DE JANEIRO"/>
    <s v="RJ"/>
    <s v="1-Setorizado"/>
    <n v="2"/>
    <x v="11"/>
    <s v="ROMEU SOARES - HSP - RJ"/>
    <s v="Hospitalar"/>
    <s v="rafael.esteves@cslbehring.com"/>
    <s v="RAFAEL ESTEVES (RJ/SPI/SUL)"/>
    <n v="0"/>
    <n v="10"/>
    <n v="0"/>
    <n v="0"/>
    <n v="80"/>
  </r>
  <r>
    <x v="0"/>
    <x v="2"/>
    <x v="0"/>
    <n v="60884855001630"/>
    <x v="176"/>
    <s v="RIO DE JANEIRO"/>
    <s v="RJ"/>
    <s v="1-Setorizado"/>
    <n v="2"/>
    <x v="10"/>
    <s v="EVELINE GOULART - ESP - RJ"/>
    <s v="Especialidade"/>
    <s v="rafael.esteves@cslbehring.com"/>
    <s v="RAFAEL ESTEVES (RJ/SPI/SUL)"/>
    <n v="0"/>
    <n v="0"/>
    <n v="0"/>
    <n v="0"/>
    <n v="385"/>
  </r>
  <r>
    <x v="0"/>
    <x v="2"/>
    <x v="0"/>
    <n v="60884855001630"/>
    <x v="176"/>
    <s v="RIO DE JANEIRO"/>
    <s v="RJ"/>
    <s v="1-Setorizado"/>
    <n v="2"/>
    <x v="12"/>
    <s v="MARCUS BASTOS - HSP - RJ"/>
    <s v="Hospitalar"/>
    <s v="rafael.esteves@cslbehring.com"/>
    <s v="RAFAEL ESTEVES (RJ/SPI/SUL)"/>
    <n v="0"/>
    <n v="7"/>
    <n v="5"/>
    <n v="0"/>
    <n v="385"/>
  </r>
  <r>
    <x v="0"/>
    <x v="2"/>
    <x v="0"/>
    <n v="18010750000100"/>
    <x v="177"/>
    <s v="RIO DE JANEIRO"/>
    <s v="RJ"/>
    <s v="1-Setorizado"/>
    <n v="2"/>
    <x v="10"/>
    <s v="EVELINE GOULART - ESP - RJ"/>
    <s v="Especialidade"/>
    <s v="rafael.esteves@cslbehring.com"/>
    <s v="RAFAEL ESTEVES (RJ/SPI/SUL)"/>
    <n v="0"/>
    <n v="0"/>
    <n v="0"/>
    <n v="0"/>
    <n v="290"/>
  </r>
  <r>
    <x v="0"/>
    <x v="2"/>
    <x v="0"/>
    <n v="18010750000100"/>
    <x v="177"/>
    <s v="RIO DE JANEIRO"/>
    <s v="RJ"/>
    <s v="1-Setorizado"/>
    <n v="2"/>
    <x v="12"/>
    <s v="MARCUS BASTOS - HSP - RJ"/>
    <s v="Hospitalar"/>
    <s v="rafael.esteves@cslbehring.com"/>
    <s v="RAFAEL ESTEVES (RJ/SPI/SUL)"/>
    <n v="0"/>
    <n v="0"/>
    <n v="2"/>
    <n v="0"/>
    <n v="290"/>
  </r>
  <r>
    <x v="0"/>
    <x v="2"/>
    <x v="0"/>
    <n v="33663683005347"/>
    <x v="178"/>
    <s v="RIO DE JANEIRO"/>
    <s v="RJ"/>
    <s v="1-Setorizado"/>
    <n v="2"/>
    <x v="10"/>
    <s v="EVELINE GOULART - ESP - RJ"/>
    <s v="Especialidade"/>
    <s v="rafael.esteves@cslbehring.com"/>
    <s v="RAFAEL ESTEVES (RJ/SPI/SUL)"/>
    <n v="0"/>
    <n v="0"/>
    <n v="0"/>
    <n v="0"/>
    <n v="2400"/>
  </r>
  <r>
    <x v="0"/>
    <x v="2"/>
    <x v="0"/>
    <n v="33663683005347"/>
    <x v="178"/>
    <s v="RIO DE JANEIRO"/>
    <s v="RJ"/>
    <s v="1-Setorizado"/>
    <n v="2"/>
    <x v="12"/>
    <s v="MARCUS BASTOS - HSP - RJ"/>
    <s v="Hospitalar"/>
    <s v="rafael.esteves@cslbehring.com"/>
    <s v="RAFAEL ESTEVES (RJ/SPI/SUL)"/>
    <n v="0"/>
    <n v="24"/>
    <n v="24"/>
    <n v="0"/>
    <n v="2400"/>
  </r>
  <r>
    <x v="0"/>
    <x v="2"/>
    <x v="0"/>
    <n v="394544017150"/>
    <x v="402"/>
    <s v="RIO DE JANEIRO"/>
    <s v="RJ"/>
    <s v="1-Setorizado"/>
    <n v="2"/>
    <x v="10"/>
    <s v="EVELINE GOULART - ESP - RJ"/>
    <s v="Especialidade"/>
    <s v="rafael.esteves@cslbehring.com"/>
    <s v="RAFAEL ESTEVES (RJ/SPI/SUL)"/>
    <n v="0"/>
    <n v="0"/>
    <n v="0"/>
    <n v="0"/>
    <n v="0"/>
  </r>
  <r>
    <x v="0"/>
    <x v="2"/>
    <x v="0"/>
    <n v="394544017150"/>
    <x v="402"/>
    <s v="RIO DE JANEIRO"/>
    <s v="RJ"/>
    <s v="1-Setorizado"/>
    <n v="2"/>
    <x v="12"/>
    <s v="MARCUS BASTOS - HSP - RJ"/>
    <s v="Hospitalar"/>
    <s v="rafael.esteves@cslbehring.com"/>
    <s v="RAFAEL ESTEVES (RJ/SPI/SUL)"/>
    <n v="0"/>
    <n v="20"/>
    <n v="0"/>
    <n v="0"/>
    <n v="0"/>
  </r>
  <r>
    <x v="0"/>
    <x v="2"/>
    <x v="0"/>
    <n v="394544021344"/>
    <x v="182"/>
    <s v="RIO DE JANEIRO"/>
    <s v="RJ"/>
    <s v="1-Setorizado"/>
    <n v="2"/>
    <x v="10"/>
    <s v="EVELINE GOULART - ESP - RJ"/>
    <s v="Especialidade"/>
    <s v="rafael.esteves@cslbehring.com"/>
    <s v="RAFAEL ESTEVES (RJ/SPI/SUL)"/>
    <n v="0"/>
    <n v="0"/>
    <n v="0"/>
    <n v="0"/>
    <n v="0"/>
  </r>
  <r>
    <x v="0"/>
    <x v="2"/>
    <x v="0"/>
    <n v="394544021344"/>
    <x v="182"/>
    <s v="RIO DE JANEIRO"/>
    <s v="RJ"/>
    <s v="1-Setorizado"/>
    <n v="2"/>
    <x v="11"/>
    <s v="ROMEU SOARES - HSP - RJ"/>
    <s v="Hospitalar"/>
    <s v="rafael.esteves@cslbehring.com"/>
    <s v="RAFAEL ESTEVES (RJ/SPI/SUL)"/>
    <n v="0"/>
    <n v="208"/>
    <n v="250"/>
    <n v="0"/>
    <n v="0"/>
  </r>
  <r>
    <x v="0"/>
    <x v="2"/>
    <x v="0"/>
    <n v="33419482000259"/>
    <x v="183"/>
    <s v="RIO DE JANEIRO"/>
    <s v="RJ"/>
    <s v="1-Setorizado"/>
    <n v="2"/>
    <x v="10"/>
    <s v="EVELINE GOULART - ESP - RJ"/>
    <s v="Especialidade"/>
    <s v="rafael.esteves@cslbehring.com"/>
    <s v="RAFAEL ESTEVES (RJ/SPI/SUL)"/>
    <n v="0"/>
    <n v="0"/>
    <n v="0"/>
    <n v="0"/>
    <n v="20"/>
  </r>
  <r>
    <x v="0"/>
    <x v="2"/>
    <x v="0"/>
    <n v="33419482000259"/>
    <x v="183"/>
    <s v="RIO DE JANEIRO"/>
    <s v="RJ"/>
    <s v="1-Setorizado"/>
    <n v="2"/>
    <x v="11"/>
    <s v="ROMEU SOARES - HSP - RJ"/>
    <s v="Hospitalar"/>
    <s v="rafael.esteves@cslbehring.com"/>
    <s v="RAFAEL ESTEVES (RJ/SPI/SUL)"/>
    <n v="0"/>
    <n v="3"/>
    <n v="7"/>
    <n v="0"/>
    <n v="20"/>
  </r>
  <r>
    <x v="0"/>
    <x v="2"/>
    <x v="0"/>
    <n v="320465020"/>
    <x v="483"/>
    <s v="RIO DE JANEIRO"/>
    <s v="RJ"/>
    <s v="1-Setorizado"/>
    <n v="2"/>
    <x v="10"/>
    <s v="EVELINE GOULART - ESP - RJ"/>
    <s v="Especialidade"/>
    <s v="rafael.esteves@cslbehring.com"/>
    <s v="RAFAEL ESTEVES (RJ/SPI/SUL)"/>
    <n v="3"/>
    <n v="0"/>
    <n v="0"/>
    <n v="0"/>
    <n v="0"/>
  </r>
  <r>
    <x v="0"/>
    <x v="2"/>
    <x v="0"/>
    <n v="320465020"/>
    <x v="483"/>
    <s v="RIO DE JANEIRO"/>
    <s v="RJ"/>
    <s v="1-Setorizado"/>
    <n v="2"/>
    <x v="11"/>
    <s v="ROMEU SOARES - HSP - RJ"/>
    <s v="Hospitalar"/>
    <s v="rafael.esteves@cslbehring.com"/>
    <s v="RAFAEL ESTEVES (RJ/SPI/SUL)"/>
    <n v="0"/>
    <n v="0"/>
    <n v="0"/>
    <n v="0"/>
    <n v="0"/>
  </r>
  <r>
    <x v="0"/>
    <x v="2"/>
    <x v="0"/>
    <n v="72101124000506"/>
    <x v="185"/>
    <s v="RIO DE JANEIRO"/>
    <s v="RJ"/>
    <s v="1-Setorizado"/>
    <n v="2"/>
    <x v="10"/>
    <s v="EVELINE GOULART - ESP - RJ"/>
    <s v="Especialidade"/>
    <s v="rafael.esteves@cslbehring.com"/>
    <s v="RAFAEL ESTEVES (RJ/SPI/SUL)"/>
    <n v="0"/>
    <n v="0"/>
    <n v="0"/>
    <n v="214"/>
    <n v="445"/>
  </r>
  <r>
    <x v="0"/>
    <x v="2"/>
    <x v="0"/>
    <n v="72101124000506"/>
    <x v="185"/>
    <s v="RIO DE JANEIRO"/>
    <s v="RJ"/>
    <s v="1-Setorizado"/>
    <n v="2"/>
    <x v="11"/>
    <s v="ROMEU SOARES - HSP - RJ"/>
    <s v="Hospitalar"/>
    <s v="rafael.esteves@cslbehring.com"/>
    <s v="RAFAEL ESTEVES (RJ/SPI/SUL)"/>
    <n v="0"/>
    <n v="0"/>
    <n v="0"/>
    <n v="0"/>
    <n v="445"/>
  </r>
  <r>
    <x v="0"/>
    <x v="2"/>
    <x v="0"/>
    <n v="28000107000159"/>
    <x v="186"/>
    <s v="RIO DE JANEIRO"/>
    <s v="RJ"/>
    <s v="1-Setorizado"/>
    <n v="2"/>
    <x v="10"/>
    <s v="EVELINE GOULART - ESP - RJ"/>
    <s v="Especialidade"/>
    <s v="rafael.esteves@cslbehring.com"/>
    <s v="RAFAEL ESTEVES (RJ/SPI/SUL)"/>
    <n v="0"/>
    <n v="0"/>
    <n v="0"/>
    <n v="126"/>
    <n v="150"/>
  </r>
  <r>
    <x v="0"/>
    <x v="2"/>
    <x v="0"/>
    <n v="28000107000159"/>
    <x v="186"/>
    <s v="RIO DE JANEIRO"/>
    <s v="RJ"/>
    <s v="1-Setorizado"/>
    <n v="2"/>
    <x v="11"/>
    <s v="ROMEU SOARES - HSP - RJ"/>
    <s v="Hospitalar"/>
    <s v="rafael.esteves@cslbehring.com"/>
    <s v="RAFAEL ESTEVES (RJ/SPI/SUL)"/>
    <n v="0"/>
    <n v="0"/>
    <n v="0"/>
    <n v="0"/>
    <n v="150"/>
  </r>
  <r>
    <x v="0"/>
    <x v="2"/>
    <x v="0"/>
    <n v="33000167000101"/>
    <x v="187"/>
    <s v="RIO DE JANEIRO"/>
    <s v="RJ"/>
    <s v="1-Setorizado"/>
    <n v="2"/>
    <x v="10"/>
    <s v="EVELINE GOULART - ESP - RJ"/>
    <s v="Especialidade"/>
    <s v="rafael.esteves@cslbehring.com"/>
    <s v="RAFAEL ESTEVES (RJ/SPI/SUL)"/>
    <n v="0"/>
    <n v="0"/>
    <n v="0"/>
    <n v="0"/>
    <n v="120"/>
  </r>
  <r>
    <x v="0"/>
    <x v="2"/>
    <x v="0"/>
    <n v="33000167000101"/>
    <x v="187"/>
    <s v="RIO DE JANEIRO"/>
    <s v="RJ"/>
    <s v="1-Setorizado"/>
    <n v="2"/>
    <x v="11"/>
    <s v="ROMEU SOARES - HSP - RJ"/>
    <s v="Hospitalar"/>
    <s v="rafael.esteves@cslbehring.com"/>
    <s v="RAFAEL ESTEVES (RJ/SPI/SUL)"/>
    <n v="0"/>
    <n v="0"/>
    <n v="0"/>
    <n v="0"/>
    <n v="120"/>
  </r>
  <r>
    <x v="0"/>
    <x v="2"/>
    <x v="0"/>
    <n v="5371944796"/>
    <x v="484"/>
    <s v="RIO DE JANEIRO"/>
    <s v="RJ"/>
    <s v="1-Setorizado"/>
    <n v="2"/>
    <x v="10"/>
    <s v="EVELINE GOULART - ESP - RJ"/>
    <s v="Especialidade"/>
    <s v="rafael.esteves@cslbehring.com"/>
    <s v="RAFAEL ESTEVES (RJ/SPI/SUL)"/>
    <n v="0"/>
    <n v="0"/>
    <n v="0"/>
    <n v="0"/>
    <n v="20"/>
  </r>
  <r>
    <x v="0"/>
    <x v="2"/>
    <x v="0"/>
    <n v="5371944796"/>
    <x v="484"/>
    <s v="RIO DE JANEIRO"/>
    <s v="RJ"/>
    <s v="1-Setorizado"/>
    <n v="2"/>
    <x v="12"/>
    <s v="MARCUS BASTOS - HSP - RJ"/>
    <s v="Hospitalar"/>
    <s v="rafael.esteves@cslbehring.com"/>
    <s v="RAFAEL ESTEVES (RJ/SPI/SUL)"/>
    <n v="0"/>
    <n v="0"/>
    <n v="0"/>
    <n v="0"/>
    <n v="20"/>
  </r>
  <r>
    <x v="0"/>
    <x v="2"/>
    <x v="0"/>
    <n v="9219138000401"/>
    <x v="485"/>
    <s v="RIO DE JANEIRO"/>
    <s v="RJ"/>
    <s v="1-Setorizado"/>
    <n v="2"/>
    <x v="10"/>
    <s v="EVELINE GOULART - ESP - RJ"/>
    <s v="Especialidade"/>
    <s v="rafael.esteves@cslbehring.com"/>
    <s v="RAFAEL ESTEVES (RJ/SPI/SUL)"/>
    <n v="0"/>
    <n v="0"/>
    <n v="0"/>
    <n v="0"/>
    <n v="285"/>
  </r>
  <r>
    <x v="0"/>
    <x v="2"/>
    <x v="0"/>
    <n v="9219138000401"/>
    <x v="485"/>
    <s v="RIO DE JANEIRO"/>
    <s v="RJ"/>
    <s v="1-Setorizado"/>
    <n v="2"/>
    <x v="11"/>
    <s v="ROMEU SOARES - HSP - RJ"/>
    <s v="Hospitalar"/>
    <s v="rafael.esteves@cslbehring.com"/>
    <s v="RAFAEL ESTEVES (RJ/SPI/SUL)"/>
    <n v="0"/>
    <n v="0"/>
    <n v="0"/>
    <n v="0"/>
    <n v="285"/>
  </r>
  <r>
    <x v="0"/>
    <x v="2"/>
    <x v="0"/>
    <n v="9219138000584"/>
    <x v="188"/>
    <s v="RIO DE JANEIRO"/>
    <s v="RJ"/>
    <s v="1-Setorizado"/>
    <n v="2"/>
    <x v="10"/>
    <s v="EVELINE GOULART - ESP - RJ"/>
    <s v="Especialidade"/>
    <s v="rafael.esteves@cslbehring.com"/>
    <s v="RAFAEL ESTEVES (RJ/SPI/SUL)"/>
    <n v="0"/>
    <n v="0"/>
    <n v="0"/>
    <n v="140"/>
    <n v="1455"/>
  </r>
  <r>
    <x v="0"/>
    <x v="2"/>
    <x v="0"/>
    <n v="9219138000584"/>
    <x v="188"/>
    <s v="RIO DE JANEIRO"/>
    <s v="RJ"/>
    <s v="1-Setorizado"/>
    <n v="2"/>
    <x v="12"/>
    <s v="MARCUS BASTOS - HSP - RJ"/>
    <s v="Hospitalar"/>
    <s v="rafael.esteves@cslbehring.com"/>
    <s v="RAFAEL ESTEVES (RJ/SPI/SUL)"/>
    <n v="0"/>
    <n v="2"/>
    <n v="0"/>
    <n v="0"/>
    <n v="1455"/>
  </r>
  <r>
    <x v="0"/>
    <x v="2"/>
    <x v="0"/>
    <n v="28602407000108"/>
    <x v="189"/>
    <s v="RIO DE JANEIRO"/>
    <s v="RJ"/>
    <s v="1-Setorizado"/>
    <n v="2"/>
    <x v="10"/>
    <s v="EVELINE GOULART - ESP - RJ"/>
    <s v="Especialidade"/>
    <s v="rafael.esteves@cslbehring.com"/>
    <s v="RAFAEL ESTEVES (RJ/SPI/SUL)"/>
    <n v="0"/>
    <n v="0"/>
    <n v="0"/>
    <n v="4"/>
    <n v="0"/>
  </r>
  <r>
    <x v="0"/>
    <x v="2"/>
    <x v="0"/>
    <n v="28602407000108"/>
    <x v="189"/>
    <s v="RIO DE JANEIRO"/>
    <s v="RJ"/>
    <s v="1-Setorizado"/>
    <n v="2"/>
    <x v="11"/>
    <s v="ROMEU SOARES - HSP - RJ"/>
    <s v="Hospitalar"/>
    <s v="rafael.esteves@cslbehring.com"/>
    <s v="RAFAEL ESTEVES (RJ/SPI/SUL)"/>
    <n v="0"/>
    <n v="5"/>
    <n v="1"/>
    <n v="0"/>
    <n v="0"/>
  </r>
  <r>
    <x v="0"/>
    <x v="2"/>
    <x v="0"/>
    <n v="36238913000198"/>
    <x v="403"/>
    <s v="TERESOPOLIS"/>
    <s v="RJ"/>
    <s v="1-Setorizado"/>
    <n v="2"/>
    <x v="10"/>
    <s v="EVELINE GOULART - ESP - RJ"/>
    <s v="Especialidade"/>
    <s v="rafael.esteves@cslbehring.com"/>
    <s v="RAFAEL ESTEVES (RJ/SPI/SUL)"/>
    <n v="0"/>
    <n v="0"/>
    <n v="0"/>
    <n v="200"/>
    <n v="0"/>
  </r>
  <r>
    <x v="0"/>
    <x v="2"/>
    <x v="0"/>
    <n v="36238913000198"/>
    <x v="403"/>
    <s v="TERESOPOLIS"/>
    <s v="RJ"/>
    <s v="1-Setorizado"/>
    <n v="2"/>
    <x v="12"/>
    <s v="MARCUS BASTOS - HSP - RJ"/>
    <s v="Hospitalar"/>
    <s v="rafael.esteves@cslbehring.com"/>
    <s v="RAFAEL ESTEVES (RJ/SPI/SUL)"/>
    <n v="0"/>
    <n v="0"/>
    <n v="0"/>
    <n v="0"/>
    <n v="0"/>
  </r>
  <r>
    <x v="0"/>
    <x v="2"/>
    <x v="0"/>
    <n v="10562003000172"/>
    <x v="486"/>
    <s v="VOLTA REDONDA"/>
    <s v="RJ"/>
    <s v="1-Setorizado"/>
    <n v="2"/>
    <x v="10"/>
    <s v="EVELINE GOULART - ESP - RJ"/>
    <s v="Especialidade"/>
    <s v="rafael.esteves@cslbehring.com"/>
    <s v="RAFAEL ESTEVES (RJ/SPI/SUL)"/>
    <n v="0"/>
    <n v="0"/>
    <n v="0"/>
    <n v="0"/>
    <n v="175"/>
  </r>
  <r>
    <x v="0"/>
    <x v="2"/>
    <x v="0"/>
    <n v="10562003000172"/>
    <x v="486"/>
    <s v="VOLTA REDONDA"/>
    <s v="RJ"/>
    <s v="1-Setorizado"/>
    <n v="2"/>
    <x v="12"/>
    <s v="MARCUS BASTOS - HSP - RJ"/>
    <s v="Hospitalar"/>
    <s v="rafael.esteves@cslbehring.com"/>
    <s v="RAFAEL ESTEVES (RJ/SPI/SUL)"/>
    <n v="0"/>
    <n v="0"/>
    <n v="0"/>
    <n v="0"/>
    <n v="175"/>
  </r>
  <r>
    <x v="0"/>
    <x v="2"/>
    <x v="0"/>
    <n v="35917970000726"/>
    <x v="404"/>
    <s v="VOLTA REDONDA"/>
    <s v="RJ"/>
    <s v="1-Setorizado"/>
    <n v="2"/>
    <x v="10"/>
    <s v="EVELINE GOULART - ESP - RJ"/>
    <s v="Especialidade"/>
    <s v="rafael.esteves@cslbehring.com"/>
    <s v="RAFAEL ESTEVES (RJ/SPI/SUL)"/>
    <n v="0"/>
    <n v="0"/>
    <n v="0"/>
    <n v="30"/>
    <n v="0"/>
  </r>
  <r>
    <x v="0"/>
    <x v="2"/>
    <x v="0"/>
    <n v="35917970000726"/>
    <x v="404"/>
    <s v="VOLTA REDONDA"/>
    <s v="RJ"/>
    <s v="1-Setorizado"/>
    <n v="2"/>
    <x v="12"/>
    <s v="MARCUS BASTOS - HSP - RJ"/>
    <s v="Hospitalar"/>
    <s v="rafael.esteves@cslbehring.com"/>
    <s v="RAFAEL ESTEVES (RJ/SPI/SUL)"/>
    <n v="0"/>
    <n v="0"/>
    <n v="0"/>
    <n v="0"/>
    <n v="0"/>
  </r>
  <r>
    <x v="0"/>
    <x v="2"/>
    <x v="0"/>
    <n v="12361267009140"/>
    <x v="190"/>
    <s v="MOSSORO"/>
    <s v="RN"/>
    <s v="1-Setorizado"/>
    <n v="2"/>
    <x v="0"/>
    <s v="VALERIA BRAGA - ESP - (CE/MA/PI/BA/AL/SE/PB/PE/RN)"/>
    <s v="Especialidade"/>
    <s v="fernando.leony@cslbehring.com"/>
    <s v="FERNANDO LEONY (CO/NO/NE)"/>
    <n v="0"/>
    <n v="0"/>
    <n v="0"/>
    <n v="0"/>
    <n v="5"/>
  </r>
  <r>
    <x v="0"/>
    <x v="2"/>
    <x v="0"/>
    <n v="12361267009140"/>
    <x v="190"/>
    <s v="MOSSORO"/>
    <s v="RN"/>
    <s v="1-Setorizado"/>
    <n v="2"/>
    <x v="7"/>
    <s v="LENILSON SILVA - HSP - PB/PE/RN"/>
    <s v="Hospitalar"/>
    <s v="fernando.leony@cslbehring.com"/>
    <s v="FERNANDO LEONY (CO/NO/NE)"/>
    <n v="0"/>
    <n v="0"/>
    <n v="0"/>
    <n v="0"/>
    <n v="5"/>
  </r>
  <r>
    <x v="0"/>
    <x v="2"/>
    <x v="0"/>
    <n v="8319329000121"/>
    <x v="191"/>
    <s v="NATAL"/>
    <s v="RN"/>
    <s v="1-Setorizado"/>
    <n v="2"/>
    <x v="0"/>
    <s v="VALERIA BRAGA - ESP - (CE/MA/PI/BA/AL/SE/PB/PE/RN)"/>
    <s v="Especialidade"/>
    <s v="fernando.leony@cslbehring.com"/>
    <s v="FERNANDO LEONY (CO/NO/NE)"/>
    <n v="0"/>
    <n v="0"/>
    <n v="0"/>
    <n v="0"/>
    <n v="0"/>
  </r>
  <r>
    <x v="0"/>
    <x v="2"/>
    <x v="0"/>
    <n v="8319329000121"/>
    <x v="191"/>
    <s v="NATAL"/>
    <s v="RN"/>
    <s v="1-Setorizado"/>
    <n v="2"/>
    <x v="7"/>
    <s v="LENILSON SILVA - HSP - PB/PE/RN"/>
    <s v="Hospitalar"/>
    <s v="fernando.leony@cslbehring.com"/>
    <s v="FERNANDO LEONY (CO/NO/NE)"/>
    <n v="0"/>
    <n v="24"/>
    <n v="0"/>
    <n v="0"/>
    <n v="0"/>
  </r>
  <r>
    <x v="0"/>
    <x v="2"/>
    <x v="0"/>
    <n v="15126437000739"/>
    <x v="192"/>
    <s v="NATAL"/>
    <s v="RN"/>
    <s v="1-Setorizado"/>
    <n v="2"/>
    <x v="0"/>
    <s v="VALERIA BRAGA - ESP - (CE/MA/PI/BA/AL/SE/PB/PE/RN)"/>
    <s v="Especialidade"/>
    <s v="fernando.leony@cslbehring.com"/>
    <s v="FERNANDO LEONY (CO/NO/NE)"/>
    <n v="0"/>
    <n v="0"/>
    <n v="0"/>
    <n v="0"/>
    <n v="0"/>
  </r>
  <r>
    <x v="0"/>
    <x v="2"/>
    <x v="0"/>
    <n v="15126437000739"/>
    <x v="192"/>
    <s v="NATAL"/>
    <s v="RN"/>
    <s v="1-Setorizado"/>
    <n v="2"/>
    <x v="7"/>
    <s v="LENILSON SILVA - HSP - PB/PE/RN"/>
    <s v="Hospitalar"/>
    <s v="fernando.leony@cslbehring.com"/>
    <s v="FERNANDO LEONY (CO/NO/NE)"/>
    <n v="0"/>
    <n v="50"/>
    <n v="0"/>
    <n v="0"/>
    <n v="0"/>
  </r>
  <r>
    <x v="0"/>
    <x v="2"/>
    <x v="0"/>
    <n v="29435005009851"/>
    <x v="193"/>
    <s v="NATAL"/>
    <s v="RN"/>
    <s v="1-Setorizado"/>
    <n v="2"/>
    <x v="0"/>
    <s v="VALERIA BRAGA - ESP - (CE/MA/PI/BA/AL/SE/PB/PE/RN)"/>
    <s v="Especialidade"/>
    <s v="fernando.leony@cslbehring.com"/>
    <s v="FERNANDO LEONY (CO/NO/NE)"/>
    <n v="0"/>
    <n v="0"/>
    <n v="0"/>
    <n v="0"/>
    <n v="125"/>
  </r>
  <r>
    <x v="0"/>
    <x v="2"/>
    <x v="0"/>
    <n v="29435005009851"/>
    <x v="193"/>
    <s v="NATAL"/>
    <s v="RN"/>
    <s v="1-Setorizado"/>
    <n v="2"/>
    <x v="7"/>
    <s v="LENILSON SILVA - HSP - PB/PE/RN"/>
    <s v="Hospitalar"/>
    <s v="fernando.leony@cslbehring.com"/>
    <s v="FERNANDO LEONY (CO/NO/NE)"/>
    <n v="0"/>
    <n v="70"/>
    <n v="0"/>
    <n v="0"/>
    <n v="125"/>
  </r>
  <r>
    <x v="0"/>
    <x v="2"/>
    <x v="0"/>
    <n v="8337586000196"/>
    <x v="194"/>
    <s v="NATAL"/>
    <s v="RN"/>
    <s v="1-Setorizado"/>
    <n v="2"/>
    <x v="0"/>
    <s v="VALERIA BRAGA - ESP - (CE/MA/PI/BA/AL/SE/PB/PE/RN)"/>
    <s v="Especialidade"/>
    <s v="fernando.leony@cslbehring.com"/>
    <s v="FERNANDO LEONY (CO/NO/NE)"/>
    <n v="0"/>
    <n v="0"/>
    <n v="0"/>
    <n v="0"/>
    <n v="0"/>
  </r>
  <r>
    <x v="0"/>
    <x v="2"/>
    <x v="0"/>
    <n v="8337586000196"/>
    <x v="194"/>
    <s v="NATAL"/>
    <s v="RN"/>
    <s v="1-Setorizado"/>
    <n v="2"/>
    <x v="7"/>
    <s v="LENILSON SILVA - HSP - PB/PE/RN"/>
    <s v="Hospitalar"/>
    <s v="fernando.leony@cslbehring.com"/>
    <s v="FERNANDO LEONY (CO/NO/NE)"/>
    <n v="0"/>
    <n v="1"/>
    <n v="0"/>
    <n v="0"/>
    <n v="0"/>
  </r>
  <r>
    <x v="0"/>
    <x v="2"/>
    <x v="0"/>
    <n v="12361267009654"/>
    <x v="406"/>
    <s v="NATAL"/>
    <s v="RN"/>
    <s v="1-Setorizado"/>
    <n v="2"/>
    <x v="0"/>
    <s v="VALERIA BRAGA - ESP - (CE/MA/PI/BA/AL/SE/PB/PE/RN)"/>
    <s v="Especialidade"/>
    <s v="fernando.leony@cslbehring.com"/>
    <s v="FERNANDO LEONY (CO/NO/NE)"/>
    <n v="0"/>
    <n v="0"/>
    <n v="0"/>
    <n v="0"/>
    <n v="0"/>
  </r>
  <r>
    <x v="0"/>
    <x v="2"/>
    <x v="0"/>
    <n v="12361267009654"/>
    <x v="406"/>
    <s v="NATAL"/>
    <s v="RN"/>
    <s v="1-Setorizado"/>
    <n v="2"/>
    <x v="7"/>
    <s v="LENILSON SILVA - HSP - PB/PE/RN"/>
    <s v="Hospitalar"/>
    <s v="fernando.leony@cslbehring.com"/>
    <s v="FERNANDO LEONY (CO/NO/NE)"/>
    <n v="0"/>
    <n v="2"/>
    <n v="2"/>
    <n v="0"/>
    <n v="0"/>
  </r>
  <r>
    <x v="0"/>
    <x v="2"/>
    <x v="0"/>
    <n v="1507901000137"/>
    <x v="197"/>
    <s v="NATAL"/>
    <s v="RN"/>
    <s v="1-Setorizado"/>
    <n v="2"/>
    <x v="0"/>
    <s v="VALERIA BRAGA - ESP - (CE/MA/PI/BA/AL/SE/PB/PE/RN)"/>
    <s v="Especialidade"/>
    <s v="fernando.leony@cslbehring.com"/>
    <s v="FERNANDO LEONY (CO/NO/NE)"/>
    <n v="0"/>
    <n v="0"/>
    <n v="0"/>
    <n v="0"/>
    <n v="0"/>
  </r>
  <r>
    <x v="0"/>
    <x v="2"/>
    <x v="0"/>
    <n v="1507901000137"/>
    <x v="197"/>
    <s v="NATAL"/>
    <s v="RN"/>
    <s v="1-Setorizado"/>
    <n v="2"/>
    <x v="7"/>
    <s v="LENILSON SILVA - HSP - PB/PE/RN"/>
    <s v="Hospitalar"/>
    <s v="fernando.leony@cslbehring.com"/>
    <s v="FERNANDO LEONY (CO/NO/NE)"/>
    <n v="0"/>
    <n v="10"/>
    <n v="7"/>
    <n v="0"/>
    <n v="0"/>
  </r>
  <r>
    <x v="0"/>
    <x v="2"/>
    <x v="0"/>
    <n v="2109397000180"/>
    <x v="407"/>
    <s v="NATAL"/>
    <s v="RN"/>
    <s v="1-Setorizado"/>
    <n v="2"/>
    <x v="0"/>
    <s v="VALERIA BRAGA - ESP - (CE/MA/PI/BA/AL/SE/PB/PE/RN)"/>
    <s v="Especialidade"/>
    <s v="fernando.leony@cslbehring.com"/>
    <s v="FERNANDO LEONY (CO/NO/NE)"/>
    <n v="0"/>
    <n v="0"/>
    <n v="0"/>
    <n v="0"/>
    <n v="0"/>
  </r>
  <r>
    <x v="0"/>
    <x v="2"/>
    <x v="0"/>
    <n v="2109397000180"/>
    <x v="407"/>
    <s v="NATAL"/>
    <s v="RN"/>
    <s v="1-Setorizado"/>
    <n v="2"/>
    <x v="7"/>
    <s v="LENILSON SILVA - HSP - PB/PE/RN"/>
    <s v="Hospitalar"/>
    <s v="fernando.leony@cslbehring.com"/>
    <s v="FERNANDO LEONY (CO/NO/NE)"/>
    <n v="0"/>
    <n v="24"/>
    <n v="0"/>
    <n v="0"/>
    <n v="0"/>
  </r>
  <r>
    <x v="0"/>
    <x v="2"/>
    <x v="0"/>
    <n v="88645403001372"/>
    <x v="410"/>
    <s v="CAXIAS DO SUL"/>
    <s v="RS"/>
    <s v="1-Setorizado"/>
    <n v="2"/>
    <x v="8"/>
    <s v="MICHELE MORAES - ESP - PR/SC/RS"/>
    <s v="Especialidade"/>
    <s v="rafael.esteves@cslbehring.com"/>
    <s v="RAFAEL ESTEVES (RJ/SPI/SUL)"/>
    <n v="0"/>
    <n v="0"/>
    <n v="0"/>
    <n v="32"/>
    <n v="0"/>
  </r>
  <r>
    <x v="0"/>
    <x v="2"/>
    <x v="0"/>
    <n v="88645403001372"/>
    <x v="410"/>
    <s v="CAXIAS DO SUL"/>
    <s v="RS"/>
    <s v="1-Setorizado"/>
    <n v="2"/>
    <x v="13"/>
    <s v="ALINE FONSECA - HSP - RS"/>
    <s v="Hospitalar"/>
    <s v="rafael.esteves@cslbehring.com"/>
    <s v="RAFAEL ESTEVES (RJ/SPI/SUL)"/>
    <n v="0"/>
    <n v="0"/>
    <n v="0"/>
    <n v="0"/>
    <n v="0"/>
  </r>
  <r>
    <x v="0"/>
    <x v="2"/>
    <x v="0"/>
    <n v="87827689002405"/>
    <x v="199"/>
    <s v="CAXIAS DO SUL"/>
    <s v="RS"/>
    <s v="1-Setorizado"/>
    <n v="2"/>
    <x v="8"/>
    <s v="MICHELE MORAES - ESP - PR/SC/RS"/>
    <s v="Especialidade"/>
    <s v="rafael.esteves@cslbehring.com"/>
    <s v="RAFAEL ESTEVES (RJ/SPI/SUL)"/>
    <n v="0"/>
    <n v="0"/>
    <n v="0"/>
    <n v="209"/>
    <n v="90"/>
  </r>
  <r>
    <x v="0"/>
    <x v="2"/>
    <x v="0"/>
    <n v="87827689002405"/>
    <x v="199"/>
    <s v="CAXIAS DO SUL"/>
    <s v="RS"/>
    <s v="1-Setorizado"/>
    <n v="2"/>
    <x v="13"/>
    <s v="ALINE FONSECA - HSP - RS"/>
    <s v="Hospitalar"/>
    <s v="rafael.esteves@cslbehring.com"/>
    <s v="RAFAEL ESTEVES (RJ/SPI/SUL)"/>
    <n v="0"/>
    <n v="0"/>
    <n v="0"/>
    <n v="0"/>
    <n v="90"/>
  </r>
  <r>
    <x v="0"/>
    <x v="2"/>
    <x v="0"/>
    <n v="92404789000164"/>
    <x v="413"/>
    <s v="FREDERICO WESTPHALEN"/>
    <s v="RS"/>
    <s v="1-Setorizado"/>
    <n v="2"/>
    <x v="8"/>
    <s v="MICHELE MORAES - ESP - PR/SC/RS"/>
    <s v="Especialidade"/>
    <s v="rafael.esteves@cslbehring.com"/>
    <s v="RAFAEL ESTEVES (RJ/SPI/SUL)"/>
    <n v="0"/>
    <n v="0"/>
    <n v="0"/>
    <n v="16"/>
    <n v="0"/>
  </r>
  <r>
    <x v="0"/>
    <x v="2"/>
    <x v="0"/>
    <n v="92404789000164"/>
    <x v="413"/>
    <s v="FREDERICO WESTPHALEN"/>
    <s v="RS"/>
    <s v="1-Setorizado"/>
    <n v="2"/>
    <x v="13"/>
    <s v="ALINE FONSECA - HSP - RS"/>
    <s v="Hospitalar"/>
    <s v="rafael.esteves@cslbehring.com"/>
    <s v="RAFAEL ESTEVES (RJ/SPI/SUL)"/>
    <n v="0"/>
    <n v="0"/>
    <n v="0"/>
    <n v="0"/>
    <n v="0"/>
  </r>
  <r>
    <x v="0"/>
    <x v="2"/>
    <x v="0"/>
    <n v="92685833000151"/>
    <x v="204"/>
    <s v="PORTO ALEGRE"/>
    <s v="RS"/>
    <s v="1-Setorizado"/>
    <n v="2"/>
    <x v="8"/>
    <s v="MICHELE MORAES - ESP - PR/SC/RS"/>
    <s v="Especialidade"/>
    <s v="rafael.esteves@cslbehring.com"/>
    <s v="RAFAEL ESTEVES (RJ/SPI/SUL)"/>
    <n v="0"/>
    <n v="0"/>
    <n v="0"/>
    <n v="8"/>
    <n v="0"/>
  </r>
  <r>
    <x v="0"/>
    <x v="2"/>
    <x v="0"/>
    <n v="92685833000151"/>
    <x v="204"/>
    <s v="PORTO ALEGRE"/>
    <s v="RS"/>
    <s v="1-Setorizado"/>
    <n v="2"/>
    <x v="13"/>
    <s v="ALINE FONSECA - HSP - RS"/>
    <s v="Hospitalar"/>
    <s v="rafael.esteves@cslbehring.com"/>
    <s v="RAFAEL ESTEVES (RJ/SPI/SUL)"/>
    <n v="0"/>
    <n v="12"/>
    <n v="0"/>
    <n v="0"/>
    <n v="0"/>
  </r>
  <r>
    <x v="0"/>
    <x v="2"/>
    <x v="0"/>
    <n v="87020517000120"/>
    <x v="208"/>
    <s v="PORTO ALEGRE"/>
    <s v="RS"/>
    <s v="1-Setorizado"/>
    <n v="2"/>
    <x v="8"/>
    <s v="MICHELE MORAES - ESP - PR/SC/RS"/>
    <s v="Especialidade"/>
    <s v="rafael.esteves@cslbehring.com"/>
    <s v="RAFAEL ESTEVES (RJ/SPI/SUL)"/>
    <n v="0"/>
    <n v="0"/>
    <n v="0"/>
    <n v="0"/>
    <n v="0"/>
  </r>
  <r>
    <x v="0"/>
    <x v="2"/>
    <x v="0"/>
    <n v="87020517000120"/>
    <x v="208"/>
    <s v="PORTO ALEGRE"/>
    <s v="RS"/>
    <s v="1-Setorizado"/>
    <n v="2"/>
    <x v="13"/>
    <s v="ALINE FONSECA - HSP - RS"/>
    <s v="Hospitalar"/>
    <s v="rafael.esteves@cslbehring.com"/>
    <s v="RAFAEL ESTEVES (RJ/SPI/SUL)"/>
    <n v="0"/>
    <n v="12"/>
    <n v="15"/>
    <n v="0"/>
    <n v="0"/>
  </r>
  <r>
    <x v="0"/>
    <x v="2"/>
    <x v="0"/>
    <n v="87317764001084"/>
    <x v="209"/>
    <s v="PORTO ALEGRE"/>
    <s v="RS"/>
    <s v="1-Setorizado"/>
    <n v="2"/>
    <x v="8"/>
    <s v="MICHELE MORAES - ESP - PR/SC/RS"/>
    <s v="Especialidade"/>
    <s v="rafael.esteves@cslbehring.com"/>
    <s v="RAFAEL ESTEVES (RJ/SPI/SUL)"/>
    <n v="0"/>
    <n v="0"/>
    <n v="0"/>
    <n v="0"/>
    <n v="200"/>
  </r>
  <r>
    <x v="0"/>
    <x v="2"/>
    <x v="0"/>
    <n v="87317764001084"/>
    <x v="209"/>
    <s v="PORTO ALEGRE"/>
    <s v="RS"/>
    <s v="1-Setorizado"/>
    <n v="2"/>
    <x v="13"/>
    <s v="ALINE FONSECA - HSP - RS"/>
    <s v="Hospitalar"/>
    <s v="rafael.esteves@cslbehring.com"/>
    <s v="RAFAEL ESTEVES (RJ/SPI/SUL)"/>
    <n v="0"/>
    <n v="0"/>
    <n v="0"/>
    <n v="0"/>
    <n v="200"/>
  </r>
  <r>
    <x v="0"/>
    <x v="2"/>
    <x v="0"/>
    <n v="92741016000254"/>
    <x v="210"/>
    <s v="PORTO ALEGRE"/>
    <s v="RS"/>
    <s v="1-Setorizado"/>
    <n v="2"/>
    <x v="8"/>
    <s v="MICHELE MORAES - ESP - PR/SC/RS"/>
    <s v="Especialidade"/>
    <s v="rafael.esteves@cslbehring.com"/>
    <s v="RAFAEL ESTEVES (RJ/SPI/SUL)"/>
    <n v="0"/>
    <n v="0"/>
    <n v="0"/>
    <n v="0"/>
    <n v="0"/>
  </r>
  <r>
    <x v="0"/>
    <x v="2"/>
    <x v="0"/>
    <n v="92741016000254"/>
    <x v="210"/>
    <s v="PORTO ALEGRE"/>
    <s v="RS"/>
    <s v="1-Setorizado"/>
    <n v="2"/>
    <x v="13"/>
    <s v="ALINE FONSECA - HSP - RS"/>
    <s v="Hospitalar"/>
    <s v="rafael.esteves@cslbehring.com"/>
    <s v="RAFAEL ESTEVES (RJ/SPI/SUL)"/>
    <n v="0"/>
    <n v="9"/>
    <n v="2"/>
    <n v="0"/>
    <n v="0"/>
  </r>
  <r>
    <x v="0"/>
    <x v="2"/>
    <x v="0"/>
    <n v="88625686002443"/>
    <x v="211"/>
    <s v="PORTO ALEGRE"/>
    <s v="RS"/>
    <s v="1-Setorizado"/>
    <n v="2"/>
    <x v="8"/>
    <s v="MICHELE MORAES - ESP - PR/SC/RS"/>
    <s v="Especialidade"/>
    <s v="rafael.esteves@cslbehring.com"/>
    <s v="RAFAEL ESTEVES (RJ/SPI/SUL)"/>
    <n v="0"/>
    <n v="0"/>
    <n v="0"/>
    <n v="0"/>
    <n v="0"/>
  </r>
  <r>
    <x v="0"/>
    <x v="2"/>
    <x v="0"/>
    <n v="88625686002443"/>
    <x v="211"/>
    <s v="PORTO ALEGRE"/>
    <s v="RS"/>
    <s v="1-Setorizado"/>
    <n v="2"/>
    <x v="13"/>
    <s v="ALINE FONSECA - HSP - RS"/>
    <s v="Hospitalar"/>
    <s v="rafael.esteves@cslbehring.com"/>
    <s v="RAFAEL ESTEVES (RJ/SPI/SUL)"/>
    <n v="0"/>
    <n v="19"/>
    <n v="2"/>
    <n v="0"/>
    <n v="0"/>
  </r>
  <r>
    <x v="0"/>
    <x v="2"/>
    <x v="0"/>
    <n v="94831294000147"/>
    <x v="213"/>
    <s v="PORTO ALEGRE"/>
    <s v="RS"/>
    <s v="1-Setorizado"/>
    <n v="2"/>
    <x v="8"/>
    <s v="MICHELE MORAES - ESP - PR/SC/RS"/>
    <s v="Especialidade"/>
    <s v="rafael.esteves@cslbehring.com"/>
    <s v="RAFAEL ESTEVES (RJ/SPI/SUL)"/>
    <n v="0"/>
    <n v="0"/>
    <n v="0"/>
    <n v="0"/>
    <n v="30"/>
  </r>
  <r>
    <x v="0"/>
    <x v="2"/>
    <x v="0"/>
    <n v="94831294000147"/>
    <x v="213"/>
    <s v="PORTO ALEGRE"/>
    <s v="RS"/>
    <s v="1-Setorizado"/>
    <n v="2"/>
    <x v="13"/>
    <s v="ALINE FONSECA - HSP - RS"/>
    <s v="Hospitalar"/>
    <s v="rafael.esteves@cslbehring.com"/>
    <s v="RAFAEL ESTEVES (RJ/SPI/SUL)"/>
    <n v="0"/>
    <n v="0"/>
    <n v="0"/>
    <n v="0"/>
    <n v="30"/>
  </r>
  <r>
    <x v="0"/>
    <x v="2"/>
    <x v="0"/>
    <n v="92815000000168"/>
    <x v="214"/>
    <s v="PORTO ALEGRE"/>
    <s v="RS"/>
    <s v="1-Setorizado"/>
    <n v="2"/>
    <x v="8"/>
    <s v="MICHELE MORAES - ESP - PR/SC/RS"/>
    <s v="Especialidade"/>
    <s v="rafael.esteves@cslbehring.com"/>
    <s v="RAFAEL ESTEVES (RJ/SPI/SUL)"/>
    <n v="0"/>
    <n v="0"/>
    <n v="0"/>
    <n v="28"/>
    <n v="90"/>
  </r>
  <r>
    <x v="0"/>
    <x v="2"/>
    <x v="0"/>
    <n v="92815000000168"/>
    <x v="214"/>
    <s v="PORTO ALEGRE"/>
    <s v="RS"/>
    <s v="1-Setorizado"/>
    <n v="2"/>
    <x v="13"/>
    <s v="ALINE FONSECA - HSP - RS"/>
    <s v="Hospitalar"/>
    <s v="rafael.esteves@cslbehring.com"/>
    <s v="RAFAEL ESTEVES (RJ/SPI/SUL)"/>
    <n v="0"/>
    <n v="25"/>
    <n v="61"/>
    <n v="0"/>
    <n v="90"/>
  </r>
  <r>
    <x v="0"/>
    <x v="2"/>
    <x v="0"/>
    <n v="92963560000160"/>
    <x v="418"/>
    <s v="PORTO ALEGRE"/>
    <s v="RS"/>
    <s v="1-Setorizado"/>
    <n v="2"/>
    <x v="8"/>
    <s v="MICHELE MORAES - ESP - PR/SC/RS"/>
    <s v="Especialidade"/>
    <s v="rafael.esteves@cslbehring.com"/>
    <s v="RAFAEL ESTEVES (RJ/SPI/SUL)"/>
    <n v="0"/>
    <n v="0"/>
    <n v="0"/>
    <n v="0"/>
    <n v="0"/>
  </r>
  <r>
    <x v="0"/>
    <x v="2"/>
    <x v="0"/>
    <n v="92963560000160"/>
    <x v="418"/>
    <s v="PORTO ALEGRE"/>
    <s v="RS"/>
    <s v="1-Setorizado"/>
    <n v="2"/>
    <x v="13"/>
    <s v="ALINE FONSECA - HSP - RS"/>
    <s v="Hospitalar"/>
    <s v="rafael.esteves@cslbehring.com"/>
    <s v="RAFAEL ESTEVES (RJ/SPI/SUL)"/>
    <n v="0"/>
    <n v="0"/>
    <n v="15"/>
    <n v="0"/>
    <n v="0"/>
  </r>
  <r>
    <x v="0"/>
    <x v="2"/>
    <x v="0"/>
    <n v="9087150000230"/>
    <x v="216"/>
    <s v="PORTO ALEGRE"/>
    <s v="RS"/>
    <s v="1-Setorizado"/>
    <n v="2"/>
    <x v="8"/>
    <s v="MICHELE MORAES - ESP - PR/SC/RS"/>
    <s v="Especialidade"/>
    <s v="rafael.esteves@cslbehring.com"/>
    <s v="RAFAEL ESTEVES (RJ/SPI/SUL)"/>
    <n v="0"/>
    <n v="0"/>
    <n v="0"/>
    <n v="8"/>
    <n v="0"/>
  </r>
  <r>
    <x v="0"/>
    <x v="2"/>
    <x v="0"/>
    <n v="9087150000230"/>
    <x v="216"/>
    <s v="PORTO ALEGRE"/>
    <s v="RS"/>
    <s v="1-Setorizado"/>
    <n v="2"/>
    <x v="13"/>
    <s v="ALINE FONSECA - HSP - RS"/>
    <s v="Hospitalar"/>
    <s v="rafael.esteves@cslbehring.com"/>
    <s v="RAFAEL ESTEVES (RJ/SPI/SUL)"/>
    <n v="0"/>
    <n v="0"/>
    <n v="0"/>
    <n v="0"/>
    <n v="0"/>
  </r>
  <r>
    <x v="0"/>
    <x v="2"/>
    <x v="0"/>
    <n v="12508728000108"/>
    <x v="419"/>
    <s v="SANTA MARIA"/>
    <s v="RS"/>
    <s v="1-Setorizado"/>
    <n v="2"/>
    <x v="8"/>
    <s v="MICHELE MORAES - ESP - PR/SC/RS"/>
    <s v="Especialidade"/>
    <s v="rafael.esteves@cslbehring.com"/>
    <s v="RAFAEL ESTEVES (RJ/SPI/SUL)"/>
    <n v="0"/>
    <n v="0"/>
    <n v="0"/>
    <n v="0"/>
    <n v="20"/>
  </r>
  <r>
    <x v="0"/>
    <x v="2"/>
    <x v="0"/>
    <n v="12508728000108"/>
    <x v="419"/>
    <s v="SANTA MARIA"/>
    <s v="RS"/>
    <s v="1-Setorizado"/>
    <n v="2"/>
    <x v="13"/>
    <s v="ALINE FONSECA - HSP - RS"/>
    <s v="Hospitalar"/>
    <s v="rafael.esteves@cslbehring.com"/>
    <s v="RAFAEL ESTEVES (RJ/SPI/SUL)"/>
    <n v="0"/>
    <n v="0"/>
    <n v="0"/>
    <n v="0"/>
    <n v="20"/>
  </r>
  <r>
    <x v="0"/>
    <x v="2"/>
    <x v="0"/>
    <n v="95610887000146"/>
    <x v="218"/>
    <s v="SANTA MARIA"/>
    <s v="RS"/>
    <s v="1-Setorizado"/>
    <n v="2"/>
    <x v="8"/>
    <s v="MICHELE MORAES - ESP - PR/SC/RS"/>
    <s v="Especialidade"/>
    <s v="rafael.esteves@cslbehring.com"/>
    <s v="RAFAEL ESTEVES (RJ/SPI/SUL)"/>
    <n v="0"/>
    <n v="0"/>
    <n v="0"/>
    <n v="0"/>
    <n v="450"/>
  </r>
  <r>
    <x v="0"/>
    <x v="2"/>
    <x v="0"/>
    <n v="95610887000146"/>
    <x v="218"/>
    <s v="SANTA MARIA"/>
    <s v="RS"/>
    <s v="1-Setorizado"/>
    <n v="2"/>
    <x v="13"/>
    <s v="ALINE FONSECA - HSP - RS"/>
    <s v="Hospitalar"/>
    <s v="rafael.esteves@cslbehring.com"/>
    <s v="RAFAEL ESTEVES (RJ/SPI/SUL)"/>
    <n v="0"/>
    <n v="15"/>
    <n v="3"/>
    <n v="0"/>
    <n v="450"/>
  </r>
  <r>
    <x v="0"/>
    <x v="2"/>
    <x v="0"/>
    <n v="1517626000132"/>
    <x v="220"/>
    <s v="BALNEARIO CAMBORIU"/>
    <s v="SC"/>
    <s v="1-Setorizado"/>
    <n v="2"/>
    <x v="8"/>
    <s v="MICHELE MORAES - ESP - PR/SC/RS"/>
    <s v="Especialidade"/>
    <s v="rafael.esteves@cslbehring.com"/>
    <s v="RAFAEL ESTEVES (RJ/SPI/SUL)"/>
    <n v="0"/>
    <n v="0"/>
    <n v="0"/>
    <n v="12"/>
    <n v="0"/>
  </r>
  <r>
    <x v="0"/>
    <x v="2"/>
    <x v="0"/>
    <n v="1517626000132"/>
    <x v="220"/>
    <s v="BALNEARIO CAMBORIU"/>
    <s v="SC"/>
    <s v="1-Setorizado"/>
    <n v="2"/>
    <x v="9"/>
    <s v="FERNANDA BORNHAUSEN - HSP - SC/PR"/>
    <s v="Hospitalar"/>
    <s v="rafael.esteves@cslbehring.com"/>
    <s v="RAFAEL ESTEVES (RJ/SPI/SUL)"/>
    <n v="0"/>
    <n v="0"/>
    <n v="0"/>
    <n v="0"/>
    <n v="0"/>
  </r>
  <r>
    <x v="0"/>
    <x v="2"/>
    <x v="0"/>
    <n v="85377174000392"/>
    <x v="221"/>
    <s v="BALNEARIO CAMBORIU"/>
    <s v="SC"/>
    <s v="1-Setorizado"/>
    <n v="2"/>
    <x v="8"/>
    <s v="MICHELE MORAES - ESP - PR/SC/RS"/>
    <s v="Especialidade"/>
    <s v="rafael.esteves@cslbehring.com"/>
    <s v="RAFAEL ESTEVES (RJ/SPI/SUL)"/>
    <n v="0"/>
    <n v="0"/>
    <n v="0"/>
    <n v="18"/>
    <n v="0"/>
  </r>
  <r>
    <x v="0"/>
    <x v="2"/>
    <x v="0"/>
    <n v="85377174000392"/>
    <x v="221"/>
    <s v="BALNEARIO CAMBORIU"/>
    <s v="SC"/>
    <s v="1-Setorizado"/>
    <n v="2"/>
    <x v="9"/>
    <s v="FERNANDA BORNHAUSEN - HSP - SC/PR"/>
    <s v="Hospitalar"/>
    <s v="rafael.esteves@cslbehring.com"/>
    <s v="RAFAEL ESTEVES (RJ/SPI/SUL)"/>
    <n v="0"/>
    <n v="0"/>
    <n v="0"/>
    <n v="0"/>
    <n v="0"/>
  </r>
  <r>
    <x v="0"/>
    <x v="2"/>
    <x v="0"/>
    <n v="1880344000103"/>
    <x v="420"/>
    <s v="BLUMENAU"/>
    <s v="SC"/>
    <s v="1-Setorizado"/>
    <n v="2"/>
    <x v="8"/>
    <s v="MICHELE MORAES - ESP - PR/SC/RS"/>
    <s v="Especialidade"/>
    <s v="rafael.esteves@cslbehring.com"/>
    <s v="RAFAEL ESTEVES (RJ/SPI/SUL)"/>
    <n v="0"/>
    <n v="0"/>
    <n v="0"/>
    <n v="0"/>
    <n v="125"/>
  </r>
  <r>
    <x v="0"/>
    <x v="2"/>
    <x v="0"/>
    <n v="1880344000103"/>
    <x v="420"/>
    <s v="BLUMENAU"/>
    <s v="SC"/>
    <s v="1-Setorizado"/>
    <n v="2"/>
    <x v="9"/>
    <s v="FERNANDA BORNHAUSEN - HSP - SC/PR"/>
    <s v="Hospitalar"/>
    <s v="rafael.esteves@cslbehring.com"/>
    <s v="RAFAEL ESTEVES (RJ/SPI/SUL)"/>
    <n v="0"/>
    <n v="0"/>
    <n v="0"/>
    <n v="0"/>
    <n v="125"/>
  </r>
  <r>
    <x v="0"/>
    <x v="2"/>
    <x v="0"/>
    <n v="60922168005226"/>
    <x v="222"/>
    <s v="BLUMENAU"/>
    <s v="SC"/>
    <s v="1-Setorizado"/>
    <n v="2"/>
    <x v="8"/>
    <s v="MICHELE MORAES - ESP - PR/SC/RS"/>
    <s v="Especialidade"/>
    <s v="rafael.esteves@cslbehring.com"/>
    <s v="RAFAEL ESTEVES (RJ/SPI/SUL)"/>
    <n v="0"/>
    <n v="0"/>
    <n v="0"/>
    <n v="0"/>
    <n v="0"/>
  </r>
  <r>
    <x v="0"/>
    <x v="2"/>
    <x v="0"/>
    <n v="60922168005226"/>
    <x v="222"/>
    <s v="BLUMENAU"/>
    <s v="SC"/>
    <s v="1-Setorizado"/>
    <n v="2"/>
    <x v="9"/>
    <s v="FERNANDA BORNHAUSEN - HSP - SC/PR"/>
    <s v="Hospitalar"/>
    <s v="rafael.esteves@cslbehring.com"/>
    <s v="RAFAEL ESTEVES (RJ/SPI/SUL)"/>
    <n v="0"/>
    <n v="1"/>
    <n v="0"/>
    <n v="0"/>
    <n v="0"/>
  </r>
  <r>
    <x v="0"/>
    <x v="2"/>
    <x v="0"/>
    <n v="82654088000120"/>
    <x v="487"/>
    <s v="BLUMENAU"/>
    <s v="SC"/>
    <s v="1-Setorizado"/>
    <n v="2"/>
    <x v="8"/>
    <s v="MICHELE MORAES - ESP - PR/SC/RS"/>
    <s v="Especialidade"/>
    <s v="rafael.esteves@cslbehring.com"/>
    <s v="RAFAEL ESTEVES (RJ/SPI/SUL)"/>
    <n v="0"/>
    <n v="0"/>
    <n v="0"/>
    <n v="0"/>
    <n v="20"/>
  </r>
  <r>
    <x v="0"/>
    <x v="2"/>
    <x v="0"/>
    <n v="82654088000120"/>
    <x v="487"/>
    <s v="BLUMENAU"/>
    <s v="SC"/>
    <s v="1-Setorizado"/>
    <n v="2"/>
    <x v="9"/>
    <s v="FERNANDA BORNHAUSEN - HSP - SC/PR"/>
    <s v="Hospitalar"/>
    <s v="rafael.esteves@cslbehring.com"/>
    <s v="RAFAEL ESTEVES (RJ/SPI/SUL)"/>
    <n v="0"/>
    <n v="0"/>
    <n v="0"/>
    <n v="0"/>
    <n v="20"/>
  </r>
  <r>
    <x v="0"/>
    <x v="2"/>
    <x v="0"/>
    <n v="1554266000300"/>
    <x v="224"/>
    <s v="BRUSQUE"/>
    <s v="SC"/>
    <s v="1-Setorizado"/>
    <n v="2"/>
    <x v="8"/>
    <s v="MICHELE MORAES - ESP - PR/SC/RS"/>
    <s v="Especialidade"/>
    <s v="rafael.esteves@cslbehring.com"/>
    <s v="RAFAEL ESTEVES (RJ/SPI/SUL)"/>
    <n v="0"/>
    <n v="0"/>
    <n v="0"/>
    <n v="0"/>
    <n v="35"/>
  </r>
  <r>
    <x v="0"/>
    <x v="2"/>
    <x v="0"/>
    <n v="1554266000300"/>
    <x v="224"/>
    <s v="BRUSQUE"/>
    <s v="SC"/>
    <s v="1-Setorizado"/>
    <n v="2"/>
    <x v="9"/>
    <s v="FERNANDA BORNHAUSEN - HSP - SC/PR"/>
    <s v="Hospitalar"/>
    <s v="rafael.esteves@cslbehring.com"/>
    <s v="RAFAEL ESTEVES (RJ/SPI/SUL)"/>
    <n v="0"/>
    <n v="0"/>
    <n v="0"/>
    <n v="0"/>
    <n v="35"/>
  </r>
  <r>
    <x v="0"/>
    <x v="2"/>
    <x v="0"/>
    <n v="1554266000149"/>
    <x v="488"/>
    <s v="BRUSQUE"/>
    <s v="SC"/>
    <s v="1-Setorizado"/>
    <n v="2"/>
    <x v="8"/>
    <s v="MICHELE MORAES - ESP - PR/SC/RS"/>
    <s v="Especialidade"/>
    <s v="rafael.esteves@cslbehring.com"/>
    <s v="RAFAEL ESTEVES (RJ/SPI/SUL)"/>
    <n v="0"/>
    <n v="0"/>
    <n v="0"/>
    <n v="0"/>
    <n v="70"/>
  </r>
  <r>
    <x v="0"/>
    <x v="2"/>
    <x v="0"/>
    <n v="1554266000149"/>
    <x v="488"/>
    <s v="BRUSQUE"/>
    <s v="SC"/>
    <s v="1-Setorizado"/>
    <n v="2"/>
    <x v="9"/>
    <s v="FERNANDA BORNHAUSEN - HSP - SC/PR"/>
    <s v="Hospitalar"/>
    <s v="rafael.esteves@cslbehring.com"/>
    <s v="RAFAEL ESTEVES (RJ/SPI/SUL)"/>
    <n v="0"/>
    <n v="0"/>
    <n v="0"/>
    <n v="0"/>
    <n v="70"/>
  </r>
  <r>
    <x v="0"/>
    <x v="2"/>
    <x v="0"/>
    <n v="1125832000105"/>
    <x v="225"/>
    <s v="FLORIANOPOLIS"/>
    <s v="SC"/>
    <s v="1-Setorizado"/>
    <n v="2"/>
    <x v="8"/>
    <s v="MICHELE MORAES - ESP - PR/SC/RS"/>
    <s v="Especialidade"/>
    <s v="rafael.esteves@cslbehring.com"/>
    <s v="RAFAEL ESTEVES (RJ/SPI/SUL)"/>
    <n v="0"/>
    <n v="0"/>
    <n v="0"/>
    <n v="0"/>
    <n v="60"/>
  </r>
  <r>
    <x v="0"/>
    <x v="2"/>
    <x v="0"/>
    <n v="1125832000105"/>
    <x v="225"/>
    <s v="FLORIANOPOLIS"/>
    <s v="SC"/>
    <s v="1-Setorizado"/>
    <n v="2"/>
    <x v="9"/>
    <s v="FERNANDA BORNHAUSEN - HSP - SC/PR"/>
    <s v="Hospitalar"/>
    <s v="rafael.esteves@cslbehring.com"/>
    <s v="RAFAEL ESTEVES (RJ/SPI/SUL)"/>
    <n v="0"/>
    <n v="0"/>
    <n v="0"/>
    <n v="0"/>
    <n v="60"/>
  </r>
  <r>
    <x v="0"/>
    <x v="2"/>
    <x v="0"/>
    <n v="80673411000187"/>
    <x v="226"/>
    <s v="FLORIANOPOLIS"/>
    <s v="SC"/>
    <s v="1-Setorizado"/>
    <n v="2"/>
    <x v="8"/>
    <s v="MICHELE MORAES - ESP - PR/SC/RS"/>
    <s v="Especialidade"/>
    <s v="rafael.esteves@cslbehring.com"/>
    <s v="RAFAEL ESTEVES (RJ/SPI/SUL)"/>
    <n v="76"/>
    <n v="0"/>
    <n v="0"/>
    <n v="0"/>
    <n v="240"/>
  </r>
  <r>
    <x v="0"/>
    <x v="2"/>
    <x v="0"/>
    <n v="80673411000187"/>
    <x v="226"/>
    <s v="FLORIANOPOLIS"/>
    <s v="SC"/>
    <s v="1-Setorizado"/>
    <n v="2"/>
    <x v="9"/>
    <s v="FERNANDA BORNHAUSEN - HSP - SC/PR"/>
    <s v="Hospitalar"/>
    <s v="rafael.esteves@cslbehring.com"/>
    <s v="RAFAEL ESTEVES (RJ/SPI/SUL)"/>
    <n v="0"/>
    <n v="0"/>
    <n v="0"/>
    <n v="0"/>
    <n v="240"/>
  </r>
  <r>
    <x v="0"/>
    <x v="2"/>
    <x v="0"/>
    <n v="83899526000425"/>
    <x v="227"/>
    <s v="FLORIANOPOLIS"/>
    <s v="SC"/>
    <s v="1-Setorizado"/>
    <n v="2"/>
    <x v="8"/>
    <s v="MICHELE MORAES - ESP - PR/SC/RS"/>
    <s v="Especialidade"/>
    <s v="rafael.esteves@cslbehring.com"/>
    <s v="RAFAEL ESTEVES (RJ/SPI/SUL)"/>
    <n v="0"/>
    <n v="0"/>
    <n v="0"/>
    <n v="0"/>
    <n v="0"/>
  </r>
  <r>
    <x v="0"/>
    <x v="2"/>
    <x v="0"/>
    <n v="83899526000425"/>
    <x v="227"/>
    <s v="FLORIANOPOLIS"/>
    <s v="SC"/>
    <s v="1-Setorizado"/>
    <n v="2"/>
    <x v="9"/>
    <s v="FERNANDA BORNHAUSEN - HSP - SC/PR"/>
    <s v="Hospitalar"/>
    <s v="rafael.esteves@cslbehring.com"/>
    <s v="RAFAEL ESTEVES (RJ/SPI/SUL)"/>
    <n v="0"/>
    <n v="0"/>
    <n v="6"/>
    <n v="0"/>
    <n v="0"/>
  </r>
  <r>
    <x v="0"/>
    <x v="2"/>
    <x v="0"/>
    <n v="48063983904"/>
    <x v="489"/>
    <s v="FLORIANOPOLIS"/>
    <s v="SC"/>
    <s v="1-Setorizado"/>
    <n v="2"/>
    <x v="8"/>
    <s v="MICHELE MORAES - ESP - PR/SC/RS"/>
    <s v="Especialidade"/>
    <s v="rafael.esteves@cslbehring.com"/>
    <s v="RAFAEL ESTEVES (RJ/SPI/SUL)"/>
    <n v="59"/>
    <n v="0"/>
    <n v="0"/>
    <n v="0"/>
    <n v="0"/>
  </r>
  <r>
    <x v="0"/>
    <x v="2"/>
    <x v="0"/>
    <n v="48063983904"/>
    <x v="489"/>
    <s v="FLORIANOPOLIS"/>
    <s v="SC"/>
    <s v="1-Setorizado"/>
    <n v="2"/>
    <x v="9"/>
    <s v="FERNANDA BORNHAUSEN - HSP - SC/PR"/>
    <s v="Hospitalar"/>
    <s v="rafael.esteves@cslbehring.com"/>
    <s v="RAFAEL ESTEVES (RJ/SPI/SUL)"/>
    <n v="0"/>
    <n v="0"/>
    <n v="0"/>
    <n v="0"/>
    <n v="0"/>
  </r>
  <r>
    <x v="0"/>
    <x v="2"/>
    <x v="0"/>
    <n v="4670913000176"/>
    <x v="229"/>
    <s v="FLORIANOPOLIS"/>
    <s v="SC"/>
    <s v="1-Setorizado"/>
    <n v="2"/>
    <x v="8"/>
    <s v="MICHELE MORAES - ESP - PR/SC/RS"/>
    <s v="Especialidade"/>
    <s v="rafael.esteves@cslbehring.com"/>
    <s v="RAFAEL ESTEVES (RJ/SPI/SUL)"/>
    <n v="0"/>
    <n v="0"/>
    <n v="0"/>
    <n v="0"/>
    <n v="375"/>
  </r>
  <r>
    <x v="0"/>
    <x v="2"/>
    <x v="0"/>
    <n v="4670913000176"/>
    <x v="229"/>
    <s v="FLORIANOPOLIS"/>
    <s v="SC"/>
    <s v="1-Setorizado"/>
    <n v="2"/>
    <x v="9"/>
    <s v="FERNANDA BORNHAUSEN - HSP - SC/PR"/>
    <s v="Hospitalar"/>
    <s v="rafael.esteves@cslbehring.com"/>
    <s v="RAFAEL ESTEVES (RJ/SPI/SUL)"/>
    <n v="0"/>
    <n v="0"/>
    <n v="0"/>
    <n v="0"/>
    <n v="375"/>
  </r>
  <r>
    <x v="0"/>
    <x v="2"/>
    <x v="0"/>
    <n v="77858611001414"/>
    <x v="231"/>
    <s v="SAO JOSE"/>
    <s v="SC"/>
    <s v="1-Setorizado"/>
    <n v="2"/>
    <x v="8"/>
    <s v="MICHELE MORAES - ESP - PR/SC/RS"/>
    <s v="Especialidade"/>
    <s v="rafael.esteves@cslbehring.com"/>
    <s v="RAFAEL ESTEVES (RJ/SPI/SUL)"/>
    <n v="0"/>
    <n v="0"/>
    <n v="0"/>
    <n v="0"/>
    <n v="250"/>
  </r>
  <r>
    <x v="0"/>
    <x v="2"/>
    <x v="0"/>
    <n v="77858611001414"/>
    <x v="231"/>
    <s v="SAO JOSE"/>
    <s v="SC"/>
    <s v="1-Setorizado"/>
    <n v="2"/>
    <x v="9"/>
    <s v="FERNANDA BORNHAUSEN - HSP - SC/PR"/>
    <s v="Hospitalar"/>
    <s v="rafael.esteves@cslbehring.com"/>
    <s v="RAFAEL ESTEVES (RJ/SPI/SUL)"/>
    <n v="0"/>
    <n v="0"/>
    <n v="0"/>
    <n v="0"/>
    <n v="250"/>
  </r>
  <r>
    <x v="0"/>
    <x v="2"/>
    <x v="0"/>
    <n v="85241339000809"/>
    <x v="490"/>
    <s v="TUBARAO"/>
    <s v="SC"/>
    <s v="1-Setorizado"/>
    <n v="2"/>
    <x v="8"/>
    <s v="MICHELE MORAES - ESP - PR/SC/RS"/>
    <s v="Especialidade"/>
    <s v="rafael.esteves@cslbehring.com"/>
    <s v="RAFAEL ESTEVES (RJ/SPI/SUL)"/>
    <n v="0"/>
    <n v="0"/>
    <n v="0"/>
    <n v="0"/>
    <n v="310"/>
  </r>
  <r>
    <x v="0"/>
    <x v="2"/>
    <x v="0"/>
    <n v="85241339000809"/>
    <x v="490"/>
    <s v="TUBARAO"/>
    <s v="SC"/>
    <s v="1-Setorizado"/>
    <n v="2"/>
    <x v="9"/>
    <s v="FERNANDA BORNHAUSEN - HSP - SC/PR"/>
    <s v="Hospitalar"/>
    <s v="rafael.esteves@cslbehring.com"/>
    <s v="RAFAEL ESTEVES (RJ/SPI/SUL)"/>
    <n v="0"/>
    <n v="0"/>
    <n v="0"/>
    <n v="0"/>
    <n v="310"/>
  </r>
  <r>
    <x v="0"/>
    <x v="2"/>
    <x v="0"/>
    <n v="80490618000116"/>
    <x v="232"/>
    <s v="TUBARAO"/>
    <s v="SC"/>
    <s v="1-Setorizado"/>
    <n v="2"/>
    <x v="8"/>
    <s v="MICHELE MORAES - ESP - PR/SC/RS"/>
    <s v="Especialidade"/>
    <s v="rafael.esteves@cslbehring.com"/>
    <s v="RAFAEL ESTEVES (RJ/SPI/SUL)"/>
    <n v="0"/>
    <n v="0"/>
    <n v="0"/>
    <n v="0"/>
    <n v="60"/>
  </r>
  <r>
    <x v="0"/>
    <x v="2"/>
    <x v="0"/>
    <n v="80490618000116"/>
    <x v="232"/>
    <s v="TUBARAO"/>
    <s v="SC"/>
    <s v="1-Setorizado"/>
    <n v="2"/>
    <x v="9"/>
    <s v="FERNANDA BORNHAUSEN - HSP - SC/PR"/>
    <s v="Hospitalar"/>
    <s v="rafael.esteves@cslbehring.com"/>
    <s v="RAFAEL ESTEVES (RJ/SPI/SUL)"/>
    <n v="0"/>
    <n v="0"/>
    <n v="0"/>
    <n v="0"/>
    <n v="60"/>
  </r>
  <r>
    <x v="0"/>
    <x v="2"/>
    <x v="0"/>
    <n v="12361267000517"/>
    <x v="233"/>
    <s v="ARACAJU"/>
    <s v="SE"/>
    <s v="1-Setorizado"/>
    <n v="2"/>
    <x v="0"/>
    <s v="VALERIA BRAGA - ESP - (CE/MA/PI/BA/AL/SE/PB/PE/RN)"/>
    <s v="Especialidade"/>
    <s v="fernando.leony@cslbehring.com"/>
    <s v="FERNANDO LEONY (CO/NO/NE)"/>
    <n v="0"/>
    <n v="0"/>
    <n v="0"/>
    <n v="0"/>
    <n v="0"/>
  </r>
  <r>
    <x v="0"/>
    <x v="2"/>
    <x v="0"/>
    <n v="12361267000517"/>
    <x v="233"/>
    <s v="ARACAJU"/>
    <s v="SE"/>
    <s v="1-Setorizado"/>
    <n v="2"/>
    <x v="1"/>
    <s v="LAIS MAGALHAES - HSP - BA/AL/SE"/>
    <s v="Hospitalar"/>
    <s v="fernando.leony@cslbehring.com"/>
    <s v="FERNANDO LEONY (CO/NO/NE)"/>
    <n v="0"/>
    <n v="2"/>
    <n v="0"/>
    <n v="0"/>
    <n v="0"/>
  </r>
  <r>
    <x v="0"/>
    <x v="2"/>
    <x v="0"/>
    <n v="3222051000156"/>
    <x v="491"/>
    <s v="ARACAJU"/>
    <s v="SE"/>
    <s v="1-Setorizado"/>
    <n v="2"/>
    <x v="0"/>
    <s v="VALERIA BRAGA - ESP - (CE/MA/PI/BA/AL/SE/PB/PE/RN)"/>
    <s v="Especialidade"/>
    <s v="fernando.leony@cslbehring.com"/>
    <s v="FERNANDO LEONY (CO/NO/NE)"/>
    <n v="0"/>
    <n v="0"/>
    <n v="0"/>
    <n v="0"/>
    <n v="0"/>
  </r>
  <r>
    <x v="0"/>
    <x v="2"/>
    <x v="0"/>
    <n v="3222051000156"/>
    <x v="491"/>
    <s v="ARACAJU"/>
    <s v="SE"/>
    <s v="1-Setorizado"/>
    <n v="2"/>
    <x v="1"/>
    <s v="LAIS MAGALHAES - HSP - BA/AL/SE"/>
    <s v="Hospitalar"/>
    <s v="fernando.leony@cslbehring.com"/>
    <s v="FERNANDO LEONY (CO/NO/NE)"/>
    <n v="0"/>
    <n v="2"/>
    <n v="2"/>
    <n v="0"/>
    <n v="0"/>
  </r>
  <r>
    <x v="0"/>
    <x v="2"/>
    <x v="0"/>
    <n v="13131370000100"/>
    <x v="235"/>
    <s v="ARACAJU"/>
    <s v="SE"/>
    <s v="1-Setorizado"/>
    <n v="2"/>
    <x v="0"/>
    <s v="VALERIA BRAGA - ESP - (CE/MA/PI/BA/AL/SE/PB/PE/RN)"/>
    <s v="Especialidade"/>
    <s v="fernando.leony@cslbehring.com"/>
    <s v="FERNANDO LEONY (CO/NO/NE)"/>
    <n v="0"/>
    <n v="0"/>
    <n v="0"/>
    <n v="38"/>
    <n v="300"/>
  </r>
  <r>
    <x v="0"/>
    <x v="2"/>
    <x v="0"/>
    <n v="13131370000100"/>
    <x v="235"/>
    <s v="ARACAJU"/>
    <s v="SE"/>
    <s v="1-Setorizado"/>
    <n v="2"/>
    <x v="1"/>
    <s v="LAIS MAGALHAES - HSP - BA/AL/SE"/>
    <s v="Hospitalar"/>
    <s v="fernando.leony@cslbehring.com"/>
    <s v="FERNANDO LEONY (CO/NO/NE)"/>
    <n v="0"/>
    <n v="0"/>
    <n v="0"/>
    <n v="0"/>
    <n v="300"/>
  </r>
  <r>
    <x v="0"/>
    <x v="2"/>
    <x v="0"/>
    <n v="15592785000106"/>
    <x v="236"/>
    <s v="ARACAJU"/>
    <s v="SE"/>
    <s v="1-Setorizado"/>
    <n v="2"/>
    <x v="0"/>
    <s v="VALERIA BRAGA - ESP - (CE/MA/PI/BA/AL/SE/PB/PE/RN)"/>
    <s v="Especialidade"/>
    <s v="fernando.leony@cslbehring.com"/>
    <s v="FERNANDO LEONY (CO/NO/NE)"/>
    <n v="0"/>
    <n v="0"/>
    <n v="0"/>
    <n v="0"/>
    <n v="30"/>
  </r>
  <r>
    <x v="0"/>
    <x v="2"/>
    <x v="0"/>
    <n v="15592785000106"/>
    <x v="236"/>
    <s v="ARACAJU"/>
    <s v="SE"/>
    <s v="1-Setorizado"/>
    <n v="2"/>
    <x v="1"/>
    <s v="LAIS MAGALHAES - HSP - BA/AL/SE"/>
    <s v="Hospitalar"/>
    <s v="fernando.leony@cslbehring.com"/>
    <s v="FERNANDO LEONY (CO/NO/NE)"/>
    <n v="0"/>
    <n v="0"/>
    <n v="0"/>
    <n v="0"/>
    <n v="30"/>
  </r>
  <r>
    <x v="0"/>
    <x v="2"/>
    <x v="0"/>
    <n v="3091003000176"/>
    <x v="423"/>
    <s v="ARACAJU"/>
    <s v="SE"/>
    <s v="1-Setorizado"/>
    <n v="2"/>
    <x v="0"/>
    <s v="VALERIA BRAGA - ESP - (CE/MA/PI/BA/AL/SE/PB/PE/RN)"/>
    <s v="Especialidade"/>
    <s v="fernando.leony@cslbehring.com"/>
    <s v="FERNANDO LEONY (CO/NO/NE)"/>
    <n v="0"/>
    <n v="0"/>
    <n v="0"/>
    <n v="0"/>
    <n v="175"/>
  </r>
  <r>
    <x v="0"/>
    <x v="2"/>
    <x v="0"/>
    <n v="3091003000176"/>
    <x v="423"/>
    <s v="ARACAJU"/>
    <s v="SE"/>
    <s v="1-Setorizado"/>
    <n v="2"/>
    <x v="1"/>
    <s v="LAIS MAGALHAES - HSP - BA/AL/SE"/>
    <s v="Hospitalar"/>
    <s v="fernando.leony@cslbehring.com"/>
    <s v="FERNANDO LEONY (CO/NO/NE)"/>
    <n v="0"/>
    <n v="0"/>
    <n v="0"/>
    <n v="0"/>
    <n v="175"/>
  </r>
  <r>
    <x v="0"/>
    <x v="2"/>
    <x v="0"/>
    <n v="25026561000190"/>
    <x v="238"/>
    <s v="ANDRADINA"/>
    <s v="SP"/>
    <s v="1-Setorizado"/>
    <n v="2"/>
    <x v="14"/>
    <s v="BRUNA CLARO - ESP - SPI"/>
    <s v="Especialidade"/>
    <s v="claudia.bueno@cslbehring.com"/>
    <s v="CLAUDIA BUENO (SPC/SPI)"/>
    <n v="0"/>
    <n v="0"/>
    <n v="0"/>
    <n v="0"/>
    <n v="20"/>
  </r>
  <r>
    <x v="0"/>
    <x v="2"/>
    <x v="0"/>
    <n v="25026561000190"/>
    <x v="238"/>
    <s v="ANDRADINA"/>
    <s v="SP"/>
    <s v="1-Setorizado"/>
    <n v="2"/>
    <x v="15"/>
    <s v="ARTUR JUNIOR - HSP - SPI"/>
    <s v="Hospitalar"/>
    <s v="claudia.bueno@cslbehring.com"/>
    <s v="CLAUDIA BUENO (SPC/SPI)"/>
    <n v="0"/>
    <n v="0"/>
    <n v="0"/>
    <n v="0"/>
    <n v="20"/>
  </r>
  <r>
    <x v="0"/>
    <x v="2"/>
    <x v="0"/>
    <n v="51093193000456"/>
    <x v="492"/>
    <s v="ARACATUBA"/>
    <s v="SP"/>
    <s v="1-Setorizado"/>
    <n v="2"/>
    <x v="14"/>
    <s v="BRUNA CLARO - ESP - SPI"/>
    <s v="Especialidade"/>
    <s v="claudia.bueno@cslbehring.com"/>
    <s v="CLAUDIA BUENO (SPC/SPI)"/>
    <n v="0"/>
    <n v="0"/>
    <n v="0"/>
    <n v="0"/>
    <n v="20"/>
  </r>
  <r>
    <x v="0"/>
    <x v="2"/>
    <x v="0"/>
    <n v="51093193000456"/>
    <x v="492"/>
    <s v="ARACATUBA"/>
    <s v="SP"/>
    <s v="1-Setorizado"/>
    <n v="2"/>
    <x v="15"/>
    <s v="ARTUR JUNIOR - HSP - SPI"/>
    <s v="Hospitalar"/>
    <s v="claudia.bueno@cslbehring.com"/>
    <s v="CLAUDIA BUENO (SPC/SPI)"/>
    <n v="0"/>
    <n v="0"/>
    <n v="0"/>
    <n v="0"/>
    <n v="20"/>
  </r>
  <r>
    <x v="0"/>
    <x v="2"/>
    <x v="0"/>
    <n v="46374500009221"/>
    <x v="493"/>
    <s v="ARARAQUARA"/>
    <s v="SP"/>
    <s v="1-Setorizado"/>
    <n v="2"/>
    <x v="14"/>
    <s v="BRUNA CLARO - ESP - SPI"/>
    <s v="Especialidade"/>
    <s v="claudia.bueno@cslbehring.com"/>
    <s v="CLAUDIA BUENO (SPC/SPI)"/>
    <n v="0"/>
    <n v="0"/>
    <n v="0"/>
    <n v="0"/>
    <n v="900"/>
  </r>
  <r>
    <x v="0"/>
    <x v="2"/>
    <x v="0"/>
    <n v="46374500009221"/>
    <x v="493"/>
    <s v="ARARAQUARA"/>
    <s v="SP"/>
    <s v="1-Setorizado"/>
    <n v="2"/>
    <x v="15"/>
    <s v="ARTUR JUNIOR - HSP - SPI"/>
    <s v="Hospitalar"/>
    <s v="claudia.bueno@cslbehring.com"/>
    <s v="CLAUDIA BUENO (SPC/SPI)"/>
    <n v="0"/>
    <n v="0"/>
    <n v="0"/>
    <n v="0"/>
    <n v="900"/>
  </r>
  <r>
    <x v="0"/>
    <x v="2"/>
    <x v="0"/>
    <n v="54012406000385"/>
    <x v="239"/>
    <s v="ARARAS"/>
    <s v="SP"/>
    <s v="1-Setorizado"/>
    <n v="2"/>
    <x v="14"/>
    <s v="BRUNA CLARO - ESP - SPI"/>
    <s v="Especialidade"/>
    <s v="claudia.bueno@cslbehring.com"/>
    <s v="CLAUDIA BUENO (SPC/SPI)"/>
    <n v="0"/>
    <n v="0"/>
    <n v="0"/>
    <n v="0"/>
    <n v="70"/>
  </r>
  <r>
    <x v="0"/>
    <x v="2"/>
    <x v="0"/>
    <n v="54012406000385"/>
    <x v="239"/>
    <s v="ARARAS"/>
    <s v="SP"/>
    <s v="1-Setorizado"/>
    <n v="2"/>
    <x v="15"/>
    <s v="ARTUR JUNIOR - HSP - SPI"/>
    <s v="Hospitalar"/>
    <s v="claudia.bueno@cslbehring.com"/>
    <s v="CLAUDIA BUENO (SPC/SPI)"/>
    <n v="0"/>
    <n v="0"/>
    <n v="0"/>
    <n v="0"/>
    <n v="70"/>
  </r>
  <r>
    <x v="0"/>
    <x v="2"/>
    <x v="0"/>
    <n v="29435005008103"/>
    <x v="494"/>
    <s v="ARUJA"/>
    <s v="SP"/>
    <s v="1-Setorizado"/>
    <n v="2"/>
    <x v="14"/>
    <s v="BRUNA CLARO - ESP - SPI"/>
    <s v="Especialidade"/>
    <s v="claudia.bueno@cslbehring.com"/>
    <s v="CLAUDIA BUENO (SPC/SPI)"/>
    <n v="0"/>
    <n v="0"/>
    <n v="0"/>
    <n v="0"/>
    <n v="5"/>
  </r>
  <r>
    <x v="0"/>
    <x v="2"/>
    <x v="0"/>
    <n v="29435005008103"/>
    <x v="494"/>
    <s v="ARUJA"/>
    <s v="SP"/>
    <s v="1-Setorizado"/>
    <n v="2"/>
    <x v="15"/>
    <s v="ARTUR JUNIOR - HSP - SPI"/>
    <s v="Hospitalar"/>
    <s v="claudia.bueno@cslbehring.com"/>
    <s v="CLAUDIA BUENO (SPC/SPI)"/>
    <n v="0"/>
    <n v="0"/>
    <n v="0"/>
    <n v="0"/>
    <n v="5"/>
  </r>
  <r>
    <x v="0"/>
    <x v="2"/>
    <x v="0"/>
    <n v="4275687000129"/>
    <x v="240"/>
    <s v="ATIBAIA"/>
    <s v="SP"/>
    <s v="1-Setorizado"/>
    <n v="2"/>
    <x v="14"/>
    <s v="BRUNA CLARO - ESP - SPI"/>
    <s v="Especialidade"/>
    <s v="claudia.bueno@cslbehring.com"/>
    <s v="CLAUDIA BUENO (SPC/SPI)"/>
    <n v="0"/>
    <n v="0"/>
    <n v="0"/>
    <n v="52"/>
    <n v="0"/>
  </r>
  <r>
    <x v="0"/>
    <x v="2"/>
    <x v="0"/>
    <n v="4275687000129"/>
    <x v="240"/>
    <s v="ATIBAIA"/>
    <s v="SP"/>
    <s v="1-Setorizado"/>
    <n v="2"/>
    <x v="15"/>
    <s v="ARTUR JUNIOR - HSP - SPI"/>
    <s v="Hospitalar"/>
    <s v="claudia.bueno@cslbehring.com"/>
    <s v="CLAUDIA BUENO (SPC/SPI)"/>
    <n v="0"/>
    <n v="0"/>
    <n v="0"/>
    <n v="0"/>
    <n v="0"/>
  </r>
  <r>
    <x v="0"/>
    <x v="2"/>
    <x v="0"/>
    <n v="44456036000311"/>
    <x v="241"/>
    <s v="BAURU"/>
    <s v="SP"/>
    <s v="1-Setorizado"/>
    <n v="2"/>
    <x v="14"/>
    <s v="BRUNA CLARO - ESP - SPI"/>
    <s v="Especialidade"/>
    <s v="claudia.bueno@cslbehring.com"/>
    <s v="CLAUDIA BUENO (SPC/SPI)"/>
    <n v="0"/>
    <n v="0"/>
    <n v="0"/>
    <n v="0"/>
    <n v="0"/>
  </r>
  <r>
    <x v="0"/>
    <x v="2"/>
    <x v="0"/>
    <n v="44456036000311"/>
    <x v="241"/>
    <s v="BAURU"/>
    <s v="SP"/>
    <s v="1-Setorizado"/>
    <n v="2"/>
    <x v="15"/>
    <s v="ARTUR JUNIOR - HSP - SPI"/>
    <s v="Hospitalar"/>
    <s v="claudia.bueno@cslbehring.com"/>
    <s v="CLAUDIA BUENO (SPC/SPI)"/>
    <n v="0"/>
    <n v="7"/>
    <n v="0"/>
    <n v="0"/>
    <n v="0"/>
  </r>
  <r>
    <x v="0"/>
    <x v="2"/>
    <x v="0"/>
    <n v="12474705000120"/>
    <x v="495"/>
    <s v="BOTUCATU"/>
    <s v="SP"/>
    <s v="1-Setorizado"/>
    <n v="2"/>
    <x v="14"/>
    <s v="BRUNA CLARO - ESP - SPI"/>
    <s v="Especialidade"/>
    <s v="claudia.bueno@cslbehring.com"/>
    <s v="CLAUDIA BUENO (SPC/SPI)"/>
    <n v="0"/>
    <n v="0"/>
    <n v="0"/>
    <n v="0"/>
    <n v="125"/>
  </r>
  <r>
    <x v="0"/>
    <x v="2"/>
    <x v="0"/>
    <n v="12474705000120"/>
    <x v="495"/>
    <s v="BOTUCATU"/>
    <s v="SP"/>
    <s v="1-Setorizado"/>
    <n v="2"/>
    <x v="15"/>
    <s v="ARTUR JUNIOR - HSP - SPI"/>
    <s v="Hospitalar"/>
    <s v="claudia.bueno@cslbehring.com"/>
    <s v="CLAUDIA BUENO (SPC/SPI)"/>
    <n v="0"/>
    <n v="0"/>
    <n v="0"/>
    <n v="0"/>
    <n v="125"/>
  </r>
  <r>
    <x v="0"/>
    <x v="2"/>
    <x v="0"/>
    <n v="46020301000269"/>
    <x v="242"/>
    <s v="CAMPINAS"/>
    <s v="SP"/>
    <s v="1-Setorizado"/>
    <n v="2"/>
    <x v="14"/>
    <s v="BRUNA CLARO - ESP - SPI"/>
    <s v="Especialidade"/>
    <s v="claudia.bueno@cslbehring.com"/>
    <s v="CLAUDIA BUENO (SPC/SPI)"/>
    <n v="0"/>
    <n v="0"/>
    <n v="0"/>
    <n v="55"/>
    <n v="0"/>
  </r>
  <r>
    <x v="0"/>
    <x v="2"/>
    <x v="0"/>
    <n v="46020301000269"/>
    <x v="242"/>
    <s v="CAMPINAS"/>
    <s v="SP"/>
    <s v="1-Setorizado"/>
    <n v="2"/>
    <x v="15"/>
    <s v="ARTUR JUNIOR - HSP - SPI"/>
    <s v="Hospitalar"/>
    <s v="claudia.bueno@cslbehring.com"/>
    <s v="CLAUDIA BUENO (SPC/SPI)"/>
    <n v="0"/>
    <n v="1"/>
    <n v="0"/>
    <n v="0"/>
    <n v="0"/>
  </r>
  <r>
    <x v="0"/>
    <x v="2"/>
    <x v="0"/>
    <n v="46009718000140"/>
    <x v="243"/>
    <s v="CAMPINAS"/>
    <s v="SP"/>
    <s v="1-Setorizado"/>
    <n v="2"/>
    <x v="14"/>
    <s v="BRUNA CLARO - ESP - SPI"/>
    <s v="Especialidade"/>
    <s v="claudia.bueno@cslbehring.com"/>
    <s v="CLAUDIA BUENO (SPC/SPI)"/>
    <n v="3"/>
    <n v="0"/>
    <n v="0"/>
    <n v="42"/>
    <n v="850"/>
  </r>
  <r>
    <x v="0"/>
    <x v="2"/>
    <x v="0"/>
    <n v="46009718000140"/>
    <x v="243"/>
    <s v="CAMPINAS"/>
    <s v="SP"/>
    <s v="1-Setorizado"/>
    <n v="2"/>
    <x v="15"/>
    <s v="ARTUR JUNIOR - HSP - SPI"/>
    <s v="Hospitalar"/>
    <s v="claudia.bueno@cslbehring.com"/>
    <s v="CLAUDIA BUENO (SPC/SPI)"/>
    <n v="0"/>
    <n v="0"/>
    <n v="0"/>
    <n v="0"/>
    <n v="850"/>
  </r>
  <r>
    <x v="0"/>
    <x v="2"/>
    <x v="0"/>
    <n v="44649812019238"/>
    <x v="245"/>
    <s v="CAMPINAS"/>
    <s v="SP"/>
    <s v="1-Setorizado"/>
    <n v="2"/>
    <x v="14"/>
    <s v="BRUNA CLARO - ESP - SPI"/>
    <s v="Especialidade"/>
    <s v="claudia.bueno@cslbehring.com"/>
    <s v="CLAUDIA BUENO (SPC/SPI)"/>
    <n v="0"/>
    <n v="0"/>
    <n v="0"/>
    <n v="8"/>
    <n v="0"/>
  </r>
  <r>
    <x v="0"/>
    <x v="2"/>
    <x v="0"/>
    <n v="44649812019238"/>
    <x v="245"/>
    <s v="CAMPINAS"/>
    <s v="SP"/>
    <s v="1-Setorizado"/>
    <n v="2"/>
    <x v="15"/>
    <s v="ARTUR JUNIOR - HSP - SPI"/>
    <s v="Hospitalar"/>
    <s v="claudia.bueno@cslbehring.com"/>
    <s v="CLAUDIA BUENO (SPC/SPI)"/>
    <n v="0"/>
    <n v="0"/>
    <n v="0"/>
    <n v="0"/>
    <n v="0"/>
  </r>
  <r>
    <x v="0"/>
    <x v="2"/>
    <x v="0"/>
    <n v="51885242000140"/>
    <x v="246"/>
    <s v="CAMPINAS"/>
    <s v="SP"/>
    <s v="1-Setorizado"/>
    <n v="2"/>
    <x v="14"/>
    <s v="BRUNA CLARO - ESP - SPI"/>
    <s v="Especialidade"/>
    <s v="claudia.bueno@cslbehring.com"/>
    <s v="CLAUDIA BUENO (SPC/SPI)"/>
    <n v="0"/>
    <n v="0"/>
    <n v="0"/>
    <n v="160"/>
    <n v="0"/>
  </r>
  <r>
    <x v="0"/>
    <x v="2"/>
    <x v="0"/>
    <n v="51885242000140"/>
    <x v="246"/>
    <s v="CAMPINAS"/>
    <s v="SP"/>
    <s v="1-Setorizado"/>
    <n v="2"/>
    <x v="15"/>
    <s v="ARTUR JUNIOR - HSP - SPI"/>
    <s v="Hospitalar"/>
    <s v="claudia.bueno@cslbehring.com"/>
    <s v="CLAUDIA BUENO (SPC/SPI)"/>
    <n v="0"/>
    <n v="0"/>
    <n v="0"/>
    <n v="0"/>
    <n v="0"/>
  </r>
  <r>
    <x v="0"/>
    <x v="2"/>
    <x v="0"/>
    <n v="29435005008456"/>
    <x v="247"/>
    <s v="CAMPINAS"/>
    <s v="SP"/>
    <s v="1-Setorizado"/>
    <n v="2"/>
    <x v="14"/>
    <s v="BRUNA CLARO - ESP - SPI"/>
    <s v="Especialidade"/>
    <s v="claudia.bueno@cslbehring.com"/>
    <s v="CLAUDIA BUENO (SPC/SPI)"/>
    <n v="0"/>
    <n v="0"/>
    <n v="0"/>
    <n v="0"/>
    <n v="200"/>
  </r>
  <r>
    <x v="0"/>
    <x v="2"/>
    <x v="0"/>
    <n v="29435005008456"/>
    <x v="247"/>
    <s v="CAMPINAS"/>
    <s v="SP"/>
    <s v="1-Setorizado"/>
    <n v="2"/>
    <x v="15"/>
    <s v="ARTUR JUNIOR - HSP - SPI"/>
    <s v="Hospitalar"/>
    <s v="claudia.bueno@cslbehring.com"/>
    <s v="CLAUDIA BUENO (SPC/SPI)"/>
    <n v="0"/>
    <n v="0"/>
    <n v="0"/>
    <n v="0"/>
    <n v="200"/>
  </r>
  <r>
    <x v="0"/>
    <x v="2"/>
    <x v="0"/>
    <n v="46124624000111"/>
    <x v="248"/>
    <s v="CAMPINAS"/>
    <s v="SP"/>
    <s v="1-Setorizado"/>
    <n v="2"/>
    <x v="14"/>
    <s v="BRUNA CLARO - ESP - SPI"/>
    <s v="Especialidade"/>
    <s v="claudia.bueno@cslbehring.com"/>
    <s v="CLAUDIA BUENO (SPC/SPI)"/>
    <n v="0"/>
    <n v="0"/>
    <n v="0"/>
    <n v="120"/>
    <n v="265"/>
  </r>
  <r>
    <x v="0"/>
    <x v="2"/>
    <x v="0"/>
    <n v="46124624000111"/>
    <x v="248"/>
    <s v="CAMPINAS"/>
    <s v="SP"/>
    <s v="1-Setorizado"/>
    <n v="2"/>
    <x v="15"/>
    <s v="ARTUR JUNIOR - HSP - SPI"/>
    <s v="Hospitalar"/>
    <s v="claudia.bueno@cslbehring.com"/>
    <s v="CLAUDIA BUENO (SPC/SPI)"/>
    <n v="0"/>
    <n v="0"/>
    <n v="0"/>
    <n v="0"/>
    <n v="265"/>
  </r>
  <r>
    <x v="0"/>
    <x v="2"/>
    <x v="0"/>
    <n v="10447300000177"/>
    <x v="249"/>
    <s v="CAMPINAS "/>
    <s v="SP"/>
    <s v="1-Setorizado"/>
    <n v="2"/>
    <x v="14"/>
    <s v="BRUNA CLARO - ESP - SPI"/>
    <s v="Especialidade"/>
    <s v="claudia.bueno@cslbehring.com"/>
    <s v="CLAUDIA BUENO (SPC/SPI)"/>
    <n v="0"/>
    <n v="0"/>
    <n v="0"/>
    <n v="4"/>
    <n v="0"/>
  </r>
  <r>
    <x v="0"/>
    <x v="2"/>
    <x v="0"/>
    <n v="10447300000177"/>
    <x v="249"/>
    <s v="CAMPINAS "/>
    <s v="SP"/>
    <s v="1-Setorizado"/>
    <n v="2"/>
    <x v="15"/>
    <s v="ARTUR JUNIOR - HSP - SPI"/>
    <s v="Hospitalar"/>
    <s v="claudia.bueno@cslbehring.com"/>
    <s v="CLAUDIA BUENO (SPC/SPI)"/>
    <n v="0"/>
    <n v="0"/>
    <n v="0"/>
    <n v="0"/>
    <n v="0"/>
  </r>
  <r>
    <x v="0"/>
    <x v="2"/>
    <x v="0"/>
    <n v="45118429001279"/>
    <x v="251"/>
    <s v="CATANDUVA"/>
    <s v="SP"/>
    <s v="1-Setorizado"/>
    <n v="2"/>
    <x v="14"/>
    <s v="BRUNA CLARO - ESP - SPI"/>
    <s v="Especialidade"/>
    <s v="claudia.bueno@cslbehring.com"/>
    <s v="CLAUDIA BUENO (SPC/SPI)"/>
    <n v="0"/>
    <n v="0"/>
    <n v="0"/>
    <n v="6"/>
    <n v="100"/>
  </r>
  <r>
    <x v="0"/>
    <x v="2"/>
    <x v="0"/>
    <n v="45118429001279"/>
    <x v="251"/>
    <s v="CATANDUVA"/>
    <s v="SP"/>
    <s v="1-Setorizado"/>
    <n v="2"/>
    <x v="15"/>
    <s v="ARTUR JUNIOR - HSP - SPI"/>
    <s v="Hospitalar"/>
    <s v="claudia.bueno@cslbehring.com"/>
    <s v="CLAUDIA BUENO (SPC/SPI)"/>
    <n v="0"/>
    <n v="7"/>
    <n v="0"/>
    <n v="0"/>
    <n v="100"/>
  </r>
  <r>
    <x v="0"/>
    <x v="2"/>
    <x v="0"/>
    <n v="68204486000113"/>
    <x v="429"/>
    <s v="DRACENA"/>
    <s v="SP"/>
    <s v="1-Setorizado"/>
    <n v="2"/>
    <x v="14"/>
    <s v="BRUNA CLARO - ESP - SPI"/>
    <s v="Especialidade"/>
    <s v="claudia.bueno@cslbehring.com"/>
    <s v="CLAUDIA BUENO (SPC/SPI)"/>
    <n v="0"/>
    <n v="0"/>
    <n v="0"/>
    <n v="0"/>
    <n v="150"/>
  </r>
  <r>
    <x v="0"/>
    <x v="2"/>
    <x v="0"/>
    <n v="68204486000113"/>
    <x v="429"/>
    <s v="DRACENA"/>
    <s v="SP"/>
    <s v="1-Setorizado"/>
    <n v="2"/>
    <x v="15"/>
    <s v="ARTUR JUNIOR - HSP - SPI"/>
    <s v="Hospitalar"/>
    <s v="claudia.bueno@cslbehring.com"/>
    <s v="CLAUDIA BUENO (SPC/SPI)"/>
    <n v="0"/>
    <n v="0"/>
    <n v="0"/>
    <n v="0"/>
    <n v="150"/>
  </r>
  <r>
    <x v="0"/>
    <x v="2"/>
    <x v="0"/>
    <n v="50486026000160"/>
    <x v="252"/>
    <s v="FRANCA"/>
    <s v="SP"/>
    <s v="1-Setorizado"/>
    <n v="2"/>
    <x v="14"/>
    <s v="BRUNA CLARO - ESP - SPI"/>
    <s v="Especialidade"/>
    <s v="claudia.bueno@cslbehring.com"/>
    <s v="CLAUDIA BUENO (SPC/SPI)"/>
    <n v="0"/>
    <n v="0"/>
    <n v="0"/>
    <n v="0"/>
    <n v="110"/>
  </r>
  <r>
    <x v="0"/>
    <x v="2"/>
    <x v="0"/>
    <n v="50486026000160"/>
    <x v="252"/>
    <s v="FRANCA"/>
    <s v="SP"/>
    <s v="1-Setorizado"/>
    <n v="2"/>
    <x v="15"/>
    <s v="ARTUR JUNIOR - HSP - SPI"/>
    <s v="Hospitalar"/>
    <s v="claudia.bueno@cslbehring.com"/>
    <s v="CLAUDIA BUENO (SPC/SPI)"/>
    <n v="0"/>
    <n v="0"/>
    <n v="0"/>
    <n v="0"/>
    <n v="110"/>
  </r>
  <r>
    <x v="0"/>
    <x v="2"/>
    <x v="0"/>
    <n v="48468284000171"/>
    <x v="253"/>
    <s v="GUARARAPES"/>
    <s v="SP"/>
    <s v="1-Setorizado"/>
    <n v="2"/>
    <x v="14"/>
    <s v="BRUNA CLARO - ESP - SPI"/>
    <s v="Especialidade"/>
    <s v="claudia.bueno@cslbehring.com"/>
    <s v="CLAUDIA BUENO (SPC/SPI)"/>
    <n v="0"/>
    <n v="0"/>
    <n v="0"/>
    <n v="0"/>
    <n v="200"/>
  </r>
  <r>
    <x v="0"/>
    <x v="2"/>
    <x v="0"/>
    <n v="48468284000171"/>
    <x v="253"/>
    <s v="GUARARAPES"/>
    <s v="SP"/>
    <s v="1-Setorizado"/>
    <n v="2"/>
    <x v="15"/>
    <s v="ARTUR JUNIOR - HSP - SPI"/>
    <s v="Hospitalar"/>
    <s v="claudia.bueno@cslbehring.com"/>
    <s v="CLAUDIA BUENO (SPC/SPI)"/>
    <n v="0"/>
    <n v="0"/>
    <n v="0"/>
    <n v="0"/>
    <n v="200"/>
  </r>
  <r>
    <x v="0"/>
    <x v="2"/>
    <x v="0"/>
    <n v="29435005008294"/>
    <x v="254"/>
    <s v="GUARULHOS"/>
    <s v="SP"/>
    <s v="1-Setorizado"/>
    <n v="2"/>
    <x v="16"/>
    <s v="JANAINA PALMIRO - ESP - SPC"/>
    <s v="Especialidade"/>
    <s v="claudia.bueno@cslbehring.com"/>
    <s v="CLAUDIA BUENO (SPC/SPI)"/>
    <n v="0"/>
    <n v="0"/>
    <n v="0"/>
    <n v="0"/>
    <n v="300"/>
  </r>
  <r>
    <x v="0"/>
    <x v="2"/>
    <x v="0"/>
    <n v="29435005008294"/>
    <x v="254"/>
    <s v="GUARULHOS"/>
    <s v="SP"/>
    <s v="1-Setorizado"/>
    <n v="2"/>
    <x v="17"/>
    <s v="ANTONIO TUNES - HSP - SPC"/>
    <s v="Hospitalar"/>
    <s v="claudia.bueno@cslbehring.com"/>
    <s v="CLAUDIA BUENO (SPC/SPI)"/>
    <n v="0"/>
    <n v="0"/>
    <n v="0"/>
    <n v="0"/>
    <n v="300"/>
  </r>
  <r>
    <x v="0"/>
    <x v="2"/>
    <x v="0"/>
    <n v="60214517001187"/>
    <x v="496"/>
    <s v="JACAREI"/>
    <s v="SP"/>
    <s v="1-Setorizado"/>
    <n v="2"/>
    <x v="16"/>
    <s v="JANAINA PALMIRO - ESP - SPC"/>
    <s v="Especialidade"/>
    <s v="claudia.bueno@cslbehring.com"/>
    <s v="CLAUDIA BUENO (SPC/SPI)"/>
    <n v="0"/>
    <n v="0"/>
    <n v="0"/>
    <n v="0"/>
    <n v="20"/>
  </r>
  <r>
    <x v="0"/>
    <x v="2"/>
    <x v="0"/>
    <n v="60214517001187"/>
    <x v="496"/>
    <s v="JACAREI"/>
    <s v="SP"/>
    <s v="1-Setorizado"/>
    <n v="2"/>
    <x v="19"/>
    <s v="TATHIANA PONCE - HSP - SPC"/>
    <s v="Hospitalar"/>
    <s v="claudia.bueno@cslbehring.com"/>
    <s v="CLAUDIA BUENO (SPC/SPI)"/>
    <n v="0"/>
    <n v="0"/>
    <n v="0"/>
    <n v="0"/>
    <n v="20"/>
  </r>
  <r>
    <x v="0"/>
    <x v="2"/>
    <x v="0"/>
    <n v="50944198000130"/>
    <x v="497"/>
    <s v="JUNDIAI"/>
    <s v="SP"/>
    <s v="1-Setorizado"/>
    <n v="2"/>
    <x v="14"/>
    <s v="BRUNA CLARO - ESP - SPI"/>
    <s v="Especialidade"/>
    <s v="claudia.bueno@cslbehring.com"/>
    <s v="CLAUDIA BUENO (SPC/SPI)"/>
    <n v="0"/>
    <n v="0"/>
    <n v="0"/>
    <n v="0"/>
    <n v="0"/>
  </r>
  <r>
    <x v="0"/>
    <x v="2"/>
    <x v="0"/>
    <n v="50944198000130"/>
    <x v="497"/>
    <s v="JUNDIAI"/>
    <s v="SP"/>
    <s v="1-Setorizado"/>
    <n v="2"/>
    <x v="15"/>
    <s v="ARTUR JUNIOR - HSP - SPI"/>
    <s v="Hospitalar"/>
    <s v="claudia.bueno@cslbehring.com"/>
    <s v="CLAUDIA BUENO (SPC/SPI)"/>
    <n v="0"/>
    <n v="8"/>
    <n v="0"/>
    <n v="0"/>
    <n v="0"/>
  </r>
  <r>
    <x v="0"/>
    <x v="2"/>
    <x v="0"/>
    <n v="44649812001614"/>
    <x v="498"/>
    <s v="JUNDIAI"/>
    <s v="SP"/>
    <s v="1-Setorizado"/>
    <n v="2"/>
    <x v="14"/>
    <s v="BRUNA CLARO - ESP - SPI"/>
    <s v="Especialidade"/>
    <s v="claudia.bueno@cslbehring.com"/>
    <s v="CLAUDIA BUENO (SPC/SPI)"/>
    <n v="0"/>
    <n v="0"/>
    <n v="0"/>
    <n v="0"/>
    <n v="0"/>
  </r>
  <r>
    <x v="0"/>
    <x v="2"/>
    <x v="0"/>
    <n v="44649812001614"/>
    <x v="498"/>
    <s v="JUNDIAI"/>
    <s v="SP"/>
    <s v="1-Setorizado"/>
    <n v="2"/>
    <x v="15"/>
    <s v="ARTUR JUNIOR - HSP - SPI"/>
    <s v="Hospitalar"/>
    <s v="claudia.bueno@cslbehring.com"/>
    <s v="CLAUDIA BUENO (SPC/SPI)"/>
    <n v="0"/>
    <n v="4"/>
    <n v="0"/>
    <n v="0"/>
    <n v="0"/>
  </r>
  <r>
    <x v="0"/>
    <x v="2"/>
    <x v="0"/>
    <n v="45780103000150"/>
    <x v="256"/>
    <s v="JUNDIAI"/>
    <s v="SP"/>
    <s v="1-Setorizado"/>
    <n v="2"/>
    <x v="14"/>
    <s v="BRUNA CLARO - ESP - SPI"/>
    <s v="Especialidade"/>
    <s v="claudia.bueno@cslbehring.com"/>
    <s v="CLAUDIA BUENO (SPC/SPI)"/>
    <n v="0"/>
    <n v="0"/>
    <n v="0"/>
    <n v="0"/>
    <n v="615"/>
  </r>
  <r>
    <x v="0"/>
    <x v="2"/>
    <x v="0"/>
    <n v="45780103000150"/>
    <x v="256"/>
    <s v="JUNDIAI"/>
    <s v="SP"/>
    <s v="1-Setorizado"/>
    <n v="2"/>
    <x v="15"/>
    <s v="ARTUR JUNIOR - HSP - SPI"/>
    <s v="Hospitalar"/>
    <s v="claudia.bueno@cslbehring.com"/>
    <s v="CLAUDIA BUENO (SPC/SPI)"/>
    <n v="0"/>
    <n v="0"/>
    <n v="0"/>
    <n v="0"/>
    <n v="615"/>
  </r>
  <r>
    <x v="0"/>
    <x v="2"/>
    <x v="0"/>
    <n v="9528436000122"/>
    <x v="499"/>
    <s v="MARILIA"/>
    <s v="SP"/>
    <s v="1-Setorizado"/>
    <n v="2"/>
    <x v="14"/>
    <s v="BRUNA CLARO - ESP - SPI"/>
    <s v="Especialidade"/>
    <s v="claudia.bueno@cslbehring.com"/>
    <s v="CLAUDIA BUENO (SPC/SPI)"/>
    <n v="0"/>
    <n v="0"/>
    <n v="0"/>
    <n v="0"/>
    <n v="150"/>
  </r>
  <r>
    <x v="0"/>
    <x v="2"/>
    <x v="0"/>
    <n v="9528436000122"/>
    <x v="499"/>
    <s v="MARILIA"/>
    <s v="SP"/>
    <s v="1-Setorizado"/>
    <n v="2"/>
    <x v="15"/>
    <s v="ARTUR JUNIOR - HSP - SPI"/>
    <s v="Hospitalar"/>
    <s v="claudia.bueno@cslbehring.com"/>
    <s v="CLAUDIA BUENO (SPC/SPI)"/>
    <n v="0"/>
    <n v="0"/>
    <n v="0"/>
    <n v="0"/>
    <n v="150"/>
  </r>
  <r>
    <x v="0"/>
    <x v="2"/>
    <x v="0"/>
    <n v="52852100000140"/>
    <x v="500"/>
    <s v="MONTE ALTO"/>
    <s v="SP"/>
    <s v="1-Setorizado"/>
    <n v="2"/>
    <x v="14"/>
    <s v="BRUNA CLARO - ESP - SPI"/>
    <s v="Especialidade"/>
    <s v="claudia.bueno@cslbehring.com"/>
    <s v="CLAUDIA BUENO (SPC/SPI)"/>
    <n v="0"/>
    <n v="0"/>
    <n v="0"/>
    <n v="0"/>
    <n v="300"/>
  </r>
  <r>
    <x v="0"/>
    <x v="2"/>
    <x v="0"/>
    <n v="52852100000140"/>
    <x v="500"/>
    <s v="MONTE ALTO"/>
    <s v="SP"/>
    <s v="1-Setorizado"/>
    <n v="2"/>
    <x v="15"/>
    <s v="ARTUR JUNIOR - HSP - SPI"/>
    <s v="Hospitalar"/>
    <s v="claudia.bueno@cslbehring.com"/>
    <s v="CLAUDIA BUENO (SPC/SPI)"/>
    <n v="0"/>
    <n v="0"/>
    <n v="0"/>
    <n v="0"/>
    <n v="300"/>
  </r>
  <r>
    <x v="0"/>
    <x v="2"/>
    <x v="0"/>
    <n v="53311999000156"/>
    <x v="501"/>
    <s v="ORLANDIA"/>
    <s v="SP"/>
    <s v="1-Setorizado"/>
    <n v="2"/>
    <x v="14"/>
    <s v="BRUNA CLARO - ESP - SPI"/>
    <s v="Especialidade"/>
    <s v="claudia.bueno@cslbehring.com"/>
    <s v="CLAUDIA BUENO (SPC/SPI)"/>
    <n v="0"/>
    <n v="0"/>
    <n v="0"/>
    <n v="0"/>
    <n v="0"/>
  </r>
  <r>
    <x v="0"/>
    <x v="2"/>
    <x v="0"/>
    <n v="53311999000156"/>
    <x v="501"/>
    <s v="ORLANDIA"/>
    <s v="SP"/>
    <s v="1-Setorizado"/>
    <n v="2"/>
    <x v="15"/>
    <s v="ARTUR JUNIOR - HSP - SPI"/>
    <s v="Hospitalar"/>
    <s v="claudia.bueno@cslbehring.com"/>
    <s v="CLAUDIA BUENO (SPC/SPI)"/>
    <n v="0"/>
    <n v="2"/>
    <n v="0"/>
    <n v="0"/>
    <n v="0"/>
  </r>
  <r>
    <x v="0"/>
    <x v="2"/>
    <x v="0"/>
    <n v="6047087007656"/>
    <x v="258"/>
    <s v="OSASCO"/>
    <s v="SP"/>
    <s v="1-Setorizado"/>
    <n v="2"/>
    <x v="18"/>
    <s v="XXX-ESP-VAGO SPC"/>
    <s v="Especialidade"/>
    <s v="claudia.bueno@cslbehring.com"/>
    <s v="CLAUDIA BUENO (SPC/SPI)"/>
    <n v="0"/>
    <n v="0"/>
    <n v="0"/>
    <n v="0"/>
    <n v="0"/>
  </r>
  <r>
    <x v="0"/>
    <x v="2"/>
    <x v="0"/>
    <n v="6047087007656"/>
    <x v="258"/>
    <s v="OSASCO"/>
    <s v="SP"/>
    <s v="1-Setorizado"/>
    <n v="2"/>
    <x v="17"/>
    <s v="ANTONIO TUNES - HSP - SPC"/>
    <s v="Hospitalar"/>
    <s v="claudia.bueno@cslbehring.com"/>
    <s v="CLAUDIA BUENO (SPC/SPI)"/>
    <n v="0"/>
    <n v="0"/>
    <n v="3"/>
    <n v="0"/>
    <n v="0"/>
  </r>
  <r>
    <x v="0"/>
    <x v="2"/>
    <x v="0"/>
    <n v="47565155000996"/>
    <x v="502"/>
    <s v="PINDAMONHANGABA"/>
    <s v="SP"/>
    <s v="1-Setorizado"/>
    <n v="2"/>
    <x v="14"/>
    <s v="BRUNA CLARO - ESP - SPI"/>
    <s v="Especialidade"/>
    <s v="claudia.bueno@cslbehring.com"/>
    <s v="CLAUDIA BUENO (SPC/SPI)"/>
    <n v="0"/>
    <n v="0"/>
    <n v="0"/>
    <n v="0"/>
    <n v="0"/>
  </r>
  <r>
    <x v="0"/>
    <x v="2"/>
    <x v="0"/>
    <n v="47565155000996"/>
    <x v="502"/>
    <s v="PINDAMONHANGABA"/>
    <s v="SP"/>
    <s v="1-Setorizado"/>
    <n v="2"/>
    <x v="15"/>
    <s v="ARTUR JUNIOR - HSP - SPI"/>
    <s v="Hospitalar"/>
    <s v="claudia.bueno@cslbehring.com"/>
    <s v="CLAUDIA BUENO (SPC/SPI)"/>
    <n v="0"/>
    <n v="4"/>
    <n v="3"/>
    <n v="0"/>
    <n v="0"/>
  </r>
  <r>
    <x v="0"/>
    <x v="2"/>
    <x v="0"/>
    <n v="44803922000293"/>
    <x v="259"/>
    <s v="PIRACICABA"/>
    <s v="SP"/>
    <s v="1-Setorizado"/>
    <n v="2"/>
    <x v="14"/>
    <s v="BRUNA CLARO - ESP - SPI"/>
    <s v="Especialidade"/>
    <s v="claudia.bueno@cslbehring.com"/>
    <s v="CLAUDIA BUENO (SPC/SPI)"/>
    <n v="0"/>
    <n v="0"/>
    <n v="0"/>
    <n v="8"/>
    <n v="0"/>
  </r>
  <r>
    <x v="0"/>
    <x v="2"/>
    <x v="0"/>
    <n v="44803922000293"/>
    <x v="259"/>
    <s v="PIRACICABA"/>
    <s v="SP"/>
    <s v="1-Setorizado"/>
    <n v="2"/>
    <x v="15"/>
    <s v="ARTUR JUNIOR - HSP - SPI"/>
    <s v="Hospitalar"/>
    <s v="claudia.bueno@cslbehring.com"/>
    <s v="CLAUDIA BUENO (SPC/SPI)"/>
    <n v="0"/>
    <n v="0"/>
    <n v="0"/>
    <n v="0"/>
    <n v="0"/>
  </r>
  <r>
    <x v="0"/>
    <x v="2"/>
    <x v="0"/>
    <n v="840048000450"/>
    <x v="260"/>
    <s v="PIRASSUNUNGA"/>
    <s v="SP"/>
    <s v="1-Setorizado"/>
    <n v="2"/>
    <x v="14"/>
    <s v="BRUNA CLARO - ESP - SPI"/>
    <s v="Especialidade"/>
    <s v="claudia.bueno@cslbehring.com"/>
    <s v="CLAUDIA BUENO (SPC/SPI)"/>
    <n v="0"/>
    <n v="0"/>
    <n v="0"/>
    <n v="0"/>
    <n v="240"/>
  </r>
  <r>
    <x v="0"/>
    <x v="2"/>
    <x v="0"/>
    <n v="840048000450"/>
    <x v="260"/>
    <s v="PIRASSUNUNGA"/>
    <s v="SP"/>
    <s v="1-Setorizado"/>
    <n v="2"/>
    <x v="15"/>
    <s v="ARTUR JUNIOR - HSP - SPI"/>
    <s v="Hospitalar"/>
    <s v="claudia.bueno@cslbehring.com"/>
    <s v="CLAUDIA BUENO (SPC/SPI)"/>
    <n v="0"/>
    <n v="0"/>
    <n v="0"/>
    <n v="0"/>
    <n v="240"/>
  </r>
  <r>
    <x v="0"/>
    <x v="2"/>
    <x v="0"/>
    <n v="46374500003533"/>
    <x v="262"/>
    <s v="RIBEIRAO PRETO"/>
    <s v="SP"/>
    <s v="1-Setorizado"/>
    <n v="2"/>
    <x v="14"/>
    <s v="BRUNA CLARO - ESP - SPI"/>
    <s v="Especialidade"/>
    <s v="claudia.bueno@cslbehring.com"/>
    <s v="CLAUDIA BUENO (SPC/SPI)"/>
    <n v="0"/>
    <n v="0"/>
    <n v="0"/>
    <n v="0"/>
    <n v="1000"/>
  </r>
  <r>
    <x v="0"/>
    <x v="2"/>
    <x v="0"/>
    <n v="46374500003533"/>
    <x v="262"/>
    <s v="RIBEIRAO PRETO"/>
    <s v="SP"/>
    <s v="1-Setorizado"/>
    <n v="2"/>
    <x v="15"/>
    <s v="ARTUR JUNIOR - HSP - SPI"/>
    <s v="Hospitalar"/>
    <s v="claudia.bueno@cslbehring.com"/>
    <s v="CLAUDIA BUENO (SPC/SPI)"/>
    <n v="0"/>
    <n v="0"/>
    <n v="0"/>
    <n v="0"/>
    <n v="1000"/>
  </r>
  <r>
    <x v="0"/>
    <x v="2"/>
    <x v="0"/>
    <n v="57722118000140"/>
    <x v="432"/>
    <s v="RIBEIRAO PRETO"/>
    <s v="SP"/>
    <s v="1-Setorizado"/>
    <n v="2"/>
    <x v="14"/>
    <s v="BRUNA CLARO - ESP - SPI"/>
    <s v="Especialidade"/>
    <s v="claudia.bueno@cslbehring.com"/>
    <s v="CLAUDIA BUENO (SPC/SPI)"/>
    <n v="0"/>
    <n v="0"/>
    <n v="0"/>
    <n v="0"/>
    <n v="150"/>
  </r>
  <r>
    <x v="0"/>
    <x v="2"/>
    <x v="0"/>
    <n v="57722118000140"/>
    <x v="432"/>
    <s v="RIBEIRAO PRETO"/>
    <s v="SP"/>
    <s v="1-Setorizado"/>
    <n v="2"/>
    <x v="15"/>
    <s v="ARTUR JUNIOR - HSP - SPI"/>
    <s v="Hospitalar"/>
    <s v="claudia.bueno@cslbehring.com"/>
    <s v="CLAUDIA BUENO (SPC/SPI)"/>
    <n v="0"/>
    <n v="0"/>
    <n v="0"/>
    <n v="0"/>
    <n v="150"/>
  </r>
  <r>
    <x v="0"/>
    <x v="2"/>
    <x v="0"/>
    <n v="1613433006892"/>
    <x v="263"/>
    <s v="RIBEIRAO PRETO"/>
    <s v="SP"/>
    <s v="1-Setorizado"/>
    <n v="2"/>
    <x v="14"/>
    <s v="BRUNA CLARO - ESP - SPI"/>
    <s v="Especialidade"/>
    <s v="claudia.bueno@cslbehring.com"/>
    <s v="CLAUDIA BUENO (SPC/SPI)"/>
    <n v="0"/>
    <n v="0"/>
    <n v="0"/>
    <n v="0"/>
    <n v="1220"/>
  </r>
  <r>
    <x v="0"/>
    <x v="2"/>
    <x v="0"/>
    <n v="1613433006892"/>
    <x v="263"/>
    <s v="RIBEIRAO PRETO"/>
    <s v="SP"/>
    <s v="1-Setorizado"/>
    <n v="2"/>
    <x v="15"/>
    <s v="ARTUR JUNIOR - HSP - SPI"/>
    <s v="Hospitalar"/>
    <s v="claudia.bueno@cslbehring.com"/>
    <s v="CLAUDIA BUENO (SPC/SPI)"/>
    <n v="0"/>
    <n v="0"/>
    <n v="0"/>
    <n v="0"/>
    <n v="1220"/>
  </r>
  <r>
    <x v="0"/>
    <x v="2"/>
    <x v="0"/>
    <n v="45232246000550"/>
    <x v="265"/>
    <s v="RIBEIRAO PRETO"/>
    <s v="SP"/>
    <s v="1-Setorizado"/>
    <n v="2"/>
    <x v="14"/>
    <s v="BRUNA CLARO - ESP - SPI"/>
    <s v="Especialidade"/>
    <s v="claudia.bueno@cslbehring.com"/>
    <s v="CLAUDIA BUENO (SPC/SPI)"/>
    <n v="0"/>
    <n v="0"/>
    <n v="0"/>
    <n v="62"/>
    <n v="360"/>
  </r>
  <r>
    <x v="0"/>
    <x v="2"/>
    <x v="0"/>
    <n v="45232246000550"/>
    <x v="265"/>
    <s v="RIBEIRAO PRETO"/>
    <s v="SP"/>
    <s v="1-Setorizado"/>
    <n v="2"/>
    <x v="15"/>
    <s v="ARTUR JUNIOR - HSP - SPI"/>
    <s v="Hospitalar"/>
    <s v="claudia.bueno@cslbehring.com"/>
    <s v="CLAUDIA BUENO (SPC/SPI)"/>
    <n v="0"/>
    <n v="0"/>
    <n v="0"/>
    <n v="0"/>
    <n v="360"/>
  </r>
  <r>
    <x v="0"/>
    <x v="2"/>
    <x v="0"/>
    <n v="44663631000590"/>
    <x v="266"/>
    <s v="RIO CLARO"/>
    <s v="SP"/>
    <s v="1-Setorizado"/>
    <n v="2"/>
    <x v="14"/>
    <s v="BRUNA CLARO - ESP - SPI"/>
    <s v="Especialidade"/>
    <s v="claudia.bueno@cslbehring.com"/>
    <s v="CLAUDIA BUENO (SPC/SPI)"/>
    <n v="0"/>
    <n v="0"/>
    <n v="0"/>
    <n v="32"/>
    <n v="195"/>
  </r>
  <r>
    <x v="0"/>
    <x v="2"/>
    <x v="0"/>
    <n v="44663631000590"/>
    <x v="266"/>
    <s v="RIO CLARO"/>
    <s v="SP"/>
    <s v="1-Setorizado"/>
    <n v="2"/>
    <x v="15"/>
    <s v="ARTUR JUNIOR - HSP - SPI"/>
    <s v="Hospitalar"/>
    <s v="claudia.bueno@cslbehring.com"/>
    <s v="CLAUDIA BUENO (SPC/SPI)"/>
    <n v="0"/>
    <n v="0"/>
    <n v="0"/>
    <n v="0"/>
    <n v="195"/>
  </r>
  <r>
    <x v="0"/>
    <x v="2"/>
    <x v="0"/>
    <n v="13718999001041"/>
    <x v="267"/>
    <s v="SANTO ANDRE"/>
    <s v="SP"/>
    <s v="1-Setorizado"/>
    <n v="2"/>
    <x v="18"/>
    <s v="XXX-ESP-VAGO SPC"/>
    <s v="Especialidade"/>
    <s v="claudia.bueno@cslbehring.com"/>
    <s v="CLAUDIA BUENO (SPC/SPI)"/>
    <n v="0"/>
    <n v="0"/>
    <n v="0"/>
    <n v="8"/>
    <n v="0"/>
  </r>
  <r>
    <x v="0"/>
    <x v="2"/>
    <x v="0"/>
    <n v="13718999001041"/>
    <x v="267"/>
    <s v="SANTO ANDRE"/>
    <s v="SP"/>
    <s v="1-Setorizado"/>
    <n v="2"/>
    <x v="17"/>
    <s v="ANTONIO TUNES - HSP - SPC"/>
    <s v="Hospitalar"/>
    <s v="claudia.bueno@cslbehring.com"/>
    <s v="CLAUDIA BUENO (SPC/SPI)"/>
    <n v="0"/>
    <n v="0"/>
    <n v="0"/>
    <n v="0"/>
    <n v="0"/>
  </r>
  <r>
    <x v="0"/>
    <x v="2"/>
    <x v="0"/>
    <n v="6047087000724"/>
    <x v="503"/>
    <s v="SANTO ANDRE"/>
    <s v="SP"/>
    <s v="1-Setorizado"/>
    <n v="2"/>
    <x v="18"/>
    <s v="XXX-ESP-VAGO SPC"/>
    <s v="Especialidade"/>
    <s v="claudia.bueno@cslbehring.com"/>
    <s v="CLAUDIA BUENO (SPC/SPI)"/>
    <n v="0"/>
    <n v="0"/>
    <n v="0"/>
    <n v="0"/>
    <n v="0"/>
  </r>
  <r>
    <x v="0"/>
    <x v="2"/>
    <x v="0"/>
    <n v="6047087000724"/>
    <x v="503"/>
    <s v="SANTO ANDRE"/>
    <s v="SP"/>
    <s v="1-Setorizado"/>
    <n v="2"/>
    <x v="17"/>
    <s v="ANTONIO TUNES - HSP - SPC"/>
    <s v="Hospitalar"/>
    <s v="claudia.bueno@cslbehring.com"/>
    <s v="CLAUDIA BUENO (SPC/SPI)"/>
    <n v="0"/>
    <n v="12"/>
    <n v="10"/>
    <n v="0"/>
    <n v="0"/>
  </r>
  <r>
    <x v="0"/>
    <x v="2"/>
    <x v="0"/>
    <n v="6033403000113"/>
    <x v="268"/>
    <s v="SANTO ANDRE"/>
    <s v="SP"/>
    <s v="1-Setorizado"/>
    <n v="2"/>
    <x v="16"/>
    <s v="JANAINA PALMIRO - ESP - SPC"/>
    <s v="Especialidade"/>
    <s v="claudia.bueno@cslbehring.com"/>
    <s v="CLAUDIA BUENO (SPC/SPI)"/>
    <n v="0"/>
    <n v="0"/>
    <n v="0"/>
    <n v="0"/>
    <n v="0"/>
  </r>
  <r>
    <x v="0"/>
    <x v="2"/>
    <x v="0"/>
    <n v="6033403000113"/>
    <x v="268"/>
    <s v="SANTO ANDRE"/>
    <s v="SP"/>
    <s v="1-Setorizado"/>
    <n v="2"/>
    <x v="17"/>
    <s v="ANTONIO TUNES - HSP - SPC"/>
    <s v="Hospitalar"/>
    <s v="claudia.bueno@cslbehring.com"/>
    <s v="CLAUDIA BUENO (SPC/SPI)"/>
    <n v="0"/>
    <n v="14"/>
    <n v="0"/>
    <n v="0"/>
    <n v="0"/>
  </r>
  <r>
    <x v="0"/>
    <x v="2"/>
    <x v="0"/>
    <n v="10868295000176"/>
    <x v="435"/>
    <s v="SANTOS"/>
    <s v="SP"/>
    <s v="1-Setorizado"/>
    <n v="2"/>
    <x v="18"/>
    <s v="XXX-ESP-VAGO SPC"/>
    <s v="Especialidade"/>
    <s v="claudia.bueno@cslbehring.com"/>
    <s v="CLAUDIA BUENO (SPC/SPI)"/>
    <n v="0"/>
    <n v="0"/>
    <n v="0"/>
    <n v="0"/>
    <n v="120"/>
  </r>
  <r>
    <x v="0"/>
    <x v="2"/>
    <x v="0"/>
    <n v="10868295000176"/>
    <x v="435"/>
    <s v="SANTOS"/>
    <s v="SP"/>
    <s v="1-Setorizado"/>
    <n v="2"/>
    <x v="17"/>
    <s v="ANTONIO TUNES - HSP - SPC"/>
    <s v="Hospitalar"/>
    <s v="claudia.bueno@cslbehring.com"/>
    <s v="CLAUDIA BUENO (SPC/SPI)"/>
    <n v="0"/>
    <n v="0"/>
    <n v="0"/>
    <n v="0"/>
    <n v="120"/>
  </r>
  <r>
    <x v="0"/>
    <x v="2"/>
    <x v="0"/>
    <n v="58229691001070"/>
    <x v="270"/>
    <s v="SANTOS"/>
    <s v="SP"/>
    <s v="1-Setorizado"/>
    <n v="2"/>
    <x v="18"/>
    <s v="XXX-ESP-VAGO SPC"/>
    <s v="Especialidade"/>
    <s v="claudia.bueno@cslbehring.com"/>
    <s v="CLAUDIA BUENO (SPC/SPI)"/>
    <n v="0"/>
    <n v="0"/>
    <n v="0"/>
    <n v="32"/>
    <n v="0"/>
  </r>
  <r>
    <x v="0"/>
    <x v="2"/>
    <x v="0"/>
    <n v="58229691001070"/>
    <x v="270"/>
    <s v="SANTOS"/>
    <s v="SP"/>
    <s v="1-Setorizado"/>
    <n v="2"/>
    <x v="17"/>
    <s v="ANTONIO TUNES - HSP - SPC"/>
    <s v="Hospitalar"/>
    <s v="claudia.bueno@cslbehring.com"/>
    <s v="CLAUDIA BUENO (SPC/SPI)"/>
    <n v="0"/>
    <n v="0"/>
    <n v="0"/>
    <n v="0"/>
    <n v="0"/>
  </r>
  <r>
    <x v="0"/>
    <x v="2"/>
    <x v="0"/>
    <n v="43293604002120"/>
    <x v="271"/>
    <s v="SAO BERNARDO DO CAMPO"/>
    <s v="SP"/>
    <s v="1-Setorizado"/>
    <n v="2"/>
    <x v="18"/>
    <s v="XXX-ESP-VAGO SPC"/>
    <s v="Especialidade"/>
    <s v="claudia.bueno@cslbehring.com"/>
    <s v="CLAUDIA BUENO (SPC/SPI)"/>
    <n v="0"/>
    <n v="0"/>
    <n v="0"/>
    <n v="0"/>
    <n v="65"/>
  </r>
  <r>
    <x v="0"/>
    <x v="2"/>
    <x v="0"/>
    <n v="43293604002120"/>
    <x v="271"/>
    <s v="SAO BERNARDO DO CAMPO"/>
    <s v="SP"/>
    <s v="1-Setorizado"/>
    <n v="2"/>
    <x v="17"/>
    <s v="ANTONIO TUNES - HSP - SPC"/>
    <s v="Hospitalar"/>
    <s v="claudia.bueno@cslbehring.com"/>
    <s v="CLAUDIA BUENO (SPC/SPI)"/>
    <n v="0"/>
    <n v="0"/>
    <n v="0"/>
    <n v="0"/>
    <n v="65"/>
  </r>
  <r>
    <x v="0"/>
    <x v="2"/>
    <x v="0"/>
    <n v="45359213000576"/>
    <x v="272"/>
    <s v="SAO CARLOS"/>
    <s v="SP"/>
    <s v="1-Setorizado"/>
    <n v="2"/>
    <x v="14"/>
    <s v="BRUNA CLARO - ESP - SPI"/>
    <s v="Especialidade"/>
    <s v="claudia.bueno@cslbehring.com"/>
    <s v="CLAUDIA BUENO (SPC/SPI)"/>
    <n v="0"/>
    <n v="0"/>
    <n v="0"/>
    <n v="8"/>
    <n v="0"/>
  </r>
  <r>
    <x v="0"/>
    <x v="2"/>
    <x v="0"/>
    <n v="45359213000576"/>
    <x v="272"/>
    <s v="SAO CARLOS"/>
    <s v="SP"/>
    <s v="1-Setorizado"/>
    <n v="2"/>
    <x v="15"/>
    <s v="ARTUR JUNIOR - HSP - SPI"/>
    <s v="Hospitalar"/>
    <s v="claudia.bueno@cslbehring.com"/>
    <s v="CLAUDIA BUENO (SPC/SPI)"/>
    <n v="0"/>
    <n v="0"/>
    <n v="0"/>
    <n v="0"/>
    <n v="0"/>
  </r>
  <r>
    <x v="0"/>
    <x v="2"/>
    <x v="0"/>
    <n v="10576443000189"/>
    <x v="437"/>
    <s v="SAO JOSE DO RIO PRETO"/>
    <s v="SP"/>
    <s v="1-Setorizado"/>
    <n v="2"/>
    <x v="14"/>
    <s v="BRUNA CLARO - ESP - SPI"/>
    <s v="Especialidade"/>
    <s v="claudia.bueno@cslbehring.com"/>
    <s v="CLAUDIA BUENO (SPC/SPI)"/>
    <n v="0"/>
    <n v="0"/>
    <n v="0"/>
    <n v="0"/>
    <n v="160"/>
  </r>
  <r>
    <x v="0"/>
    <x v="2"/>
    <x v="0"/>
    <n v="10576443000189"/>
    <x v="437"/>
    <s v="SAO JOSE DO RIO PRETO"/>
    <s v="SP"/>
    <s v="1-Setorizado"/>
    <n v="2"/>
    <x v="15"/>
    <s v="ARTUR JUNIOR - HSP - SPI"/>
    <s v="Hospitalar"/>
    <s v="claudia.bueno@cslbehring.com"/>
    <s v="CLAUDIA BUENO (SPC/SPI)"/>
    <n v="0"/>
    <n v="0"/>
    <n v="0"/>
    <n v="0"/>
    <n v="160"/>
  </r>
  <r>
    <x v="0"/>
    <x v="2"/>
    <x v="0"/>
    <n v="2643405000173"/>
    <x v="274"/>
    <s v="SAO JOSE DO RIO PRETO"/>
    <s v="SP"/>
    <s v="1-Setorizado"/>
    <n v="2"/>
    <x v="14"/>
    <s v="BRUNA CLARO - ESP - SPI"/>
    <s v="Especialidade"/>
    <s v="claudia.bueno@cslbehring.com"/>
    <s v="CLAUDIA BUENO (SPC/SPI)"/>
    <n v="0"/>
    <n v="0"/>
    <n v="0"/>
    <n v="36"/>
    <n v="0"/>
  </r>
  <r>
    <x v="0"/>
    <x v="2"/>
    <x v="0"/>
    <n v="2643405000173"/>
    <x v="274"/>
    <s v="SAO JOSE DO RIO PRETO"/>
    <s v="SP"/>
    <s v="1-Setorizado"/>
    <n v="2"/>
    <x v="15"/>
    <s v="ARTUR JUNIOR - HSP - SPI"/>
    <s v="Hospitalar"/>
    <s v="claudia.bueno@cslbehring.com"/>
    <s v="CLAUDIA BUENO (SPC/SPI)"/>
    <n v="0"/>
    <n v="0"/>
    <n v="0"/>
    <n v="0"/>
    <n v="0"/>
  </r>
  <r>
    <x v="0"/>
    <x v="2"/>
    <x v="0"/>
    <n v="60003761000129"/>
    <x v="275"/>
    <s v="SAO JOSE DO RIO PRETO"/>
    <s v="SP"/>
    <s v="1-Setorizado"/>
    <n v="2"/>
    <x v="14"/>
    <s v="BRUNA CLARO - ESP - SPI"/>
    <s v="Especialidade"/>
    <s v="claudia.bueno@cslbehring.com"/>
    <s v="CLAUDIA BUENO (SPC/SPI)"/>
    <n v="0"/>
    <n v="0"/>
    <n v="0"/>
    <n v="0"/>
    <n v="0"/>
  </r>
  <r>
    <x v="0"/>
    <x v="2"/>
    <x v="0"/>
    <n v="60003761000129"/>
    <x v="275"/>
    <s v="SAO JOSE DO RIO PRETO"/>
    <s v="SP"/>
    <s v="1-Setorizado"/>
    <n v="2"/>
    <x v="15"/>
    <s v="ARTUR JUNIOR - HSP - SPI"/>
    <s v="Hospitalar"/>
    <s v="claudia.bueno@cslbehring.com"/>
    <s v="CLAUDIA BUENO (SPC/SPI)"/>
    <n v="0"/>
    <n v="15"/>
    <n v="10"/>
    <n v="0"/>
    <n v="0"/>
  </r>
  <r>
    <x v="0"/>
    <x v="2"/>
    <x v="0"/>
    <n v="45184066000117"/>
    <x v="277"/>
    <s v="SAO JOSE DOS CAMPOS"/>
    <s v="SP"/>
    <s v="1-Setorizado"/>
    <n v="2"/>
    <x v="16"/>
    <s v="JANAINA PALMIRO - ESP - SPC"/>
    <s v="Especialidade"/>
    <s v="claudia.bueno@cslbehring.com"/>
    <s v="CLAUDIA BUENO (SPC/SPI)"/>
    <n v="0"/>
    <n v="0"/>
    <n v="0"/>
    <n v="15"/>
    <n v="100"/>
  </r>
  <r>
    <x v="0"/>
    <x v="2"/>
    <x v="0"/>
    <n v="45184066000117"/>
    <x v="277"/>
    <s v="SAO JOSE DOS CAMPOS"/>
    <s v="SP"/>
    <s v="1-Setorizado"/>
    <n v="2"/>
    <x v="19"/>
    <s v="TATHIANA PONCE - HSP - SPC"/>
    <s v="Hospitalar"/>
    <s v="claudia.bueno@cslbehring.com"/>
    <s v="CLAUDIA BUENO (SPC/SPI)"/>
    <n v="0"/>
    <n v="0"/>
    <n v="0"/>
    <n v="0"/>
    <n v="100"/>
  </r>
  <r>
    <x v="0"/>
    <x v="2"/>
    <x v="0"/>
    <n v="60214517001691"/>
    <x v="278"/>
    <s v="SAO JOSE DOS CAMPOS"/>
    <s v="SP"/>
    <s v="1-Setorizado"/>
    <n v="2"/>
    <x v="16"/>
    <s v="JANAINA PALMIRO - ESP - SPC"/>
    <s v="Especialidade"/>
    <s v="claudia.bueno@cslbehring.com"/>
    <s v="CLAUDIA BUENO (SPC/SPI)"/>
    <n v="0"/>
    <n v="0"/>
    <n v="0"/>
    <n v="0"/>
    <n v="605"/>
  </r>
  <r>
    <x v="0"/>
    <x v="2"/>
    <x v="0"/>
    <n v="60214517001691"/>
    <x v="278"/>
    <s v="SAO JOSE DOS CAMPOS"/>
    <s v="SP"/>
    <s v="1-Setorizado"/>
    <n v="2"/>
    <x v="19"/>
    <s v="TATHIANA PONCE - HSP - SPC"/>
    <s v="Hospitalar"/>
    <s v="claudia.bueno@cslbehring.com"/>
    <s v="CLAUDIA BUENO (SPC/SPI)"/>
    <n v="0"/>
    <n v="0"/>
    <n v="0"/>
    <n v="0"/>
    <n v="605"/>
  </r>
  <r>
    <x v="0"/>
    <x v="2"/>
    <x v="0"/>
    <n v="6047087003073"/>
    <x v="279"/>
    <s v="SAO JOSE DOS CAMPOS"/>
    <s v="SP"/>
    <s v="1-Setorizado"/>
    <n v="2"/>
    <x v="16"/>
    <s v="JANAINA PALMIRO - ESP - SPC"/>
    <s v="Especialidade"/>
    <s v="claudia.bueno@cslbehring.com"/>
    <s v="CLAUDIA BUENO (SPC/SPI)"/>
    <n v="3"/>
    <n v="0"/>
    <n v="0"/>
    <n v="48"/>
    <n v="0"/>
  </r>
  <r>
    <x v="0"/>
    <x v="2"/>
    <x v="0"/>
    <n v="6047087003073"/>
    <x v="279"/>
    <s v="SAO JOSE DOS CAMPOS"/>
    <s v="SP"/>
    <s v="1-Setorizado"/>
    <n v="2"/>
    <x v="19"/>
    <s v="TATHIANA PONCE - HSP - SPC"/>
    <s v="Hospitalar"/>
    <s v="claudia.bueno@cslbehring.com"/>
    <s v="CLAUDIA BUENO (SPC/SPI)"/>
    <n v="0"/>
    <n v="0"/>
    <n v="0"/>
    <n v="0"/>
    <n v="0"/>
  </r>
  <r>
    <x v="0"/>
    <x v="2"/>
    <x v="0"/>
    <n v="46643466000106"/>
    <x v="504"/>
    <s v="SAO JOSE DOS CAMPOS"/>
    <s v="SP"/>
    <s v="1-Setorizado"/>
    <n v="2"/>
    <x v="16"/>
    <s v="JANAINA PALMIRO - ESP - SPC"/>
    <s v="Especialidade"/>
    <s v="claudia.bueno@cslbehring.com"/>
    <s v="CLAUDIA BUENO (SPC/SPI)"/>
    <n v="0"/>
    <n v="0"/>
    <n v="0"/>
    <n v="0"/>
    <n v="700"/>
  </r>
  <r>
    <x v="0"/>
    <x v="2"/>
    <x v="0"/>
    <n v="46643466000106"/>
    <x v="504"/>
    <s v="SAO JOSE DOS CAMPOS"/>
    <s v="SP"/>
    <s v="1-Setorizado"/>
    <n v="2"/>
    <x v="19"/>
    <s v="TATHIANA PONCE - HSP - SPC"/>
    <s v="Hospitalar"/>
    <s v="claudia.bueno@cslbehring.com"/>
    <s v="CLAUDIA BUENO (SPC/SPI)"/>
    <n v="0"/>
    <n v="0"/>
    <n v="0"/>
    <n v="0"/>
    <n v="700"/>
  </r>
  <r>
    <x v="0"/>
    <x v="2"/>
    <x v="0"/>
    <n v="18321477000134"/>
    <x v="281"/>
    <s v="SAO JOSE DOS CAMPOS _x000d_"/>
    <s v="SP"/>
    <s v="1-Setorizado"/>
    <n v="2"/>
    <x v="16"/>
    <s v="JANAINA PALMIRO - ESP - SPC"/>
    <s v="Especialidade"/>
    <s v="claudia.bueno@cslbehring.com"/>
    <s v="CLAUDIA BUENO (SPC/SPI)"/>
    <n v="0"/>
    <n v="0"/>
    <n v="0"/>
    <n v="48"/>
    <n v="0"/>
  </r>
  <r>
    <x v="0"/>
    <x v="2"/>
    <x v="0"/>
    <n v="18321477000134"/>
    <x v="281"/>
    <s v="SAO JOSE DOS CAMPOS _x000d_"/>
    <s v="SP"/>
    <s v="1-Setorizado"/>
    <n v="2"/>
    <x v="19"/>
    <s v="TATHIANA PONCE - HSP - SPC"/>
    <s v="Hospitalar"/>
    <s v="claudia.bueno@cslbehring.com"/>
    <s v="CLAUDIA BUENO (SPC/SPI)"/>
    <n v="0"/>
    <n v="0"/>
    <n v="0"/>
    <n v="0"/>
    <n v="0"/>
  </r>
  <r>
    <x v="0"/>
    <x v="2"/>
    <x v="0"/>
    <n v="60961968000106"/>
    <x v="282"/>
    <s v="SAO PAULO"/>
    <s v="SP"/>
    <s v="1-Setorizado"/>
    <n v="2"/>
    <x v="18"/>
    <s v="XXX-ESP-VAGO SPC"/>
    <s v="Especialidade"/>
    <s v="claudia.bueno@cslbehring.com"/>
    <s v="CLAUDIA BUENO (SPC/SPI)"/>
    <n v="0"/>
    <n v="0"/>
    <n v="0"/>
    <n v="0"/>
    <n v="0"/>
  </r>
  <r>
    <x v="0"/>
    <x v="2"/>
    <x v="0"/>
    <n v="60961968000106"/>
    <x v="282"/>
    <s v="SAO PAULO"/>
    <s v="SP"/>
    <s v="1-Setorizado"/>
    <n v="2"/>
    <x v="20"/>
    <s v="NELSON MARTINS - HSP - SPC"/>
    <s v="Hospitalar"/>
    <s v="claudia.bueno@cslbehring.com"/>
    <s v="CLAUDIA BUENO (SPC/SPI)"/>
    <n v="0"/>
    <n v="40"/>
    <n v="5"/>
    <n v="0"/>
    <n v="0"/>
  </r>
  <r>
    <x v="0"/>
    <x v="2"/>
    <x v="0"/>
    <n v="51722957010226"/>
    <x v="283"/>
    <s v="SAO PAULO"/>
    <s v="SP"/>
    <s v="1-Setorizado"/>
    <n v="2"/>
    <x v="16"/>
    <s v="JANAINA PALMIRO - ESP - SPC"/>
    <s v="Especialidade"/>
    <s v="claudia.bueno@cslbehring.com"/>
    <s v="CLAUDIA BUENO (SPC/SPI)"/>
    <n v="0"/>
    <n v="0"/>
    <n v="0"/>
    <n v="106"/>
    <n v="1125"/>
  </r>
  <r>
    <x v="0"/>
    <x v="2"/>
    <x v="0"/>
    <n v="51722957010226"/>
    <x v="283"/>
    <s v="SAO PAULO"/>
    <s v="SP"/>
    <s v="1-Setorizado"/>
    <n v="2"/>
    <x v="19"/>
    <s v="TATHIANA PONCE - HSP - SPC"/>
    <s v="Hospitalar"/>
    <s v="claudia.bueno@cslbehring.com"/>
    <s v="CLAUDIA BUENO (SPC/SPI)"/>
    <n v="0"/>
    <n v="0"/>
    <n v="0"/>
    <n v="0"/>
    <n v="1125"/>
  </r>
  <r>
    <x v="0"/>
    <x v="2"/>
    <x v="0"/>
    <n v="51722957000506"/>
    <x v="438"/>
    <s v="SAO PAULO"/>
    <s v="SP"/>
    <s v="1-Setorizado"/>
    <n v="2"/>
    <x v="16"/>
    <s v="JANAINA PALMIRO - ESP - SPC"/>
    <s v="Especialidade"/>
    <s v="claudia.bueno@cslbehring.com"/>
    <s v="CLAUDIA BUENO (SPC/SPI)"/>
    <n v="3"/>
    <n v="0"/>
    <n v="0"/>
    <n v="0"/>
    <n v="1170"/>
  </r>
  <r>
    <x v="0"/>
    <x v="2"/>
    <x v="0"/>
    <n v="51722957000506"/>
    <x v="438"/>
    <s v="SAO PAULO"/>
    <s v="SP"/>
    <s v="1-Setorizado"/>
    <n v="2"/>
    <x v="19"/>
    <s v="TATHIANA PONCE - HSP - SPC"/>
    <s v="Hospitalar"/>
    <s v="claudia.bueno@cslbehring.com"/>
    <s v="CLAUDIA BUENO (SPC/SPI)"/>
    <n v="0"/>
    <n v="0"/>
    <n v="0"/>
    <n v="0"/>
    <n v="1170"/>
  </r>
  <r>
    <x v="0"/>
    <x v="2"/>
    <x v="0"/>
    <n v="60992427000650"/>
    <x v="505"/>
    <s v="SAO PAULO"/>
    <s v="SP"/>
    <s v="1-Setorizado"/>
    <n v="2"/>
    <x v="16"/>
    <s v="JANAINA PALMIRO - ESP - SPC"/>
    <s v="Especialidade"/>
    <s v="claudia.bueno@cslbehring.com"/>
    <s v="CLAUDIA BUENO (SPC/SPI)"/>
    <n v="0"/>
    <n v="0"/>
    <n v="0"/>
    <n v="0"/>
    <n v="0"/>
  </r>
  <r>
    <x v="0"/>
    <x v="2"/>
    <x v="0"/>
    <n v="60992427000650"/>
    <x v="505"/>
    <s v="SAO PAULO"/>
    <s v="SP"/>
    <s v="1-Setorizado"/>
    <n v="2"/>
    <x v="17"/>
    <s v="ANTONIO TUNES - HSP - SPC"/>
    <s v="Hospitalar"/>
    <s v="claudia.bueno@cslbehring.com"/>
    <s v="CLAUDIA BUENO (SPC/SPI)"/>
    <n v="0"/>
    <n v="1"/>
    <n v="3"/>
    <n v="0"/>
    <n v="0"/>
  </r>
  <r>
    <x v="0"/>
    <x v="2"/>
    <x v="0"/>
    <n v="2383508000494"/>
    <x v="285"/>
    <s v="SAO PAULO"/>
    <s v="SP"/>
    <s v="1-Setorizado"/>
    <n v="2"/>
    <x v="16"/>
    <s v="JANAINA PALMIRO - ESP - SPC"/>
    <s v="Especialidade"/>
    <s v="claudia.bueno@cslbehring.com"/>
    <s v="CLAUDIA BUENO (SPC/SPI)"/>
    <n v="0"/>
    <n v="0"/>
    <n v="0"/>
    <n v="15"/>
    <n v="280"/>
  </r>
  <r>
    <x v="0"/>
    <x v="2"/>
    <x v="0"/>
    <n v="2383508000494"/>
    <x v="285"/>
    <s v="SAO PAULO"/>
    <s v="SP"/>
    <s v="1-Setorizado"/>
    <n v="2"/>
    <x v="17"/>
    <s v="ANTONIO TUNES - HSP - SPC"/>
    <s v="Hospitalar"/>
    <s v="claudia.bueno@cslbehring.com"/>
    <s v="CLAUDIA BUENO (SPC/SPI)"/>
    <n v="0"/>
    <n v="0"/>
    <n v="0"/>
    <n v="0"/>
    <n v="280"/>
  </r>
  <r>
    <x v="0"/>
    <x v="2"/>
    <x v="0"/>
    <n v="8871521000126"/>
    <x v="287"/>
    <s v="SAO PAULO"/>
    <s v="SP"/>
    <s v="1-Setorizado"/>
    <n v="2"/>
    <x v="18"/>
    <s v="XXX-ESP-VAGO SPC"/>
    <s v="Especialidade"/>
    <s v="claudia.bueno@cslbehring.com"/>
    <s v="CLAUDIA BUENO (SPC/SPI)"/>
    <n v="0"/>
    <n v="0"/>
    <n v="0"/>
    <n v="0"/>
    <n v="45"/>
  </r>
  <r>
    <x v="0"/>
    <x v="2"/>
    <x v="0"/>
    <n v="8871521000126"/>
    <x v="287"/>
    <s v="SAO PAULO"/>
    <s v="SP"/>
    <s v="1-Setorizado"/>
    <n v="2"/>
    <x v="20"/>
    <s v="NELSON MARTINS - HSP - SPC"/>
    <s v="Hospitalar"/>
    <s v="claudia.bueno@cslbehring.com"/>
    <s v="CLAUDIA BUENO (SPC/SPI)"/>
    <n v="0"/>
    <n v="0"/>
    <n v="0"/>
    <n v="0"/>
    <n v="45"/>
  </r>
  <r>
    <x v="0"/>
    <x v="2"/>
    <x v="0"/>
    <n v="59481028000130"/>
    <x v="288"/>
    <s v="SAO PAULO"/>
    <s v="SP"/>
    <s v="1-Setorizado"/>
    <n v="2"/>
    <x v="16"/>
    <s v="JANAINA PALMIRO - ESP - SPC"/>
    <s v="Especialidade"/>
    <s v="claudia.bueno@cslbehring.com"/>
    <s v="CLAUDIA BUENO (SPC/SPI)"/>
    <n v="0"/>
    <n v="0"/>
    <n v="0"/>
    <n v="0"/>
    <n v="30"/>
  </r>
  <r>
    <x v="0"/>
    <x v="2"/>
    <x v="0"/>
    <n v="59481028000130"/>
    <x v="288"/>
    <s v="SAO PAULO"/>
    <s v="SP"/>
    <s v="1-Setorizado"/>
    <n v="2"/>
    <x v="17"/>
    <s v="ANTONIO TUNES - HSP - SPC"/>
    <s v="Hospitalar"/>
    <s v="claudia.bueno@cslbehring.com"/>
    <s v="CLAUDIA BUENO (SPC/SPI)"/>
    <n v="0"/>
    <n v="0"/>
    <n v="0"/>
    <n v="0"/>
    <n v="30"/>
  </r>
  <r>
    <x v="0"/>
    <x v="2"/>
    <x v="0"/>
    <n v="46374500008845"/>
    <x v="506"/>
    <s v="SAO PAULO"/>
    <s v="SP"/>
    <s v="1-Setorizado"/>
    <n v="2"/>
    <x v="16"/>
    <s v="JANAINA PALMIRO - ESP - SPC"/>
    <s v="Especialidade"/>
    <s v="claudia.bueno@cslbehring.com"/>
    <s v="CLAUDIA BUENO (SPC/SPI)"/>
    <n v="0"/>
    <n v="0"/>
    <n v="0"/>
    <n v="0"/>
    <n v="200"/>
  </r>
  <r>
    <x v="0"/>
    <x v="2"/>
    <x v="0"/>
    <n v="46374500008845"/>
    <x v="506"/>
    <s v="SAO PAULO"/>
    <s v="SP"/>
    <s v="1-Setorizado"/>
    <n v="2"/>
    <x v="20"/>
    <s v="NELSON MARTINS - HSP - SPC"/>
    <s v="Hospitalar"/>
    <s v="claudia.bueno@cslbehring.com"/>
    <s v="CLAUDIA BUENO (SPC/SPI)"/>
    <n v="0"/>
    <n v="0"/>
    <n v="0"/>
    <n v="0"/>
    <n v="200"/>
  </r>
  <r>
    <x v="0"/>
    <x v="2"/>
    <x v="0"/>
    <n v="46374500026231"/>
    <x v="439"/>
    <s v="SAO PAULO"/>
    <s v="SP"/>
    <s v="1-Setorizado"/>
    <n v="2"/>
    <x v="18"/>
    <s v="XXX-ESP-VAGO SPC"/>
    <s v="Especialidade"/>
    <s v="claudia.bueno@cslbehring.com"/>
    <s v="CLAUDIA BUENO (SPC/SPI)"/>
    <n v="28"/>
    <n v="0"/>
    <n v="0"/>
    <n v="192"/>
    <n v="0"/>
  </r>
  <r>
    <x v="0"/>
    <x v="2"/>
    <x v="0"/>
    <n v="46374500026231"/>
    <x v="439"/>
    <s v="SAO PAULO"/>
    <s v="SP"/>
    <s v="1-Setorizado"/>
    <n v="2"/>
    <x v="20"/>
    <s v="NELSON MARTINS - HSP - SPC"/>
    <s v="Hospitalar"/>
    <s v="claudia.bueno@cslbehring.com"/>
    <s v="CLAUDIA BUENO (SPC/SPI)"/>
    <n v="0"/>
    <n v="0"/>
    <n v="0"/>
    <n v="0"/>
    <n v="0"/>
  </r>
  <r>
    <x v="0"/>
    <x v="2"/>
    <x v="0"/>
    <n v="10468341000220"/>
    <x v="289"/>
    <s v="SAO PAULO"/>
    <s v="SP"/>
    <s v="1-Setorizado"/>
    <n v="2"/>
    <x v="16"/>
    <s v="JANAINA PALMIRO - ESP - SPC"/>
    <s v="Especialidade"/>
    <s v="claudia.bueno@cslbehring.com"/>
    <s v="CLAUDIA BUENO (SPC/SPI)"/>
    <n v="0"/>
    <n v="0"/>
    <n v="0"/>
    <n v="36"/>
    <n v="805"/>
  </r>
  <r>
    <x v="0"/>
    <x v="2"/>
    <x v="0"/>
    <n v="10468341000220"/>
    <x v="289"/>
    <s v="SAO PAULO"/>
    <s v="SP"/>
    <s v="1-Setorizado"/>
    <n v="2"/>
    <x v="19"/>
    <s v="TATHIANA PONCE - HSP - SPC"/>
    <s v="Hospitalar"/>
    <s v="claudia.bueno@cslbehring.com"/>
    <s v="CLAUDIA BUENO (SPC/SPI)"/>
    <n v="0"/>
    <n v="0"/>
    <n v="0"/>
    <n v="0"/>
    <n v="805"/>
  </r>
  <r>
    <x v="0"/>
    <x v="2"/>
    <x v="0"/>
    <n v="10468341000140"/>
    <x v="290"/>
    <s v="SAO PAULO"/>
    <s v="SP"/>
    <s v="1-Setorizado"/>
    <n v="2"/>
    <x v="16"/>
    <s v="JANAINA PALMIRO - ESP - SPC"/>
    <s v="Especialidade"/>
    <s v="claudia.bueno@cslbehring.com"/>
    <s v="CLAUDIA BUENO (SPC/SPI)"/>
    <n v="0"/>
    <n v="0"/>
    <n v="0"/>
    <n v="0"/>
    <n v="305"/>
  </r>
  <r>
    <x v="0"/>
    <x v="2"/>
    <x v="0"/>
    <n v="10468341000140"/>
    <x v="290"/>
    <s v="SAO PAULO"/>
    <s v="SP"/>
    <s v="1-Setorizado"/>
    <n v="2"/>
    <x v="19"/>
    <s v="TATHIANA PONCE - HSP - SPC"/>
    <s v="Hospitalar"/>
    <s v="claudia.bueno@cslbehring.com"/>
    <s v="CLAUDIA BUENO (SPC/SPI)"/>
    <n v="0"/>
    <n v="0"/>
    <n v="0"/>
    <n v="0"/>
    <n v="305"/>
  </r>
  <r>
    <x v="0"/>
    <x v="2"/>
    <x v="0"/>
    <n v="29435005009932"/>
    <x v="291"/>
    <s v="SAO PAULO"/>
    <s v="SP"/>
    <s v="1-Setorizado"/>
    <n v="2"/>
    <x v="18"/>
    <s v="XXX-ESP-VAGO SPC"/>
    <s v="Especialidade"/>
    <s v="claudia.bueno@cslbehring.com"/>
    <s v="CLAUDIA BUENO (SPC/SPI)"/>
    <n v="0"/>
    <n v="0"/>
    <n v="0"/>
    <n v="0"/>
    <n v="1050"/>
  </r>
  <r>
    <x v="0"/>
    <x v="2"/>
    <x v="0"/>
    <n v="29435005009932"/>
    <x v="291"/>
    <s v="SAO PAULO"/>
    <s v="SP"/>
    <s v="1-Setorizado"/>
    <n v="2"/>
    <x v="17"/>
    <s v="ANTONIO TUNES - HSP - SPC"/>
    <s v="Hospitalar"/>
    <s v="claudia.bueno@cslbehring.com"/>
    <s v="CLAUDIA BUENO (SPC/SPI)"/>
    <n v="0"/>
    <n v="3"/>
    <n v="8"/>
    <n v="0"/>
    <n v="1050"/>
  </r>
  <r>
    <x v="0"/>
    <x v="2"/>
    <x v="0"/>
    <n v="10323381000101"/>
    <x v="292"/>
    <s v="SAO PAULO"/>
    <s v="SP"/>
    <s v="1-Setorizado"/>
    <n v="2"/>
    <x v="16"/>
    <s v="JANAINA PALMIRO - ESP - SPC"/>
    <s v="Especialidade"/>
    <s v="claudia.bueno@cslbehring.com"/>
    <s v="CLAUDIA BUENO (SPC/SPI)"/>
    <n v="0"/>
    <n v="0"/>
    <n v="0"/>
    <n v="6"/>
    <n v="0"/>
  </r>
  <r>
    <x v="0"/>
    <x v="2"/>
    <x v="0"/>
    <n v="10323381000101"/>
    <x v="292"/>
    <s v="SAO PAULO"/>
    <s v="SP"/>
    <s v="1-Setorizado"/>
    <n v="2"/>
    <x v="17"/>
    <s v="ANTONIO TUNES - HSP - SPC"/>
    <s v="Hospitalar"/>
    <s v="claudia.bueno@cslbehring.com"/>
    <s v="CLAUDIA BUENO (SPC/SPI)"/>
    <n v="0"/>
    <n v="0"/>
    <n v="0"/>
    <n v="0"/>
    <n v="0"/>
  </r>
  <r>
    <x v="0"/>
    <x v="2"/>
    <x v="0"/>
    <n v="56577059000100"/>
    <x v="507"/>
    <s v="SAO PAULO"/>
    <s v="SP"/>
    <s v="1-Setorizado"/>
    <n v="2"/>
    <x v="18"/>
    <s v="XXX-ESP-VAGO SPC"/>
    <s v="Especialidade"/>
    <s v="claudia.bueno@cslbehring.com"/>
    <s v="CLAUDIA BUENO (SPC/SPI)"/>
    <n v="0"/>
    <n v="0"/>
    <n v="0"/>
    <n v="0"/>
    <n v="135"/>
  </r>
  <r>
    <x v="0"/>
    <x v="2"/>
    <x v="0"/>
    <n v="56577059000100"/>
    <x v="507"/>
    <s v="SAO PAULO"/>
    <s v="SP"/>
    <s v="1-Setorizado"/>
    <n v="2"/>
    <x v="20"/>
    <s v="NELSON MARTINS - HSP - SPC"/>
    <s v="Hospitalar"/>
    <s v="claudia.bueno@cslbehring.com"/>
    <s v="CLAUDIA BUENO (SPC/SPI)"/>
    <n v="0"/>
    <n v="0"/>
    <n v="0"/>
    <n v="0"/>
    <n v="135"/>
  </r>
  <r>
    <x v="0"/>
    <x v="2"/>
    <x v="0"/>
    <n v="3872790000193"/>
    <x v="294"/>
    <s v="SAO PAULO"/>
    <s v="SP"/>
    <s v="1-Setorizado"/>
    <n v="2"/>
    <x v="16"/>
    <s v="JANAINA PALMIRO - ESP - SPC"/>
    <s v="Especialidade"/>
    <s v="claudia.bueno@cslbehring.com"/>
    <s v="CLAUDIA BUENO (SPC/SPI)"/>
    <n v="0"/>
    <n v="0"/>
    <n v="0"/>
    <n v="16"/>
    <n v="0"/>
  </r>
  <r>
    <x v="0"/>
    <x v="2"/>
    <x v="0"/>
    <n v="3872790000193"/>
    <x v="294"/>
    <s v="SAO PAULO"/>
    <s v="SP"/>
    <s v="1-Setorizado"/>
    <n v="2"/>
    <x v="17"/>
    <s v="ANTONIO TUNES - HSP - SPC"/>
    <s v="Hospitalar"/>
    <s v="claudia.bueno@cslbehring.com"/>
    <s v="CLAUDIA BUENO (SPC/SPI)"/>
    <n v="0"/>
    <n v="0"/>
    <n v="0"/>
    <n v="0"/>
    <n v="0"/>
  </r>
  <r>
    <x v="0"/>
    <x v="2"/>
    <x v="0"/>
    <n v="8100676000835"/>
    <x v="296"/>
    <s v="SAO PAULO"/>
    <s v="SP"/>
    <s v="1-Setorizado"/>
    <n v="2"/>
    <x v="16"/>
    <s v="JANAINA PALMIRO - ESP - SPC"/>
    <s v="Especialidade"/>
    <s v="claudia.bueno@cslbehring.com"/>
    <s v="CLAUDIA BUENO (SPC/SPI)"/>
    <n v="0"/>
    <n v="0"/>
    <n v="0"/>
    <n v="0"/>
    <n v="240"/>
  </r>
  <r>
    <x v="0"/>
    <x v="2"/>
    <x v="0"/>
    <n v="8100676000835"/>
    <x v="296"/>
    <s v="SAO PAULO"/>
    <s v="SP"/>
    <s v="1-Setorizado"/>
    <n v="2"/>
    <x v="19"/>
    <s v="TATHIANA PONCE - HSP - SPC"/>
    <s v="Hospitalar"/>
    <s v="claudia.bueno@cslbehring.com"/>
    <s v="CLAUDIA BUENO (SPC/SPI)"/>
    <n v="0"/>
    <n v="0"/>
    <n v="0"/>
    <n v="0"/>
    <n v="240"/>
  </r>
  <r>
    <x v="0"/>
    <x v="2"/>
    <x v="0"/>
    <n v="10475230000160"/>
    <x v="297"/>
    <s v="SAO PAULO"/>
    <s v="SP"/>
    <s v="1-Setorizado"/>
    <n v="2"/>
    <x v="16"/>
    <s v="JANAINA PALMIRO - ESP - SPC"/>
    <s v="Especialidade"/>
    <s v="claudia.bueno@cslbehring.com"/>
    <s v="CLAUDIA BUENO (SPC/SPI)"/>
    <n v="0"/>
    <n v="0"/>
    <n v="0"/>
    <n v="0"/>
    <n v="45"/>
  </r>
  <r>
    <x v="0"/>
    <x v="2"/>
    <x v="0"/>
    <n v="10475230000160"/>
    <x v="297"/>
    <s v="SAO PAULO"/>
    <s v="SP"/>
    <s v="1-Setorizado"/>
    <n v="2"/>
    <x v="20"/>
    <s v="NELSON MARTINS - HSP - SPC"/>
    <s v="Hospitalar"/>
    <s v="claudia.bueno@cslbehring.com"/>
    <s v="CLAUDIA BUENO (SPC/SPI)"/>
    <n v="0"/>
    <n v="0"/>
    <n v="0"/>
    <n v="0"/>
    <n v="45"/>
  </r>
  <r>
    <x v="0"/>
    <x v="2"/>
    <x v="0"/>
    <n v="6047087000139"/>
    <x v="299"/>
    <s v="SAO PAULO"/>
    <s v="SP"/>
    <s v="1-Setorizado"/>
    <n v="2"/>
    <x v="16"/>
    <s v="JANAINA PALMIRO - ESP - SPC"/>
    <s v="Especialidade"/>
    <s v="claudia.bueno@cslbehring.com"/>
    <s v="CLAUDIA BUENO (SPC/SPI)"/>
    <n v="0"/>
    <n v="0"/>
    <n v="0"/>
    <n v="0"/>
    <n v="0"/>
  </r>
  <r>
    <x v="0"/>
    <x v="2"/>
    <x v="0"/>
    <n v="6047087000139"/>
    <x v="299"/>
    <s v="SAO PAULO"/>
    <s v="SP"/>
    <s v="1-Setorizado"/>
    <n v="2"/>
    <x v="17"/>
    <s v="ANTONIO TUNES - HSP - SPC"/>
    <s v="Hospitalar"/>
    <s v="claudia.bueno@cslbehring.com"/>
    <s v="CLAUDIA BUENO (SPC/SPI)"/>
    <n v="0"/>
    <n v="0"/>
    <n v="4"/>
    <n v="0"/>
    <n v="0"/>
  </r>
  <r>
    <x v="0"/>
    <x v="2"/>
    <x v="0"/>
    <n v="60884855000316"/>
    <x v="300"/>
    <s v="SAO PAULO"/>
    <s v="SP"/>
    <s v="1-Setorizado"/>
    <n v="2"/>
    <x v="18"/>
    <s v="XXX-ESP-VAGO SPC"/>
    <s v="Especialidade"/>
    <s v="claudia.bueno@cslbehring.com"/>
    <s v="CLAUDIA BUENO (SPC/SPI)"/>
    <n v="0"/>
    <n v="0"/>
    <n v="0"/>
    <n v="24"/>
    <n v="2130"/>
  </r>
  <r>
    <x v="0"/>
    <x v="2"/>
    <x v="0"/>
    <n v="60884855000316"/>
    <x v="300"/>
    <s v="SAO PAULO"/>
    <s v="SP"/>
    <s v="1-Setorizado"/>
    <n v="2"/>
    <x v="19"/>
    <s v="TATHIANA PONCE - HSP - SPC"/>
    <s v="Hospitalar"/>
    <s v="claudia.bueno@cslbehring.com"/>
    <s v="CLAUDIA BUENO (SPC/SPI)"/>
    <n v="0"/>
    <n v="14"/>
    <n v="19"/>
    <n v="0"/>
    <n v="2130"/>
  </r>
  <r>
    <x v="0"/>
    <x v="2"/>
    <x v="0"/>
    <n v="60961968000459"/>
    <x v="440"/>
    <s v="SAO PAULO"/>
    <s v="SP"/>
    <s v="1-Setorizado"/>
    <n v="2"/>
    <x v="18"/>
    <s v="XXX-ESP-VAGO SPC"/>
    <s v="Especialidade"/>
    <s v="claudia.bueno@cslbehring.com"/>
    <s v="CLAUDIA BUENO (SPC/SPI)"/>
    <n v="0"/>
    <n v="0"/>
    <n v="0"/>
    <n v="0"/>
    <n v="0"/>
  </r>
  <r>
    <x v="0"/>
    <x v="2"/>
    <x v="0"/>
    <n v="60961968000459"/>
    <x v="440"/>
    <s v="SAO PAULO"/>
    <s v="SP"/>
    <s v="1-Setorizado"/>
    <n v="2"/>
    <x v="20"/>
    <s v="NELSON MARTINS - HSP - SPC"/>
    <s v="Hospitalar"/>
    <s v="claudia.bueno@cslbehring.com"/>
    <s v="CLAUDIA BUENO (SPC/SPI)"/>
    <n v="0"/>
    <n v="15"/>
    <n v="0"/>
    <n v="0"/>
    <n v="0"/>
  </r>
  <r>
    <x v="0"/>
    <x v="2"/>
    <x v="0"/>
    <n v="60726502000126"/>
    <x v="301"/>
    <s v="SAO PAULO"/>
    <s v="SP"/>
    <s v="1-Setorizado"/>
    <n v="2"/>
    <x v="18"/>
    <s v="XXX-ESP-VAGO SPC"/>
    <s v="Especialidade"/>
    <s v="claudia.bueno@cslbehring.com"/>
    <s v="CLAUDIA BUENO (SPC/SPI)"/>
    <n v="0"/>
    <n v="0"/>
    <n v="0"/>
    <n v="16"/>
    <n v="535"/>
  </r>
  <r>
    <x v="0"/>
    <x v="2"/>
    <x v="0"/>
    <n v="60726502000126"/>
    <x v="301"/>
    <s v="SAO PAULO"/>
    <s v="SP"/>
    <s v="1-Setorizado"/>
    <n v="2"/>
    <x v="19"/>
    <s v="TATHIANA PONCE - HSP - SPC"/>
    <s v="Hospitalar"/>
    <s v="claudia.bueno@cslbehring.com"/>
    <s v="CLAUDIA BUENO (SPC/SPI)"/>
    <n v="0"/>
    <n v="6"/>
    <n v="2"/>
    <n v="0"/>
    <n v="535"/>
  </r>
  <r>
    <x v="0"/>
    <x v="2"/>
    <x v="0"/>
    <n v="8100676000592"/>
    <x v="303"/>
    <s v="SAO PAULO"/>
    <s v="SP"/>
    <s v="1-Setorizado"/>
    <n v="2"/>
    <x v="16"/>
    <s v="JANAINA PALMIRO - ESP - SPC"/>
    <s v="Especialidade"/>
    <s v="claudia.bueno@cslbehring.com"/>
    <s v="CLAUDIA BUENO (SPC/SPI)"/>
    <n v="0"/>
    <n v="0"/>
    <n v="0"/>
    <n v="0"/>
    <n v="490"/>
  </r>
  <r>
    <x v="0"/>
    <x v="2"/>
    <x v="0"/>
    <n v="8100676000592"/>
    <x v="303"/>
    <s v="SAO PAULO"/>
    <s v="SP"/>
    <s v="1-Setorizado"/>
    <n v="2"/>
    <x v="19"/>
    <s v="TATHIANA PONCE - HSP - SPC"/>
    <s v="Hospitalar"/>
    <s v="claudia.bueno@cslbehring.com"/>
    <s v="CLAUDIA BUENO (SPC/SPI)"/>
    <n v="0"/>
    <n v="0"/>
    <n v="0"/>
    <n v="0"/>
    <n v="490"/>
  </r>
  <r>
    <x v="0"/>
    <x v="2"/>
    <x v="0"/>
    <n v="8100676002455"/>
    <x v="304"/>
    <s v="SAO PAULO"/>
    <s v="SP"/>
    <s v="1-Setorizado"/>
    <n v="2"/>
    <x v="16"/>
    <s v="JANAINA PALMIRO - ESP - SPC"/>
    <s v="Especialidade"/>
    <s v="claudia.bueno@cslbehring.com"/>
    <s v="CLAUDIA BUENO (SPC/SPI)"/>
    <n v="0"/>
    <n v="0"/>
    <n v="0"/>
    <n v="0"/>
    <n v="825"/>
  </r>
  <r>
    <x v="0"/>
    <x v="2"/>
    <x v="0"/>
    <n v="8100676002455"/>
    <x v="304"/>
    <s v="SAO PAULO"/>
    <s v="SP"/>
    <s v="1-Setorizado"/>
    <n v="2"/>
    <x v="19"/>
    <s v="TATHIANA PONCE - HSP - SPC"/>
    <s v="Hospitalar"/>
    <s v="claudia.bueno@cslbehring.com"/>
    <s v="CLAUDIA BUENO (SPC/SPI)"/>
    <n v="0"/>
    <n v="24"/>
    <n v="0"/>
    <n v="0"/>
    <n v="825"/>
  </r>
  <r>
    <x v="0"/>
    <x v="2"/>
    <x v="0"/>
    <n v="60922168004335"/>
    <x v="305"/>
    <s v="SAO PAULO"/>
    <s v="SP"/>
    <s v="1-Setorizado"/>
    <n v="2"/>
    <x v="16"/>
    <s v="JANAINA PALMIRO - ESP - SPC"/>
    <s v="Especialidade"/>
    <s v="claudia.bueno@cslbehring.com"/>
    <s v="CLAUDIA BUENO (SPC/SPI)"/>
    <n v="0"/>
    <n v="0"/>
    <n v="0"/>
    <n v="0"/>
    <n v="10"/>
  </r>
  <r>
    <x v="0"/>
    <x v="2"/>
    <x v="0"/>
    <n v="60922168004335"/>
    <x v="305"/>
    <s v="SAO PAULO"/>
    <s v="SP"/>
    <s v="1-Setorizado"/>
    <n v="2"/>
    <x v="19"/>
    <s v="TATHIANA PONCE - HSP - SPC"/>
    <s v="Hospitalar"/>
    <s v="claudia.bueno@cslbehring.com"/>
    <s v="CLAUDIA BUENO (SPC/SPI)"/>
    <n v="0"/>
    <n v="0"/>
    <n v="0"/>
    <n v="0"/>
    <n v="10"/>
  </r>
  <r>
    <x v="0"/>
    <x v="2"/>
    <x v="0"/>
    <n v="72775745000133"/>
    <x v="508"/>
    <s v="SAO PAULO"/>
    <s v="SP"/>
    <s v="1-Setorizado"/>
    <n v="2"/>
    <x v="16"/>
    <s v="JANAINA PALMIRO - ESP - SPC"/>
    <s v="Especialidade"/>
    <s v="claudia.bueno@cslbehring.com"/>
    <s v="CLAUDIA BUENO (SPC/SPI)"/>
    <n v="0"/>
    <n v="0"/>
    <n v="0"/>
    <n v="0"/>
    <n v="0"/>
  </r>
  <r>
    <x v="0"/>
    <x v="2"/>
    <x v="0"/>
    <n v="72775745000133"/>
    <x v="508"/>
    <s v="SAO PAULO"/>
    <s v="SP"/>
    <s v="1-Setorizado"/>
    <n v="2"/>
    <x v="17"/>
    <s v="ANTONIO TUNES - HSP - SPC"/>
    <s v="Hospitalar"/>
    <s v="claudia.bueno@cslbehring.com"/>
    <s v="CLAUDIA BUENO (SPC/SPI)"/>
    <n v="0"/>
    <n v="15"/>
    <n v="15"/>
    <n v="0"/>
    <n v="0"/>
  </r>
  <r>
    <x v="0"/>
    <x v="2"/>
    <x v="0"/>
    <n v="21371777000132"/>
    <x v="306"/>
    <s v="SAO PAULO"/>
    <s v="SP"/>
    <s v="1-Setorizado"/>
    <n v="2"/>
    <x v="16"/>
    <s v="JANAINA PALMIRO - ESP - SPC"/>
    <s v="Especialidade"/>
    <s v="claudia.bueno@cslbehring.com"/>
    <s v="CLAUDIA BUENO (SPC/SPI)"/>
    <n v="0"/>
    <n v="0"/>
    <n v="0"/>
    <n v="0"/>
    <n v="0"/>
  </r>
  <r>
    <x v="0"/>
    <x v="2"/>
    <x v="0"/>
    <n v="21371777000132"/>
    <x v="306"/>
    <s v="SAO PAULO"/>
    <s v="SP"/>
    <s v="1-Setorizado"/>
    <n v="2"/>
    <x v="19"/>
    <s v="TATHIANA PONCE - HSP - SPC"/>
    <s v="Hospitalar"/>
    <s v="claudia.bueno@cslbehring.com"/>
    <s v="CLAUDIA BUENO (SPC/SPI)"/>
    <n v="0"/>
    <n v="0"/>
    <n v="11"/>
    <n v="0"/>
    <n v="0"/>
  </r>
  <r>
    <x v="0"/>
    <x v="2"/>
    <x v="0"/>
    <n v="60448040000122"/>
    <x v="307"/>
    <s v="SAO PAULO"/>
    <s v="SP"/>
    <s v="1-Setorizado"/>
    <n v="2"/>
    <x v="18"/>
    <s v="XXX-ESP-VAGO SPC"/>
    <s v="Especialidade"/>
    <s v="claudia.bueno@cslbehring.com"/>
    <s v="CLAUDIA BUENO (SPC/SPI)"/>
    <n v="0"/>
    <n v="0"/>
    <n v="0"/>
    <n v="92"/>
    <n v="0"/>
  </r>
  <r>
    <x v="0"/>
    <x v="2"/>
    <x v="0"/>
    <n v="60448040000122"/>
    <x v="307"/>
    <s v="SAO PAULO"/>
    <s v="SP"/>
    <s v="1-Setorizado"/>
    <n v="2"/>
    <x v="20"/>
    <s v="NELSON MARTINS - HSP - SPC"/>
    <s v="Hospitalar"/>
    <s v="claudia.bueno@cslbehring.com"/>
    <s v="CLAUDIA BUENO (SPC/SPI)"/>
    <n v="0"/>
    <n v="66"/>
    <n v="60"/>
    <n v="0"/>
    <n v="0"/>
  </r>
  <r>
    <x v="0"/>
    <x v="2"/>
    <x v="0"/>
    <n v="60453024000390"/>
    <x v="308"/>
    <s v="SAO PAULO"/>
    <s v="SP"/>
    <s v="1-Setorizado"/>
    <n v="2"/>
    <x v="16"/>
    <s v="JANAINA PALMIRO - ESP - SPC"/>
    <s v="Especialidade"/>
    <s v="claudia.bueno@cslbehring.com"/>
    <s v="CLAUDIA BUENO (SPC/SPI)"/>
    <n v="0"/>
    <n v="0"/>
    <n v="0"/>
    <n v="0"/>
    <n v="0"/>
  </r>
  <r>
    <x v="0"/>
    <x v="2"/>
    <x v="0"/>
    <n v="60453024000390"/>
    <x v="308"/>
    <s v="SAO PAULO"/>
    <s v="SP"/>
    <s v="1-Setorizado"/>
    <n v="2"/>
    <x v="20"/>
    <s v="NELSON MARTINS - HSP - SPC"/>
    <s v="Hospitalar"/>
    <s v="claudia.bueno@cslbehring.com"/>
    <s v="CLAUDIA BUENO (SPC/SPI)"/>
    <n v="0"/>
    <n v="11"/>
    <n v="55"/>
    <n v="0"/>
    <n v="0"/>
  </r>
  <r>
    <x v="0"/>
    <x v="2"/>
    <x v="0"/>
    <n v="51722957012512"/>
    <x v="309"/>
    <s v="SAO PAULO"/>
    <s v="SP"/>
    <s v="1-Setorizado"/>
    <n v="2"/>
    <x v="16"/>
    <s v="JANAINA PALMIRO - ESP - SPC"/>
    <s v="Especialidade"/>
    <s v="claudia.bueno@cslbehring.com"/>
    <s v="CLAUDIA BUENO (SPC/SPI)"/>
    <n v="0"/>
    <n v="0"/>
    <n v="0"/>
    <n v="0"/>
    <n v="90"/>
  </r>
  <r>
    <x v="0"/>
    <x v="2"/>
    <x v="0"/>
    <n v="51722957012512"/>
    <x v="309"/>
    <s v="SAO PAULO"/>
    <s v="SP"/>
    <s v="1-Setorizado"/>
    <n v="2"/>
    <x v="19"/>
    <s v="TATHIANA PONCE - HSP - SPC"/>
    <s v="Hospitalar"/>
    <s v="claudia.bueno@cslbehring.com"/>
    <s v="CLAUDIA BUENO (SPC/SPI)"/>
    <n v="0"/>
    <n v="0"/>
    <n v="0"/>
    <n v="0"/>
    <n v="90"/>
  </r>
  <r>
    <x v="0"/>
    <x v="2"/>
    <x v="0"/>
    <n v="60678604000113"/>
    <x v="310"/>
    <s v="SAO PAULO"/>
    <s v="SP"/>
    <s v="1-Setorizado"/>
    <n v="2"/>
    <x v="16"/>
    <s v="JANAINA PALMIRO - ESP - SPC"/>
    <s v="Especialidade"/>
    <s v="claudia.bueno@cslbehring.com"/>
    <s v="CLAUDIA BUENO (SPC/SPI)"/>
    <n v="0"/>
    <n v="0"/>
    <n v="0"/>
    <n v="0"/>
    <n v="200"/>
  </r>
  <r>
    <x v="0"/>
    <x v="2"/>
    <x v="0"/>
    <n v="60678604000113"/>
    <x v="310"/>
    <s v="SAO PAULO"/>
    <s v="SP"/>
    <s v="1-Setorizado"/>
    <n v="2"/>
    <x v="17"/>
    <s v="ANTONIO TUNES - HSP - SPC"/>
    <s v="Hospitalar"/>
    <s v="claudia.bueno@cslbehring.com"/>
    <s v="CLAUDIA BUENO (SPC/SPI)"/>
    <n v="0"/>
    <n v="0"/>
    <n v="24"/>
    <n v="0"/>
    <n v="200"/>
  </r>
  <r>
    <x v="0"/>
    <x v="2"/>
    <x v="0"/>
    <n v="29435005004540"/>
    <x v="313"/>
    <s v="SAO PAULO"/>
    <s v="SP"/>
    <s v="1-Setorizado"/>
    <n v="2"/>
    <x v="16"/>
    <s v="JANAINA PALMIRO - ESP - SPC"/>
    <s v="Especialidade"/>
    <s v="claudia.bueno@cslbehring.com"/>
    <s v="CLAUDIA BUENO (SPC/SPI)"/>
    <n v="0"/>
    <n v="0"/>
    <n v="0"/>
    <n v="0"/>
    <n v="180"/>
  </r>
  <r>
    <x v="0"/>
    <x v="2"/>
    <x v="0"/>
    <n v="29435005004540"/>
    <x v="313"/>
    <s v="SAO PAULO"/>
    <s v="SP"/>
    <s v="1-Setorizado"/>
    <n v="2"/>
    <x v="19"/>
    <s v="TATHIANA PONCE - HSP - SPC"/>
    <s v="Hospitalar"/>
    <s v="claudia.bueno@cslbehring.com"/>
    <s v="CLAUDIA BUENO (SPC/SPI)"/>
    <n v="0"/>
    <n v="0"/>
    <n v="0"/>
    <n v="0"/>
    <n v="180"/>
  </r>
  <r>
    <x v="0"/>
    <x v="2"/>
    <x v="0"/>
    <n v="46374500010823"/>
    <x v="509"/>
    <s v="SAO PAULO"/>
    <s v="SP"/>
    <s v="1-Setorizado"/>
    <n v="2"/>
    <x v="16"/>
    <s v="JANAINA PALMIRO - ESP - SPC"/>
    <s v="Especialidade"/>
    <s v="claudia.bueno@cslbehring.com"/>
    <s v="CLAUDIA BUENO (SPC/SPI)"/>
    <n v="0"/>
    <n v="0"/>
    <n v="0"/>
    <n v="0"/>
    <n v="150"/>
  </r>
  <r>
    <x v="0"/>
    <x v="2"/>
    <x v="0"/>
    <n v="46374500010823"/>
    <x v="509"/>
    <s v="SAO PAULO"/>
    <s v="SP"/>
    <s v="1-Setorizado"/>
    <n v="2"/>
    <x v="17"/>
    <s v="ANTONIO TUNES - HSP - SPC"/>
    <s v="Hospitalar"/>
    <s v="claudia.bueno@cslbehring.com"/>
    <s v="CLAUDIA BUENO (SPC/SPI)"/>
    <n v="0"/>
    <n v="0"/>
    <n v="0"/>
    <n v="0"/>
    <n v="150"/>
  </r>
  <r>
    <x v="0"/>
    <x v="2"/>
    <x v="0"/>
    <n v="61213674000240"/>
    <x v="314"/>
    <s v="SAO PAULO"/>
    <s v="SP"/>
    <s v="1-Setorizado"/>
    <n v="2"/>
    <x v="18"/>
    <s v="XXX-ESP-VAGO SPC"/>
    <s v="Especialidade"/>
    <s v="claudia.bueno@cslbehring.com"/>
    <s v="CLAUDIA BUENO (SPC/SPI)"/>
    <n v="0"/>
    <n v="0"/>
    <n v="0"/>
    <n v="113"/>
    <n v="0"/>
  </r>
  <r>
    <x v="0"/>
    <x v="2"/>
    <x v="0"/>
    <n v="61213674000240"/>
    <x v="314"/>
    <s v="SAO PAULO"/>
    <s v="SP"/>
    <s v="1-Setorizado"/>
    <n v="2"/>
    <x v="17"/>
    <s v="ANTONIO TUNES - HSP - SPC"/>
    <s v="Hospitalar"/>
    <s v="claudia.bueno@cslbehring.com"/>
    <s v="CLAUDIA BUENO (SPC/SPI)"/>
    <n v="0"/>
    <n v="1"/>
    <n v="2"/>
    <n v="0"/>
    <n v="0"/>
  </r>
  <r>
    <x v="0"/>
    <x v="2"/>
    <x v="0"/>
    <n v="60765823000130"/>
    <x v="441"/>
    <s v="SAO PAULO"/>
    <s v="SP"/>
    <s v="1-Setorizado"/>
    <n v="2"/>
    <x v="18"/>
    <s v="XXX-ESP-VAGO SPC"/>
    <s v="Especialidade"/>
    <s v="claudia.bueno@cslbehring.com"/>
    <s v="CLAUDIA BUENO (SPC/SPI)"/>
    <n v="0"/>
    <n v="0"/>
    <n v="0"/>
    <n v="130"/>
    <n v="0"/>
  </r>
  <r>
    <x v="0"/>
    <x v="2"/>
    <x v="0"/>
    <n v="60765823000130"/>
    <x v="441"/>
    <s v="SAO PAULO"/>
    <s v="SP"/>
    <s v="1-Setorizado"/>
    <n v="2"/>
    <x v="17"/>
    <s v="ANTONIO TUNES - HSP - SPC"/>
    <s v="Hospitalar"/>
    <s v="claudia.bueno@cslbehring.com"/>
    <s v="CLAUDIA BUENO (SPC/SPI)"/>
    <n v="0"/>
    <n v="30"/>
    <n v="70"/>
    <n v="0"/>
    <n v="0"/>
  </r>
  <r>
    <x v="0"/>
    <x v="2"/>
    <x v="0"/>
    <n v="19803199000114"/>
    <x v="315"/>
    <s v="SAO PAULO"/>
    <s v="SP"/>
    <s v="1-Setorizado"/>
    <n v="2"/>
    <x v="16"/>
    <s v="JANAINA PALMIRO - ESP - SPC"/>
    <s v="Especialidade"/>
    <s v="claudia.bueno@cslbehring.com"/>
    <s v="CLAUDIA BUENO (SPC/SPI)"/>
    <n v="0"/>
    <n v="0"/>
    <n v="0"/>
    <n v="0"/>
    <n v="125"/>
  </r>
  <r>
    <x v="0"/>
    <x v="2"/>
    <x v="0"/>
    <n v="19803199000114"/>
    <x v="315"/>
    <s v="SAO PAULO"/>
    <s v="SP"/>
    <s v="1-Setorizado"/>
    <n v="2"/>
    <x v="19"/>
    <s v="TATHIANA PONCE - HSP - SPC"/>
    <s v="Hospitalar"/>
    <s v="claudia.bueno@cslbehring.com"/>
    <s v="CLAUDIA BUENO (SPC/SPI)"/>
    <n v="0"/>
    <n v="4"/>
    <n v="0"/>
    <n v="0"/>
    <n v="125"/>
  </r>
  <r>
    <x v="0"/>
    <x v="2"/>
    <x v="0"/>
    <n v="29435005002687"/>
    <x v="316"/>
    <s v="SAO PAULO"/>
    <s v="SP"/>
    <s v="1-Setorizado"/>
    <n v="2"/>
    <x v="16"/>
    <s v="JANAINA PALMIRO - ESP - SPC"/>
    <s v="Especialidade"/>
    <s v="claudia.bueno@cslbehring.com"/>
    <s v="CLAUDIA BUENO (SPC/SPI)"/>
    <n v="0"/>
    <n v="0"/>
    <n v="0"/>
    <n v="0"/>
    <n v="1150"/>
  </r>
  <r>
    <x v="0"/>
    <x v="2"/>
    <x v="0"/>
    <n v="29435005002687"/>
    <x v="316"/>
    <s v="SAO PAULO"/>
    <s v="SP"/>
    <s v="1-Setorizado"/>
    <n v="2"/>
    <x v="19"/>
    <s v="TATHIANA PONCE - HSP - SPC"/>
    <s v="Hospitalar"/>
    <s v="claudia.bueno@cslbehring.com"/>
    <s v="CLAUDIA BUENO (SPC/SPI)"/>
    <n v="0"/>
    <n v="7"/>
    <n v="0"/>
    <n v="0"/>
    <n v="1150"/>
  </r>
  <r>
    <x v="0"/>
    <x v="2"/>
    <x v="0"/>
    <n v="61062212000198"/>
    <x v="510"/>
    <s v="SAO PAULO"/>
    <s v="SP"/>
    <s v="1-Setorizado"/>
    <n v="2"/>
    <x v="16"/>
    <s v="JANAINA PALMIRO - ESP - SPC"/>
    <s v="Especialidade"/>
    <s v="claudia.bueno@cslbehring.com"/>
    <s v="CLAUDIA BUENO (SPC/SPI)"/>
    <n v="0"/>
    <n v="0"/>
    <n v="0"/>
    <n v="0"/>
    <n v="0"/>
  </r>
  <r>
    <x v="0"/>
    <x v="2"/>
    <x v="0"/>
    <n v="61062212000198"/>
    <x v="510"/>
    <s v="SAO PAULO"/>
    <s v="SP"/>
    <s v="1-Setorizado"/>
    <n v="2"/>
    <x v="19"/>
    <s v="TATHIANA PONCE - HSP - SPC"/>
    <s v="Hospitalar"/>
    <s v="claudia.bueno@cslbehring.com"/>
    <s v="CLAUDIA BUENO (SPC/SPI)"/>
    <n v="0"/>
    <n v="0"/>
    <n v="4"/>
    <n v="0"/>
    <n v="0"/>
  </r>
  <r>
    <x v="0"/>
    <x v="2"/>
    <x v="0"/>
    <n v="60922168000771"/>
    <x v="318"/>
    <s v="SAO PAULO"/>
    <s v="SP"/>
    <s v="1-Setorizado"/>
    <n v="2"/>
    <x v="18"/>
    <s v="XXX-ESP-VAGO SPC"/>
    <s v="Especialidade"/>
    <s v="claudia.bueno@cslbehring.com"/>
    <s v="CLAUDIA BUENO (SPC/SPI)"/>
    <n v="0"/>
    <n v="0"/>
    <n v="0"/>
    <n v="23"/>
    <n v="0"/>
  </r>
  <r>
    <x v="0"/>
    <x v="2"/>
    <x v="0"/>
    <n v="60922168000771"/>
    <x v="318"/>
    <s v="SAO PAULO"/>
    <s v="SP"/>
    <s v="1-Setorizado"/>
    <n v="2"/>
    <x v="17"/>
    <s v="ANTONIO TUNES - HSP - SPC"/>
    <s v="Hospitalar"/>
    <s v="claudia.bueno@cslbehring.com"/>
    <s v="CLAUDIA BUENO (SPC/SPI)"/>
    <n v="0"/>
    <n v="0"/>
    <n v="4"/>
    <n v="0"/>
    <n v="0"/>
  </r>
  <r>
    <x v="0"/>
    <x v="2"/>
    <x v="0"/>
    <n v="60552098000111"/>
    <x v="319"/>
    <s v="SAO PAULO"/>
    <s v="SP"/>
    <s v="1-Setorizado"/>
    <n v="2"/>
    <x v="16"/>
    <s v="JANAINA PALMIRO - ESP - SPC"/>
    <s v="Especialidade"/>
    <s v="claudia.bueno@cslbehring.com"/>
    <s v="CLAUDIA BUENO (SPC/SPI)"/>
    <n v="0"/>
    <n v="0"/>
    <n v="0"/>
    <n v="0"/>
    <n v="75"/>
  </r>
  <r>
    <x v="0"/>
    <x v="2"/>
    <x v="0"/>
    <n v="60552098000111"/>
    <x v="319"/>
    <s v="SAO PAULO"/>
    <s v="SP"/>
    <s v="1-Setorizado"/>
    <n v="2"/>
    <x v="17"/>
    <s v="ANTONIO TUNES - HSP - SPC"/>
    <s v="Hospitalar"/>
    <s v="claudia.bueno@cslbehring.com"/>
    <s v="CLAUDIA BUENO (SPC/SPI)"/>
    <n v="0"/>
    <n v="0"/>
    <n v="0"/>
    <n v="0"/>
    <n v="75"/>
  </r>
  <r>
    <x v="0"/>
    <x v="2"/>
    <x v="0"/>
    <n v="60777901000116"/>
    <x v="320"/>
    <s v="SAO PAULO"/>
    <s v="SP"/>
    <s v="1-Setorizado"/>
    <n v="2"/>
    <x v="16"/>
    <s v="JANAINA PALMIRO - ESP - SPC"/>
    <s v="Especialidade"/>
    <s v="claudia.bueno@cslbehring.com"/>
    <s v="CLAUDIA BUENO (SPC/SPI)"/>
    <n v="0"/>
    <n v="0"/>
    <n v="0"/>
    <n v="0"/>
    <n v="1400"/>
  </r>
  <r>
    <x v="0"/>
    <x v="2"/>
    <x v="0"/>
    <n v="60777901000116"/>
    <x v="320"/>
    <s v="SAO PAULO"/>
    <s v="SP"/>
    <s v="1-Setorizado"/>
    <n v="2"/>
    <x v="19"/>
    <s v="TATHIANA PONCE - HSP - SPC"/>
    <s v="Hospitalar"/>
    <s v="claudia.bueno@cslbehring.com"/>
    <s v="CLAUDIA BUENO (SPC/SPI)"/>
    <n v="0"/>
    <n v="0"/>
    <n v="0"/>
    <n v="0"/>
    <n v="1400"/>
  </r>
  <r>
    <x v="0"/>
    <x v="2"/>
    <x v="0"/>
    <n v="60975737001204"/>
    <x v="321"/>
    <s v="SAO PAULO"/>
    <s v="SP"/>
    <s v="1-Setorizado"/>
    <n v="2"/>
    <x v="16"/>
    <s v="JANAINA PALMIRO - ESP - SPC"/>
    <s v="Especialidade"/>
    <s v="claudia.bueno@cslbehring.com"/>
    <s v="CLAUDIA BUENO (SPC/SPI)"/>
    <n v="0"/>
    <n v="0"/>
    <n v="0"/>
    <n v="0"/>
    <n v="0"/>
  </r>
  <r>
    <x v="0"/>
    <x v="2"/>
    <x v="0"/>
    <n v="60975737001204"/>
    <x v="321"/>
    <s v="SAO PAULO"/>
    <s v="SP"/>
    <s v="1-Setorizado"/>
    <n v="2"/>
    <x v="20"/>
    <s v="NELSON MARTINS - HSP - SPC"/>
    <s v="Hospitalar"/>
    <s v="claudia.bueno@cslbehring.com"/>
    <s v="CLAUDIA BUENO (SPC/SPI)"/>
    <n v="0"/>
    <n v="13"/>
    <n v="0"/>
    <n v="0"/>
    <n v="0"/>
  </r>
  <r>
    <x v="0"/>
    <x v="2"/>
    <x v="0"/>
    <n v="6047087003820"/>
    <x v="322"/>
    <s v="SAO PAULO"/>
    <s v="SP"/>
    <s v="1-Setorizado"/>
    <n v="2"/>
    <x v="16"/>
    <s v="JANAINA PALMIRO - ESP - SPC"/>
    <s v="Especialidade"/>
    <s v="claudia.bueno@cslbehring.com"/>
    <s v="CLAUDIA BUENO (SPC/SPI)"/>
    <n v="0"/>
    <n v="0"/>
    <n v="0"/>
    <n v="0"/>
    <n v="0"/>
  </r>
  <r>
    <x v="0"/>
    <x v="2"/>
    <x v="0"/>
    <n v="6047087003820"/>
    <x v="322"/>
    <s v="SAO PAULO"/>
    <s v="SP"/>
    <s v="1-Setorizado"/>
    <n v="2"/>
    <x v="17"/>
    <s v="ANTONIO TUNES - HSP - SPC"/>
    <s v="Hospitalar"/>
    <s v="claudia.bueno@cslbehring.com"/>
    <s v="CLAUDIA BUENO (SPC/SPI)"/>
    <n v="0"/>
    <n v="0"/>
    <n v="3"/>
    <n v="0"/>
    <n v="0"/>
  </r>
  <r>
    <x v="0"/>
    <x v="2"/>
    <x v="0"/>
    <n v="5831510000124"/>
    <x v="324"/>
    <s v="SAO PAULO"/>
    <s v="SP"/>
    <s v="1-Setorizado"/>
    <n v="2"/>
    <x v="16"/>
    <s v="JANAINA PALMIRO - ESP - SPC"/>
    <s v="Especialidade"/>
    <s v="claudia.bueno@cslbehring.com"/>
    <s v="CLAUDIA BUENO (SPC/SPI)"/>
    <n v="0"/>
    <n v="0"/>
    <n v="0"/>
    <n v="0"/>
    <n v="140"/>
  </r>
  <r>
    <x v="0"/>
    <x v="2"/>
    <x v="0"/>
    <n v="5831510000124"/>
    <x v="324"/>
    <s v="SAO PAULO"/>
    <s v="SP"/>
    <s v="1-Setorizado"/>
    <n v="2"/>
    <x v="17"/>
    <s v="ANTONIO TUNES - HSP - SPC"/>
    <s v="Hospitalar"/>
    <s v="claudia.bueno@cslbehring.com"/>
    <s v="CLAUDIA BUENO (SPC/SPI)"/>
    <n v="0"/>
    <n v="0"/>
    <n v="0"/>
    <n v="0"/>
    <n v="140"/>
  </r>
  <r>
    <x v="0"/>
    <x v="2"/>
    <x v="0"/>
    <n v="44649812005520"/>
    <x v="327"/>
    <s v="SAO PAULO"/>
    <s v="SP"/>
    <s v="1-Setorizado"/>
    <n v="2"/>
    <x v="16"/>
    <s v="JANAINA PALMIRO - ESP - SPC"/>
    <s v="Especialidade"/>
    <s v="claudia.bueno@cslbehring.com"/>
    <s v="CLAUDIA BUENO (SPC/SPI)"/>
    <n v="0"/>
    <n v="0"/>
    <n v="0"/>
    <n v="4"/>
    <n v="0"/>
  </r>
  <r>
    <x v="0"/>
    <x v="2"/>
    <x v="0"/>
    <n v="44649812005520"/>
    <x v="327"/>
    <s v="SAO PAULO"/>
    <s v="SP"/>
    <s v="1-Setorizado"/>
    <n v="2"/>
    <x v="17"/>
    <s v="ANTONIO TUNES - HSP - SPC"/>
    <s v="Hospitalar"/>
    <s v="claudia.bueno@cslbehring.com"/>
    <s v="CLAUDIA BUENO (SPC/SPI)"/>
    <n v="0"/>
    <n v="0"/>
    <n v="0"/>
    <n v="0"/>
    <n v="0"/>
  </r>
  <r>
    <x v="0"/>
    <x v="2"/>
    <x v="0"/>
    <n v="4036348000190"/>
    <x v="330"/>
    <s v="SAO PAULO"/>
    <s v="SP"/>
    <s v="1-Setorizado"/>
    <n v="2"/>
    <x v="16"/>
    <s v="JANAINA PALMIRO - ESP - SPC"/>
    <s v="Especialidade"/>
    <s v="claudia.bueno@cslbehring.com"/>
    <s v="CLAUDIA BUENO (SPC/SPI)"/>
    <n v="0"/>
    <n v="0"/>
    <n v="0"/>
    <n v="0"/>
    <n v="365"/>
  </r>
  <r>
    <x v="0"/>
    <x v="2"/>
    <x v="0"/>
    <n v="4036348000190"/>
    <x v="330"/>
    <s v="SAO PAULO"/>
    <s v="SP"/>
    <s v="1-Setorizado"/>
    <n v="2"/>
    <x v="17"/>
    <s v="ANTONIO TUNES - HSP - SPC"/>
    <s v="Hospitalar"/>
    <s v="claudia.bueno@cslbehring.com"/>
    <s v="CLAUDIA BUENO (SPC/SPI)"/>
    <n v="0"/>
    <n v="0"/>
    <n v="0"/>
    <n v="0"/>
    <n v="365"/>
  </r>
  <r>
    <x v="0"/>
    <x v="2"/>
    <x v="0"/>
    <n v="2837922000183"/>
    <x v="332"/>
    <s v="SAO PAULO"/>
    <s v="SP"/>
    <s v="1-Setorizado"/>
    <n v="2"/>
    <x v="16"/>
    <s v="JANAINA PALMIRO - ESP - SPC"/>
    <s v="Especialidade"/>
    <s v="claudia.bueno@cslbehring.com"/>
    <s v="CLAUDIA BUENO (SPC/SPI)"/>
    <n v="0"/>
    <n v="0"/>
    <n v="0"/>
    <n v="150"/>
    <n v="0"/>
  </r>
  <r>
    <x v="0"/>
    <x v="2"/>
    <x v="0"/>
    <n v="2837922000183"/>
    <x v="332"/>
    <s v="SAO PAULO"/>
    <s v="SP"/>
    <s v="1-Setorizado"/>
    <n v="2"/>
    <x v="17"/>
    <s v="ANTONIO TUNES - HSP - SPC"/>
    <s v="Hospitalar"/>
    <s v="claudia.bueno@cslbehring.com"/>
    <s v="CLAUDIA BUENO (SPC/SPI)"/>
    <n v="0"/>
    <n v="0"/>
    <n v="0"/>
    <n v="0"/>
    <n v="0"/>
  </r>
  <r>
    <x v="0"/>
    <x v="2"/>
    <x v="0"/>
    <n v="61599908000158"/>
    <x v="333"/>
    <s v="SAO PAULO"/>
    <s v="SP"/>
    <s v="1-Setorizado"/>
    <n v="2"/>
    <x v="16"/>
    <s v="JANAINA PALMIRO - ESP - SPC"/>
    <s v="Especialidade"/>
    <s v="claudia.bueno@cslbehring.com"/>
    <s v="CLAUDIA BUENO (SPC/SPI)"/>
    <n v="0"/>
    <n v="0"/>
    <n v="0"/>
    <n v="0"/>
    <n v="0"/>
  </r>
  <r>
    <x v="0"/>
    <x v="2"/>
    <x v="0"/>
    <n v="61599908000158"/>
    <x v="333"/>
    <s v="SAO PAULO"/>
    <s v="SP"/>
    <s v="1-Setorizado"/>
    <n v="2"/>
    <x v="19"/>
    <s v="TATHIANA PONCE - HSP - SPC"/>
    <s v="Hospitalar"/>
    <s v="claudia.bueno@cslbehring.com"/>
    <s v="CLAUDIA BUENO (SPC/SPI)"/>
    <n v="0"/>
    <n v="150"/>
    <n v="50"/>
    <n v="0"/>
    <n v="0"/>
  </r>
  <r>
    <x v="0"/>
    <x v="2"/>
    <x v="0"/>
    <n v="7045325000130"/>
    <x v="334"/>
    <s v="SAO PAULO"/>
    <s v="SP"/>
    <s v="1-Setorizado"/>
    <n v="2"/>
    <x v="16"/>
    <s v="JANAINA PALMIRO - ESP - SPC"/>
    <s v="Especialidade"/>
    <s v="claudia.bueno@cslbehring.com"/>
    <s v="CLAUDIA BUENO (SPC/SPI)"/>
    <n v="0"/>
    <n v="0"/>
    <n v="0"/>
    <n v="56"/>
    <n v="0"/>
  </r>
  <r>
    <x v="0"/>
    <x v="2"/>
    <x v="0"/>
    <n v="7045325000130"/>
    <x v="334"/>
    <s v="SAO PAULO"/>
    <s v="SP"/>
    <s v="1-Setorizado"/>
    <n v="2"/>
    <x v="17"/>
    <s v="ANTONIO TUNES - HSP - SPC"/>
    <s v="Hospitalar"/>
    <s v="claudia.bueno@cslbehring.com"/>
    <s v="CLAUDIA BUENO (SPC/SPI)"/>
    <n v="0"/>
    <n v="0"/>
    <n v="0"/>
    <n v="0"/>
    <n v="0"/>
  </r>
  <r>
    <x v="0"/>
    <x v="2"/>
    <x v="0"/>
    <n v="6047087000210"/>
    <x v="335"/>
    <s v="SAO PAULO"/>
    <s v="SP"/>
    <s v="1-Setorizado"/>
    <n v="2"/>
    <x v="16"/>
    <s v="JANAINA PALMIRO - ESP - SPC"/>
    <s v="Especialidade"/>
    <s v="claudia.bueno@cslbehring.com"/>
    <s v="CLAUDIA BUENO (SPC/SPI)"/>
    <n v="0"/>
    <n v="0"/>
    <n v="0"/>
    <n v="0"/>
    <n v="0"/>
  </r>
  <r>
    <x v="0"/>
    <x v="2"/>
    <x v="0"/>
    <n v="6047087000210"/>
    <x v="335"/>
    <s v="SAO PAULO"/>
    <s v="SP"/>
    <s v="1-Setorizado"/>
    <n v="2"/>
    <x v="17"/>
    <s v="ANTONIO TUNES - HSP - SPC"/>
    <s v="Hospitalar"/>
    <s v="claudia.bueno@cslbehring.com"/>
    <s v="CLAUDIA BUENO (SPC/SPI)"/>
    <n v="0"/>
    <n v="36"/>
    <n v="20"/>
    <n v="0"/>
    <n v="0"/>
  </r>
  <r>
    <x v="0"/>
    <x v="2"/>
    <x v="0"/>
    <n v="60961422000155"/>
    <x v="336"/>
    <s v="SAO PAULO"/>
    <s v="SP"/>
    <s v="1-Setorizado"/>
    <n v="2"/>
    <x v="16"/>
    <s v="JANAINA PALMIRO - ESP - SPC"/>
    <s v="Especialidade"/>
    <s v="claudia.bueno@cslbehring.com"/>
    <s v="CLAUDIA BUENO (SPC/SPI)"/>
    <n v="4"/>
    <n v="0"/>
    <n v="0"/>
    <n v="0"/>
    <n v="20"/>
  </r>
  <r>
    <x v="0"/>
    <x v="2"/>
    <x v="0"/>
    <n v="60961422000155"/>
    <x v="336"/>
    <s v="SAO PAULO"/>
    <s v="SP"/>
    <s v="1-Setorizado"/>
    <n v="2"/>
    <x v="17"/>
    <s v="ANTONIO TUNES - HSP - SPC"/>
    <s v="Hospitalar"/>
    <s v="claudia.bueno@cslbehring.com"/>
    <s v="CLAUDIA BUENO (SPC/SPI)"/>
    <n v="0"/>
    <n v="6"/>
    <n v="8"/>
    <n v="0"/>
    <n v="20"/>
  </r>
  <r>
    <x v="0"/>
    <x v="2"/>
    <x v="0"/>
    <n v="61590410000124"/>
    <x v="337"/>
    <s v="SAO PAULO"/>
    <s v="SP"/>
    <s v="1-Setorizado"/>
    <n v="2"/>
    <x v="16"/>
    <s v="JANAINA PALMIRO - ESP - SPC"/>
    <s v="Especialidade"/>
    <s v="claudia.bueno@cslbehring.com"/>
    <s v="CLAUDIA BUENO (SPC/SPI)"/>
    <n v="0"/>
    <n v="0"/>
    <n v="0"/>
    <n v="0"/>
    <n v="1745"/>
  </r>
  <r>
    <x v="0"/>
    <x v="2"/>
    <x v="0"/>
    <n v="61590410000124"/>
    <x v="337"/>
    <s v="SAO PAULO"/>
    <s v="SP"/>
    <s v="1-Setorizado"/>
    <n v="2"/>
    <x v="20"/>
    <s v="NELSON MARTINS - HSP - SPC"/>
    <s v="Hospitalar"/>
    <s v="claudia.bueno@cslbehring.com"/>
    <s v="CLAUDIA BUENO (SPC/SPI)"/>
    <n v="0"/>
    <n v="16"/>
    <n v="56"/>
    <n v="0"/>
    <n v="1745"/>
  </r>
  <r>
    <x v="0"/>
    <x v="2"/>
    <x v="0"/>
    <n v="20812223000241"/>
    <x v="338"/>
    <s v="SAO PAULO"/>
    <s v="SP"/>
    <s v="1-Setorizado"/>
    <n v="2"/>
    <x v="16"/>
    <s v="JANAINA PALMIRO - ESP - SPC"/>
    <s v="Especialidade"/>
    <s v="claudia.bueno@cslbehring.com"/>
    <s v="CLAUDIA BUENO (SPC/SPI)"/>
    <n v="0"/>
    <n v="0"/>
    <n v="0"/>
    <n v="10"/>
    <n v="0"/>
  </r>
  <r>
    <x v="0"/>
    <x v="2"/>
    <x v="0"/>
    <n v="20812223000241"/>
    <x v="338"/>
    <s v="SAO PAULO"/>
    <s v="SP"/>
    <s v="1-Setorizado"/>
    <n v="2"/>
    <x v="17"/>
    <s v="ANTONIO TUNES - HSP - SPC"/>
    <s v="Hospitalar"/>
    <s v="claudia.bueno@cslbehring.com"/>
    <s v="CLAUDIA BUENO (SPC/SPI)"/>
    <n v="0"/>
    <n v="0"/>
    <n v="0"/>
    <n v="0"/>
    <n v="0"/>
  </r>
  <r>
    <x v="0"/>
    <x v="2"/>
    <x v="0"/>
    <n v="1613433008089"/>
    <x v="511"/>
    <s v="SERTÃOZINHO"/>
    <s v="SP"/>
    <s v="1-Setorizado"/>
    <n v="2"/>
    <x v="14"/>
    <s v="BRUNA CLARO - ESP - SPI"/>
    <s v="Especialidade"/>
    <s v="claudia.bueno@cslbehring.com"/>
    <s v="CLAUDIA BUENO (SPC/SPI)"/>
    <n v="0"/>
    <n v="0"/>
    <n v="0"/>
    <n v="0"/>
    <n v="80"/>
  </r>
  <r>
    <x v="0"/>
    <x v="2"/>
    <x v="0"/>
    <n v="1613433008089"/>
    <x v="511"/>
    <s v="SERTÃOZINHO"/>
    <s v="SP"/>
    <s v="1-Setorizado"/>
    <n v="2"/>
    <x v="15"/>
    <s v="ARTUR JUNIOR - HSP - SPI"/>
    <s v="Hospitalar"/>
    <s v="claudia.bueno@cslbehring.com"/>
    <s v="CLAUDIA BUENO (SPC/SPI)"/>
    <n v="0"/>
    <n v="0"/>
    <n v="0"/>
    <n v="0"/>
    <n v="80"/>
  </r>
  <r>
    <x v="0"/>
    <x v="2"/>
    <x v="0"/>
    <n v="45399961000230"/>
    <x v="340"/>
    <s v="SOROCABA"/>
    <s v="SP"/>
    <s v="1-Setorizado"/>
    <n v="2"/>
    <x v="18"/>
    <s v="XXX-ESP-VAGO SPC"/>
    <s v="Especialidade"/>
    <s v="claudia.bueno@cslbehring.com"/>
    <s v="CLAUDIA BUENO (SPC/SPI)"/>
    <n v="0"/>
    <n v="0"/>
    <n v="0"/>
    <n v="0"/>
    <n v="300"/>
  </r>
  <r>
    <x v="0"/>
    <x v="2"/>
    <x v="0"/>
    <n v="45399961000230"/>
    <x v="340"/>
    <s v="SOROCABA"/>
    <s v="SP"/>
    <s v="1-Setorizado"/>
    <n v="2"/>
    <x v="19"/>
    <s v="TATHIANA PONCE - HSP - SPC"/>
    <s v="Hospitalar"/>
    <s v="claudia.bueno@cslbehring.com"/>
    <s v="CLAUDIA BUENO (SPC/SPI)"/>
    <n v="0"/>
    <n v="0"/>
    <n v="0"/>
    <n v="0"/>
    <n v="300"/>
  </r>
  <r>
    <x v="0"/>
    <x v="2"/>
    <x v="0"/>
    <n v="46124624002599"/>
    <x v="341"/>
    <s v="SUMARE"/>
    <s v="SP"/>
    <s v="1-Setorizado"/>
    <n v="2"/>
    <x v="14"/>
    <s v="BRUNA CLARO - ESP - SPI"/>
    <s v="Especialidade"/>
    <s v="claudia.bueno@cslbehring.com"/>
    <s v="CLAUDIA BUENO (SPC/SPI)"/>
    <n v="0"/>
    <n v="0"/>
    <n v="0"/>
    <n v="80"/>
    <n v="1250"/>
  </r>
  <r>
    <x v="0"/>
    <x v="2"/>
    <x v="0"/>
    <n v="46124624002599"/>
    <x v="341"/>
    <s v="SUMARE"/>
    <s v="SP"/>
    <s v="1-Setorizado"/>
    <n v="2"/>
    <x v="15"/>
    <s v="ARTUR JUNIOR - HSP - SPI"/>
    <s v="Hospitalar"/>
    <s v="claudia.bueno@cslbehring.com"/>
    <s v="CLAUDIA BUENO (SPC/SPI)"/>
    <n v="0"/>
    <n v="0"/>
    <n v="0"/>
    <n v="0"/>
    <n v="1250"/>
  </r>
  <r>
    <x v="0"/>
    <x v="3"/>
    <x v="1"/>
    <n v="5612725000154"/>
    <x v="512"/>
    <s v="MACEIO"/>
    <s v="AL"/>
    <s v="0-Setorizar"/>
    <n v="0"/>
    <x v="22"/>
    <m/>
    <m/>
    <m/>
    <m/>
    <n v="0"/>
    <n v="0"/>
    <n v="0"/>
    <n v="0"/>
    <n v="0"/>
  </r>
  <r>
    <x v="0"/>
    <x v="3"/>
    <x v="1"/>
    <n v="4159778000107"/>
    <x v="513"/>
    <s v="MANAUS"/>
    <s v="AM"/>
    <s v="0-Setorizar"/>
    <n v="0"/>
    <x v="22"/>
    <m/>
    <m/>
    <m/>
    <m/>
    <n v="0"/>
    <n v="0"/>
    <n v="0"/>
    <n v="0"/>
    <n v="0"/>
  </r>
  <r>
    <x v="0"/>
    <x v="3"/>
    <x v="1"/>
    <n v="12361267014739"/>
    <x v="514"/>
    <s v="SALVADOR"/>
    <s v="BA"/>
    <s v="1-Setorizado"/>
    <n v="2"/>
    <x v="0"/>
    <s v="VALERIA BRAGA - ESP - (CE/MA/PI/BA/AL/SE/PB/PE/RN)"/>
    <s v="Especialidade"/>
    <s v="fernando.leony@cslbehring.com"/>
    <s v="FERNANDO LEONY (CO/NO/NE)"/>
    <n v="0"/>
    <n v="0"/>
    <n v="0"/>
    <n v="0"/>
    <n v="0"/>
  </r>
  <r>
    <x v="0"/>
    <x v="3"/>
    <x v="1"/>
    <n v="12361267014739"/>
    <x v="514"/>
    <s v="SALVADOR"/>
    <s v="BA"/>
    <s v="1-Setorizado"/>
    <n v="2"/>
    <x v="1"/>
    <s v="LAIS MAGALHAES - HSP - BA/AL/SE"/>
    <s v="Hospitalar"/>
    <s v="fernando.leony@cslbehring.com"/>
    <s v="FERNANDO LEONY (CO/NO/NE)"/>
    <n v="0"/>
    <n v="3"/>
    <n v="0"/>
    <n v="0"/>
    <n v="0"/>
  </r>
  <r>
    <x v="0"/>
    <x v="3"/>
    <x v="1"/>
    <n v="15194004000125"/>
    <x v="10"/>
    <s v="SALVADOR"/>
    <s v="BA"/>
    <s v="1-Setorizado"/>
    <n v="2"/>
    <x v="0"/>
    <s v="VALERIA BRAGA - ESP - (CE/MA/PI/BA/AL/SE/PB/PE/RN)"/>
    <s v="Especialidade"/>
    <s v="fernando.leony@cslbehring.com"/>
    <s v="FERNANDO LEONY (CO/NO/NE)"/>
    <n v="0"/>
    <n v="0"/>
    <n v="0"/>
    <n v="0"/>
    <n v="0"/>
  </r>
  <r>
    <x v="0"/>
    <x v="3"/>
    <x v="1"/>
    <n v="15194004000125"/>
    <x v="10"/>
    <s v="SALVADOR"/>
    <s v="BA"/>
    <s v="1-Setorizado"/>
    <n v="2"/>
    <x v="1"/>
    <s v="LAIS MAGALHAES - HSP - BA/AL/SE"/>
    <s v="Hospitalar"/>
    <s v="fernando.leony@cslbehring.com"/>
    <s v="FERNANDO LEONY (CO/NO/NE)"/>
    <n v="0"/>
    <n v="7"/>
    <n v="0"/>
    <n v="0"/>
    <n v="0"/>
  </r>
  <r>
    <x v="0"/>
    <x v="3"/>
    <x v="1"/>
    <n v="5469172000122"/>
    <x v="11"/>
    <s v="SALVADOR"/>
    <s v="BA"/>
    <s v="1-Setorizado"/>
    <n v="2"/>
    <x v="0"/>
    <s v="VALERIA BRAGA - ESP - (CE/MA/PI/BA/AL/SE/PB/PE/RN)"/>
    <s v="Especialidade"/>
    <s v="fernando.leony@cslbehring.com"/>
    <s v="FERNANDO LEONY (CO/NO/NE)"/>
    <n v="0"/>
    <n v="0"/>
    <n v="0"/>
    <n v="0"/>
    <n v="0"/>
  </r>
  <r>
    <x v="0"/>
    <x v="3"/>
    <x v="1"/>
    <n v="5469172000122"/>
    <x v="11"/>
    <s v="SALVADOR"/>
    <s v="BA"/>
    <s v="1-Setorizado"/>
    <n v="2"/>
    <x v="1"/>
    <s v="LAIS MAGALHAES - HSP - BA/AL/SE"/>
    <s v="Hospitalar"/>
    <s v="fernando.leony@cslbehring.com"/>
    <s v="FERNANDO LEONY (CO/NO/NE)"/>
    <n v="0"/>
    <n v="3"/>
    <n v="0"/>
    <n v="0"/>
    <n v="0"/>
  </r>
  <r>
    <x v="0"/>
    <x v="3"/>
    <x v="1"/>
    <n v="13016092000140"/>
    <x v="12"/>
    <s v="SALVADOR"/>
    <s v="BA"/>
    <s v="1-Setorizado"/>
    <n v="2"/>
    <x v="0"/>
    <s v="VALERIA BRAGA - ESP - (CE/MA/PI/BA/AL/SE/PB/PE/RN)"/>
    <s v="Especialidade"/>
    <s v="fernando.leony@cslbehring.com"/>
    <s v="FERNANDO LEONY (CO/NO/NE)"/>
    <n v="0"/>
    <n v="0"/>
    <n v="0"/>
    <n v="0"/>
    <n v="0"/>
  </r>
  <r>
    <x v="0"/>
    <x v="3"/>
    <x v="1"/>
    <n v="13016092000140"/>
    <x v="12"/>
    <s v="SALVADOR"/>
    <s v="BA"/>
    <s v="1-Setorizado"/>
    <n v="2"/>
    <x v="1"/>
    <s v="LAIS MAGALHAES - HSP - BA/AL/SE"/>
    <s v="Hospitalar"/>
    <s v="fernando.leony@cslbehring.com"/>
    <s v="FERNANDO LEONY (CO/NO/NE)"/>
    <n v="0"/>
    <n v="6"/>
    <n v="0"/>
    <n v="0"/>
    <n v="0"/>
  </r>
  <r>
    <x v="0"/>
    <x v="3"/>
    <x v="1"/>
    <n v="15166416000151"/>
    <x v="14"/>
    <s v="SALVADOR"/>
    <s v="BA"/>
    <s v="1-Setorizado"/>
    <n v="2"/>
    <x v="0"/>
    <s v="VALERIA BRAGA - ESP - (CE/MA/PI/BA/AL/SE/PB/PE/RN)"/>
    <s v="Especialidade"/>
    <s v="fernando.leony@cslbehring.com"/>
    <s v="FERNANDO LEONY (CO/NO/NE)"/>
    <n v="0"/>
    <n v="0"/>
    <n v="0"/>
    <n v="0"/>
    <n v="0"/>
  </r>
  <r>
    <x v="0"/>
    <x v="3"/>
    <x v="1"/>
    <n v="15166416000151"/>
    <x v="14"/>
    <s v="SALVADOR"/>
    <s v="BA"/>
    <s v="1-Setorizado"/>
    <n v="2"/>
    <x v="1"/>
    <s v="LAIS MAGALHAES - HSP - BA/AL/SE"/>
    <s v="Hospitalar"/>
    <s v="fernando.leony@cslbehring.com"/>
    <s v="FERNANDO LEONY (CO/NO/NE)"/>
    <n v="0"/>
    <n v="10"/>
    <n v="0"/>
    <n v="0"/>
    <n v="0"/>
  </r>
  <r>
    <x v="0"/>
    <x v="3"/>
    <x v="1"/>
    <n v="15153745000249"/>
    <x v="15"/>
    <s v="SALVADOR"/>
    <s v="BA"/>
    <s v="1-Setorizado"/>
    <n v="2"/>
    <x v="0"/>
    <s v="VALERIA BRAGA - ESP - (CE/MA/PI/BA/AL/SE/PB/PE/RN)"/>
    <s v="Especialidade"/>
    <s v="fernando.leony@cslbehring.com"/>
    <s v="FERNANDO LEONY (CO/NO/NE)"/>
    <n v="0"/>
    <n v="0"/>
    <n v="0"/>
    <n v="0"/>
    <n v="0"/>
  </r>
  <r>
    <x v="0"/>
    <x v="3"/>
    <x v="1"/>
    <n v="15153745000249"/>
    <x v="15"/>
    <s v="SALVADOR"/>
    <s v="BA"/>
    <s v="1-Setorizado"/>
    <n v="2"/>
    <x v="1"/>
    <s v="LAIS MAGALHAES - HSP - BA/AL/SE"/>
    <s v="Hospitalar"/>
    <s v="fernando.leony@cslbehring.com"/>
    <s v="FERNANDO LEONY (CO/NO/NE)"/>
    <n v="0"/>
    <n v="9"/>
    <n v="0"/>
    <n v="0"/>
    <n v="0"/>
  </r>
  <r>
    <x v="0"/>
    <x v="3"/>
    <x v="1"/>
    <n v="15242761000127"/>
    <x v="20"/>
    <s v="SALVADOR"/>
    <s v="BA"/>
    <s v="1-Setorizado"/>
    <n v="2"/>
    <x v="0"/>
    <s v="VALERIA BRAGA - ESP - (CE/MA/PI/BA/AL/SE/PB/PE/RN)"/>
    <s v="Especialidade"/>
    <s v="fernando.leony@cslbehring.com"/>
    <s v="FERNANDO LEONY (CO/NO/NE)"/>
    <n v="0"/>
    <n v="0"/>
    <n v="0"/>
    <n v="0"/>
    <n v="100"/>
  </r>
  <r>
    <x v="0"/>
    <x v="3"/>
    <x v="1"/>
    <n v="15242761000127"/>
    <x v="20"/>
    <s v="SALVADOR"/>
    <s v="BA"/>
    <s v="1-Setorizado"/>
    <n v="2"/>
    <x v="1"/>
    <s v="LAIS MAGALHAES - HSP - BA/AL/SE"/>
    <s v="Hospitalar"/>
    <s v="fernando.leony@cslbehring.com"/>
    <s v="FERNANDO LEONY (CO/NO/NE)"/>
    <n v="0"/>
    <n v="0"/>
    <n v="0"/>
    <n v="0"/>
    <n v="100"/>
  </r>
  <r>
    <x v="0"/>
    <x v="3"/>
    <x v="1"/>
    <n v="5652543000107"/>
    <x v="349"/>
    <s v="SANTO ANTONIO DE JESUS"/>
    <s v="BA"/>
    <s v="1-Setorizado"/>
    <n v="2"/>
    <x v="0"/>
    <s v="VALERIA BRAGA - ESP - (CE/MA/PI/BA/AL/SE/PB/PE/RN)"/>
    <s v="Especialidade"/>
    <s v="fernando.leony@cslbehring.com"/>
    <s v="FERNANDO LEONY (CO/NO/NE)"/>
    <n v="0"/>
    <n v="0"/>
    <n v="0"/>
    <n v="0"/>
    <n v="0"/>
  </r>
  <r>
    <x v="0"/>
    <x v="3"/>
    <x v="1"/>
    <n v="5652543000107"/>
    <x v="349"/>
    <s v="SANTO ANTONIO DE JESUS"/>
    <s v="BA"/>
    <s v="1-Setorizado"/>
    <n v="2"/>
    <x v="1"/>
    <s v="LAIS MAGALHAES - HSP - BA/AL/SE"/>
    <s v="Hospitalar"/>
    <s v="fernando.leony@cslbehring.com"/>
    <s v="FERNANDO LEONY (CO/NO/NE)"/>
    <n v="0"/>
    <n v="19"/>
    <n v="0"/>
    <n v="0"/>
    <n v="0"/>
  </r>
  <r>
    <x v="0"/>
    <x v="3"/>
    <x v="1"/>
    <n v="74031865000151"/>
    <x v="24"/>
    <s v="FORTALEZA"/>
    <s v="CE"/>
    <s v="1-Setorizado"/>
    <n v="2"/>
    <x v="0"/>
    <s v="VALERIA BRAGA - ESP - (CE/MA/PI/BA/AL/SE/PB/PE/RN)"/>
    <s v="Especialidade"/>
    <s v="fernando.leony@cslbehring.com"/>
    <s v="FERNANDO LEONY (CO/NO/NE)"/>
    <n v="0"/>
    <n v="0"/>
    <n v="0"/>
    <n v="0"/>
    <n v="0"/>
  </r>
  <r>
    <x v="0"/>
    <x v="3"/>
    <x v="1"/>
    <n v="74031865000151"/>
    <x v="24"/>
    <s v="FORTALEZA"/>
    <s v="CE"/>
    <s v="1-Setorizado"/>
    <n v="2"/>
    <x v="3"/>
    <s v="KLEBER SILVA - HSP - CE/MA/PI"/>
    <s v="Hospitalar"/>
    <s v="fernando.leony@cslbehring.com"/>
    <s v="FERNANDO LEONY (CO/NO/NE)"/>
    <n v="0"/>
    <n v="0"/>
    <n v="140"/>
    <n v="0"/>
    <n v="0"/>
  </r>
  <r>
    <x v="0"/>
    <x v="3"/>
    <x v="1"/>
    <n v="520237000101"/>
    <x v="36"/>
    <s v="BRASILIA"/>
    <s v="DF"/>
    <s v="1-Setorizado"/>
    <n v="2"/>
    <x v="2"/>
    <s v="WLADIMIR CAMPELO - ESP/HSP - AC/AM/AP/PA/RO/RR/DF"/>
    <s v="Hosp-Esp"/>
    <s v="fernando.leony@cslbehring.com"/>
    <s v="FERNANDO LEONY (CO/NO/NE)"/>
    <n v="0"/>
    <n v="0"/>
    <n v="0"/>
    <n v="95"/>
    <n v="250"/>
  </r>
  <r>
    <x v="0"/>
    <x v="3"/>
    <x v="1"/>
    <n v="520237000101"/>
    <x v="36"/>
    <s v="BRASILIA"/>
    <s v="DF"/>
    <s v="1-Setorizado"/>
    <n v="2"/>
    <x v="4"/>
    <s v="KAREN ROSA - HSP - DF/GO/MS/MT/TO"/>
    <s v="Hospitalar"/>
    <s v="fernando.leony@cslbehring.com"/>
    <s v="FERNANDO LEONY (CO/NO/NE)"/>
    <n v="0"/>
    <n v="0"/>
    <n v="0"/>
    <n v="0"/>
    <n v="250"/>
  </r>
  <r>
    <x v="0"/>
    <x v="3"/>
    <x v="1"/>
    <n v="37108388000159"/>
    <x v="38"/>
    <s v="BRASILIA"/>
    <s v="DF"/>
    <s v="1-Setorizado"/>
    <n v="2"/>
    <x v="2"/>
    <s v="WLADIMIR CAMPELO - ESP/HSP - AC/AM/AP/PA/RO/RR/DF"/>
    <s v="Hosp-Esp"/>
    <s v="fernando.leony@cslbehring.com"/>
    <s v="FERNANDO LEONY (CO/NO/NE)"/>
    <n v="0"/>
    <n v="0"/>
    <n v="0"/>
    <n v="0"/>
    <n v="0"/>
  </r>
  <r>
    <x v="0"/>
    <x v="3"/>
    <x v="1"/>
    <n v="37108388000159"/>
    <x v="38"/>
    <s v="BRASILIA"/>
    <s v="DF"/>
    <s v="1-Setorizado"/>
    <n v="2"/>
    <x v="4"/>
    <s v="KAREN ROSA - HSP - DF/GO/MS/MT/TO"/>
    <s v="Hospitalar"/>
    <s v="fernando.leony@cslbehring.com"/>
    <s v="FERNANDO LEONY (CO/NO/NE)"/>
    <n v="0"/>
    <n v="20"/>
    <n v="0"/>
    <n v="0"/>
    <n v="0"/>
  </r>
  <r>
    <x v="0"/>
    <x v="3"/>
    <x v="1"/>
    <n v="2560878000107"/>
    <x v="40"/>
    <s v="BRASILIA"/>
    <s v="DF"/>
    <s v="1-Setorizado"/>
    <n v="2"/>
    <x v="2"/>
    <s v="WLADIMIR CAMPELO - ESP/HSP - AC/AM/AP/PA/RO/RR/DF"/>
    <s v="Hosp-Esp"/>
    <s v="fernando.leony@cslbehring.com"/>
    <s v="FERNANDO LEONY (CO/NO/NE)"/>
    <n v="0"/>
    <n v="0"/>
    <n v="0"/>
    <n v="0"/>
    <n v="5"/>
  </r>
  <r>
    <x v="0"/>
    <x v="3"/>
    <x v="1"/>
    <n v="2560878000107"/>
    <x v="40"/>
    <s v="BRASILIA"/>
    <s v="DF"/>
    <s v="1-Setorizado"/>
    <n v="2"/>
    <x v="4"/>
    <s v="KAREN ROSA - HSP - DF/GO/MS/MT/TO"/>
    <s v="Hospitalar"/>
    <s v="fernando.leony@cslbehring.com"/>
    <s v="FERNANDO LEONY (CO/NO/NE)"/>
    <n v="0"/>
    <n v="4"/>
    <n v="0"/>
    <n v="0"/>
    <n v="5"/>
  </r>
  <r>
    <x v="0"/>
    <x v="3"/>
    <x v="1"/>
    <n v="60884855002289"/>
    <x v="41"/>
    <s v="BRASILIA"/>
    <s v="DF"/>
    <s v="1-Setorizado"/>
    <n v="2"/>
    <x v="2"/>
    <s v="WLADIMIR CAMPELO - ESP/HSP - AC/AM/AP/PA/RO/RR/DF"/>
    <s v="Hosp-Esp"/>
    <s v="fernando.leony@cslbehring.com"/>
    <s v="FERNANDO LEONY (CO/NO/NE)"/>
    <n v="0"/>
    <n v="0"/>
    <n v="0"/>
    <n v="0"/>
    <n v="675"/>
  </r>
  <r>
    <x v="0"/>
    <x v="3"/>
    <x v="1"/>
    <n v="60884855002289"/>
    <x v="41"/>
    <s v="BRASILIA"/>
    <s v="DF"/>
    <s v="1-Setorizado"/>
    <n v="2"/>
    <x v="4"/>
    <s v="KAREN ROSA - HSP - DF/GO/MS/MT/TO"/>
    <s v="Hospitalar"/>
    <s v="fernando.leony@cslbehring.com"/>
    <s v="FERNANDO LEONY (CO/NO/NE)"/>
    <n v="0"/>
    <n v="0"/>
    <n v="8"/>
    <n v="0"/>
    <n v="675"/>
  </r>
  <r>
    <x v="0"/>
    <x v="3"/>
    <x v="1"/>
    <n v="382069000127"/>
    <x v="454"/>
    <s v="BRASILIA"/>
    <s v="DF"/>
    <s v="1-Setorizado"/>
    <n v="2"/>
    <x v="2"/>
    <s v="WLADIMIR CAMPELO - ESP/HSP - AC/AM/AP/PA/RO/RR/DF"/>
    <s v="Hosp-Esp"/>
    <s v="fernando.leony@cslbehring.com"/>
    <s v="FERNANDO LEONY (CO/NO/NE)"/>
    <n v="0"/>
    <n v="0"/>
    <n v="0"/>
    <n v="0"/>
    <n v="0"/>
  </r>
  <r>
    <x v="0"/>
    <x v="3"/>
    <x v="1"/>
    <n v="382069000127"/>
    <x v="454"/>
    <s v="BRASILIA"/>
    <s v="DF"/>
    <s v="1-Setorizado"/>
    <n v="2"/>
    <x v="4"/>
    <s v="KAREN ROSA - HSP - DF/GO/MS/MT/TO"/>
    <s v="Hospitalar"/>
    <s v="fernando.leony@cslbehring.com"/>
    <s v="FERNANDO LEONY (CO/NO/NE)"/>
    <n v="0"/>
    <n v="4"/>
    <n v="0"/>
    <n v="0"/>
    <n v="0"/>
  </r>
  <r>
    <x v="0"/>
    <x v="3"/>
    <x v="1"/>
    <n v="3568867000136"/>
    <x v="515"/>
    <s v="BRASILIA"/>
    <s v="DF"/>
    <s v="1-Setorizado"/>
    <n v="2"/>
    <x v="2"/>
    <s v="WLADIMIR CAMPELO - ESP/HSP - AC/AM/AP/PA/RO/RR/DF"/>
    <s v="Hosp-Esp"/>
    <s v="fernando.leony@cslbehring.com"/>
    <s v="FERNANDO LEONY (CO/NO/NE)"/>
    <n v="0"/>
    <n v="0"/>
    <n v="0"/>
    <n v="0"/>
    <n v="430"/>
  </r>
  <r>
    <x v="0"/>
    <x v="3"/>
    <x v="1"/>
    <n v="3568867000136"/>
    <x v="515"/>
    <s v="BRASILIA"/>
    <s v="DF"/>
    <s v="1-Setorizado"/>
    <n v="2"/>
    <x v="4"/>
    <s v="KAREN ROSA - HSP - DF/GO/MS/MT/TO"/>
    <s v="Hospitalar"/>
    <s v="fernando.leony@cslbehring.com"/>
    <s v="FERNANDO LEONY (CO/NO/NE)"/>
    <n v="0"/>
    <n v="0"/>
    <n v="0"/>
    <n v="0"/>
    <n v="430"/>
  </r>
  <r>
    <x v="0"/>
    <x v="3"/>
    <x v="1"/>
    <n v="38000485000196"/>
    <x v="43"/>
    <s v="BRASILIA"/>
    <s v="DF"/>
    <s v="1-Setorizado"/>
    <n v="2"/>
    <x v="2"/>
    <s v="WLADIMIR CAMPELO - ESP/HSP - AC/AM/AP/PA/RO/RR/DF"/>
    <s v="Hosp-Esp"/>
    <s v="fernando.leony@cslbehring.com"/>
    <s v="FERNANDO LEONY (CO/NO/NE)"/>
    <n v="0"/>
    <n v="0"/>
    <n v="0"/>
    <n v="0"/>
    <n v="0"/>
  </r>
  <r>
    <x v="0"/>
    <x v="3"/>
    <x v="1"/>
    <n v="38000485000196"/>
    <x v="43"/>
    <s v="BRASILIA"/>
    <s v="DF"/>
    <s v="1-Setorizado"/>
    <n v="2"/>
    <x v="4"/>
    <s v="KAREN ROSA - HSP - DF/GO/MS/MT/TO"/>
    <s v="Hospitalar"/>
    <s v="fernando.leony@cslbehring.com"/>
    <s v="FERNANDO LEONY (CO/NO/NE)"/>
    <n v="0"/>
    <n v="5"/>
    <n v="0"/>
    <n v="0"/>
    <n v="0"/>
  </r>
  <r>
    <x v="0"/>
    <x v="3"/>
    <x v="1"/>
    <n v="610980000144"/>
    <x v="45"/>
    <s v="BRASILIA"/>
    <s v="DF"/>
    <s v="1-Setorizado"/>
    <n v="2"/>
    <x v="2"/>
    <s v="WLADIMIR CAMPELO - ESP/HSP - AC/AM/AP/PA/RO/RR/DF"/>
    <s v="Hosp-Esp"/>
    <s v="fernando.leony@cslbehring.com"/>
    <s v="FERNANDO LEONY (CO/NO/NE)"/>
    <n v="0"/>
    <n v="0"/>
    <n v="0"/>
    <n v="0"/>
    <n v="50"/>
  </r>
  <r>
    <x v="0"/>
    <x v="3"/>
    <x v="1"/>
    <n v="610980000144"/>
    <x v="45"/>
    <s v="BRASILIA"/>
    <s v="DF"/>
    <s v="1-Setorizado"/>
    <n v="2"/>
    <x v="4"/>
    <s v="KAREN ROSA - HSP - DF/GO/MS/MT/TO"/>
    <s v="Hospitalar"/>
    <s v="fernando.leony@cslbehring.com"/>
    <s v="FERNANDO LEONY (CO/NO/NE)"/>
    <n v="0"/>
    <n v="22"/>
    <n v="0"/>
    <n v="0"/>
    <n v="50"/>
  </r>
  <r>
    <x v="0"/>
    <x v="3"/>
    <x v="1"/>
    <n v="61590410000558"/>
    <x v="46"/>
    <s v="BRASILIA"/>
    <s v="DF"/>
    <s v="1-Setorizado"/>
    <n v="2"/>
    <x v="2"/>
    <s v="WLADIMIR CAMPELO - ESP/HSP - AC/AM/AP/PA/RO/RR/DF"/>
    <s v="Hosp-Esp"/>
    <s v="fernando.leony@cslbehring.com"/>
    <s v="FERNANDO LEONY (CO/NO/NE)"/>
    <n v="0"/>
    <n v="0"/>
    <n v="0"/>
    <n v="16"/>
    <n v="0"/>
  </r>
  <r>
    <x v="0"/>
    <x v="3"/>
    <x v="1"/>
    <n v="61590410000558"/>
    <x v="46"/>
    <s v="BRASILIA"/>
    <s v="DF"/>
    <s v="1-Setorizado"/>
    <n v="2"/>
    <x v="4"/>
    <s v="KAREN ROSA - HSP - DF/GO/MS/MT/TO"/>
    <s v="Hospitalar"/>
    <s v="fernando.leony@cslbehring.com"/>
    <s v="FERNANDO LEONY (CO/NO/NE)"/>
    <n v="0"/>
    <n v="0"/>
    <n v="0"/>
    <n v="0"/>
    <n v="0"/>
  </r>
  <r>
    <x v="0"/>
    <x v="3"/>
    <x v="1"/>
    <n v="10942995000163"/>
    <x v="359"/>
    <s v="BRASILIA"/>
    <s v="DF"/>
    <s v="1-Setorizado"/>
    <n v="2"/>
    <x v="2"/>
    <s v="WLADIMIR CAMPELO - ESP/HSP - AC/AM/AP/PA/RO/RR/DF"/>
    <s v="Hosp-Esp"/>
    <s v="fernando.leony@cslbehring.com"/>
    <s v="FERNANDO LEONY (CO/NO/NE)"/>
    <n v="0"/>
    <n v="0"/>
    <n v="0"/>
    <n v="0"/>
    <n v="350"/>
  </r>
  <r>
    <x v="0"/>
    <x v="3"/>
    <x v="1"/>
    <n v="10942995000163"/>
    <x v="359"/>
    <s v="BRASILIA"/>
    <s v="DF"/>
    <s v="1-Setorizado"/>
    <n v="2"/>
    <x v="4"/>
    <s v="KAREN ROSA - HSP - DF/GO/MS/MT/TO"/>
    <s v="Hospitalar"/>
    <s v="fernando.leony@cslbehring.com"/>
    <s v="FERNANDO LEONY (CO/NO/NE)"/>
    <n v="0"/>
    <n v="0"/>
    <n v="0"/>
    <n v="0"/>
    <n v="350"/>
  </r>
  <r>
    <x v="0"/>
    <x v="3"/>
    <x v="1"/>
    <n v="11859927000106"/>
    <x v="48"/>
    <s v="BRASILIA"/>
    <s v="DF"/>
    <s v="1-Setorizado"/>
    <n v="2"/>
    <x v="2"/>
    <s v="WLADIMIR CAMPELO - ESP/HSP - AC/AM/AP/PA/RO/RR/DF"/>
    <s v="Hosp-Esp"/>
    <s v="fernando.leony@cslbehring.com"/>
    <s v="FERNANDO LEONY (CO/NO/NE)"/>
    <n v="0"/>
    <n v="0"/>
    <n v="0"/>
    <n v="26"/>
    <n v="0"/>
  </r>
  <r>
    <x v="0"/>
    <x v="3"/>
    <x v="1"/>
    <n v="11859927000106"/>
    <x v="48"/>
    <s v="BRASILIA"/>
    <s v="DF"/>
    <s v="1-Setorizado"/>
    <n v="2"/>
    <x v="4"/>
    <s v="KAREN ROSA - HSP - DF/GO/MS/MT/TO"/>
    <s v="Hospitalar"/>
    <s v="fernando.leony@cslbehring.com"/>
    <s v="FERNANDO LEONY (CO/NO/NE)"/>
    <n v="0"/>
    <n v="0"/>
    <n v="0"/>
    <n v="0"/>
    <n v="0"/>
  </r>
  <r>
    <x v="0"/>
    <x v="3"/>
    <x v="1"/>
    <n v="16739984000167"/>
    <x v="51"/>
    <s v="BRASILIA"/>
    <s v="DF"/>
    <s v="1-Setorizado"/>
    <n v="2"/>
    <x v="2"/>
    <s v="WLADIMIR CAMPELO - ESP/HSP - AC/AM/AP/PA/RO/RR/DF"/>
    <s v="Hosp-Esp"/>
    <s v="fernando.leony@cslbehring.com"/>
    <s v="FERNANDO LEONY (CO/NO/NE)"/>
    <n v="0"/>
    <n v="0"/>
    <n v="0"/>
    <n v="24"/>
    <n v="0"/>
  </r>
  <r>
    <x v="0"/>
    <x v="3"/>
    <x v="1"/>
    <n v="16739984000167"/>
    <x v="51"/>
    <s v="BRASILIA"/>
    <s v="DF"/>
    <s v="1-Setorizado"/>
    <n v="2"/>
    <x v="4"/>
    <s v="KAREN ROSA - HSP - DF/GO/MS/MT/TO"/>
    <s v="Hospitalar"/>
    <s v="fernando.leony@cslbehring.com"/>
    <s v="FERNANDO LEONY (CO/NO/NE)"/>
    <n v="0"/>
    <n v="0"/>
    <n v="0"/>
    <n v="0"/>
    <n v="0"/>
  </r>
  <r>
    <x v="0"/>
    <x v="3"/>
    <x v="1"/>
    <n v="25841000153"/>
    <x v="360"/>
    <s v="BRASILIA"/>
    <s v="DF"/>
    <s v="1-Setorizado"/>
    <n v="2"/>
    <x v="2"/>
    <s v="WLADIMIR CAMPELO - ESP/HSP - AC/AM/AP/PA/RO/RR/DF"/>
    <s v="Hosp-Esp"/>
    <s v="fernando.leony@cslbehring.com"/>
    <s v="FERNANDO LEONY (CO/NO/NE)"/>
    <n v="0"/>
    <n v="0"/>
    <n v="0"/>
    <n v="0"/>
    <n v="0"/>
  </r>
  <r>
    <x v="0"/>
    <x v="3"/>
    <x v="1"/>
    <n v="25841000153"/>
    <x v="360"/>
    <s v="BRASILIA"/>
    <s v="DF"/>
    <s v="1-Setorizado"/>
    <n v="2"/>
    <x v="4"/>
    <s v="KAREN ROSA - HSP - DF/GO/MS/MT/TO"/>
    <s v="Hospitalar"/>
    <s v="fernando.leony@cslbehring.com"/>
    <s v="FERNANDO LEONY (CO/NO/NE)"/>
    <n v="0"/>
    <n v="5"/>
    <n v="6"/>
    <n v="0"/>
    <n v="0"/>
  </r>
  <r>
    <x v="0"/>
    <x v="3"/>
    <x v="1"/>
    <n v="27578434001525"/>
    <x v="363"/>
    <s v="VITORIA"/>
    <s v="ES"/>
    <s v="1-Setorizado"/>
    <n v="1"/>
    <x v="5"/>
    <s v="IWENS SILVA - HSP - MG/ES"/>
    <s v="Hosp-Esp"/>
    <s v="rafael.esteves@cslbehring.com"/>
    <s v="RAFAEL ESTEVES (RJ/SPI/SUL)"/>
    <n v="0"/>
    <n v="0"/>
    <n v="0"/>
    <n v="0"/>
    <n v="1000"/>
  </r>
  <r>
    <x v="0"/>
    <x v="3"/>
    <x v="1"/>
    <n v="28137925000106"/>
    <x v="58"/>
    <s v="VITORIA"/>
    <s v="ES"/>
    <s v="1-Setorizado"/>
    <n v="1"/>
    <x v="5"/>
    <s v="IWENS SILVA - HSP - MG/ES"/>
    <s v="Hosp-Esp"/>
    <s v="rafael.esteves@cslbehring.com"/>
    <s v="RAFAEL ESTEVES (RJ/SPI/SUL)"/>
    <n v="0"/>
    <n v="0"/>
    <n v="0"/>
    <n v="0"/>
    <n v="300"/>
  </r>
  <r>
    <x v="0"/>
    <x v="3"/>
    <x v="1"/>
    <n v="1326206000179"/>
    <x v="60"/>
    <s v="CATALAO"/>
    <s v="GO"/>
    <s v="1-Setorizado"/>
    <n v="2"/>
    <x v="6"/>
    <s v="XXX-ESP-VAGO NO (DF/GO/MS/MT/TO)"/>
    <s v="Especialidade"/>
    <s v="fernando.leony@cslbehring.com"/>
    <s v="FERNANDO LEONY (CO/NO/NE)"/>
    <n v="0"/>
    <n v="0"/>
    <n v="0"/>
    <n v="2"/>
    <n v="0"/>
  </r>
  <r>
    <x v="0"/>
    <x v="3"/>
    <x v="1"/>
    <n v="1326206000179"/>
    <x v="60"/>
    <s v="CATALAO"/>
    <s v="GO"/>
    <s v="1-Setorizado"/>
    <n v="2"/>
    <x v="4"/>
    <s v="KAREN ROSA - HSP - DF/GO/MS/MT/TO"/>
    <s v="Hospitalar"/>
    <s v="fernando.leony@cslbehring.com"/>
    <s v="FERNANDO LEONY (CO/NO/NE)"/>
    <n v="0"/>
    <n v="0"/>
    <n v="0"/>
    <n v="0"/>
    <n v="0"/>
  </r>
  <r>
    <x v="0"/>
    <x v="3"/>
    <x v="1"/>
    <n v="2476067000394"/>
    <x v="61"/>
    <s v="GOIANIA"/>
    <s v="GO"/>
    <s v="1-Setorizado"/>
    <n v="2"/>
    <x v="6"/>
    <s v="XXX-ESP-VAGO NO (DF/GO/MS/MT/TO)"/>
    <s v="Especialidade"/>
    <s v="fernando.leony@cslbehring.com"/>
    <s v="FERNANDO LEONY (CO/NO/NE)"/>
    <n v="0"/>
    <n v="0"/>
    <n v="0"/>
    <n v="0"/>
    <n v="45"/>
  </r>
  <r>
    <x v="0"/>
    <x v="3"/>
    <x v="1"/>
    <n v="2476067000394"/>
    <x v="61"/>
    <s v="GOIANIA"/>
    <s v="GO"/>
    <s v="1-Setorizado"/>
    <n v="2"/>
    <x v="4"/>
    <s v="KAREN ROSA - HSP - DF/GO/MS/MT/TO"/>
    <s v="Hospitalar"/>
    <s v="fernando.leony@cslbehring.com"/>
    <s v="FERNANDO LEONY (CO/NO/NE)"/>
    <n v="0"/>
    <n v="0"/>
    <n v="0"/>
    <n v="0"/>
    <n v="45"/>
  </r>
  <r>
    <x v="0"/>
    <x v="3"/>
    <x v="1"/>
    <n v="1277573000120"/>
    <x v="462"/>
    <s v="GOIANIA"/>
    <s v="GO"/>
    <s v="1-Setorizado"/>
    <n v="2"/>
    <x v="6"/>
    <s v="XXX-ESP-VAGO NO (DF/GO/MS/MT/TO)"/>
    <s v="Especialidade"/>
    <s v="fernando.leony@cslbehring.com"/>
    <s v="FERNANDO LEONY (CO/NO/NE)"/>
    <n v="0"/>
    <n v="0"/>
    <n v="0"/>
    <n v="0"/>
    <n v="0"/>
  </r>
  <r>
    <x v="0"/>
    <x v="3"/>
    <x v="1"/>
    <n v="1277573000120"/>
    <x v="462"/>
    <s v="GOIANIA"/>
    <s v="GO"/>
    <s v="1-Setorizado"/>
    <n v="2"/>
    <x v="4"/>
    <s v="KAREN ROSA - HSP - DF/GO/MS/MT/TO"/>
    <s v="Hospitalar"/>
    <s v="fernando.leony@cslbehring.com"/>
    <s v="FERNANDO LEONY (CO/NO/NE)"/>
    <n v="0"/>
    <n v="6"/>
    <n v="0"/>
    <n v="0"/>
    <n v="0"/>
  </r>
  <r>
    <x v="0"/>
    <x v="3"/>
    <x v="1"/>
    <n v="1011865000116"/>
    <x v="63"/>
    <s v="GOIANIA"/>
    <s v="GO"/>
    <s v="1-Setorizado"/>
    <n v="2"/>
    <x v="6"/>
    <s v="XXX-ESP-VAGO NO (DF/GO/MS/MT/TO)"/>
    <s v="Especialidade"/>
    <s v="fernando.leony@cslbehring.com"/>
    <s v="FERNANDO LEONY (CO/NO/NE)"/>
    <n v="0"/>
    <n v="0"/>
    <n v="0"/>
    <n v="0"/>
    <n v="150"/>
  </r>
  <r>
    <x v="0"/>
    <x v="3"/>
    <x v="1"/>
    <n v="1011865000116"/>
    <x v="63"/>
    <s v="GOIANIA"/>
    <s v="GO"/>
    <s v="1-Setorizado"/>
    <n v="2"/>
    <x v="4"/>
    <s v="KAREN ROSA - HSP - DF/GO/MS/MT/TO"/>
    <s v="Hospitalar"/>
    <s v="fernando.leony@cslbehring.com"/>
    <s v="FERNANDO LEONY (CO/NO/NE)"/>
    <n v="0"/>
    <n v="0"/>
    <n v="0"/>
    <n v="0"/>
    <n v="150"/>
  </r>
  <r>
    <x v="0"/>
    <x v="3"/>
    <x v="1"/>
    <n v="2476067000203"/>
    <x v="64"/>
    <s v="GOIANIA"/>
    <s v="GO"/>
    <s v="1-Setorizado"/>
    <n v="2"/>
    <x v="6"/>
    <s v="XXX-ESP-VAGO NO (DF/GO/MS/MT/TO)"/>
    <s v="Especialidade"/>
    <s v="fernando.leony@cslbehring.com"/>
    <s v="FERNANDO LEONY (CO/NO/NE)"/>
    <n v="0"/>
    <n v="0"/>
    <n v="0"/>
    <n v="48"/>
    <n v="0"/>
  </r>
  <r>
    <x v="0"/>
    <x v="3"/>
    <x v="1"/>
    <n v="2476067000203"/>
    <x v="64"/>
    <s v="GOIANIA"/>
    <s v="GO"/>
    <s v="1-Setorizado"/>
    <n v="2"/>
    <x v="4"/>
    <s v="KAREN ROSA - HSP - DF/GO/MS/MT/TO"/>
    <s v="Hospitalar"/>
    <s v="fernando.leony@cslbehring.com"/>
    <s v="FERNANDO LEONY (CO/NO/NE)"/>
    <n v="0"/>
    <n v="0"/>
    <n v="0"/>
    <n v="0"/>
    <n v="0"/>
  </r>
  <r>
    <x v="0"/>
    <x v="3"/>
    <x v="1"/>
    <n v="1444455000169"/>
    <x v="516"/>
    <s v="BELO HORIZONTE"/>
    <s v="MG"/>
    <s v="0-Setorizar"/>
    <n v="0"/>
    <x v="22"/>
    <m/>
    <m/>
    <m/>
    <m/>
    <n v="0"/>
    <n v="0"/>
    <n v="0"/>
    <n v="0"/>
    <n v="0"/>
  </r>
  <r>
    <x v="0"/>
    <x v="3"/>
    <x v="1"/>
    <n v="132229000180"/>
    <x v="74"/>
    <s v="BELO HORIZONTE"/>
    <s v="MG"/>
    <s v="1-Setorizado"/>
    <n v="1"/>
    <x v="5"/>
    <s v="IWENS SILVA - HSP - MG/ES"/>
    <s v="Hosp-Esp"/>
    <s v="rafael.esteves@cslbehring.com"/>
    <s v="RAFAEL ESTEVES (RJ/SPI/SUL)"/>
    <n v="0"/>
    <n v="0"/>
    <n v="0"/>
    <n v="0"/>
    <n v="105"/>
  </r>
  <r>
    <x v="0"/>
    <x v="3"/>
    <x v="1"/>
    <n v="17689407000928"/>
    <x v="78"/>
    <s v="JUIZ DE FORA"/>
    <s v="MG"/>
    <s v="1-Setorizado"/>
    <n v="1"/>
    <x v="5"/>
    <s v="IWENS SILVA - HSP - MG/ES"/>
    <s v="Hosp-Esp"/>
    <s v="rafael.esteves@cslbehring.com"/>
    <s v="RAFAEL ESTEVES (RJ/SPI/SUL)"/>
    <n v="0"/>
    <n v="0"/>
    <n v="0"/>
    <n v="5"/>
    <n v="0"/>
  </r>
  <r>
    <x v="0"/>
    <x v="3"/>
    <x v="1"/>
    <n v="41781949000234"/>
    <x v="81"/>
    <s v="POCOS DE CALDAS"/>
    <s v="MG"/>
    <s v="1-Setorizado"/>
    <n v="1"/>
    <x v="5"/>
    <s v="IWENS SILVA - HSP - MG/ES"/>
    <s v="Hosp-Esp"/>
    <s v="rafael.esteves@cslbehring.com"/>
    <s v="RAFAEL ESTEVES (RJ/SPI/SUL)"/>
    <n v="0"/>
    <n v="0"/>
    <n v="0"/>
    <n v="0"/>
    <n v="40"/>
  </r>
  <r>
    <x v="0"/>
    <x v="3"/>
    <x v="1"/>
    <n v="17087591000189"/>
    <x v="86"/>
    <s v="UBERLANDIA"/>
    <s v="MG"/>
    <s v="1-Setorizado"/>
    <n v="1"/>
    <x v="5"/>
    <s v="IWENS SILVA - HSP - MG/ES"/>
    <s v="Hosp-Esp"/>
    <s v="rafael.esteves@cslbehring.com"/>
    <s v="RAFAEL ESTEVES (RJ/SPI/SUL)"/>
    <n v="0"/>
    <n v="0"/>
    <n v="3"/>
    <n v="0"/>
    <n v="0"/>
  </r>
  <r>
    <x v="0"/>
    <x v="3"/>
    <x v="1"/>
    <n v="14408631000159"/>
    <x v="87"/>
    <s v="VICOSA"/>
    <s v="MG"/>
    <s v="1-Setorizado"/>
    <n v="1"/>
    <x v="5"/>
    <s v="IWENS SILVA - HSP - MG/ES"/>
    <s v="Hosp-Esp"/>
    <s v="rafael.esteves@cslbehring.com"/>
    <s v="RAFAEL ESTEVES (RJ/SPI/SUL)"/>
    <n v="0"/>
    <n v="0"/>
    <n v="0"/>
    <n v="4"/>
    <n v="0"/>
  </r>
  <r>
    <x v="0"/>
    <x v="3"/>
    <x v="1"/>
    <n v="3925419000142"/>
    <x v="92"/>
    <s v="CUIABA"/>
    <s v="MT"/>
    <s v="1-Setorizado"/>
    <n v="2"/>
    <x v="6"/>
    <s v="XXX-ESP-VAGO NO (DF/GO/MS/MT/TO)"/>
    <s v="Especialidade"/>
    <s v="fernando.leony@cslbehring.com"/>
    <s v="FERNANDO LEONY (CO/NO/NE)"/>
    <n v="0"/>
    <n v="0"/>
    <n v="0"/>
    <n v="0"/>
    <n v="0"/>
  </r>
  <r>
    <x v="0"/>
    <x v="3"/>
    <x v="1"/>
    <n v="3925419000142"/>
    <x v="92"/>
    <s v="CUIABA"/>
    <s v="MT"/>
    <s v="1-Setorizado"/>
    <n v="2"/>
    <x v="4"/>
    <s v="KAREN ROSA - HSP - DF/GO/MS/MT/TO"/>
    <s v="Hospitalar"/>
    <s v="fernando.leony@cslbehring.com"/>
    <s v="FERNANDO LEONY (CO/NO/NE)"/>
    <n v="0"/>
    <n v="4"/>
    <n v="0"/>
    <n v="0"/>
    <n v="0"/>
  </r>
  <r>
    <x v="0"/>
    <x v="3"/>
    <x v="1"/>
    <n v="70524145000177"/>
    <x v="517"/>
    <s v="CUIABA"/>
    <s v="MT"/>
    <s v="0-Setorizar"/>
    <n v="0"/>
    <x v="22"/>
    <m/>
    <m/>
    <m/>
    <m/>
    <n v="0"/>
    <n v="0"/>
    <n v="0"/>
    <n v="0"/>
    <n v="0"/>
  </r>
  <r>
    <x v="0"/>
    <x v="3"/>
    <x v="1"/>
    <n v="10892164000124"/>
    <x v="108"/>
    <s v="RECIFE"/>
    <s v="PE"/>
    <s v="1-Setorizado"/>
    <n v="2"/>
    <x v="0"/>
    <s v="VALERIA BRAGA - ESP - (CE/MA/PI/BA/AL/SE/PB/PE/RN)"/>
    <s v="Especialidade"/>
    <s v="fernando.leony@cslbehring.com"/>
    <s v="FERNANDO LEONY (CO/NO/NE)"/>
    <n v="0"/>
    <n v="0"/>
    <n v="0"/>
    <n v="0"/>
    <n v="0"/>
  </r>
  <r>
    <x v="0"/>
    <x v="3"/>
    <x v="1"/>
    <n v="10892164000124"/>
    <x v="108"/>
    <s v="RECIFE"/>
    <s v="PE"/>
    <s v="1-Setorizado"/>
    <n v="2"/>
    <x v="7"/>
    <s v="LENILSON SILVA - HSP - PB/PE/RN"/>
    <s v="Hospitalar"/>
    <s v="fernando.leony@cslbehring.com"/>
    <s v="FERNANDO LEONY (CO/NO/NE)"/>
    <n v="0"/>
    <n v="10"/>
    <n v="0"/>
    <n v="0"/>
    <n v="0"/>
  </r>
  <r>
    <x v="0"/>
    <x v="3"/>
    <x v="1"/>
    <n v="11214624000470"/>
    <x v="383"/>
    <s v="RECIFE"/>
    <s v="PE"/>
    <s v="1-Setorizado"/>
    <n v="2"/>
    <x v="0"/>
    <s v="VALERIA BRAGA - ESP - (CE/MA/PI/BA/AL/SE/PB/PE/RN)"/>
    <s v="Especialidade"/>
    <s v="fernando.leony@cslbehring.com"/>
    <s v="FERNANDO LEONY (CO/NO/NE)"/>
    <n v="0"/>
    <n v="0"/>
    <n v="0"/>
    <n v="96"/>
    <n v="0"/>
  </r>
  <r>
    <x v="0"/>
    <x v="3"/>
    <x v="1"/>
    <n v="11214624000470"/>
    <x v="383"/>
    <s v="RECIFE"/>
    <s v="PE"/>
    <s v="1-Setorizado"/>
    <n v="2"/>
    <x v="7"/>
    <s v="LENILSON SILVA - HSP - PB/PE/RN"/>
    <s v="Hospitalar"/>
    <s v="fernando.leony@cslbehring.com"/>
    <s v="FERNANDO LEONY (CO/NO/NE)"/>
    <n v="0"/>
    <n v="0"/>
    <n v="0"/>
    <n v="0"/>
    <n v="0"/>
  </r>
  <r>
    <x v="0"/>
    <x v="3"/>
    <x v="1"/>
    <n v="11022597001597"/>
    <x v="384"/>
    <s v="RECIFE"/>
    <s v="PE"/>
    <s v="1-Setorizado"/>
    <n v="2"/>
    <x v="0"/>
    <s v="VALERIA BRAGA - ESP - (CE/MA/PI/BA/AL/SE/PB/PE/RN)"/>
    <s v="Especialidade"/>
    <s v="fernando.leony@cslbehring.com"/>
    <s v="FERNANDO LEONY (CO/NO/NE)"/>
    <n v="0"/>
    <n v="0"/>
    <n v="0"/>
    <n v="0"/>
    <n v="0"/>
  </r>
  <r>
    <x v="0"/>
    <x v="3"/>
    <x v="1"/>
    <n v="11022597001597"/>
    <x v="384"/>
    <s v="RECIFE"/>
    <s v="PE"/>
    <s v="1-Setorizado"/>
    <n v="2"/>
    <x v="7"/>
    <s v="LENILSON SILVA - HSP - PB/PE/RN"/>
    <s v="Hospitalar"/>
    <s v="fernando.leony@cslbehring.com"/>
    <s v="FERNANDO LEONY (CO/NO/NE)"/>
    <n v="0"/>
    <n v="25"/>
    <n v="0"/>
    <n v="0"/>
    <n v="0"/>
  </r>
  <r>
    <x v="0"/>
    <x v="3"/>
    <x v="1"/>
    <n v="10839561000132"/>
    <x v="111"/>
    <s v="RECIFE"/>
    <s v="PE"/>
    <s v="1-Setorizado"/>
    <n v="2"/>
    <x v="0"/>
    <s v="VALERIA BRAGA - ESP - (CE/MA/PI/BA/AL/SE/PB/PE/RN)"/>
    <s v="Especialidade"/>
    <s v="fernando.leony@cslbehring.com"/>
    <s v="FERNANDO LEONY (CO/NO/NE)"/>
    <n v="0"/>
    <n v="0"/>
    <n v="0"/>
    <n v="0"/>
    <n v="175"/>
  </r>
  <r>
    <x v="0"/>
    <x v="3"/>
    <x v="1"/>
    <n v="10839561000132"/>
    <x v="111"/>
    <s v="RECIFE"/>
    <s v="PE"/>
    <s v="1-Setorizado"/>
    <n v="2"/>
    <x v="7"/>
    <s v="LENILSON SILVA - HSP - PB/PE/RN"/>
    <s v="Hospitalar"/>
    <s v="fernando.leony@cslbehring.com"/>
    <s v="FERNANDO LEONY (CO/NO/NE)"/>
    <n v="0"/>
    <n v="0"/>
    <n v="8"/>
    <n v="0"/>
    <n v="175"/>
  </r>
  <r>
    <x v="0"/>
    <x v="3"/>
    <x v="1"/>
    <n v="21998635000108"/>
    <x v="116"/>
    <s v="CASCAVEL"/>
    <s v="PR"/>
    <s v="1-Setorizado"/>
    <n v="2"/>
    <x v="8"/>
    <s v="MICHELE MORAES - ESP - PR/SC/RS"/>
    <s v="Especialidade"/>
    <s v="rafael.esteves@cslbehring.com"/>
    <s v="RAFAEL ESTEVES (RJ/SPI/SUL)"/>
    <n v="0"/>
    <n v="0"/>
    <n v="0"/>
    <n v="0"/>
    <n v="10"/>
  </r>
  <r>
    <x v="0"/>
    <x v="3"/>
    <x v="1"/>
    <n v="21998635000108"/>
    <x v="116"/>
    <s v="CASCAVEL"/>
    <s v="PR"/>
    <s v="1-Setorizado"/>
    <n v="2"/>
    <x v="9"/>
    <s v="FERNANDA BORNHAUSEN - HSP - SC/PR"/>
    <s v="Hospitalar"/>
    <s v="rafael.esteves@cslbehring.com"/>
    <s v="RAFAEL ESTEVES (RJ/SPI/SUL)"/>
    <n v="0"/>
    <n v="0"/>
    <n v="0"/>
    <n v="0"/>
    <n v="10"/>
  </r>
  <r>
    <x v="0"/>
    <x v="3"/>
    <x v="1"/>
    <n v="7734165000136"/>
    <x v="117"/>
    <s v="CURITIBA"/>
    <s v="PR"/>
    <s v="1-Setorizado"/>
    <n v="2"/>
    <x v="8"/>
    <s v="MICHELE MORAES - ESP - PR/SC/RS"/>
    <s v="Especialidade"/>
    <s v="rafael.esteves@cslbehring.com"/>
    <s v="RAFAEL ESTEVES (RJ/SPI/SUL)"/>
    <n v="0"/>
    <n v="0"/>
    <n v="0"/>
    <n v="0"/>
    <n v="2000"/>
  </r>
  <r>
    <x v="0"/>
    <x v="3"/>
    <x v="1"/>
    <n v="7734165000136"/>
    <x v="117"/>
    <s v="CURITIBA"/>
    <s v="PR"/>
    <s v="1-Setorizado"/>
    <n v="2"/>
    <x v="9"/>
    <s v="FERNANDA BORNHAUSEN - HSP - SC/PR"/>
    <s v="Hospitalar"/>
    <s v="rafael.esteves@cslbehring.com"/>
    <s v="RAFAEL ESTEVES (RJ/SPI/SUL)"/>
    <n v="0"/>
    <n v="0"/>
    <n v="0"/>
    <n v="0"/>
    <n v="2000"/>
  </r>
  <r>
    <x v="0"/>
    <x v="3"/>
    <x v="1"/>
    <n v="7404052000172"/>
    <x v="118"/>
    <s v="CURITIBA"/>
    <s v="PR"/>
    <s v="1-Setorizado"/>
    <n v="2"/>
    <x v="8"/>
    <s v="MICHELE MORAES - ESP - PR/SC/RS"/>
    <s v="Especialidade"/>
    <s v="rafael.esteves@cslbehring.com"/>
    <s v="RAFAEL ESTEVES (RJ/SPI/SUL)"/>
    <n v="0"/>
    <n v="0"/>
    <n v="0"/>
    <n v="0"/>
    <n v="45"/>
  </r>
  <r>
    <x v="0"/>
    <x v="3"/>
    <x v="1"/>
    <n v="7404052000172"/>
    <x v="118"/>
    <s v="CURITIBA"/>
    <s v="PR"/>
    <s v="1-Setorizado"/>
    <n v="2"/>
    <x v="9"/>
    <s v="FERNANDA BORNHAUSEN - HSP - SC/PR"/>
    <s v="Hospitalar"/>
    <s v="rafael.esteves@cslbehring.com"/>
    <s v="RAFAEL ESTEVES (RJ/SPI/SUL)"/>
    <n v="0"/>
    <n v="0"/>
    <n v="0"/>
    <n v="0"/>
    <n v="45"/>
  </r>
  <r>
    <x v="0"/>
    <x v="3"/>
    <x v="1"/>
    <n v="75095679000220"/>
    <x v="518"/>
    <s v="CURITIBA"/>
    <s v="PR"/>
    <s v="1-Setorizado"/>
    <n v="2"/>
    <x v="8"/>
    <s v="MICHELE MORAES - ESP - PR/SC/RS"/>
    <s v="Especialidade"/>
    <s v="rafael.esteves@cslbehring.com"/>
    <s v="RAFAEL ESTEVES (RJ/SPI/SUL)"/>
    <n v="37"/>
    <n v="0"/>
    <n v="0"/>
    <n v="0"/>
    <n v="0"/>
  </r>
  <r>
    <x v="0"/>
    <x v="3"/>
    <x v="1"/>
    <n v="75095679000220"/>
    <x v="518"/>
    <s v="CURITIBA"/>
    <s v="PR"/>
    <s v="1-Setorizado"/>
    <n v="2"/>
    <x v="9"/>
    <s v="FERNANDA BORNHAUSEN - HSP - SC/PR"/>
    <s v="Hospitalar"/>
    <s v="rafael.esteves@cslbehring.com"/>
    <s v="RAFAEL ESTEVES (RJ/SPI/SUL)"/>
    <n v="0"/>
    <n v="0"/>
    <n v="0"/>
    <n v="0"/>
    <n v="0"/>
  </r>
  <r>
    <x v="0"/>
    <x v="3"/>
    <x v="1"/>
    <n v="76659820002367"/>
    <x v="122"/>
    <s v="CURITIBA"/>
    <s v="PR"/>
    <s v="1-Setorizado"/>
    <n v="2"/>
    <x v="8"/>
    <s v="MICHELE MORAES - ESP - PR/SC/RS"/>
    <s v="Especialidade"/>
    <s v="rafael.esteves@cslbehring.com"/>
    <s v="RAFAEL ESTEVES (RJ/SPI/SUL)"/>
    <n v="0"/>
    <n v="0"/>
    <n v="0"/>
    <n v="0"/>
    <n v="120"/>
  </r>
  <r>
    <x v="0"/>
    <x v="3"/>
    <x v="1"/>
    <n v="76659820002367"/>
    <x v="122"/>
    <s v="CURITIBA"/>
    <s v="PR"/>
    <s v="1-Setorizado"/>
    <n v="2"/>
    <x v="9"/>
    <s v="FERNANDA BORNHAUSEN - HSP - SC/PR"/>
    <s v="Hospitalar"/>
    <s v="rafael.esteves@cslbehring.com"/>
    <s v="RAFAEL ESTEVES (RJ/SPI/SUL)"/>
    <n v="0"/>
    <n v="0"/>
    <n v="0"/>
    <n v="0"/>
    <n v="120"/>
  </r>
  <r>
    <x v="0"/>
    <x v="3"/>
    <x v="1"/>
    <n v="76498013000102"/>
    <x v="387"/>
    <s v="CURITIBA"/>
    <s v="PR"/>
    <s v="1-Setorizado"/>
    <n v="2"/>
    <x v="8"/>
    <s v="MICHELE MORAES - ESP - PR/SC/RS"/>
    <s v="Especialidade"/>
    <s v="rafael.esteves@cslbehring.com"/>
    <s v="RAFAEL ESTEVES (RJ/SPI/SUL)"/>
    <n v="0"/>
    <n v="0"/>
    <n v="0"/>
    <n v="0"/>
    <n v="175"/>
  </r>
  <r>
    <x v="0"/>
    <x v="3"/>
    <x v="1"/>
    <n v="76498013000102"/>
    <x v="387"/>
    <s v="CURITIBA"/>
    <s v="PR"/>
    <s v="1-Setorizado"/>
    <n v="2"/>
    <x v="9"/>
    <s v="FERNANDA BORNHAUSEN - HSP - SC/PR"/>
    <s v="Hospitalar"/>
    <s v="rafael.esteves@cslbehring.com"/>
    <s v="RAFAEL ESTEVES (RJ/SPI/SUL)"/>
    <n v="0"/>
    <n v="0"/>
    <n v="0"/>
    <n v="0"/>
    <n v="175"/>
  </r>
  <r>
    <x v="0"/>
    <x v="3"/>
    <x v="1"/>
    <n v="76555069000143"/>
    <x v="124"/>
    <s v="CURITIBA"/>
    <s v="PR"/>
    <s v="1-Setorizado"/>
    <n v="2"/>
    <x v="8"/>
    <s v="MICHELE MORAES - ESP - PR/SC/RS"/>
    <s v="Especialidade"/>
    <s v="rafael.esteves@cslbehring.com"/>
    <s v="RAFAEL ESTEVES (RJ/SPI/SUL)"/>
    <n v="0"/>
    <n v="0"/>
    <n v="0"/>
    <n v="0"/>
    <n v="0"/>
  </r>
  <r>
    <x v="0"/>
    <x v="3"/>
    <x v="1"/>
    <n v="76555069000143"/>
    <x v="124"/>
    <s v="CURITIBA"/>
    <s v="PR"/>
    <s v="1-Setorizado"/>
    <n v="2"/>
    <x v="9"/>
    <s v="FERNANDA BORNHAUSEN - HSP - SC/PR"/>
    <s v="Hospitalar"/>
    <s v="rafael.esteves@cslbehring.com"/>
    <s v="RAFAEL ESTEVES (RJ/SPI/SUL)"/>
    <n v="0"/>
    <n v="2"/>
    <n v="3"/>
    <n v="0"/>
    <n v="0"/>
  </r>
  <r>
    <x v="0"/>
    <x v="3"/>
    <x v="1"/>
    <n v="29435005005600"/>
    <x v="125"/>
    <s v="CURITIBA"/>
    <s v="PR"/>
    <s v="1-Setorizado"/>
    <n v="2"/>
    <x v="8"/>
    <s v="MICHELE MORAES - ESP - PR/SC/RS"/>
    <s v="Especialidade"/>
    <s v="rafael.esteves@cslbehring.com"/>
    <s v="RAFAEL ESTEVES (RJ/SPI/SUL)"/>
    <n v="0"/>
    <n v="0"/>
    <n v="0"/>
    <n v="0"/>
    <n v="150"/>
  </r>
  <r>
    <x v="0"/>
    <x v="3"/>
    <x v="1"/>
    <n v="29435005005600"/>
    <x v="125"/>
    <s v="CURITIBA"/>
    <s v="PR"/>
    <s v="1-Setorizado"/>
    <n v="2"/>
    <x v="9"/>
    <s v="FERNANDA BORNHAUSEN - HSP - SC/PR"/>
    <s v="Hospitalar"/>
    <s v="rafael.esteves@cslbehring.com"/>
    <s v="RAFAEL ESTEVES (RJ/SPI/SUL)"/>
    <n v="0"/>
    <n v="0"/>
    <n v="0"/>
    <n v="0"/>
    <n v="150"/>
  </r>
  <r>
    <x v="0"/>
    <x v="3"/>
    <x v="1"/>
    <n v="30117769000155"/>
    <x v="129"/>
    <s v="CURITIBA"/>
    <s v="PR"/>
    <s v="1-Setorizado"/>
    <n v="2"/>
    <x v="8"/>
    <s v="MICHELE MORAES - ESP - PR/SC/RS"/>
    <s v="Especialidade"/>
    <s v="rafael.esteves@cslbehring.com"/>
    <s v="RAFAEL ESTEVES (RJ/SPI/SUL)"/>
    <n v="0"/>
    <n v="0"/>
    <n v="0"/>
    <n v="0"/>
    <n v="350"/>
  </r>
  <r>
    <x v="0"/>
    <x v="3"/>
    <x v="1"/>
    <n v="30117769000155"/>
    <x v="129"/>
    <s v="CURITIBA"/>
    <s v="PR"/>
    <s v="1-Setorizado"/>
    <n v="2"/>
    <x v="9"/>
    <s v="FERNANDA BORNHAUSEN - HSP - SC/PR"/>
    <s v="Hospitalar"/>
    <s v="rafael.esteves@cslbehring.com"/>
    <s v="RAFAEL ESTEVES (RJ/SPI/SUL)"/>
    <n v="0"/>
    <n v="0"/>
    <n v="0"/>
    <n v="0"/>
    <n v="350"/>
  </r>
  <r>
    <x v="0"/>
    <x v="3"/>
    <x v="1"/>
    <n v="79115762000193"/>
    <x v="390"/>
    <s v="MARINGA"/>
    <s v="PR"/>
    <s v="1-Setorizado"/>
    <n v="2"/>
    <x v="8"/>
    <s v="MICHELE MORAES - ESP - PR/SC/RS"/>
    <s v="Especialidade"/>
    <s v="rafael.esteves@cslbehring.com"/>
    <s v="RAFAEL ESTEVES (RJ/SPI/SUL)"/>
    <n v="0"/>
    <n v="0"/>
    <n v="0"/>
    <n v="0"/>
    <n v="25"/>
  </r>
  <r>
    <x v="0"/>
    <x v="3"/>
    <x v="1"/>
    <n v="79115762000193"/>
    <x v="390"/>
    <s v="MARINGA"/>
    <s v="PR"/>
    <s v="1-Setorizado"/>
    <n v="2"/>
    <x v="9"/>
    <s v="FERNANDA BORNHAUSEN - HSP - SC/PR"/>
    <s v="Hospitalar"/>
    <s v="rafael.esteves@cslbehring.com"/>
    <s v="RAFAEL ESTEVES (RJ/SPI/SUL)"/>
    <n v="0"/>
    <n v="0"/>
    <n v="0"/>
    <n v="0"/>
    <n v="25"/>
  </r>
  <r>
    <x v="0"/>
    <x v="3"/>
    <x v="1"/>
    <n v="29435005003497"/>
    <x v="392"/>
    <s v="DUQUE DE CAXIAS"/>
    <s v="RJ"/>
    <s v="1-Setorizado"/>
    <n v="2"/>
    <x v="10"/>
    <s v="EVELINE GOULART - ESP - RJ"/>
    <s v="Especialidade"/>
    <s v="rafael.esteves@cslbehring.com"/>
    <s v="RAFAEL ESTEVES (RJ/SPI/SUL)"/>
    <n v="0"/>
    <n v="0"/>
    <n v="0"/>
    <n v="0"/>
    <n v="0"/>
  </r>
  <r>
    <x v="0"/>
    <x v="3"/>
    <x v="1"/>
    <n v="29435005003497"/>
    <x v="392"/>
    <s v="DUQUE DE CAXIAS"/>
    <s v="RJ"/>
    <s v="1-Setorizado"/>
    <n v="2"/>
    <x v="12"/>
    <s v="MARCUS BASTOS - HSP - RJ"/>
    <s v="Hospitalar"/>
    <s v="rafael.esteves@cslbehring.com"/>
    <s v="RAFAEL ESTEVES (RJ/SPI/SUL)"/>
    <n v="0"/>
    <n v="4"/>
    <n v="0"/>
    <n v="0"/>
    <n v="0"/>
  </r>
  <r>
    <x v="0"/>
    <x v="3"/>
    <x v="1"/>
    <n v="60884855001207"/>
    <x v="138"/>
    <s v="NITEROI"/>
    <s v="RJ"/>
    <s v="1-Setorizado"/>
    <n v="2"/>
    <x v="10"/>
    <s v="EVELINE GOULART - ESP - RJ"/>
    <s v="Especialidade"/>
    <s v="rafael.esteves@cslbehring.com"/>
    <s v="RAFAEL ESTEVES (RJ/SPI/SUL)"/>
    <n v="0"/>
    <n v="0"/>
    <n v="0"/>
    <n v="19"/>
    <n v="40"/>
  </r>
  <r>
    <x v="0"/>
    <x v="3"/>
    <x v="1"/>
    <n v="60884855001207"/>
    <x v="138"/>
    <s v="NITEROI"/>
    <s v="RJ"/>
    <s v="1-Setorizado"/>
    <n v="2"/>
    <x v="11"/>
    <s v="ROMEU SOARES - HSP - RJ"/>
    <s v="Hospitalar"/>
    <s v="rafael.esteves@cslbehring.com"/>
    <s v="RAFAEL ESTEVES (RJ/SPI/SUL)"/>
    <n v="0"/>
    <n v="0"/>
    <n v="2"/>
    <n v="0"/>
    <n v="40"/>
  </r>
  <r>
    <x v="0"/>
    <x v="3"/>
    <x v="1"/>
    <n v="21265360000195"/>
    <x v="152"/>
    <s v="RIO DE JANEIRO"/>
    <s v="RJ"/>
    <s v="1-Setorizado"/>
    <n v="2"/>
    <x v="10"/>
    <s v="EVELINE GOULART - ESP - RJ"/>
    <s v="Especialidade"/>
    <s v="rafael.esteves@cslbehring.com"/>
    <s v="RAFAEL ESTEVES (RJ/SPI/SUL)"/>
    <n v="0"/>
    <n v="0"/>
    <n v="0"/>
    <n v="16"/>
    <n v="0"/>
  </r>
  <r>
    <x v="0"/>
    <x v="3"/>
    <x v="1"/>
    <n v="21265360000195"/>
    <x v="152"/>
    <s v="RIO DE JANEIRO"/>
    <s v="RJ"/>
    <s v="1-Setorizado"/>
    <n v="2"/>
    <x v="12"/>
    <s v="MARCUS BASTOS - HSP - RJ"/>
    <s v="Hospitalar"/>
    <s v="rafael.esteves@cslbehring.com"/>
    <s v="RAFAEL ESTEVES (RJ/SPI/SUL)"/>
    <n v="0"/>
    <n v="0"/>
    <n v="0"/>
    <n v="0"/>
    <n v="0"/>
  </r>
  <r>
    <x v="0"/>
    <x v="3"/>
    <x v="1"/>
    <n v="42297507000107"/>
    <x v="399"/>
    <s v="RIO DE JANEIRO"/>
    <s v="RJ"/>
    <s v="1-Setorizado"/>
    <n v="2"/>
    <x v="10"/>
    <s v="EVELINE GOULART - ESP - RJ"/>
    <s v="Especialidade"/>
    <s v="rafael.esteves@cslbehring.com"/>
    <s v="RAFAEL ESTEVES (RJ/SPI/SUL)"/>
    <n v="0"/>
    <n v="0"/>
    <n v="0"/>
    <n v="0"/>
    <n v="0"/>
  </r>
  <r>
    <x v="0"/>
    <x v="3"/>
    <x v="1"/>
    <n v="42297507000107"/>
    <x v="399"/>
    <s v="RIO DE JANEIRO"/>
    <s v="RJ"/>
    <s v="1-Setorizado"/>
    <n v="2"/>
    <x v="11"/>
    <s v="ROMEU SOARES - HSP - RJ"/>
    <s v="Hospitalar"/>
    <s v="rafael.esteves@cslbehring.com"/>
    <s v="RAFAEL ESTEVES (RJ/SPI/SUL)"/>
    <n v="0"/>
    <n v="3"/>
    <n v="0"/>
    <n v="0"/>
    <n v="0"/>
  </r>
  <r>
    <x v="0"/>
    <x v="3"/>
    <x v="1"/>
    <n v="33722224000166"/>
    <x v="519"/>
    <s v="RIO DE JANEIRO"/>
    <s v="RJ"/>
    <s v="0-Setorizar"/>
    <n v="0"/>
    <x v="22"/>
    <m/>
    <m/>
    <m/>
    <m/>
    <n v="0"/>
    <n v="0"/>
    <n v="0"/>
    <n v="0"/>
    <n v="0"/>
  </r>
  <r>
    <x v="0"/>
    <x v="3"/>
    <x v="1"/>
    <n v="29435005005783"/>
    <x v="169"/>
    <s v="RIO DE JANEIRO"/>
    <s v="RJ"/>
    <s v="1-Setorizado"/>
    <n v="2"/>
    <x v="10"/>
    <s v="EVELINE GOULART - ESP - RJ"/>
    <s v="Especialidade"/>
    <s v="rafael.esteves@cslbehring.com"/>
    <s v="RAFAEL ESTEVES (RJ/SPI/SUL)"/>
    <n v="0"/>
    <n v="0"/>
    <n v="0"/>
    <n v="0"/>
    <n v="205"/>
  </r>
  <r>
    <x v="0"/>
    <x v="3"/>
    <x v="1"/>
    <n v="29435005005783"/>
    <x v="169"/>
    <s v="RIO DE JANEIRO"/>
    <s v="RJ"/>
    <s v="1-Setorizado"/>
    <n v="2"/>
    <x v="12"/>
    <s v="MARCUS BASTOS - HSP - RJ"/>
    <s v="Hospitalar"/>
    <s v="rafael.esteves@cslbehring.com"/>
    <s v="RAFAEL ESTEVES (RJ/SPI/SUL)"/>
    <n v="0"/>
    <n v="0"/>
    <n v="0"/>
    <n v="0"/>
    <n v="205"/>
  </r>
  <r>
    <x v="0"/>
    <x v="3"/>
    <x v="1"/>
    <n v="29435005005198"/>
    <x v="170"/>
    <s v="RIO DE JANEIRO"/>
    <s v="RJ"/>
    <s v="1-Setorizado"/>
    <n v="2"/>
    <x v="10"/>
    <s v="EVELINE GOULART - ESP - RJ"/>
    <s v="Especialidade"/>
    <s v="rafael.esteves@cslbehring.com"/>
    <s v="RAFAEL ESTEVES (RJ/SPI/SUL)"/>
    <n v="0"/>
    <n v="0"/>
    <n v="0"/>
    <n v="0"/>
    <n v="0"/>
  </r>
  <r>
    <x v="0"/>
    <x v="3"/>
    <x v="1"/>
    <n v="29435005005198"/>
    <x v="170"/>
    <s v="RIO DE JANEIRO"/>
    <s v="RJ"/>
    <s v="1-Setorizado"/>
    <n v="2"/>
    <x v="11"/>
    <s v="ROMEU SOARES - HSP - RJ"/>
    <s v="Hospitalar"/>
    <s v="rafael.esteves@cslbehring.com"/>
    <s v="RAFAEL ESTEVES (RJ/SPI/SUL)"/>
    <n v="0"/>
    <n v="20"/>
    <n v="31"/>
    <n v="0"/>
    <n v="0"/>
  </r>
  <r>
    <x v="0"/>
    <x v="3"/>
    <x v="1"/>
    <n v="29259736000403"/>
    <x v="172"/>
    <s v="RIO DE JANEIRO"/>
    <s v="RJ"/>
    <s v="1-Setorizado"/>
    <n v="2"/>
    <x v="10"/>
    <s v="EVELINE GOULART - ESP - RJ"/>
    <s v="Especialidade"/>
    <s v="rafael.esteves@cslbehring.com"/>
    <s v="RAFAEL ESTEVES (RJ/SPI/SUL)"/>
    <n v="0"/>
    <n v="0"/>
    <n v="0"/>
    <n v="12"/>
    <n v="0"/>
  </r>
  <r>
    <x v="0"/>
    <x v="3"/>
    <x v="1"/>
    <n v="29259736000403"/>
    <x v="172"/>
    <s v="RIO DE JANEIRO"/>
    <s v="RJ"/>
    <s v="1-Setorizado"/>
    <n v="2"/>
    <x v="11"/>
    <s v="ROMEU SOARES - HSP - RJ"/>
    <s v="Hospitalar"/>
    <s v="rafael.esteves@cslbehring.com"/>
    <s v="RAFAEL ESTEVES (RJ/SPI/SUL)"/>
    <n v="0"/>
    <n v="0"/>
    <n v="0"/>
    <n v="0"/>
    <n v="0"/>
  </r>
  <r>
    <x v="0"/>
    <x v="3"/>
    <x v="1"/>
    <n v="60884855001630"/>
    <x v="176"/>
    <s v="RIO DE JANEIRO"/>
    <s v="RJ"/>
    <s v="1-Setorizado"/>
    <n v="2"/>
    <x v="10"/>
    <s v="EVELINE GOULART - ESP - RJ"/>
    <s v="Especialidade"/>
    <s v="rafael.esteves@cslbehring.com"/>
    <s v="RAFAEL ESTEVES (RJ/SPI/SUL)"/>
    <n v="0"/>
    <n v="0"/>
    <n v="0"/>
    <n v="0"/>
    <n v="0"/>
  </r>
  <r>
    <x v="0"/>
    <x v="3"/>
    <x v="1"/>
    <n v="60884855001630"/>
    <x v="176"/>
    <s v="RIO DE JANEIRO"/>
    <s v="RJ"/>
    <s v="1-Setorizado"/>
    <n v="2"/>
    <x v="12"/>
    <s v="MARCUS BASTOS - HSP - RJ"/>
    <s v="Hospitalar"/>
    <s v="rafael.esteves@cslbehring.com"/>
    <s v="RAFAEL ESTEVES (RJ/SPI/SUL)"/>
    <n v="0"/>
    <n v="9"/>
    <n v="13"/>
    <n v="0"/>
    <n v="0"/>
  </r>
  <r>
    <x v="0"/>
    <x v="3"/>
    <x v="1"/>
    <n v="33419482000259"/>
    <x v="183"/>
    <s v="RIO DE JANEIRO"/>
    <s v="RJ"/>
    <s v="1-Setorizado"/>
    <n v="2"/>
    <x v="10"/>
    <s v="EVELINE GOULART - ESP - RJ"/>
    <s v="Especialidade"/>
    <s v="rafael.esteves@cslbehring.com"/>
    <s v="RAFAEL ESTEVES (RJ/SPI/SUL)"/>
    <n v="0"/>
    <n v="0"/>
    <n v="0"/>
    <n v="0"/>
    <n v="20"/>
  </r>
  <r>
    <x v="0"/>
    <x v="3"/>
    <x v="1"/>
    <n v="33419482000259"/>
    <x v="183"/>
    <s v="RIO DE JANEIRO"/>
    <s v="RJ"/>
    <s v="1-Setorizado"/>
    <n v="2"/>
    <x v="11"/>
    <s v="ROMEU SOARES - HSP - RJ"/>
    <s v="Hospitalar"/>
    <s v="rafael.esteves@cslbehring.com"/>
    <s v="RAFAEL ESTEVES (RJ/SPI/SUL)"/>
    <n v="0"/>
    <n v="0"/>
    <n v="0"/>
    <n v="0"/>
    <n v="20"/>
  </r>
  <r>
    <x v="0"/>
    <x v="3"/>
    <x v="1"/>
    <n v="72101124000506"/>
    <x v="185"/>
    <s v="RIO DE JANEIRO"/>
    <s v="RJ"/>
    <s v="1-Setorizado"/>
    <n v="2"/>
    <x v="10"/>
    <s v="EVELINE GOULART - ESP - RJ"/>
    <s v="Especialidade"/>
    <s v="rafael.esteves@cslbehring.com"/>
    <s v="RAFAEL ESTEVES (RJ/SPI/SUL)"/>
    <n v="0"/>
    <n v="0"/>
    <n v="0"/>
    <n v="0"/>
    <n v="25"/>
  </r>
  <r>
    <x v="0"/>
    <x v="3"/>
    <x v="1"/>
    <n v="72101124000506"/>
    <x v="185"/>
    <s v="RIO DE JANEIRO"/>
    <s v="RJ"/>
    <s v="1-Setorizado"/>
    <n v="2"/>
    <x v="11"/>
    <s v="ROMEU SOARES - HSP - RJ"/>
    <s v="Hospitalar"/>
    <s v="rafael.esteves@cslbehring.com"/>
    <s v="RAFAEL ESTEVES (RJ/SPI/SUL)"/>
    <n v="0"/>
    <n v="0"/>
    <n v="0"/>
    <n v="0"/>
    <n v="25"/>
  </r>
  <r>
    <x v="0"/>
    <x v="3"/>
    <x v="1"/>
    <n v="33000167000101"/>
    <x v="187"/>
    <s v="RIO DE JANEIRO"/>
    <s v="RJ"/>
    <s v="1-Setorizado"/>
    <n v="2"/>
    <x v="10"/>
    <s v="EVELINE GOULART - ESP - RJ"/>
    <s v="Especialidade"/>
    <s v="rafael.esteves@cslbehring.com"/>
    <s v="RAFAEL ESTEVES (RJ/SPI/SUL)"/>
    <n v="0"/>
    <n v="0"/>
    <n v="0"/>
    <n v="0"/>
    <n v="20"/>
  </r>
  <r>
    <x v="0"/>
    <x v="3"/>
    <x v="1"/>
    <n v="33000167000101"/>
    <x v="187"/>
    <s v="RIO DE JANEIRO"/>
    <s v="RJ"/>
    <s v="1-Setorizado"/>
    <n v="2"/>
    <x v="11"/>
    <s v="ROMEU SOARES - HSP - RJ"/>
    <s v="Hospitalar"/>
    <s v="rafael.esteves@cslbehring.com"/>
    <s v="RAFAEL ESTEVES (RJ/SPI/SUL)"/>
    <n v="0"/>
    <n v="0"/>
    <n v="0"/>
    <n v="0"/>
    <n v="20"/>
  </r>
  <r>
    <x v="0"/>
    <x v="3"/>
    <x v="1"/>
    <n v="9219138000584"/>
    <x v="188"/>
    <s v="RIO DE JANEIRO"/>
    <s v="RJ"/>
    <s v="1-Setorizado"/>
    <n v="2"/>
    <x v="10"/>
    <s v="EVELINE GOULART - ESP - RJ"/>
    <s v="Especialidade"/>
    <s v="rafael.esteves@cslbehring.com"/>
    <s v="RAFAEL ESTEVES (RJ/SPI/SUL)"/>
    <n v="0"/>
    <n v="0"/>
    <n v="0"/>
    <n v="0"/>
    <n v="50"/>
  </r>
  <r>
    <x v="0"/>
    <x v="3"/>
    <x v="1"/>
    <n v="9219138000584"/>
    <x v="188"/>
    <s v="RIO DE JANEIRO"/>
    <s v="RJ"/>
    <s v="1-Setorizado"/>
    <n v="2"/>
    <x v="12"/>
    <s v="MARCUS BASTOS - HSP - RJ"/>
    <s v="Hospitalar"/>
    <s v="rafael.esteves@cslbehring.com"/>
    <s v="RAFAEL ESTEVES (RJ/SPI/SUL)"/>
    <n v="0"/>
    <n v="18"/>
    <n v="0"/>
    <n v="0"/>
    <n v="50"/>
  </r>
  <r>
    <x v="0"/>
    <x v="3"/>
    <x v="1"/>
    <n v="8319329000121"/>
    <x v="191"/>
    <s v="NATAL"/>
    <s v="RN"/>
    <s v="1-Setorizado"/>
    <n v="2"/>
    <x v="0"/>
    <s v="VALERIA BRAGA - ESP - (CE/MA/PI/BA/AL/SE/PB/PE/RN)"/>
    <s v="Especialidade"/>
    <s v="fernando.leony@cslbehring.com"/>
    <s v="FERNANDO LEONY (CO/NO/NE)"/>
    <n v="0"/>
    <n v="0"/>
    <n v="0"/>
    <n v="0"/>
    <n v="0"/>
  </r>
  <r>
    <x v="0"/>
    <x v="3"/>
    <x v="1"/>
    <n v="8319329000121"/>
    <x v="191"/>
    <s v="NATAL"/>
    <s v="RN"/>
    <s v="1-Setorizado"/>
    <n v="2"/>
    <x v="7"/>
    <s v="LENILSON SILVA - HSP - PB/PE/RN"/>
    <s v="Hospitalar"/>
    <s v="fernando.leony@cslbehring.com"/>
    <s v="FERNANDO LEONY (CO/NO/NE)"/>
    <n v="0"/>
    <n v="61"/>
    <n v="0"/>
    <n v="0"/>
    <n v="0"/>
  </r>
  <r>
    <x v="0"/>
    <x v="3"/>
    <x v="1"/>
    <n v="8337586000196"/>
    <x v="194"/>
    <s v="NATAL"/>
    <s v="RN"/>
    <s v="1-Setorizado"/>
    <n v="2"/>
    <x v="0"/>
    <s v="VALERIA BRAGA - ESP - (CE/MA/PI/BA/AL/SE/PB/PE/RN)"/>
    <s v="Especialidade"/>
    <s v="fernando.leony@cslbehring.com"/>
    <s v="FERNANDO LEONY (CO/NO/NE)"/>
    <n v="0"/>
    <n v="0"/>
    <n v="0"/>
    <n v="0"/>
    <n v="0"/>
  </r>
  <r>
    <x v="0"/>
    <x v="3"/>
    <x v="1"/>
    <n v="8337586000196"/>
    <x v="194"/>
    <s v="NATAL"/>
    <s v="RN"/>
    <s v="1-Setorizado"/>
    <n v="2"/>
    <x v="7"/>
    <s v="LENILSON SILVA - HSP - PB/PE/RN"/>
    <s v="Hospitalar"/>
    <s v="fernando.leony@cslbehring.com"/>
    <s v="FERNANDO LEONY (CO/NO/NE)"/>
    <n v="0"/>
    <n v="1"/>
    <n v="0"/>
    <n v="0"/>
    <n v="0"/>
  </r>
  <r>
    <x v="0"/>
    <x v="3"/>
    <x v="1"/>
    <n v="820737000150"/>
    <x v="195"/>
    <s v="NATAL"/>
    <s v="RN"/>
    <s v="1-Setorizado"/>
    <n v="2"/>
    <x v="0"/>
    <s v="VALERIA BRAGA - ESP - (CE/MA/PI/BA/AL/SE/PB/PE/RN)"/>
    <s v="Especialidade"/>
    <s v="fernando.leony@cslbehring.com"/>
    <s v="FERNANDO LEONY (CO/NO/NE)"/>
    <n v="0"/>
    <n v="0"/>
    <n v="0"/>
    <n v="0"/>
    <n v="0"/>
  </r>
  <r>
    <x v="0"/>
    <x v="3"/>
    <x v="1"/>
    <n v="820737000150"/>
    <x v="195"/>
    <s v="NATAL"/>
    <s v="RN"/>
    <s v="1-Setorizado"/>
    <n v="2"/>
    <x v="7"/>
    <s v="LENILSON SILVA - HSP - PB/PE/RN"/>
    <s v="Hospitalar"/>
    <s v="fernando.leony@cslbehring.com"/>
    <s v="FERNANDO LEONY (CO/NO/NE)"/>
    <n v="0"/>
    <n v="21"/>
    <n v="0"/>
    <n v="0"/>
    <n v="0"/>
  </r>
  <r>
    <x v="0"/>
    <x v="3"/>
    <x v="1"/>
    <n v="87827689002405"/>
    <x v="199"/>
    <s v="CAXIAS DO SUL"/>
    <s v="RS"/>
    <s v="1-Setorizado"/>
    <n v="2"/>
    <x v="8"/>
    <s v="MICHELE MORAES - ESP - PR/SC/RS"/>
    <s v="Especialidade"/>
    <s v="rafael.esteves@cslbehring.com"/>
    <s v="RAFAEL ESTEVES (RJ/SPI/SUL)"/>
    <n v="0"/>
    <n v="0"/>
    <n v="0"/>
    <n v="0"/>
    <n v="90"/>
  </r>
  <r>
    <x v="0"/>
    <x v="3"/>
    <x v="1"/>
    <n v="87827689002405"/>
    <x v="199"/>
    <s v="CAXIAS DO SUL"/>
    <s v="RS"/>
    <s v="1-Setorizado"/>
    <n v="2"/>
    <x v="13"/>
    <s v="ALINE FONSECA - HSP - RS"/>
    <s v="Hospitalar"/>
    <s v="rafael.esteves@cslbehring.com"/>
    <s v="RAFAEL ESTEVES (RJ/SPI/SUL)"/>
    <n v="0"/>
    <n v="0"/>
    <n v="0"/>
    <n v="0"/>
    <n v="90"/>
  </r>
  <r>
    <x v="0"/>
    <x v="3"/>
    <x v="1"/>
    <n v="92685833000151"/>
    <x v="204"/>
    <s v="PORTO ALEGRE"/>
    <s v="RS"/>
    <s v="1-Setorizado"/>
    <n v="2"/>
    <x v="8"/>
    <s v="MICHELE MORAES - ESP - PR/SC/RS"/>
    <s v="Especialidade"/>
    <s v="rafael.esteves@cslbehring.com"/>
    <s v="RAFAEL ESTEVES (RJ/SPI/SUL)"/>
    <n v="0"/>
    <n v="0"/>
    <n v="0"/>
    <n v="8"/>
    <n v="0"/>
  </r>
  <r>
    <x v="0"/>
    <x v="3"/>
    <x v="1"/>
    <n v="92685833000151"/>
    <x v="204"/>
    <s v="PORTO ALEGRE"/>
    <s v="RS"/>
    <s v="1-Setorizado"/>
    <n v="2"/>
    <x v="13"/>
    <s v="ALINE FONSECA - HSP - RS"/>
    <s v="Hospitalar"/>
    <s v="rafael.esteves@cslbehring.com"/>
    <s v="RAFAEL ESTEVES (RJ/SPI/SUL)"/>
    <n v="0"/>
    <n v="20"/>
    <n v="6"/>
    <n v="0"/>
    <n v="0"/>
  </r>
  <r>
    <x v="0"/>
    <x v="3"/>
    <x v="1"/>
    <n v="87020517000120"/>
    <x v="208"/>
    <s v="PORTO ALEGRE"/>
    <s v="RS"/>
    <s v="1-Setorizado"/>
    <n v="2"/>
    <x v="8"/>
    <s v="MICHELE MORAES - ESP - PR/SC/RS"/>
    <s v="Especialidade"/>
    <s v="rafael.esteves@cslbehring.com"/>
    <s v="RAFAEL ESTEVES (RJ/SPI/SUL)"/>
    <n v="0"/>
    <n v="0"/>
    <n v="0"/>
    <n v="0"/>
    <n v="0"/>
  </r>
  <r>
    <x v="0"/>
    <x v="3"/>
    <x v="1"/>
    <n v="87020517000120"/>
    <x v="208"/>
    <s v="PORTO ALEGRE"/>
    <s v="RS"/>
    <s v="1-Setorizado"/>
    <n v="2"/>
    <x v="13"/>
    <s v="ALINE FONSECA - HSP - RS"/>
    <s v="Hospitalar"/>
    <s v="rafael.esteves@cslbehring.com"/>
    <s v="RAFAEL ESTEVES (RJ/SPI/SUL)"/>
    <n v="0"/>
    <n v="8"/>
    <n v="0"/>
    <n v="0"/>
    <n v="0"/>
  </r>
  <r>
    <x v="0"/>
    <x v="3"/>
    <x v="1"/>
    <n v="92815000000168"/>
    <x v="214"/>
    <s v="PORTO ALEGRE"/>
    <s v="RS"/>
    <s v="1-Setorizado"/>
    <n v="2"/>
    <x v="8"/>
    <s v="MICHELE MORAES - ESP - PR/SC/RS"/>
    <s v="Especialidade"/>
    <s v="rafael.esteves@cslbehring.com"/>
    <s v="RAFAEL ESTEVES (RJ/SPI/SUL)"/>
    <n v="0"/>
    <n v="0"/>
    <n v="0"/>
    <n v="25"/>
    <n v="0"/>
  </r>
  <r>
    <x v="0"/>
    <x v="3"/>
    <x v="1"/>
    <n v="92815000000168"/>
    <x v="214"/>
    <s v="PORTO ALEGRE"/>
    <s v="RS"/>
    <s v="1-Setorizado"/>
    <n v="2"/>
    <x v="13"/>
    <s v="ALINE FONSECA - HSP - RS"/>
    <s v="Hospitalar"/>
    <s v="rafael.esteves@cslbehring.com"/>
    <s v="RAFAEL ESTEVES (RJ/SPI/SUL)"/>
    <n v="0"/>
    <n v="0"/>
    <n v="0"/>
    <n v="0"/>
    <n v="0"/>
  </r>
  <r>
    <x v="0"/>
    <x v="3"/>
    <x v="1"/>
    <n v="12508728000108"/>
    <x v="419"/>
    <s v="SANTA MARIA"/>
    <s v="RS"/>
    <s v="1-Setorizado"/>
    <n v="2"/>
    <x v="8"/>
    <s v="MICHELE MORAES - ESP - PR/SC/RS"/>
    <s v="Especialidade"/>
    <s v="rafael.esteves@cslbehring.com"/>
    <s v="RAFAEL ESTEVES (RJ/SPI/SUL)"/>
    <n v="0"/>
    <n v="0"/>
    <n v="0"/>
    <n v="0"/>
    <n v="20"/>
  </r>
  <r>
    <x v="0"/>
    <x v="3"/>
    <x v="1"/>
    <n v="12508728000108"/>
    <x v="419"/>
    <s v="SANTA MARIA"/>
    <s v="RS"/>
    <s v="1-Setorizado"/>
    <n v="2"/>
    <x v="13"/>
    <s v="ALINE FONSECA - HSP - RS"/>
    <s v="Hospitalar"/>
    <s v="rafael.esteves@cslbehring.com"/>
    <s v="RAFAEL ESTEVES (RJ/SPI/SUL)"/>
    <n v="0"/>
    <n v="0"/>
    <n v="0"/>
    <n v="0"/>
    <n v="20"/>
  </r>
  <r>
    <x v="0"/>
    <x v="3"/>
    <x v="1"/>
    <n v="95610887000146"/>
    <x v="218"/>
    <s v="SANTA MARIA"/>
    <s v="RS"/>
    <s v="1-Setorizado"/>
    <n v="2"/>
    <x v="8"/>
    <s v="MICHELE MORAES - ESP - PR/SC/RS"/>
    <s v="Especialidade"/>
    <s v="rafael.esteves@cslbehring.com"/>
    <s v="RAFAEL ESTEVES (RJ/SPI/SUL)"/>
    <n v="0"/>
    <n v="0"/>
    <n v="0"/>
    <n v="0"/>
    <n v="150"/>
  </r>
  <r>
    <x v="0"/>
    <x v="3"/>
    <x v="1"/>
    <n v="95610887000146"/>
    <x v="218"/>
    <s v="SANTA MARIA"/>
    <s v="RS"/>
    <s v="1-Setorizado"/>
    <n v="2"/>
    <x v="13"/>
    <s v="ALINE FONSECA - HSP - RS"/>
    <s v="Hospitalar"/>
    <s v="rafael.esteves@cslbehring.com"/>
    <s v="RAFAEL ESTEVES (RJ/SPI/SUL)"/>
    <n v="0"/>
    <n v="0"/>
    <n v="0"/>
    <n v="0"/>
    <n v="150"/>
  </r>
  <r>
    <x v="0"/>
    <x v="3"/>
    <x v="1"/>
    <n v="1880344000103"/>
    <x v="420"/>
    <s v="BLUMENAU"/>
    <s v="SC"/>
    <s v="1-Setorizado"/>
    <n v="2"/>
    <x v="8"/>
    <s v="MICHELE MORAES - ESP - PR/SC/RS"/>
    <s v="Especialidade"/>
    <s v="rafael.esteves@cslbehring.com"/>
    <s v="RAFAEL ESTEVES (RJ/SPI/SUL)"/>
    <n v="0"/>
    <n v="0"/>
    <n v="0"/>
    <n v="0"/>
    <n v="240"/>
  </r>
  <r>
    <x v="0"/>
    <x v="3"/>
    <x v="1"/>
    <n v="1880344000103"/>
    <x v="420"/>
    <s v="BLUMENAU"/>
    <s v="SC"/>
    <s v="1-Setorizado"/>
    <n v="2"/>
    <x v="9"/>
    <s v="FERNANDA BORNHAUSEN - HSP - SC/PR"/>
    <s v="Hospitalar"/>
    <s v="rafael.esteves@cslbehring.com"/>
    <s v="RAFAEL ESTEVES (RJ/SPI/SUL)"/>
    <n v="0"/>
    <n v="0"/>
    <n v="0"/>
    <n v="0"/>
    <n v="240"/>
  </r>
  <r>
    <x v="0"/>
    <x v="3"/>
    <x v="1"/>
    <n v="1554266000149"/>
    <x v="488"/>
    <s v="BRUSQUE"/>
    <s v="SC"/>
    <s v="1-Setorizado"/>
    <n v="2"/>
    <x v="8"/>
    <s v="MICHELE MORAES - ESP - PR/SC/RS"/>
    <s v="Especialidade"/>
    <s v="rafael.esteves@cslbehring.com"/>
    <s v="RAFAEL ESTEVES (RJ/SPI/SUL)"/>
    <n v="0"/>
    <n v="0"/>
    <n v="0"/>
    <n v="0"/>
    <n v="70"/>
  </r>
  <r>
    <x v="0"/>
    <x v="3"/>
    <x v="1"/>
    <n v="1554266000149"/>
    <x v="488"/>
    <s v="BRUSQUE"/>
    <s v="SC"/>
    <s v="1-Setorizado"/>
    <n v="2"/>
    <x v="9"/>
    <s v="FERNANDA BORNHAUSEN - HSP - SC/PR"/>
    <s v="Hospitalar"/>
    <s v="rafael.esteves@cslbehring.com"/>
    <s v="RAFAEL ESTEVES (RJ/SPI/SUL)"/>
    <n v="0"/>
    <n v="0"/>
    <n v="0"/>
    <n v="0"/>
    <n v="70"/>
  </r>
  <r>
    <x v="0"/>
    <x v="3"/>
    <x v="1"/>
    <n v="4670913000176"/>
    <x v="229"/>
    <s v="FLORIANOPOLIS"/>
    <s v="SC"/>
    <s v="1-Setorizado"/>
    <n v="2"/>
    <x v="8"/>
    <s v="MICHELE MORAES - ESP - PR/SC/RS"/>
    <s v="Especialidade"/>
    <s v="rafael.esteves@cslbehring.com"/>
    <s v="RAFAEL ESTEVES (RJ/SPI/SUL)"/>
    <n v="0"/>
    <n v="0"/>
    <n v="0"/>
    <n v="0"/>
    <n v="265"/>
  </r>
  <r>
    <x v="0"/>
    <x v="3"/>
    <x v="1"/>
    <n v="4670913000176"/>
    <x v="229"/>
    <s v="FLORIANOPOLIS"/>
    <s v="SC"/>
    <s v="1-Setorizado"/>
    <n v="2"/>
    <x v="9"/>
    <s v="FERNANDA BORNHAUSEN - HSP - SC/PR"/>
    <s v="Hospitalar"/>
    <s v="rafael.esteves@cslbehring.com"/>
    <s v="RAFAEL ESTEVES (RJ/SPI/SUL)"/>
    <n v="0"/>
    <n v="0"/>
    <n v="0"/>
    <n v="0"/>
    <n v="265"/>
  </r>
  <r>
    <x v="0"/>
    <x v="3"/>
    <x v="1"/>
    <n v="77858611001414"/>
    <x v="231"/>
    <s v="SAO JOSE"/>
    <s v="SC"/>
    <s v="1-Setorizado"/>
    <n v="2"/>
    <x v="8"/>
    <s v="MICHELE MORAES - ESP - PR/SC/RS"/>
    <s v="Especialidade"/>
    <s v="rafael.esteves@cslbehring.com"/>
    <s v="RAFAEL ESTEVES (RJ/SPI/SUL)"/>
    <n v="0"/>
    <n v="0"/>
    <n v="0"/>
    <n v="0"/>
    <n v="140"/>
  </r>
  <r>
    <x v="0"/>
    <x v="3"/>
    <x v="1"/>
    <n v="77858611001414"/>
    <x v="231"/>
    <s v="SAO JOSE"/>
    <s v="SC"/>
    <s v="1-Setorizado"/>
    <n v="2"/>
    <x v="9"/>
    <s v="FERNANDA BORNHAUSEN - HSP - SC/PR"/>
    <s v="Hospitalar"/>
    <s v="rafael.esteves@cslbehring.com"/>
    <s v="RAFAEL ESTEVES (RJ/SPI/SUL)"/>
    <n v="0"/>
    <n v="0"/>
    <n v="0"/>
    <n v="0"/>
    <n v="140"/>
  </r>
  <r>
    <x v="0"/>
    <x v="3"/>
    <x v="1"/>
    <n v="85241339000809"/>
    <x v="490"/>
    <s v="TUBARAO"/>
    <s v="SC"/>
    <s v="1-Setorizado"/>
    <n v="2"/>
    <x v="8"/>
    <s v="MICHELE MORAES - ESP - PR/SC/RS"/>
    <s v="Especialidade"/>
    <s v="rafael.esteves@cslbehring.com"/>
    <s v="RAFAEL ESTEVES (RJ/SPI/SUL)"/>
    <n v="0"/>
    <n v="0"/>
    <n v="0"/>
    <n v="0"/>
    <n v="260"/>
  </r>
  <r>
    <x v="0"/>
    <x v="3"/>
    <x v="1"/>
    <n v="85241339000809"/>
    <x v="490"/>
    <s v="TUBARAO"/>
    <s v="SC"/>
    <s v="1-Setorizado"/>
    <n v="2"/>
    <x v="9"/>
    <s v="FERNANDA BORNHAUSEN - HSP - SC/PR"/>
    <s v="Hospitalar"/>
    <s v="rafael.esteves@cslbehring.com"/>
    <s v="RAFAEL ESTEVES (RJ/SPI/SUL)"/>
    <n v="0"/>
    <n v="0"/>
    <n v="0"/>
    <n v="0"/>
    <n v="260"/>
  </r>
  <r>
    <x v="0"/>
    <x v="3"/>
    <x v="1"/>
    <n v="51093193000456"/>
    <x v="492"/>
    <s v="ARACATUBA"/>
    <s v="SP"/>
    <s v="1-Setorizado"/>
    <n v="2"/>
    <x v="14"/>
    <s v="BRUNA CLARO - ESP - SPI"/>
    <s v="Especialidade"/>
    <s v="claudia.bueno@cslbehring.com"/>
    <s v="CLAUDIA BUENO (SPC/SPI)"/>
    <n v="0"/>
    <n v="0"/>
    <n v="0"/>
    <n v="0"/>
    <n v="20"/>
  </r>
  <r>
    <x v="0"/>
    <x v="3"/>
    <x v="1"/>
    <n v="51093193000456"/>
    <x v="492"/>
    <s v="ARACATUBA"/>
    <s v="SP"/>
    <s v="1-Setorizado"/>
    <n v="2"/>
    <x v="15"/>
    <s v="ARTUR JUNIOR - HSP - SPI"/>
    <s v="Hospitalar"/>
    <s v="claudia.bueno@cslbehring.com"/>
    <s v="CLAUDIA BUENO (SPC/SPI)"/>
    <n v="0"/>
    <n v="0"/>
    <n v="0"/>
    <n v="0"/>
    <n v="20"/>
  </r>
  <r>
    <x v="0"/>
    <x v="3"/>
    <x v="1"/>
    <n v="1613433010814"/>
    <x v="520"/>
    <s v="ARARAQUARA"/>
    <s v="SP"/>
    <s v="1-Setorizado"/>
    <n v="2"/>
    <x v="14"/>
    <s v="BRUNA CLARO - ESP - SPI"/>
    <s v="Especialidade"/>
    <s v="claudia.bueno@cslbehring.com"/>
    <s v="CLAUDIA BUENO (SPC/SPI)"/>
    <n v="0"/>
    <n v="0"/>
    <n v="0"/>
    <n v="0"/>
    <n v="50"/>
  </r>
  <r>
    <x v="0"/>
    <x v="3"/>
    <x v="1"/>
    <n v="1613433010814"/>
    <x v="520"/>
    <s v="ARARAQUARA"/>
    <s v="SP"/>
    <s v="1-Setorizado"/>
    <n v="2"/>
    <x v="15"/>
    <s v="ARTUR JUNIOR - HSP - SPI"/>
    <s v="Hospitalar"/>
    <s v="claudia.bueno@cslbehring.com"/>
    <s v="CLAUDIA BUENO (SPC/SPI)"/>
    <n v="0"/>
    <n v="0"/>
    <n v="0"/>
    <n v="0"/>
    <n v="50"/>
  </r>
  <r>
    <x v="0"/>
    <x v="3"/>
    <x v="1"/>
    <n v="4275687000129"/>
    <x v="240"/>
    <s v="ATIBAIA"/>
    <s v="SP"/>
    <s v="1-Setorizado"/>
    <n v="2"/>
    <x v="14"/>
    <s v="BRUNA CLARO - ESP - SPI"/>
    <s v="Especialidade"/>
    <s v="claudia.bueno@cslbehring.com"/>
    <s v="CLAUDIA BUENO (SPC/SPI)"/>
    <n v="0"/>
    <n v="0"/>
    <n v="0"/>
    <n v="20"/>
    <n v="0"/>
  </r>
  <r>
    <x v="0"/>
    <x v="3"/>
    <x v="1"/>
    <n v="4275687000129"/>
    <x v="240"/>
    <s v="ATIBAIA"/>
    <s v="SP"/>
    <s v="1-Setorizado"/>
    <n v="2"/>
    <x v="15"/>
    <s v="ARTUR JUNIOR - HSP - SPI"/>
    <s v="Hospitalar"/>
    <s v="claudia.bueno@cslbehring.com"/>
    <s v="CLAUDIA BUENO (SPC/SPI)"/>
    <n v="0"/>
    <n v="0"/>
    <n v="0"/>
    <n v="0"/>
    <n v="0"/>
  </r>
  <r>
    <x v="0"/>
    <x v="3"/>
    <x v="1"/>
    <n v="46020301000269"/>
    <x v="242"/>
    <s v="CAMPINAS"/>
    <s v="SP"/>
    <s v="1-Setorizado"/>
    <n v="2"/>
    <x v="14"/>
    <s v="BRUNA CLARO - ESP - SPI"/>
    <s v="Especialidade"/>
    <s v="claudia.bueno@cslbehring.com"/>
    <s v="CLAUDIA BUENO (SPC/SPI)"/>
    <n v="0"/>
    <n v="0"/>
    <n v="0"/>
    <n v="20"/>
    <n v="0"/>
  </r>
  <r>
    <x v="0"/>
    <x v="3"/>
    <x v="1"/>
    <n v="46020301000269"/>
    <x v="242"/>
    <s v="CAMPINAS"/>
    <s v="SP"/>
    <s v="1-Setorizado"/>
    <n v="2"/>
    <x v="15"/>
    <s v="ARTUR JUNIOR - HSP - SPI"/>
    <s v="Hospitalar"/>
    <s v="claudia.bueno@cslbehring.com"/>
    <s v="CLAUDIA BUENO (SPC/SPI)"/>
    <n v="0"/>
    <n v="0"/>
    <n v="0"/>
    <n v="0"/>
    <n v="0"/>
  </r>
  <r>
    <x v="0"/>
    <x v="3"/>
    <x v="1"/>
    <n v="46124624000111"/>
    <x v="248"/>
    <s v="CAMPINAS"/>
    <s v="SP"/>
    <s v="1-Setorizado"/>
    <n v="2"/>
    <x v="14"/>
    <s v="BRUNA CLARO - ESP - SPI"/>
    <s v="Especialidade"/>
    <s v="claudia.bueno@cslbehring.com"/>
    <s v="CLAUDIA BUENO (SPC/SPI)"/>
    <n v="0"/>
    <n v="0"/>
    <n v="0"/>
    <n v="24"/>
    <n v="450"/>
  </r>
  <r>
    <x v="0"/>
    <x v="3"/>
    <x v="1"/>
    <n v="46124624000111"/>
    <x v="248"/>
    <s v="CAMPINAS"/>
    <s v="SP"/>
    <s v="1-Setorizado"/>
    <n v="2"/>
    <x v="15"/>
    <s v="ARTUR JUNIOR - HSP - SPI"/>
    <s v="Hospitalar"/>
    <s v="claudia.bueno@cslbehring.com"/>
    <s v="CLAUDIA BUENO (SPC/SPI)"/>
    <n v="0"/>
    <n v="0"/>
    <n v="0"/>
    <n v="0"/>
    <n v="450"/>
  </r>
  <r>
    <x v="0"/>
    <x v="3"/>
    <x v="1"/>
    <n v="10447300000177"/>
    <x v="249"/>
    <s v="CAMPINAS "/>
    <s v="SP"/>
    <s v="1-Setorizado"/>
    <n v="2"/>
    <x v="14"/>
    <s v="BRUNA CLARO - ESP - SPI"/>
    <s v="Especialidade"/>
    <s v="claudia.bueno@cslbehring.com"/>
    <s v="CLAUDIA BUENO (SPC/SPI)"/>
    <n v="0"/>
    <n v="0"/>
    <n v="0"/>
    <n v="8"/>
    <n v="0"/>
  </r>
  <r>
    <x v="0"/>
    <x v="3"/>
    <x v="1"/>
    <n v="10447300000177"/>
    <x v="249"/>
    <s v="CAMPINAS "/>
    <s v="SP"/>
    <s v="1-Setorizado"/>
    <n v="2"/>
    <x v="15"/>
    <s v="ARTUR JUNIOR - HSP - SPI"/>
    <s v="Hospitalar"/>
    <s v="claudia.bueno@cslbehring.com"/>
    <s v="CLAUDIA BUENO (SPC/SPI)"/>
    <n v="0"/>
    <n v="0"/>
    <n v="0"/>
    <n v="0"/>
    <n v="0"/>
  </r>
  <r>
    <x v="0"/>
    <x v="3"/>
    <x v="1"/>
    <n v="51722957014302"/>
    <x v="521"/>
    <s v="MOGI DAS CRUZES"/>
    <s v="SP"/>
    <s v="1-Setorizado"/>
    <n v="2"/>
    <x v="14"/>
    <s v="BRUNA CLARO - ESP - SPI"/>
    <s v="Especialidade"/>
    <s v="claudia.bueno@cslbehring.com"/>
    <s v="CLAUDIA BUENO (SPC/SPI)"/>
    <n v="0"/>
    <n v="0"/>
    <n v="0"/>
    <n v="0"/>
    <n v="75"/>
  </r>
  <r>
    <x v="0"/>
    <x v="3"/>
    <x v="1"/>
    <n v="51722957014302"/>
    <x v="521"/>
    <s v="MOGI DAS CRUZES"/>
    <s v="SP"/>
    <s v="1-Setorizado"/>
    <n v="2"/>
    <x v="15"/>
    <s v="ARTUR JUNIOR - HSP - SPI"/>
    <s v="Hospitalar"/>
    <s v="claudia.bueno@cslbehring.com"/>
    <s v="CLAUDIA BUENO (SPC/SPI)"/>
    <n v="0"/>
    <n v="0"/>
    <n v="0"/>
    <n v="0"/>
    <n v="75"/>
  </r>
  <r>
    <x v="0"/>
    <x v="3"/>
    <x v="1"/>
    <n v="57722118000302"/>
    <x v="261"/>
    <s v="RIBEIRAO PRETO"/>
    <s v="SP"/>
    <s v="1-Setorizado"/>
    <n v="2"/>
    <x v="14"/>
    <s v="BRUNA CLARO - ESP - SPI"/>
    <s v="Especialidade"/>
    <s v="claudia.bueno@cslbehring.com"/>
    <s v="CLAUDIA BUENO (SPC/SPI)"/>
    <n v="0"/>
    <n v="0"/>
    <n v="0"/>
    <n v="18"/>
    <n v="0"/>
  </r>
  <r>
    <x v="0"/>
    <x v="3"/>
    <x v="1"/>
    <n v="57722118000302"/>
    <x v="261"/>
    <s v="RIBEIRAO PRETO"/>
    <s v="SP"/>
    <s v="1-Setorizado"/>
    <n v="2"/>
    <x v="15"/>
    <s v="ARTUR JUNIOR - HSP - SPI"/>
    <s v="Hospitalar"/>
    <s v="claudia.bueno@cslbehring.com"/>
    <s v="CLAUDIA BUENO (SPC/SPI)"/>
    <n v="0"/>
    <n v="0"/>
    <n v="0"/>
    <n v="0"/>
    <n v="0"/>
  </r>
  <r>
    <x v="0"/>
    <x v="3"/>
    <x v="1"/>
    <n v="57723280000183"/>
    <x v="522"/>
    <s v="RIBEIRAO PRETO"/>
    <s v="SP"/>
    <s v="1-Setorizado"/>
    <n v="2"/>
    <x v="14"/>
    <s v="BRUNA CLARO - ESP - SPI"/>
    <s v="Especialidade"/>
    <s v="claudia.bueno@cslbehring.com"/>
    <s v="CLAUDIA BUENO (SPC/SPI)"/>
    <n v="0"/>
    <n v="0"/>
    <n v="0"/>
    <n v="0"/>
    <n v="5"/>
  </r>
  <r>
    <x v="0"/>
    <x v="3"/>
    <x v="1"/>
    <n v="57723280000183"/>
    <x v="522"/>
    <s v="RIBEIRAO PRETO"/>
    <s v="SP"/>
    <s v="1-Setorizado"/>
    <n v="2"/>
    <x v="15"/>
    <s v="ARTUR JUNIOR - HSP - SPI"/>
    <s v="Hospitalar"/>
    <s v="claudia.bueno@cslbehring.com"/>
    <s v="CLAUDIA BUENO (SPC/SPI)"/>
    <n v="0"/>
    <n v="0"/>
    <n v="0"/>
    <n v="0"/>
    <n v="5"/>
  </r>
  <r>
    <x v="0"/>
    <x v="3"/>
    <x v="1"/>
    <n v="13718999001041"/>
    <x v="267"/>
    <s v="SANTO ANDRE"/>
    <s v="SP"/>
    <s v="1-Setorizado"/>
    <n v="2"/>
    <x v="18"/>
    <s v="XXX-ESP-VAGO SPC"/>
    <s v="Especialidade"/>
    <s v="claudia.bueno@cslbehring.com"/>
    <s v="CLAUDIA BUENO (SPC/SPI)"/>
    <n v="0"/>
    <n v="0"/>
    <n v="0"/>
    <n v="4"/>
    <n v="0"/>
  </r>
  <r>
    <x v="0"/>
    <x v="3"/>
    <x v="1"/>
    <n v="13718999001041"/>
    <x v="267"/>
    <s v="SANTO ANDRE"/>
    <s v="SP"/>
    <s v="1-Setorizado"/>
    <n v="2"/>
    <x v="17"/>
    <s v="ANTONIO TUNES - HSP - SPC"/>
    <s v="Hospitalar"/>
    <s v="claudia.bueno@cslbehring.com"/>
    <s v="CLAUDIA BUENO (SPC/SPI)"/>
    <n v="0"/>
    <n v="0"/>
    <n v="0"/>
    <n v="0"/>
    <n v="0"/>
  </r>
  <r>
    <x v="0"/>
    <x v="3"/>
    <x v="1"/>
    <n v="43293604002120"/>
    <x v="271"/>
    <s v="SAO BERNARDO DO CAMPO"/>
    <s v="SP"/>
    <s v="1-Setorizado"/>
    <n v="2"/>
    <x v="18"/>
    <s v="XXX-ESP-VAGO SPC"/>
    <s v="Especialidade"/>
    <s v="claudia.bueno@cslbehring.com"/>
    <s v="CLAUDIA BUENO (SPC/SPI)"/>
    <n v="0"/>
    <n v="0"/>
    <n v="0"/>
    <n v="0"/>
    <n v="50"/>
  </r>
  <r>
    <x v="0"/>
    <x v="3"/>
    <x v="1"/>
    <n v="43293604002120"/>
    <x v="271"/>
    <s v="SAO BERNARDO DO CAMPO"/>
    <s v="SP"/>
    <s v="1-Setorizado"/>
    <n v="2"/>
    <x v="17"/>
    <s v="ANTONIO TUNES - HSP - SPC"/>
    <s v="Hospitalar"/>
    <s v="claudia.bueno@cslbehring.com"/>
    <s v="CLAUDIA BUENO (SPC/SPI)"/>
    <n v="0"/>
    <n v="0"/>
    <n v="0"/>
    <n v="0"/>
    <n v="50"/>
  </r>
  <r>
    <x v="0"/>
    <x v="3"/>
    <x v="1"/>
    <n v="60003761000129"/>
    <x v="275"/>
    <s v="SAO JOSE DO RIO PRETO"/>
    <s v="SP"/>
    <s v="1-Setorizado"/>
    <n v="2"/>
    <x v="14"/>
    <s v="BRUNA CLARO - ESP - SPI"/>
    <s v="Especialidade"/>
    <s v="claudia.bueno@cslbehring.com"/>
    <s v="CLAUDIA BUENO (SPC/SPI)"/>
    <n v="0"/>
    <n v="0"/>
    <n v="0"/>
    <n v="0"/>
    <n v="0"/>
  </r>
  <r>
    <x v="0"/>
    <x v="3"/>
    <x v="1"/>
    <n v="60003761000129"/>
    <x v="275"/>
    <s v="SAO JOSE DO RIO PRETO"/>
    <s v="SP"/>
    <s v="1-Setorizado"/>
    <n v="2"/>
    <x v="15"/>
    <s v="ARTUR JUNIOR - HSP - SPI"/>
    <s v="Hospitalar"/>
    <s v="claudia.bueno@cslbehring.com"/>
    <s v="CLAUDIA BUENO (SPC/SPI)"/>
    <n v="0"/>
    <n v="0"/>
    <n v="12"/>
    <n v="0"/>
    <n v="0"/>
  </r>
  <r>
    <x v="0"/>
    <x v="3"/>
    <x v="1"/>
    <n v="60214517001691"/>
    <x v="278"/>
    <s v="SAO JOSE DOS CAMPOS"/>
    <s v="SP"/>
    <s v="1-Setorizado"/>
    <n v="2"/>
    <x v="16"/>
    <s v="JANAINA PALMIRO - ESP - SPC"/>
    <s v="Especialidade"/>
    <s v="claudia.bueno@cslbehring.com"/>
    <s v="CLAUDIA BUENO (SPC/SPI)"/>
    <n v="0"/>
    <n v="0"/>
    <n v="0"/>
    <n v="0"/>
    <n v="450"/>
  </r>
  <r>
    <x v="0"/>
    <x v="3"/>
    <x v="1"/>
    <n v="60214517001691"/>
    <x v="278"/>
    <s v="SAO JOSE DOS CAMPOS"/>
    <s v="SP"/>
    <s v="1-Setorizado"/>
    <n v="2"/>
    <x v="19"/>
    <s v="TATHIANA PONCE - HSP - SPC"/>
    <s v="Hospitalar"/>
    <s v="claudia.bueno@cslbehring.com"/>
    <s v="CLAUDIA BUENO (SPC/SPI)"/>
    <n v="0"/>
    <n v="0"/>
    <n v="0"/>
    <n v="0"/>
    <n v="450"/>
  </r>
  <r>
    <x v="0"/>
    <x v="3"/>
    <x v="1"/>
    <n v="46643466000106"/>
    <x v="504"/>
    <s v="SAO JOSE DOS CAMPOS"/>
    <s v="SP"/>
    <s v="1-Setorizado"/>
    <n v="2"/>
    <x v="16"/>
    <s v="JANAINA PALMIRO - ESP - SPC"/>
    <s v="Especialidade"/>
    <s v="claudia.bueno@cslbehring.com"/>
    <s v="CLAUDIA BUENO (SPC/SPI)"/>
    <n v="0"/>
    <n v="0"/>
    <n v="0"/>
    <n v="0"/>
    <n v="700"/>
  </r>
  <r>
    <x v="0"/>
    <x v="3"/>
    <x v="1"/>
    <n v="46643466000106"/>
    <x v="504"/>
    <s v="SAO JOSE DOS CAMPOS"/>
    <s v="SP"/>
    <s v="1-Setorizado"/>
    <n v="2"/>
    <x v="19"/>
    <s v="TATHIANA PONCE - HSP - SPC"/>
    <s v="Hospitalar"/>
    <s v="claudia.bueno@cslbehring.com"/>
    <s v="CLAUDIA BUENO (SPC/SPI)"/>
    <n v="0"/>
    <n v="0"/>
    <n v="0"/>
    <n v="0"/>
    <n v="700"/>
  </r>
  <r>
    <x v="0"/>
    <x v="3"/>
    <x v="1"/>
    <n v="18321477000134"/>
    <x v="281"/>
    <s v="SAO JOSE DOS CAMPOS _x000d_"/>
    <s v="SP"/>
    <s v="1-Setorizado"/>
    <n v="2"/>
    <x v="16"/>
    <s v="JANAINA PALMIRO - ESP - SPC"/>
    <s v="Especialidade"/>
    <s v="claudia.bueno@cslbehring.com"/>
    <s v="CLAUDIA BUENO (SPC/SPI)"/>
    <n v="0"/>
    <n v="0"/>
    <n v="0"/>
    <n v="48"/>
    <n v="0"/>
  </r>
  <r>
    <x v="0"/>
    <x v="3"/>
    <x v="1"/>
    <n v="18321477000134"/>
    <x v="281"/>
    <s v="SAO JOSE DOS CAMPOS _x000d_"/>
    <s v="SP"/>
    <s v="1-Setorizado"/>
    <n v="2"/>
    <x v="19"/>
    <s v="TATHIANA PONCE - HSP - SPC"/>
    <s v="Hospitalar"/>
    <s v="claudia.bueno@cslbehring.com"/>
    <s v="CLAUDIA BUENO (SPC/SPI)"/>
    <n v="0"/>
    <n v="0"/>
    <n v="0"/>
    <n v="0"/>
    <n v="0"/>
  </r>
  <r>
    <x v="0"/>
    <x v="3"/>
    <x v="1"/>
    <n v="59481028000130"/>
    <x v="288"/>
    <s v="SAO PAULO"/>
    <s v="SP"/>
    <s v="1-Setorizado"/>
    <n v="2"/>
    <x v="16"/>
    <s v="JANAINA PALMIRO - ESP - SPC"/>
    <s v="Especialidade"/>
    <s v="claudia.bueno@cslbehring.com"/>
    <s v="CLAUDIA BUENO (SPC/SPI)"/>
    <n v="0"/>
    <n v="0"/>
    <n v="0"/>
    <n v="0"/>
    <n v="30"/>
  </r>
  <r>
    <x v="0"/>
    <x v="3"/>
    <x v="1"/>
    <n v="59481028000130"/>
    <x v="288"/>
    <s v="SAO PAULO"/>
    <s v="SP"/>
    <s v="1-Setorizado"/>
    <n v="2"/>
    <x v="17"/>
    <s v="ANTONIO TUNES - HSP - SPC"/>
    <s v="Hospitalar"/>
    <s v="claudia.bueno@cslbehring.com"/>
    <s v="CLAUDIA BUENO (SPC/SPI)"/>
    <n v="0"/>
    <n v="0"/>
    <n v="0"/>
    <n v="0"/>
    <n v="30"/>
  </r>
  <r>
    <x v="0"/>
    <x v="3"/>
    <x v="1"/>
    <n v="10468341000220"/>
    <x v="289"/>
    <s v="SAO PAULO"/>
    <s v="SP"/>
    <s v="1-Setorizado"/>
    <n v="2"/>
    <x v="16"/>
    <s v="JANAINA PALMIRO - ESP - SPC"/>
    <s v="Especialidade"/>
    <s v="claudia.bueno@cslbehring.com"/>
    <s v="CLAUDIA BUENO (SPC/SPI)"/>
    <n v="0"/>
    <n v="0"/>
    <n v="0"/>
    <n v="0"/>
    <n v="310"/>
  </r>
  <r>
    <x v="0"/>
    <x v="3"/>
    <x v="1"/>
    <n v="10468341000220"/>
    <x v="289"/>
    <s v="SAO PAULO"/>
    <s v="SP"/>
    <s v="1-Setorizado"/>
    <n v="2"/>
    <x v="19"/>
    <s v="TATHIANA PONCE - HSP - SPC"/>
    <s v="Hospitalar"/>
    <s v="claudia.bueno@cslbehring.com"/>
    <s v="CLAUDIA BUENO (SPC/SPI)"/>
    <n v="0"/>
    <n v="0"/>
    <n v="0"/>
    <n v="0"/>
    <n v="310"/>
  </r>
  <r>
    <x v="0"/>
    <x v="3"/>
    <x v="1"/>
    <n v="10468341000140"/>
    <x v="290"/>
    <s v="SAO PAULO"/>
    <s v="SP"/>
    <s v="1-Setorizado"/>
    <n v="2"/>
    <x v="16"/>
    <s v="JANAINA PALMIRO - ESP - SPC"/>
    <s v="Especialidade"/>
    <s v="claudia.bueno@cslbehring.com"/>
    <s v="CLAUDIA BUENO (SPC/SPI)"/>
    <n v="0"/>
    <n v="0"/>
    <n v="0"/>
    <n v="0"/>
    <n v="350"/>
  </r>
  <r>
    <x v="0"/>
    <x v="3"/>
    <x v="1"/>
    <n v="10468341000140"/>
    <x v="290"/>
    <s v="SAO PAULO"/>
    <s v="SP"/>
    <s v="1-Setorizado"/>
    <n v="2"/>
    <x v="19"/>
    <s v="TATHIANA PONCE - HSP - SPC"/>
    <s v="Hospitalar"/>
    <s v="claudia.bueno@cslbehring.com"/>
    <s v="CLAUDIA BUENO (SPC/SPI)"/>
    <n v="0"/>
    <n v="0"/>
    <n v="0"/>
    <n v="0"/>
    <n v="350"/>
  </r>
  <r>
    <x v="0"/>
    <x v="3"/>
    <x v="1"/>
    <n v="29435005009932"/>
    <x v="291"/>
    <s v="SAO PAULO"/>
    <s v="SP"/>
    <s v="1-Setorizado"/>
    <n v="2"/>
    <x v="18"/>
    <s v="XXX-ESP-VAGO SPC"/>
    <s v="Especialidade"/>
    <s v="claudia.bueno@cslbehring.com"/>
    <s v="CLAUDIA BUENO (SPC/SPI)"/>
    <n v="0"/>
    <n v="0"/>
    <n v="0"/>
    <n v="0"/>
    <n v="0"/>
  </r>
  <r>
    <x v="0"/>
    <x v="3"/>
    <x v="1"/>
    <n v="29435005009932"/>
    <x v="291"/>
    <s v="SAO PAULO"/>
    <s v="SP"/>
    <s v="1-Setorizado"/>
    <n v="2"/>
    <x v="17"/>
    <s v="ANTONIO TUNES - HSP - SPC"/>
    <s v="Hospitalar"/>
    <s v="claudia.bueno@cslbehring.com"/>
    <s v="CLAUDIA BUENO (SPC/SPI)"/>
    <n v="0"/>
    <n v="0"/>
    <n v="9"/>
    <n v="0"/>
    <n v="0"/>
  </r>
  <r>
    <x v="0"/>
    <x v="3"/>
    <x v="1"/>
    <n v="10475230000160"/>
    <x v="297"/>
    <s v="SAO PAULO"/>
    <s v="SP"/>
    <s v="1-Setorizado"/>
    <n v="2"/>
    <x v="16"/>
    <s v="JANAINA PALMIRO - ESP - SPC"/>
    <s v="Especialidade"/>
    <s v="claudia.bueno@cslbehring.com"/>
    <s v="CLAUDIA BUENO (SPC/SPI)"/>
    <n v="0"/>
    <n v="0"/>
    <n v="0"/>
    <n v="0"/>
    <n v="25"/>
  </r>
  <r>
    <x v="0"/>
    <x v="3"/>
    <x v="1"/>
    <n v="10475230000160"/>
    <x v="297"/>
    <s v="SAO PAULO"/>
    <s v="SP"/>
    <s v="1-Setorizado"/>
    <n v="2"/>
    <x v="20"/>
    <s v="NELSON MARTINS - HSP - SPC"/>
    <s v="Hospitalar"/>
    <s v="claudia.bueno@cslbehring.com"/>
    <s v="CLAUDIA BUENO (SPC/SPI)"/>
    <n v="0"/>
    <n v="0"/>
    <n v="0"/>
    <n v="0"/>
    <n v="25"/>
  </r>
  <r>
    <x v="0"/>
    <x v="3"/>
    <x v="1"/>
    <n v="603226000187"/>
    <x v="523"/>
    <s v="SAO PAULO"/>
    <s v="SP"/>
    <s v="1-Setorizado"/>
    <n v="2"/>
    <x v="16"/>
    <s v="JANAINA PALMIRO - ESP - SPC"/>
    <s v="Especialidade"/>
    <s v="claudia.bueno@cslbehring.com"/>
    <s v="CLAUDIA BUENO (SPC/SPI)"/>
    <n v="0"/>
    <n v="0"/>
    <n v="0"/>
    <n v="16"/>
    <n v="0"/>
  </r>
  <r>
    <x v="0"/>
    <x v="3"/>
    <x v="1"/>
    <n v="603226000187"/>
    <x v="523"/>
    <s v="SAO PAULO"/>
    <s v="SP"/>
    <s v="1-Setorizado"/>
    <n v="2"/>
    <x v="20"/>
    <s v="NELSON MARTINS - HSP - SPC"/>
    <s v="Hospitalar"/>
    <s v="claudia.bueno@cslbehring.com"/>
    <s v="CLAUDIA BUENO (SPC/SPI)"/>
    <n v="0"/>
    <n v="0"/>
    <n v="0"/>
    <n v="0"/>
    <n v="0"/>
  </r>
  <r>
    <x v="0"/>
    <x v="3"/>
    <x v="1"/>
    <n v="60884855000316"/>
    <x v="300"/>
    <s v="SAO PAULO"/>
    <s v="SP"/>
    <s v="1-Setorizado"/>
    <n v="2"/>
    <x v="18"/>
    <s v="XXX-ESP-VAGO SPC"/>
    <s v="Especialidade"/>
    <s v="claudia.bueno@cslbehring.com"/>
    <s v="CLAUDIA BUENO (SPC/SPI)"/>
    <n v="0"/>
    <n v="0"/>
    <n v="0"/>
    <n v="0"/>
    <n v="1220"/>
  </r>
  <r>
    <x v="0"/>
    <x v="3"/>
    <x v="1"/>
    <n v="60884855000316"/>
    <x v="300"/>
    <s v="SAO PAULO"/>
    <s v="SP"/>
    <s v="1-Setorizado"/>
    <n v="2"/>
    <x v="19"/>
    <s v="TATHIANA PONCE - HSP - SPC"/>
    <s v="Hospitalar"/>
    <s v="claudia.bueno@cslbehring.com"/>
    <s v="CLAUDIA BUENO (SPC/SPI)"/>
    <n v="0"/>
    <n v="0"/>
    <n v="0"/>
    <n v="0"/>
    <n v="1220"/>
  </r>
  <r>
    <x v="0"/>
    <x v="3"/>
    <x v="1"/>
    <n v="60448040000122"/>
    <x v="307"/>
    <s v="SAO PAULO"/>
    <s v="SP"/>
    <s v="1-Setorizado"/>
    <n v="2"/>
    <x v="18"/>
    <s v="XXX-ESP-VAGO SPC"/>
    <s v="Especialidade"/>
    <s v="claudia.bueno@cslbehring.com"/>
    <s v="CLAUDIA BUENO (SPC/SPI)"/>
    <n v="0"/>
    <n v="0"/>
    <n v="0"/>
    <n v="0"/>
    <n v="0"/>
  </r>
  <r>
    <x v="0"/>
    <x v="3"/>
    <x v="1"/>
    <n v="60448040000122"/>
    <x v="307"/>
    <s v="SAO PAULO"/>
    <s v="SP"/>
    <s v="1-Setorizado"/>
    <n v="2"/>
    <x v="20"/>
    <s v="NELSON MARTINS - HSP - SPC"/>
    <s v="Hospitalar"/>
    <s v="claudia.bueno@cslbehring.com"/>
    <s v="CLAUDIA BUENO (SPC/SPI)"/>
    <n v="0"/>
    <n v="0"/>
    <n v="66"/>
    <n v="0"/>
    <n v="0"/>
  </r>
  <r>
    <x v="0"/>
    <x v="3"/>
    <x v="1"/>
    <n v="60453024000390"/>
    <x v="308"/>
    <s v="SAO PAULO"/>
    <s v="SP"/>
    <s v="1-Setorizado"/>
    <n v="2"/>
    <x v="16"/>
    <s v="JANAINA PALMIRO - ESP - SPC"/>
    <s v="Especialidade"/>
    <s v="claudia.bueno@cslbehring.com"/>
    <s v="CLAUDIA BUENO (SPC/SPI)"/>
    <n v="0"/>
    <n v="0"/>
    <n v="0"/>
    <n v="0"/>
    <n v="0"/>
  </r>
  <r>
    <x v="0"/>
    <x v="3"/>
    <x v="1"/>
    <n v="60453024000390"/>
    <x v="308"/>
    <s v="SAO PAULO"/>
    <s v="SP"/>
    <s v="1-Setorizado"/>
    <n v="2"/>
    <x v="20"/>
    <s v="NELSON MARTINS - HSP - SPC"/>
    <s v="Hospitalar"/>
    <s v="claudia.bueno@cslbehring.com"/>
    <s v="CLAUDIA BUENO (SPC/SPI)"/>
    <n v="0"/>
    <n v="0"/>
    <n v="10"/>
    <n v="0"/>
    <n v="0"/>
  </r>
  <r>
    <x v="0"/>
    <x v="3"/>
    <x v="1"/>
    <n v="51722957012512"/>
    <x v="309"/>
    <s v="SAO PAULO"/>
    <s v="SP"/>
    <s v="1-Setorizado"/>
    <n v="2"/>
    <x v="16"/>
    <s v="JANAINA PALMIRO - ESP - SPC"/>
    <s v="Especialidade"/>
    <s v="claudia.bueno@cslbehring.com"/>
    <s v="CLAUDIA BUENO (SPC/SPI)"/>
    <n v="0"/>
    <n v="0"/>
    <n v="0"/>
    <n v="0"/>
    <n v="280"/>
  </r>
  <r>
    <x v="0"/>
    <x v="3"/>
    <x v="1"/>
    <n v="51722957012512"/>
    <x v="309"/>
    <s v="SAO PAULO"/>
    <s v="SP"/>
    <s v="1-Setorizado"/>
    <n v="2"/>
    <x v="19"/>
    <s v="TATHIANA PONCE - HSP - SPC"/>
    <s v="Hospitalar"/>
    <s v="claudia.bueno@cslbehring.com"/>
    <s v="CLAUDIA BUENO (SPC/SPI)"/>
    <n v="0"/>
    <n v="0"/>
    <n v="0"/>
    <n v="0"/>
    <n v="280"/>
  </r>
  <r>
    <x v="0"/>
    <x v="3"/>
    <x v="1"/>
    <n v="60678604000113"/>
    <x v="310"/>
    <s v="SAO PAULO"/>
    <s v="SP"/>
    <s v="1-Setorizado"/>
    <n v="2"/>
    <x v="16"/>
    <s v="JANAINA PALMIRO - ESP - SPC"/>
    <s v="Especialidade"/>
    <s v="claudia.bueno@cslbehring.com"/>
    <s v="CLAUDIA BUENO (SPC/SPI)"/>
    <n v="0"/>
    <n v="0"/>
    <n v="0"/>
    <n v="0"/>
    <n v="0"/>
  </r>
  <r>
    <x v="0"/>
    <x v="3"/>
    <x v="1"/>
    <n v="60678604000113"/>
    <x v="310"/>
    <s v="SAO PAULO"/>
    <s v="SP"/>
    <s v="1-Setorizado"/>
    <n v="2"/>
    <x v="17"/>
    <s v="ANTONIO TUNES - HSP - SPC"/>
    <s v="Hospitalar"/>
    <s v="claudia.bueno@cslbehring.com"/>
    <s v="CLAUDIA BUENO (SPC/SPI)"/>
    <n v="0"/>
    <n v="1"/>
    <n v="0"/>
    <n v="0"/>
    <n v="0"/>
  </r>
  <r>
    <x v="0"/>
    <x v="3"/>
    <x v="1"/>
    <n v="29435005004540"/>
    <x v="313"/>
    <s v="SAO PAULO"/>
    <s v="SP"/>
    <s v="1-Setorizado"/>
    <n v="2"/>
    <x v="16"/>
    <s v="JANAINA PALMIRO - ESP - SPC"/>
    <s v="Especialidade"/>
    <s v="claudia.bueno@cslbehring.com"/>
    <s v="CLAUDIA BUENO (SPC/SPI)"/>
    <n v="0"/>
    <n v="0"/>
    <n v="0"/>
    <n v="0"/>
    <n v="100"/>
  </r>
  <r>
    <x v="0"/>
    <x v="3"/>
    <x v="1"/>
    <n v="29435005004540"/>
    <x v="313"/>
    <s v="SAO PAULO"/>
    <s v="SP"/>
    <s v="1-Setorizado"/>
    <n v="2"/>
    <x v="19"/>
    <s v="TATHIANA PONCE - HSP - SPC"/>
    <s v="Hospitalar"/>
    <s v="claudia.bueno@cslbehring.com"/>
    <s v="CLAUDIA BUENO (SPC/SPI)"/>
    <n v="0"/>
    <n v="0"/>
    <n v="0"/>
    <n v="0"/>
    <n v="100"/>
  </r>
  <r>
    <x v="0"/>
    <x v="3"/>
    <x v="1"/>
    <n v="60777901000116"/>
    <x v="320"/>
    <s v="SAO PAULO"/>
    <s v="SP"/>
    <s v="1-Setorizado"/>
    <n v="2"/>
    <x v="16"/>
    <s v="JANAINA PALMIRO - ESP - SPC"/>
    <s v="Especialidade"/>
    <s v="claudia.bueno@cslbehring.com"/>
    <s v="CLAUDIA BUENO (SPC/SPI)"/>
    <n v="0"/>
    <n v="0"/>
    <n v="0"/>
    <n v="0"/>
    <n v="750"/>
  </r>
  <r>
    <x v="0"/>
    <x v="3"/>
    <x v="1"/>
    <n v="60777901000116"/>
    <x v="320"/>
    <s v="SAO PAULO"/>
    <s v="SP"/>
    <s v="1-Setorizado"/>
    <n v="2"/>
    <x v="19"/>
    <s v="TATHIANA PONCE - HSP - SPC"/>
    <s v="Hospitalar"/>
    <s v="claudia.bueno@cslbehring.com"/>
    <s v="CLAUDIA BUENO (SPC/SPI)"/>
    <n v="0"/>
    <n v="0"/>
    <n v="0"/>
    <n v="0"/>
    <n v="750"/>
  </r>
  <r>
    <x v="0"/>
    <x v="3"/>
    <x v="1"/>
    <n v="56577059000606"/>
    <x v="326"/>
    <s v="SAO PAULO"/>
    <s v="SP"/>
    <s v="1-Setorizado"/>
    <n v="2"/>
    <x v="18"/>
    <s v="XXX-ESP-VAGO SPC"/>
    <s v="Especialidade"/>
    <s v="claudia.bueno@cslbehring.com"/>
    <s v="CLAUDIA BUENO (SPC/SPI)"/>
    <n v="0"/>
    <n v="0"/>
    <n v="0"/>
    <n v="0"/>
    <n v="0"/>
  </r>
  <r>
    <x v="0"/>
    <x v="3"/>
    <x v="1"/>
    <n v="56577059000606"/>
    <x v="326"/>
    <s v="SAO PAULO"/>
    <s v="SP"/>
    <s v="1-Setorizado"/>
    <n v="2"/>
    <x v="20"/>
    <s v="NELSON MARTINS - HSP - SPC"/>
    <s v="Hospitalar"/>
    <s v="claudia.bueno@cslbehring.com"/>
    <s v="CLAUDIA BUENO (SPC/SPI)"/>
    <n v="0"/>
    <n v="30"/>
    <n v="0"/>
    <n v="0"/>
    <n v="0"/>
  </r>
  <r>
    <x v="0"/>
    <x v="3"/>
    <x v="1"/>
    <n v="44649812005520"/>
    <x v="327"/>
    <s v="SAO PAULO"/>
    <s v="SP"/>
    <s v="1-Setorizado"/>
    <n v="2"/>
    <x v="16"/>
    <s v="JANAINA PALMIRO - ESP - SPC"/>
    <s v="Especialidade"/>
    <s v="claudia.bueno@cslbehring.com"/>
    <s v="CLAUDIA BUENO (SPC/SPI)"/>
    <n v="0"/>
    <n v="0"/>
    <n v="0"/>
    <n v="0"/>
    <n v="70"/>
  </r>
  <r>
    <x v="0"/>
    <x v="3"/>
    <x v="1"/>
    <n v="44649812005520"/>
    <x v="327"/>
    <s v="SAO PAULO"/>
    <s v="SP"/>
    <s v="1-Setorizado"/>
    <n v="2"/>
    <x v="17"/>
    <s v="ANTONIO TUNES - HSP - SPC"/>
    <s v="Hospitalar"/>
    <s v="claudia.bueno@cslbehring.com"/>
    <s v="CLAUDIA BUENO (SPC/SPI)"/>
    <n v="0"/>
    <n v="0"/>
    <n v="0"/>
    <n v="0"/>
    <n v="70"/>
  </r>
  <r>
    <x v="0"/>
    <x v="3"/>
    <x v="1"/>
    <n v="4036348000190"/>
    <x v="330"/>
    <s v="SAO PAULO"/>
    <s v="SP"/>
    <s v="1-Setorizado"/>
    <n v="2"/>
    <x v="16"/>
    <s v="JANAINA PALMIRO - ESP - SPC"/>
    <s v="Especialidade"/>
    <s v="claudia.bueno@cslbehring.com"/>
    <s v="CLAUDIA BUENO (SPC/SPI)"/>
    <n v="0"/>
    <n v="0"/>
    <n v="0"/>
    <n v="0"/>
    <n v="15"/>
  </r>
  <r>
    <x v="0"/>
    <x v="3"/>
    <x v="1"/>
    <n v="4036348000190"/>
    <x v="330"/>
    <s v="SAO PAULO"/>
    <s v="SP"/>
    <s v="1-Setorizado"/>
    <n v="2"/>
    <x v="17"/>
    <s v="ANTONIO TUNES - HSP - SPC"/>
    <s v="Hospitalar"/>
    <s v="claudia.bueno@cslbehring.com"/>
    <s v="CLAUDIA BUENO (SPC/SPI)"/>
    <n v="0"/>
    <n v="0"/>
    <n v="0"/>
    <n v="0"/>
    <n v="15"/>
  </r>
  <r>
    <x v="0"/>
    <x v="3"/>
    <x v="1"/>
    <n v="61599908000158"/>
    <x v="333"/>
    <s v="SAO PAULO"/>
    <s v="SP"/>
    <s v="1-Setorizado"/>
    <n v="2"/>
    <x v="16"/>
    <s v="JANAINA PALMIRO - ESP - SPC"/>
    <s v="Especialidade"/>
    <s v="claudia.bueno@cslbehring.com"/>
    <s v="CLAUDIA BUENO (SPC/SPI)"/>
    <n v="0"/>
    <n v="0"/>
    <n v="0"/>
    <n v="0"/>
    <n v="0"/>
  </r>
  <r>
    <x v="0"/>
    <x v="3"/>
    <x v="1"/>
    <n v="61599908000158"/>
    <x v="333"/>
    <s v="SAO PAULO"/>
    <s v="SP"/>
    <s v="1-Setorizado"/>
    <n v="2"/>
    <x v="19"/>
    <s v="TATHIANA PONCE - HSP - SPC"/>
    <s v="Hospitalar"/>
    <s v="claudia.bueno@cslbehring.com"/>
    <s v="CLAUDIA BUENO (SPC/SPI)"/>
    <n v="0"/>
    <n v="0"/>
    <n v="10"/>
    <n v="0"/>
    <n v="0"/>
  </r>
  <r>
    <x v="0"/>
    <x v="3"/>
    <x v="1"/>
    <n v="7045325000130"/>
    <x v="334"/>
    <s v="SAO PAULO"/>
    <s v="SP"/>
    <s v="1-Setorizado"/>
    <n v="2"/>
    <x v="16"/>
    <s v="JANAINA PALMIRO - ESP - SPC"/>
    <s v="Especialidade"/>
    <s v="claudia.bueno@cslbehring.com"/>
    <s v="CLAUDIA BUENO (SPC/SPI)"/>
    <n v="0"/>
    <n v="0"/>
    <n v="0"/>
    <n v="40"/>
    <n v="0"/>
  </r>
  <r>
    <x v="0"/>
    <x v="3"/>
    <x v="1"/>
    <n v="7045325000130"/>
    <x v="334"/>
    <s v="SAO PAULO"/>
    <s v="SP"/>
    <s v="1-Setorizado"/>
    <n v="2"/>
    <x v="17"/>
    <s v="ANTONIO TUNES - HSP - SPC"/>
    <s v="Hospitalar"/>
    <s v="claudia.bueno@cslbehring.com"/>
    <s v="CLAUDIA BUENO (SPC/SPI)"/>
    <n v="0"/>
    <n v="0"/>
    <n v="0"/>
    <n v="0"/>
    <n v="0"/>
  </r>
  <r>
    <x v="0"/>
    <x v="3"/>
    <x v="1"/>
    <n v="60961422000155"/>
    <x v="336"/>
    <s v="SAO PAULO"/>
    <s v="SP"/>
    <s v="1-Setorizado"/>
    <n v="2"/>
    <x v="16"/>
    <s v="JANAINA PALMIRO - ESP - SPC"/>
    <s v="Especialidade"/>
    <s v="claudia.bueno@cslbehring.com"/>
    <s v="CLAUDIA BUENO (SPC/SPI)"/>
    <n v="0"/>
    <n v="0"/>
    <n v="0"/>
    <n v="0"/>
    <n v="0"/>
  </r>
  <r>
    <x v="0"/>
    <x v="3"/>
    <x v="1"/>
    <n v="60961422000155"/>
    <x v="336"/>
    <s v="SAO PAULO"/>
    <s v="SP"/>
    <s v="1-Setorizado"/>
    <n v="2"/>
    <x v="17"/>
    <s v="ANTONIO TUNES - HSP - SPC"/>
    <s v="Hospitalar"/>
    <s v="claudia.bueno@cslbehring.com"/>
    <s v="CLAUDIA BUENO (SPC/SPI)"/>
    <n v="0"/>
    <n v="2"/>
    <n v="4"/>
    <n v="0"/>
    <n v="0"/>
  </r>
  <r>
    <x v="0"/>
    <x v="3"/>
    <x v="1"/>
    <n v="61590410000124"/>
    <x v="337"/>
    <s v="SAO PAULO"/>
    <s v="SP"/>
    <s v="1-Setorizado"/>
    <n v="2"/>
    <x v="16"/>
    <s v="JANAINA PALMIRO - ESP - SPC"/>
    <s v="Especialidade"/>
    <s v="claudia.bueno@cslbehring.com"/>
    <s v="CLAUDIA BUENO (SPC/SPI)"/>
    <n v="0"/>
    <n v="0"/>
    <n v="0"/>
    <n v="0"/>
    <n v="0"/>
  </r>
  <r>
    <x v="0"/>
    <x v="3"/>
    <x v="1"/>
    <n v="61590410000124"/>
    <x v="337"/>
    <s v="SAO PAULO"/>
    <s v="SP"/>
    <s v="1-Setorizado"/>
    <n v="2"/>
    <x v="20"/>
    <s v="NELSON MARTINS - HSP - SPC"/>
    <s v="Hospitalar"/>
    <s v="claudia.bueno@cslbehring.com"/>
    <s v="CLAUDIA BUENO (SPC/SPI)"/>
    <n v="0"/>
    <n v="6"/>
    <n v="7"/>
    <n v="0"/>
    <n v="0"/>
  </r>
  <r>
    <x v="0"/>
    <x v="3"/>
    <x v="1"/>
    <n v="20812223000241"/>
    <x v="338"/>
    <s v="SAO PAULO"/>
    <s v="SP"/>
    <s v="1-Setorizado"/>
    <n v="2"/>
    <x v="16"/>
    <s v="JANAINA PALMIRO - ESP - SPC"/>
    <s v="Especialidade"/>
    <s v="claudia.bueno@cslbehring.com"/>
    <s v="CLAUDIA BUENO (SPC/SPI)"/>
    <n v="0"/>
    <n v="0"/>
    <n v="0"/>
    <n v="20"/>
    <n v="0"/>
  </r>
  <r>
    <x v="0"/>
    <x v="3"/>
    <x v="1"/>
    <n v="20812223000241"/>
    <x v="338"/>
    <s v="SAO PAULO"/>
    <s v="SP"/>
    <s v="1-Setorizado"/>
    <n v="2"/>
    <x v="17"/>
    <s v="ANTONIO TUNES - HSP - SPC"/>
    <s v="Hospitalar"/>
    <s v="claudia.bueno@cslbehring.com"/>
    <s v="CLAUDIA BUENO (SPC/SPI)"/>
    <n v="0"/>
    <n v="0"/>
    <n v="0"/>
    <n v="0"/>
    <n v="0"/>
  </r>
  <r>
    <x v="0"/>
    <x v="3"/>
    <x v="1"/>
    <n v="46124624002599"/>
    <x v="341"/>
    <s v="SUMARE"/>
    <s v="SP"/>
    <s v="1-Setorizado"/>
    <n v="2"/>
    <x v="14"/>
    <s v="BRUNA CLARO - ESP - SPI"/>
    <s v="Especialidade"/>
    <s v="claudia.bueno@cslbehring.com"/>
    <s v="CLAUDIA BUENO (SPC/SPI)"/>
    <n v="0"/>
    <n v="0"/>
    <n v="0"/>
    <n v="120"/>
    <n v="0"/>
  </r>
  <r>
    <x v="0"/>
    <x v="3"/>
    <x v="1"/>
    <n v="46124624002599"/>
    <x v="341"/>
    <s v="SUMARE"/>
    <s v="SP"/>
    <s v="1-Setorizado"/>
    <n v="2"/>
    <x v="15"/>
    <s v="ARTUR JUNIOR - HSP - SPI"/>
    <s v="Hospitalar"/>
    <s v="claudia.bueno@cslbehring.com"/>
    <s v="CLAUDIA BUENO (SPC/SPI)"/>
    <n v="0"/>
    <n v="0"/>
    <n v="0"/>
    <n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B2D1DD3-66DF-43B6-AE25-04BA7713E138}" name="pvt_Demanda_Detalhada_REP" cacheId="8" applyNumberFormats="0" applyBorderFormats="0" applyFontFormats="0" applyPatternFormats="0" applyAlignmentFormats="0" applyWidthHeightFormats="1" dataCaption="Valores" updatedVersion="6" minRefreshableVersion="3" rowGrandTotals="0" itemPrintTitles="1" createdVersion="6" indent="0" outline="1" outlineData="1" multipleFieldFilters="0" rowHeaderCaption="Estabelecimento">
  <location ref="L8:Q37" firstHeaderRow="0" firstDataRow="1" firstDataCol="1" rowPageCount="4" colPageCount="1"/>
  <pivotFields count="19">
    <pivotField axis="axisPage" showAll="0">
      <items count="2">
        <item x="0"/>
        <item t="default"/>
      </items>
    </pivotField>
    <pivotField axis="axisPage" showAll="0">
      <items count="5">
        <item x="0"/>
        <item x="1"/>
        <item x="2"/>
        <item x="3"/>
        <item t="default"/>
      </items>
    </pivotField>
    <pivotField axis="axisPage" showAll="0">
      <items count="3">
        <item x="0"/>
        <item x="1"/>
        <item t="default"/>
      </items>
    </pivotField>
    <pivotField showAll="0"/>
    <pivotField axis="axisRow" showAll="0">
      <items count="525">
        <item x="282"/>
        <item x="77"/>
        <item x="240"/>
        <item x="249"/>
        <item x="34"/>
        <item x="283"/>
        <item x="521"/>
        <item x="438"/>
        <item x="447"/>
        <item x="255"/>
        <item x="198"/>
        <item x="434"/>
        <item x="284"/>
        <item x="204"/>
        <item x="96"/>
        <item x="505"/>
        <item x="435"/>
        <item x="145"/>
        <item x="481"/>
        <item x="8"/>
        <item x="370"/>
        <item x="80"/>
        <item x="394"/>
        <item x="350"/>
        <item x="273"/>
        <item x="396"/>
        <item x="146"/>
        <item x="191"/>
        <item x="405"/>
        <item x="450"/>
        <item x="141"/>
        <item x="147"/>
        <item x="134"/>
        <item x="35"/>
        <item x="285"/>
        <item x="61"/>
        <item x="89"/>
        <item x="148"/>
        <item x="416"/>
        <item x="261"/>
        <item x="286"/>
        <item x="233"/>
        <item x="436"/>
        <item x="490"/>
        <item x="149"/>
        <item x="225"/>
        <item x="82"/>
        <item x="36"/>
        <item x="363"/>
        <item x="117"/>
        <item x="287"/>
        <item x="397"/>
        <item x="398"/>
        <item x="88"/>
        <item x="355"/>
        <item x="356"/>
        <item x="288"/>
        <item x="419"/>
        <item x="56"/>
        <item x="232"/>
        <item x="422"/>
        <item x="368"/>
        <item x="150"/>
        <item x="90"/>
        <item x="151"/>
        <item x="201"/>
        <item x="91"/>
        <item x="137"/>
        <item x="506"/>
        <item x="439"/>
        <item x="437"/>
        <item x="289"/>
        <item x="290"/>
        <item x="118"/>
        <item x="262"/>
        <item x="357"/>
        <item x="426"/>
        <item x="493"/>
        <item x="431"/>
        <item x="23"/>
        <item x="351"/>
        <item x="514"/>
        <item x="478"/>
        <item x="352"/>
        <item x="217"/>
        <item x="112"/>
        <item x="358"/>
        <item x="68"/>
        <item x="451"/>
        <item x="5"/>
        <item x="468"/>
        <item x="192"/>
        <item x="291"/>
        <item x="193"/>
        <item x="494"/>
        <item x="254"/>
        <item x="292"/>
        <item x="432"/>
        <item x="367"/>
        <item x="293"/>
        <item x="345"/>
        <item x="226"/>
        <item x="9"/>
        <item x="482"/>
        <item x="415"/>
        <item x="507"/>
        <item x="70"/>
        <item x="116"/>
        <item x="10"/>
        <item x="371"/>
        <item x="205"/>
        <item x="24"/>
        <item x="119"/>
        <item x="66"/>
        <item x="385"/>
        <item x="472"/>
        <item x="409"/>
        <item x="25"/>
        <item x="486"/>
        <item x="294"/>
        <item x="295"/>
        <item x="37"/>
        <item x="373"/>
        <item x="75"/>
        <item x="26"/>
        <item x="391"/>
        <item x="296"/>
        <item x="11"/>
        <item x="430"/>
        <item x="495"/>
        <item x="71"/>
        <item x="62"/>
        <item x="458"/>
        <item x="297"/>
        <item x="417"/>
        <item x="38"/>
        <item x="274"/>
        <item x="523"/>
        <item x="298"/>
        <item x="152"/>
        <item x="459"/>
        <item x="194"/>
        <item x="299"/>
        <item x="153"/>
        <item x="502"/>
        <item x="300"/>
        <item x="440"/>
        <item x="267"/>
        <item x="97"/>
        <item x="154"/>
        <item x="7"/>
        <item x="301"/>
        <item x="302"/>
        <item x="12"/>
        <item x="39"/>
        <item x="303"/>
        <item x="304"/>
        <item x="92"/>
        <item x="460"/>
        <item x="305"/>
        <item x="453"/>
        <item x="40"/>
        <item x="115"/>
        <item x="406"/>
        <item x="508"/>
        <item x="399"/>
        <item x="306"/>
        <item x="155"/>
        <item x="433"/>
        <item x="206"/>
        <item x="501"/>
        <item x="41"/>
        <item x="156"/>
        <item x="157"/>
        <item x="135"/>
        <item x="158"/>
        <item x="159"/>
        <item x="160"/>
        <item x="207"/>
        <item x="27"/>
        <item x="346"/>
        <item x="161"/>
        <item x="105"/>
        <item x="454"/>
        <item x="307"/>
        <item x="94"/>
        <item x="515"/>
        <item x="275"/>
        <item x="218"/>
        <item x="497"/>
        <item x="234"/>
        <item x="518"/>
        <item x="208"/>
        <item x="83"/>
        <item x="400"/>
        <item x="162"/>
        <item x="219"/>
        <item x="427"/>
        <item x="413"/>
        <item x="209"/>
        <item x="388"/>
        <item x="410"/>
        <item x="491"/>
        <item x="308"/>
        <item x="0"/>
        <item x="220"/>
        <item x="389"/>
        <item x="195"/>
        <item x="42"/>
        <item x="57"/>
        <item x="163"/>
        <item x="361"/>
        <item x="503"/>
        <item x="242"/>
        <item x="84"/>
        <item x="390"/>
        <item x="309"/>
        <item x="375"/>
        <item x="310"/>
        <item x="311"/>
        <item x="312"/>
        <item x="60"/>
        <item x="266"/>
        <item x="313"/>
        <item x="120"/>
        <item x="210"/>
        <item x="381"/>
        <item x="473"/>
        <item x="382"/>
        <item x="164"/>
        <item x="344"/>
        <item x="471"/>
        <item x="165"/>
        <item x="386"/>
        <item x="166"/>
        <item x="509"/>
        <item x="465"/>
        <item x="138"/>
        <item x="349"/>
        <item x="276"/>
        <item x="121"/>
        <item x="314"/>
        <item x="441"/>
        <item x="452"/>
        <item x="106"/>
        <item x="377"/>
        <item x="315"/>
        <item x="448"/>
        <item x="211"/>
        <item x="122"/>
        <item x="76"/>
        <item x="43"/>
        <item x="392"/>
        <item x="72"/>
        <item x="113"/>
        <item x="449"/>
        <item x="107"/>
        <item x="130"/>
        <item x="33"/>
        <item x="104"/>
        <item x="442"/>
        <item x="364"/>
        <item x="13"/>
        <item x="401"/>
        <item x="511"/>
        <item x="167"/>
        <item x="123"/>
        <item x="387"/>
        <item x="168"/>
        <item x="250"/>
        <item x="133"/>
        <item x="169"/>
        <item x="316"/>
        <item x="498"/>
        <item x="277"/>
        <item x="108"/>
        <item x="14"/>
        <item x="170"/>
        <item x="510"/>
        <item x="171"/>
        <item x="101"/>
        <item x="28"/>
        <item x="475"/>
        <item x="172"/>
        <item x="190"/>
        <item x="173"/>
        <item x="174"/>
        <item x="317"/>
        <item x="420"/>
        <item x="318"/>
        <item x="319"/>
        <item x="124"/>
        <item x="85"/>
        <item x="461"/>
        <item x="222"/>
        <item x="15"/>
        <item x="44"/>
        <item x="45"/>
        <item x="320"/>
        <item x="58"/>
        <item x="278"/>
        <item x="443"/>
        <item x="444"/>
        <item x="321"/>
        <item x="353"/>
        <item x="69"/>
        <item x="263"/>
        <item x="175"/>
        <item x="252"/>
        <item x="393"/>
        <item x="235"/>
        <item x="3"/>
        <item x="395"/>
        <item x="264"/>
        <item x="176"/>
        <item x="212"/>
        <item x="464"/>
        <item x="322"/>
        <item x="109"/>
        <item x="354"/>
        <item x="16"/>
        <item x="202"/>
        <item x="177"/>
        <item x="258"/>
        <item x="487"/>
        <item x="17"/>
        <item x="236"/>
        <item x="241"/>
        <item x="1"/>
        <item x="196"/>
        <item x="142"/>
        <item x="81"/>
        <item x="230"/>
        <item x="476"/>
        <item x="404"/>
        <item x="223"/>
        <item x="199"/>
        <item x="492"/>
        <item x="221"/>
        <item x="114"/>
        <item x="383"/>
        <item x="474"/>
        <item x="143"/>
        <item x="272"/>
        <item x="178"/>
        <item x="470"/>
        <item x="480"/>
        <item x="376"/>
        <item x="499"/>
        <item x="29"/>
        <item x="243"/>
        <item x="323"/>
        <item x="125"/>
        <item x="279"/>
        <item x="268"/>
        <item x="46"/>
        <item x="227"/>
        <item x="2"/>
        <item x="22"/>
        <item x="359"/>
        <item x="126"/>
        <item x="47"/>
        <item x="110"/>
        <item x="380"/>
        <item x="228"/>
        <item x="59"/>
        <item x="197"/>
        <item x="462"/>
        <item x="48"/>
        <item x="49"/>
        <item x="127"/>
        <item x="324"/>
        <item x="63"/>
        <item x="4"/>
        <item x="213"/>
        <item x="445"/>
        <item x="325"/>
        <item x="179"/>
        <item x="200"/>
        <item x="238"/>
        <item x="326"/>
        <item x="244"/>
        <item x="180"/>
        <item x="30"/>
        <item x="181"/>
        <item x="402"/>
        <item x="182"/>
        <item x="522"/>
        <item x="463"/>
        <item x="31"/>
        <item x="327"/>
        <item x="245"/>
        <item x="214"/>
        <item x="328"/>
        <item x="500"/>
        <item x="342"/>
        <item x="239"/>
        <item x="256"/>
        <item x="6"/>
        <item x="183"/>
        <item x="98"/>
        <item x="414"/>
        <item x="479"/>
        <item x="18"/>
        <item x="483"/>
        <item x="489"/>
        <item x="184"/>
        <item x="425"/>
        <item x="455"/>
        <item x="365"/>
        <item x="19"/>
        <item x="403"/>
        <item x="343"/>
        <item x="411"/>
        <item x="407"/>
        <item x="362"/>
        <item x="128"/>
        <item x="20"/>
        <item x="329"/>
        <item x="456"/>
        <item x="73"/>
        <item x="423"/>
        <item x="50"/>
        <item x="330"/>
        <item x="185"/>
        <item x="139"/>
        <item x="186"/>
        <item x="74"/>
        <item x="457"/>
        <item x="129"/>
        <item x="378"/>
        <item x="331"/>
        <item x="99"/>
        <item x="187"/>
        <item x="366"/>
        <item x="87"/>
        <item x="418"/>
        <item x="257"/>
        <item x="246"/>
        <item x="253"/>
        <item x="51"/>
        <item x="347"/>
        <item x="332"/>
        <item x="496"/>
        <item x="132"/>
        <item x="95"/>
        <item x="384"/>
        <item x="52"/>
        <item x="131"/>
        <item x="467"/>
        <item x="333"/>
        <item x="237"/>
        <item x="484"/>
        <item x="102"/>
        <item x="215"/>
        <item x="424"/>
        <item x="334"/>
        <item x="144"/>
        <item x="79"/>
        <item x="372"/>
        <item x="281"/>
        <item x="53"/>
        <item x="271"/>
        <item x="111"/>
        <item x="360"/>
        <item x="55"/>
        <item x="520"/>
        <item x="504"/>
        <item x="335"/>
        <item x="446"/>
        <item x="348"/>
        <item x="336"/>
        <item x="64"/>
        <item x="224"/>
        <item x="337"/>
        <item x="54"/>
        <item x="338"/>
        <item x="469"/>
        <item x="421"/>
        <item x="86"/>
        <item x="67"/>
        <item x="32"/>
        <item x="412"/>
        <item x="339"/>
        <item x="247"/>
        <item x="269"/>
        <item x="340"/>
        <item x="369"/>
        <item x="466"/>
        <item x="248"/>
        <item x="341"/>
        <item x="136"/>
        <item x="93"/>
        <item x="100"/>
        <item x="488"/>
        <item x="429"/>
        <item x="140"/>
        <item x="259"/>
        <item x="260"/>
        <item x="265"/>
        <item x="270"/>
        <item x="65"/>
        <item x="231"/>
        <item x="251"/>
        <item x="103"/>
        <item x="78"/>
        <item x="408"/>
        <item x="203"/>
        <item x="280"/>
        <item x="379"/>
        <item x="374"/>
        <item x="485"/>
        <item x="188"/>
        <item x="428"/>
        <item x="21"/>
        <item x="477"/>
        <item x="189"/>
        <item x="216"/>
        <item x="229"/>
        <item x="512"/>
        <item x="513"/>
        <item x="516"/>
        <item x="517"/>
        <item x="519"/>
        <item t="default"/>
      </items>
    </pivotField>
    <pivotField showAll="0"/>
    <pivotField showAll="0"/>
    <pivotField showAll="0"/>
    <pivotField showAll="0"/>
    <pivotField axis="axisPage" showAll="0">
      <items count="24">
        <item x="13"/>
        <item x="17"/>
        <item x="15"/>
        <item x="14"/>
        <item x="10"/>
        <item x="9"/>
        <item x="5"/>
        <item x="16"/>
        <item x="4"/>
        <item x="3"/>
        <item x="1"/>
        <item x="7"/>
        <item x="12"/>
        <item x="8"/>
        <item x="20"/>
        <item x="11"/>
        <item x="19"/>
        <item x="6"/>
        <item x="18"/>
        <item x="21"/>
        <item x="0"/>
        <item x="2"/>
        <item x="22"/>
        <item t="default"/>
      </items>
    </pivotField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</pivotFields>
  <rowFields count="1">
    <field x="4"/>
  </rowFields>
  <rowItems count="29">
    <i>
      <x v="4"/>
    </i>
    <i>
      <x v="14"/>
    </i>
    <i>
      <x v="47"/>
    </i>
    <i>
      <x v="55"/>
    </i>
    <i>
      <x v="121"/>
    </i>
    <i>
      <x v="135"/>
    </i>
    <i>
      <x v="148"/>
    </i>
    <i>
      <x v="154"/>
    </i>
    <i>
      <x v="161"/>
    </i>
    <i>
      <x v="171"/>
    </i>
    <i>
      <x v="183"/>
    </i>
    <i>
      <x v="208"/>
    </i>
    <i>
      <x v="245"/>
    </i>
    <i>
      <x v="251"/>
    </i>
    <i>
      <x v="296"/>
    </i>
    <i>
      <x v="297"/>
    </i>
    <i>
      <x v="311"/>
    </i>
    <i>
      <x v="359"/>
    </i>
    <i>
      <x v="368"/>
    </i>
    <i>
      <x v="373"/>
    </i>
    <i>
      <x v="408"/>
    </i>
    <i>
      <x v="419"/>
    </i>
    <i>
      <x v="432"/>
    </i>
    <i>
      <x v="440"/>
    </i>
    <i>
      <x v="461"/>
    </i>
    <i>
      <x v="464"/>
    </i>
    <i>
      <x v="475"/>
    </i>
    <i>
      <x v="477"/>
    </i>
    <i>
      <x v="493"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pageFields count="4">
    <pageField fld="0" item="0" hier="-1"/>
    <pageField fld="2" item="0" hier="-1"/>
    <pageField fld="1" item="2" hier="-1"/>
    <pageField fld="9" item="21" hier="-1"/>
  </pageFields>
  <dataFields count="5">
    <dataField name="BERINERT" fld="14" baseField="4" baseItem="0" numFmtId="3"/>
    <dataField name="BERIPLEX" fld="15" baseField="4" baseItem="0" numFmtId="3"/>
    <dataField name="HAEMO" fld="16" baseField="4" baseItem="0" numFmtId="3"/>
    <dataField name="HIZENTRA" fld="17" baseField="4" baseItem="0" numFmtId="3"/>
    <dataField name="PRIVIGEN" fld="18" baseField="4" baseItem="0" numFmtId="3"/>
  </dataFields>
  <formats count="45">
    <format dxfId="515">
      <pivotArea dataOnly="0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  <format dxfId="514">
      <pivotArea outline="0" fieldPosition="0">
        <references count="1">
          <reference field="4294967294" count="1">
            <x v="0"/>
          </reference>
        </references>
      </pivotArea>
    </format>
    <format dxfId="513">
      <pivotArea outline="0" fieldPosition="0">
        <references count="1">
          <reference field="4294967294" count="1">
            <x v="1"/>
          </reference>
        </references>
      </pivotArea>
    </format>
    <format dxfId="512">
      <pivotArea outline="0" fieldPosition="0">
        <references count="1">
          <reference field="4294967294" count="1">
            <x v="2"/>
          </reference>
        </references>
      </pivotArea>
    </format>
    <format dxfId="511">
      <pivotArea outline="0" fieldPosition="0">
        <references count="1">
          <reference field="4294967294" count="1">
            <x v="4"/>
          </reference>
        </references>
      </pivotArea>
    </format>
    <format dxfId="510">
      <pivotArea outline="0" fieldPosition="0">
        <references count="1">
          <reference field="4294967294" count="1">
            <x v="3"/>
          </reference>
        </references>
      </pivotArea>
    </format>
    <format dxfId="509">
      <pivotArea type="all" dataOnly="0" outline="0" fieldPosition="0"/>
    </format>
    <format dxfId="508">
      <pivotArea outline="0" collapsedLevelsAreSubtotals="1" fieldPosition="0"/>
    </format>
    <format dxfId="507">
      <pivotArea field="4" type="button" dataOnly="0" labelOnly="1" outline="0" axis="axisRow" fieldPosition="0"/>
    </format>
    <format dxfId="506">
      <pivotArea dataOnly="0" labelOnly="1" fieldPosition="0">
        <references count="1">
          <reference field="4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505">
      <pivotArea dataOnly="0" labelOnly="1" fieldPosition="0">
        <references count="1">
          <reference field="4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504">
      <pivotArea dataOnly="0" labelOnly="1" fieldPosition="0">
        <references count="1">
          <reference field="4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503">
      <pivotArea dataOnly="0" labelOnly="1" fieldPosition="0">
        <references count="1">
          <reference field="4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502">
      <pivotArea dataOnly="0" labelOnly="1" fieldPosition="0">
        <references count="1">
          <reference field="4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501">
      <pivotArea dataOnly="0" labelOnly="1" fieldPosition="0">
        <references count="1">
          <reference field="4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500">
      <pivotArea dataOnly="0" labelOnly="1" fieldPosition="0">
        <references count="1">
          <reference field="4" count="50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</reference>
        </references>
      </pivotArea>
    </format>
    <format dxfId="499">
      <pivotArea dataOnly="0" labelOnly="1" fieldPosition="0">
        <references count="1">
          <reference field="4" count="50"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  <x v="367"/>
            <x v="368"/>
            <x v="369"/>
            <x v="370"/>
            <x v="371"/>
            <x v="372"/>
            <x v="373"/>
            <x v="374"/>
            <x v="375"/>
            <x v="376"/>
            <x v="377"/>
            <x v="378"/>
            <x v="379"/>
            <x v="380"/>
            <x v="381"/>
            <x v="382"/>
            <x v="383"/>
            <x v="384"/>
            <x v="385"/>
            <x v="386"/>
            <x v="387"/>
            <x v="388"/>
            <x v="389"/>
            <x v="390"/>
            <x v="391"/>
            <x v="392"/>
            <x v="393"/>
            <x v="394"/>
            <x v="395"/>
            <x v="396"/>
            <x v="397"/>
            <x v="398"/>
            <x v="399"/>
          </reference>
        </references>
      </pivotArea>
    </format>
    <format dxfId="498">
      <pivotArea dataOnly="0" labelOnly="1" fieldPosition="0">
        <references count="1">
          <reference field="4" count="50">
            <x v="400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4"/>
            <x v="415"/>
            <x v="416"/>
            <x v="417"/>
            <x v="418"/>
            <x v="419"/>
            <x v="420"/>
            <x v="421"/>
            <x v="422"/>
            <x v="423"/>
            <x v="424"/>
            <x v="425"/>
            <x v="426"/>
            <x v="427"/>
            <x v="428"/>
            <x v="429"/>
            <x v="430"/>
            <x v="431"/>
            <x v="432"/>
            <x v="433"/>
            <x v="434"/>
            <x v="435"/>
            <x v="436"/>
            <x v="437"/>
            <x v="438"/>
            <x v="439"/>
            <x v="440"/>
            <x v="441"/>
            <x v="442"/>
            <x v="443"/>
            <x v="444"/>
            <x v="445"/>
            <x v="446"/>
            <x v="447"/>
            <x v="448"/>
            <x v="449"/>
          </reference>
        </references>
      </pivotArea>
    </format>
    <format dxfId="497">
      <pivotArea dataOnly="0" labelOnly="1" fieldPosition="0">
        <references count="1">
          <reference field="4" count="50">
            <x v="450"/>
            <x v="451"/>
            <x v="452"/>
            <x v="453"/>
            <x v="454"/>
            <x v="455"/>
            <x v="456"/>
            <x v="457"/>
            <x v="458"/>
            <x v="459"/>
            <x v="460"/>
            <x v="461"/>
            <x v="462"/>
            <x v="463"/>
            <x v="464"/>
            <x v="465"/>
            <x v="466"/>
            <x v="467"/>
            <x v="468"/>
            <x v="469"/>
            <x v="470"/>
            <x v="471"/>
            <x v="472"/>
            <x v="473"/>
            <x v="474"/>
            <x v="475"/>
            <x v="476"/>
            <x v="477"/>
            <x v="478"/>
            <x v="479"/>
            <x v="480"/>
            <x v="481"/>
            <x v="482"/>
            <x v="483"/>
            <x v="484"/>
            <x v="485"/>
            <x v="486"/>
            <x v="487"/>
            <x v="488"/>
            <x v="489"/>
            <x v="490"/>
            <x v="491"/>
            <x v="492"/>
            <x v="493"/>
            <x v="494"/>
            <x v="495"/>
            <x v="496"/>
            <x v="497"/>
            <x v="498"/>
            <x v="499"/>
          </reference>
        </references>
      </pivotArea>
    </format>
    <format dxfId="496">
      <pivotArea dataOnly="0" labelOnly="1" fieldPosition="0">
        <references count="1">
          <reference field="4" count="19">
            <x v="500"/>
            <x v="501"/>
            <x v="502"/>
            <x v="503"/>
            <x v="504"/>
            <x v="505"/>
            <x v="506"/>
            <x v="507"/>
            <x v="508"/>
            <x v="509"/>
            <x v="510"/>
            <x v="511"/>
            <x v="512"/>
            <x v="513"/>
            <x v="514"/>
            <x v="515"/>
            <x v="516"/>
            <x v="517"/>
            <x v="518"/>
          </reference>
        </references>
      </pivotArea>
    </format>
    <format dxfId="495">
      <pivotArea dataOnly="0" labelOnly="1" grandRow="1" outline="0" fieldPosition="0"/>
    </format>
    <format dxfId="494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  <format dxfId="493">
      <pivotArea type="all" dataOnly="0" outline="0" fieldPosition="0"/>
    </format>
    <format dxfId="492">
      <pivotArea field="4" type="button" dataOnly="0" labelOnly="1" outline="0" axis="axisRow" fieldPosition="0"/>
    </format>
    <format dxfId="491">
      <pivotArea dataOnly="0" labelOnly="1" fieldPosition="0">
        <references count="1">
          <reference field="4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490">
      <pivotArea dataOnly="0" labelOnly="1" fieldPosition="0">
        <references count="1">
          <reference field="4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489">
      <pivotArea dataOnly="0" labelOnly="1" fieldPosition="0">
        <references count="1">
          <reference field="4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488">
      <pivotArea dataOnly="0" labelOnly="1" fieldPosition="0">
        <references count="1">
          <reference field="4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487">
      <pivotArea dataOnly="0" labelOnly="1" fieldPosition="0">
        <references count="1">
          <reference field="4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486">
      <pivotArea dataOnly="0" labelOnly="1" fieldPosition="0">
        <references count="1">
          <reference field="4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485">
      <pivotArea dataOnly="0" labelOnly="1" fieldPosition="0">
        <references count="1">
          <reference field="4" count="50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</reference>
        </references>
      </pivotArea>
    </format>
    <format dxfId="484">
      <pivotArea dataOnly="0" labelOnly="1" fieldPosition="0">
        <references count="1">
          <reference field="4" count="50"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  <x v="367"/>
            <x v="368"/>
            <x v="369"/>
            <x v="370"/>
            <x v="371"/>
            <x v="372"/>
            <x v="373"/>
            <x v="374"/>
            <x v="375"/>
            <x v="376"/>
            <x v="377"/>
            <x v="378"/>
            <x v="379"/>
            <x v="380"/>
            <x v="381"/>
            <x v="382"/>
            <x v="383"/>
            <x v="384"/>
            <x v="385"/>
            <x v="386"/>
            <x v="387"/>
            <x v="388"/>
            <x v="389"/>
            <x v="390"/>
            <x v="391"/>
            <x v="392"/>
            <x v="393"/>
            <x v="394"/>
            <x v="395"/>
            <x v="396"/>
            <x v="397"/>
            <x v="398"/>
            <x v="399"/>
          </reference>
        </references>
      </pivotArea>
    </format>
    <format dxfId="483">
      <pivotArea dataOnly="0" labelOnly="1" fieldPosition="0">
        <references count="1">
          <reference field="4" count="50">
            <x v="400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4"/>
            <x v="415"/>
            <x v="416"/>
            <x v="417"/>
            <x v="418"/>
            <x v="419"/>
            <x v="420"/>
            <x v="421"/>
            <x v="422"/>
            <x v="423"/>
            <x v="424"/>
            <x v="425"/>
            <x v="426"/>
            <x v="427"/>
            <x v="428"/>
            <x v="429"/>
            <x v="430"/>
            <x v="431"/>
            <x v="432"/>
            <x v="433"/>
            <x v="434"/>
            <x v="435"/>
            <x v="436"/>
            <x v="437"/>
            <x v="438"/>
            <x v="439"/>
            <x v="440"/>
            <x v="441"/>
            <x v="442"/>
            <x v="443"/>
            <x v="444"/>
            <x v="445"/>
            <x v="446"/>
            <x v="447"/>
            <x v="448"/>
            <x v="449"/>
          </reference>
        </references>
      </pivotArea>
    </format>
    <format dxfId="482">
      <pivotArea dataOnly="0" labelOnly="1" fieldPosition="0">
        <references count="1">
          <reference field="4" count="50">
            <x v="450"/>
            <x v="451"/>
            <x v="452"/>
            <x v="453"/>
            <x v="454"/>
            <x v="455"/>
            <x v="456"/>
            <x v="457"/>
            <x v="458"/>
            <x v="459"/>
            <x v="460"/>
            <x v="461"/>
            <x v="462"/>
            <x v="463"/>
            <x v="464"/>
            <x v="465"/>
            <x v="466"/>
            <x v="467"/>
            <x v="468"/>
            <x v="469"/>
            <x v="470"/>
            <x v="471"/>
            <x v="472"/>
            <x v="473"/>
            <x v="474"/>
            <x v="475"/>
            <x v="476"/>
            <x v="477"/>
            <x v="478"/>
            <x v="479"/>
            <x v="480"/>
            <x v="481"/>
            <x v="482"/>
            <x v="483"/>
            <x v="484"/>
            <x v="485"/>
            <x v="486"/>
            <x v="487"/>
            <x v="488"/>
            <x v="489"/>
            <x v="490"/>
            <x v="491"/>
            <x v="492"/>
            <x v="493"/>
            <x v="494"/>
            <x v="495"/>
            <x v="496"/>
            <x v="497"/>
            <x v="498"/>
            <x v="499"/>
          </reference>
        </references>
      </pivotArea>
    </format>
    <format dxfId="481">
      <pivotArea dataOnly="0" labelOnly="1" fieldPosition="0">
        <references count="1">
          <reference field="4" count="19">
            <x v="500"/>
            <x v="501"/>
            <x v="502"/>
            <x v="503"/>
            <x v="504"/>
            <x v="505"/>
            <x v="506"/>
            <x v="507"/>
            <x v="508"/>
            <x v="509"/>
            <x v="510"/>
            <x v="511"/>
            <x v="512"/>
            <x v="513"/>
            <x v="514"/>
            <x v="515"/>
            <x v="516"/>
            <x v="517"/>
            <x v="518"/>
          </reference>
        </references>
      </pivotArea>
    </format>
    <format dxfId="480">
      <pivotArea dataOnly="0" labelOnly="1" grandRow="1" outline="0" fieldPosition="0"/>
    </format>
    <format dxfId="479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  <format dxfId="478">
      <pivotArea field="4" type="button" dataOnly="0" labelOnly="1" outline="0" axis="axisRow" fieldPosition="0"/>
    </format>
    <format dxfId="477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  <format dxfId="476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  <format dxfId="475">
      <pivotArea type="all" dataOnly="0" outline="0" fieldPosition="0"/>
    </format>
    <format dxfId="474">
      <pivotArea outline="0" collapsedLevelsAreSubtotals="1" fieldPosition="0"/>
    </format>
    <format dxfId="473">
      <pivotArea field="4" type="button" dataOnly="0" labelOnly="1" outline="0" axis="axisRow" fieldPosition="0"/>
    </format>
    <format dxfId="472">
      <pivotArea dataOnly="0" labelOnly="1" fieldPosition="0">
        <references count="1">
          <reference field="4" count="25">
            <x v="5"/>
            <x v="7"/>
            <x v="71"/>
            <x v="72"/>
            <x v="126"/>
            <x v="145"/>
            <x v="151"/>
            <x v="155"/>
            <x v="156"/>
            <x v="159"/>
            <x v="166"/>
            <x v="216"/>
            <x v="223"/>
            <x v="246"/>
            <x v="272"/>
            <x v="274"/>
            <x v="278"/>
            <x v="298"/>
            <x v="300"/>
            <x v="353"/>
            <x v="443"/>
            <x v="450"/>
            <x v="460"/>
            <x v="467"/>
            <x v="486"/>
          </reference>
        </references>
      </pivotArea>
    </format>
    <format dxfId="471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</formats>
  <conditionalFormats count="2">
    <conditionalFormat priority="5">
      <pivotAreas count="1">
        <pivotArea outline="0" fieldPosition="0">
          <references count="2">
            <reference field="4294967294" count="1">
              <x v="0"/>
            </reference>
            <reference field="0" count="0" selected="0"/>
          </references>
        </pivotArea>
      </pivotAreas>
    </conditionalFormat>
    <conditionalFormat priority="4">
      <pivotAreas count="1">
        <pivotArea outline="0" fieldPosition="0">
          <references count="2">
            <reference field="4294967294" count="5">
              <x v="0"/>
              <x v="1"/>
              <x v="2"/>
              <x v="3"/>
              <x v="4"/>
            </reference>
            <reference field="0" count="0" selected="0"/>
          </references>
        </pivotArea>
      </pivotAreas>
    </conditionalFormat>
  </conditionalFormats>
  <pivotTableStyleInfo name="PivotStyleLight28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0AB8E42-CDA0-42D4-B86B-3BC223823905}" name="pvt_Demanda_Detalhada_REP_Tri" cacheId="8" applyNumberFormats="0" applyBorderFormats="0" applyFontFormats="0" applyPatternFormats="0" applyAlignmentFormats="0" applyWidthHeightFormats="1" dataCaption="Valores" updatedVersion="6" minRefreshableVersion="3" rowGrandTotals="0" itemPrintTitles="1" createdVersion="6" indent="0" outline="1" outlineData="1" multipleFieldFilters="0" rowHeaderCaption="Estabelecimento">
  <location ref="S7:X48" firstHeaderRow="0" firstDataRow="1" firstDataCol="1" rowPageCount="3" colPageCount="1"/>
  <pivotFields count="19">
    <pivotField axis="axisPage" showAll="0">
      <items count="2">
        <item x="0"/>
        <item t="default"/>
      </items>
    </pivotField>
    <pivotField showAll="0"/>
    <pivotField axis="axisPage" showAll="0">
      <items count="3">
        <item x="0"/>
        <item x="1"/>
        <item t="default"/>
      </items>
    </pivotField>
    <pivotField showAll="0"/>
    <pivotField axis="axisRow" showAll="0">
      <items count="525">
        <item x="282"/>
        <item x="77"/>
        <item x="240"/>
        <item x="249"/>
        <item x="34"/>
        <item x="283"/>
        <item x="521"/>
        <item x="438"/>
        <item x="447"/>
        <item x="255"/>
        <item x="198"/>
        <item x="434"/>
        <item x="284"/>
        <item x="204"/>
        <item x="96"/>
        <item x="505"/>
        <item x="435"/>
        <item x="145"/>
        <item x="481"/>
        <item x="8"/>
        <item x="370"/>
        <item x="80"/>
        <item x="394"/>
        <item x="350"/>
        <item x="273"/>
        <item x="396"/>
        <item x="146"/>
        <item x="191"/>
        <item x="405"/>
        <item x="450"/>
        <item x="141"/>
        <item x="147"/>
        <item x="134"/>
        <item x="35"/>
        <item x="285"/>
        <item x="61"/>
        <item x="89"/>
        <item x="148"/>
        <item x="416"/>
        <item x="261"/>
        <item x="286"/>
        <item x="233"/>
        <item x="436"/>
        <item x="490"/>
        <item x="149"/>
        <item x="225"/>
        <item x="82"/>
        <item x="36"/>
        <item x="363"/>
        <item x="117"/>
        <item x="287"/>
        <item x="397"/>
        <item x="398"/>
        <item x="88"/>
        <item x="355"/>
        <item x="356"/>
        <item x="288"/>
        <item x="419"/>
        <item x="56"/>
        <item x="232"/>
        <item x="422"/>
        <item x="368"/>
        <item x="150"/>
        <item x="90"/>
        <item x="151"/>
        <item x="201"/>
        <item x="91"/>
        <item x="137"/>
        <item x="506"/>
        <item x="439"/>
        <item x="437"/>
        <item x="289"/>
        <item x="290"/>
        <item x="118"/>
        <item x="262"/>
        <item x="357"/>
        <item x="426"/>
        <item x="493"/>
        <item x="431"/>
        <item x="23"/>
        <item x="351"/>
        <item x="514"/>
        <item x="478"/>
        <item x="352"/>
        <item x="217"/>
        <item x="112"/>
        <item x="358"/>
        <item x="68"/>
        <item x="451"/>
        <item x="5"/>
        <item x="468"/>
        <item x="192"/>
        <item x="291"/>
        <item x="193"/>
        <item x="494"/>
        <item x="254"/>
        <item x="292"/>
        <item x="432"/>
        <item x="367"/>
        <item x="293"/>
        <item x="345"/>
        <item x="226"/>
        <item x="9"/>
        <item x="482"/>
        <item x="415"/>
        <item x="507"/>
        <item x="70"/>
        <item x="116"/>
        <item x="10"/>
        <item x="371"/>
        <item x="205"/>
        <item x="24"/>
        <item x="119"/>
        <item x="66"/>
        <item x="385"/>
        <item x="472"/>
        <item x="409"/>
        <item x="25"/>
        <item x="486"/>
        <item x="294"/>
        <item x="295"/>
        <item x="37"/>
        <item x="373"/>
        <item x="75"/>
        <item x="26"/>
        <item x="391"/>
        <item x="296"/>
        <item x="11"/>
        <item x="430"/>
        <item x="495"/>
        <item x="71"/>
        <item x="62"/>
        <item x="458"/>
        <item x="297"/>
        <item x="417"/>
        <item x="38"/>
        <item x="274"/>
        <item x="523"/>
        <item x="298"/>
        <item x="152"/>
        <item x="459"/>
        <item x="194"/>
        <item x="299"/>
        <item x="153"/>
        <item x="502"/>
        <item x="300"/>
        <item x="440"/>
        <item x="267"/>
        <item x="97"/>
        <item x="154"/>
        <item x="7"/>
        <item x="301"/>
        <item x="302"/>
        <item x="12"/>
        <item x="39"/>
        <item x="303"/>
        <item x="304"/>
        <item x="92"/>
        <item x="460"/>
        <item x="305"/>
        <item x="453"/>
        <item x="40"/>
        <item x="115"/>
        <item x="406"/>
        <item x="508"/>
        <item x="399"/>
        <item x="306"/>
        <item x="155"/>
        <item x="433"/>
        <item x="206"/>
        <item x="501"/>
        <item x="41"/>
        <item x="156"/>
        <item x="157"/>
        <item x="135"/>
        <item x="158"/>
        <item x="159"/>
        <item x="160"/>
        <item x="207"/>
        <item x="27"/>
        <item x="346"/>
        <item x="161"/>
        <item x="105"/>
        <item x="454"/>
        <item x="307"/>
        <item x="94"/>
        <item x="515"/>
        <item x="275"/>
        <item x="218"/>
        <item x="497"/>
        <item x="234"/>
        <item x="518"/>
        <item x="208"/>
        <item x="83"/>
        <item x="400"/>
        <item x="162"/>
        <item x="219"/>
        <item x="427"/>
        <item x="413"/>
        <item x="209"/>
        <item x="388"/>
        <item x="410"/>
        <item x="491"/>
        <item x="308"/>
        <item x="0"/>
        <item x="220"/>
        <item x="389"/>
        <item x="195"/>
        <item x="42"/>
        <item x="57"/>
        <item x="163"/>
        <item x="361"/>
        <item x="503"/>
        <item x="242"/>
        <item x="84"/>
        <item x="390"/>
        <item x="309"/>
        <item x="375"/>
        <item x="310"/>
        <item x="311"/>
        <item x="312"/>
        <item x="60"/>
        <item x="266"/>
        <item x="313"/>
        <item x="120"/>
        <item x="210"/>
        <item x="381"/>
        <item x="473"/>
        <item x="382"/>
        <item x="164"/>
        <item x="344"/>
        <item x="471"/>
        <item x="165"/>
        <item x="386"/>
        <item x="166"/>
        <item x="509"/>
        <item x="465"/>
        <item x="138"/>
        <item x="349"/>
        <item x="276"/>
        <item x="121"/>
        <item x="314"/>
        <item x="441"/>
        <item x="452"/>
        <item x="106"/>
        <item x="377"/>
        <item x="315"/>
        <item x="448"/>
        <item x="211"/>
        <item x="122"/>
        <item x="76"/>
        <item x="43"/>
        <item x="392"/>
        <item x="72"/>
        <item x="113"/>
        <item x="449"/>
        <item x="107"/>
        <item x="130"/>
        <item x="33"/>
        <item x="104"/>
        <item x="442"/>
        <item x="364"/>
        <item x="13"/>
        <item x="401"/>
        <item x="511"/>
        <item x="167"/>
        <item x="123"/>
        <item x="387"/>
        <item x="168"/>
        <item x="250"/>
        <item x="133"/>
        <item x="169"/>
        <item x="316"/>
        <item x="498"/>
        <item x="277"/>
        <item x="108"/>
        <item x="14"/>
        <item x="170"/>
        <item x="510"/>
        <item x="171"/>
        <item x="101"/>
        <item x="28"/>
        <item x="475"/>
        <item x="172"/>
        <item x="190"/>
        <item x="173"/>
        <item x="174"/>
        <item x="317"/>
        <item x="420"/>
        <item x="318"/>
        <item x="319"/>
        <item x="124"/>
        <item x="85"/>
        <item x="461"/>
        <item x="222"/>
        <item x="15"/>
        <item x="44"/>
        <item x="45"/>
        <item x="320"/>
        <item x="58"/>
        <item x="278"/>
        <item x="443"/>
        <item x="444"/>
        <item x="321"/>
        <item x="353"/>
        <item x="69"/>
        <item x="263"/>
        <item x="175"/>
        <item x="252"/>
        <item x="393"/>
        <item x="235"/>
        <item x="3"/>
        <item x="395"/>
        <item x="264"/>
        <item x="176"/>
        <item x="212"/>
        <item x="464"/>
        <item x="322"/>
        <item x="109"/>
        <item x="354"/>
        <item x="16"/>
        <item x="202"/>
        <item x="177"/>
        <item x="258"/>
        <item x="487"/>
        <item x="17"/>
        <item x="236"/>
        <item x="241"/>
        <item x="1"/>
        <item x="196"/>
        <item x="142"/>
        <item x="81"/>
        <item x="230"/>
        <item x="476"/>
        <item x="404"/>
        <item x="223"/>
        <item x="199"/>
        <item x="492"/>
        <item x="221"/>
        <item x="114"/>
        <item x="383"/>
        <item x="474"/>
        <item x="143"/>
        <item x="272"/>
        <item x="178"/>
        <item x="470"/>
        <item x="480"/>
        <item x="376"/>
        <item x="499"/>
        <item x="29"/>
        <item x="243"/>
        <item x="323"/>
        <item x="125"/>
        <item x="279"/>
        <item x="268"/>
        <item x="46"/>
        <item x="227"/>
        <item x="2"/>
        <item x="22"/>
        <item x="359"/>
        <item x="126"/>
        <item x="47"/>
        <item x="110"/>
        <item x="380"/>
        <item x="228"/>
        <item x="59"/>
        <item x="197"/>
        <item x="462"/>
        <item x="48"/>
        <item x="49"/>
        <item x="127"/>
        <item x="324"/>
        <item x="63"/>
        <item x="4"/>
        <item x="213"/>
        <item x="445"/>
        <item x="325"/>
        <item x="179"/>
        <item x="200"/>
        <item x="238"/>
        <item x="326"/>
        <item x="244"/>
        <item x="180"/>
        <item x="30"/>
        <item x="181"/>
        <item x="402"/>
        <item x="182"/>
        <item x="522"/>
        <item x="463"/>
        <item x="31"/>
        <item x="327"/>
        <item x="245"/>
        <item x="214"/>
        <item x="328"/>
        <item x="500"/>
        <item x="342"/>
        <item x="239"/>
        <item x="256"/>
        <item x="6"/>
        <item x="183"/>
        <item x="98"/>
        <item x="414"/>
        <item x="479"/>
        <item x="18"/>
        <item x="483"/>
        <item x="489"/>
        <item x="184"/>
        <item x="425"/>
        <item x="455"/>
        <item x="365"/>
        <item x="19"/>
        <item x="403"/>
        <item x="343"/>
        <item x="411"/>
        <item x="407"/>
        <item x="362"/>
        <item x="128"/>
        <item x="20"/>
        <item x="329"/>
        <item x="456"/>
        <item x="73"/>
        <item x="423"/>
        <item x="50"/>
        <item x="330"/>
        <item x="185"/>
        <item x="139"/>
        <item x="186"/>
        <item x="74"/>
        <item x="457"/>
        <item x="129"/>
        <item x="378"/>
        <item x="331"/>
        <item x="99"/>
        <item x="187"/>
        <item x="366"/>
        <item x="87"/>
        <item x="418"/>
        <item x="257"/>
        <item x="246"/>
        <item x="253"/>
        <item x="51"/>
        <item x="347"/>
        <item x="332"/>
        <item x="496"/>
        <item x="132"/>
        <item x="95"/>
        <item x="384"/>
        <item x="52"/>
        <item x="131"/>
        <item x="467"/>
        <item x="333"/>
        <item x="237"/>
        <item x="484"/>
        <item x="102"/>
        <item x="215"/>
        <item x="424"/>
        <item x="334"/>
        <item x="144"/>
        <item x="79"/>
        <item x="372"/>
        <item x="281"/>
        <item x="53"/>
        <item x="271"/>
        <item x="111"/>
        <item x="360"/>
        <item x="55"/>
        <item x="520"/>
        <item x="504"/>
        <item x="335"/>
        <item x="446"/>
        <item x="348"/>
        <item x="336"/>
        <item x="64"/>
        <item x="224"/>
        <item x="337"/>
        <item x="54"/>
        <item x="338"/>
        <item x="469"/>
        <item x="421"/>
        <item x="86"/>
        <item x="67"/>
        <item x="32"/>
        <item x="412"/>
        <item x="339"/>
        <item x="247"/>
        <item x="269"/>
        <item x="340"/>
        <item x="369"/>
        <item x="466"/>
        <item x="248"/>
        <item x="341"/>
        <item x="136"/>
        <item x="93"/>
        <item x="100"/>
        <item x="488"/>
        <item x="429"/>
        <item x="140"/>
        <item x="259"/>
        <item x="260"/>
        <item x="265"/>
        <item x="270"/>
        <item x="65"/>
        <item x="231"/>
        <item x="251"/>
        <item x="103"/>
        <item x="78"/>
        <item x="408"/>
        <item x="203"/>
        <item x="280"/>
        <item x="379"/>
        <item x="374"/>
        <item x="485"/>
        <item x="188"/>
        <item x="428"/>
        <item x="21"/>
        <item x="477"/>
        <item x="189"/>
        <item x="216"/>
        <item x="229"/>
        <item x="512"/>
        <item x="513"/>
        <item x="516"/>
        <item x="517"/>
        <item x="519"/>
        <item t="default"/>
      </items>
    </pivotField>
    <pivotField showAll="0"/>
    <pivotField showAll="0"/>
    <pivotField showAll="0"/>
    <pivotField showAll="0"/>
    <pivotField axis="axisPage" showAll="0">
      <items count="24">
        <item x="13"/>
        <item x="17"/>
        <item x="15"/>
        <item x="14"/>
        <item x="10"/>
        <item x="9"/>
        <item x="5"/>
        <item x="16"/>
        <item x="4"/>
        <item x="3"/>
        <item x="1"/>
        <item x="7"/>
        <item x="12"/>
        <item x="8"/>
        <item x="20"/>
        <item x="11"/>
        <item x="19"/>
        <item x="6"/>
        <item x="18"/>
        <item x="21"/>
        <item x="0"/>
        <item x="2"/>
        <item x="22"/>
        <item t="default"/>
      </items>
    </pivotField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</pivotFields>
  <rowFields count="1">
    <field x="4"/>
  </rowFields>
  <rowItems count="41">
    <i>
      <x v="4"/>
    </i>
    <i>
      <x v="14"/>
    </i>
    <i>
      <x v="33"/>
    </i>
    <i>
      <x v="47"/>
    </i>
    <i>
      <x v="54"/>
    </i>
    <i>
      <x v="55"/>
    </i>
    <i>
      <x v="86"/>
    </i>
    <i>
      <x v="121"/>
    </i>
    <i>
      <x v="135"/>
    </i>
    <i>
      <x v="148"/>
    </i>
    <i>
      <x v="154"/>
    </i>
    <i>
      <x v="161"/>
    </i>
    <i>
      <x v="171"/>
    </i>
    <i>
      <x v="183"/>
    </i>
    <i>
      <x v="208"/>
    </i>
    <i>
      <x v="245"/>
    </i>
    <i>
      <x v="251"/>
    </i>
    <i>
      <x v="280"/>
    </i>
    <i>
      <x v="296"/>
    </i>
    <i>
      <x v="297"/>
    </i>
    <i>
      <x v="311"/>
    </i>
    <i>
      <x v="355"/>
    </i>
    <i>
      <x v="359"/>
    </i>
    <i>
      <x v="361"/>
    </i>
    <i>
      <x v="368"/>
    </i>
    <i>
      <x v="369"/>
    </i>
    <i>
      <x v="373"/>
    </i>
    <i>
      <x v="400"/>
    </i>
    <i>
      <x v="408"/>
    </i>
    <i>
      <x v="419"/>
    </i>
    <i>
      <x v="422"/>
    </i>
    <i>
      <x v="430"/>
    </i>
    <i>
      <x v="432"/>
    </i>
    <i>
      <x v="440"/>
    </i>
    <i>
      <x v="447"/>
    </i>
    <i>
      <x v="461"/>
    </i>
    <i>
      <x v="464"/>
    </i>
    <i>
      <x v="475"/>
    </i>
    <i>
      <x v="477"/>
    </i>
    <i>
      <x v="493"/>
    </i>
    <i>
      <x v="509"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pageFields count="3">
    <pageField fld="0" item="0" hier="-1"/>
    <pageField fld="2" item="0" hier="-1"/>
    <pageField fld="9" item="21" hier="-1"/>
  </pageFields>
  <dataFields count="5">
    <dataField name="BERINERT" fld="14" baseField="4" baseItem="0" numFmtId="3"/>
    <dataField name="BERIPLEX" fld="15" baseField="4" baseItem="0" numFmtId="3"/>
    <dataField name="HAEMO" fld="16" baseField="4" baseItem="0" numFmtId="3"/>
    <dataField name="HIZENTRA" fld="17" baseField="4" baseItem="0" numFmtId="3"/>
    <dataField name="PRIVIGEN" fld="18" baseField="4" baseItem="0" numFmtId="3"/>
  </dataFields>
  <formats count="45">
    <format dxfId="560">
      <pivotArea dataOnly="0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  <format dxfId="559">
      <pivotArea outline="0" fieldPosition="0">
        <references count="1">
          <reference field="4294967294" count="1">
            <x v="0"/>
          </reference>
        </references>
      </pivotArea>
    </format>
    <format dxfId="558">
      <pivotArea outline="0" fieldPosition="0">
        <references count="1">
          <reference field="4294967294" count="1">
            <x v="1"/>
          </reference>
        </references>
      </pivotArea>
    </format>
    <format dxfId="557">
      <pivotArea outline="0" fieldPosition="0">
        <references count="1">
          <reference field="4294967294" count="1">
            <x v="2"/>
          </reference>
        </references>
      </pivotArea>
    </format>
    <format dxfId="556">
      <pivotArea outline="0" fieldPosition="0">
        <references count="1">
          <reference field="4294967294" count="1">
            <x v="4"/>
          </reference>
        </references>
      </pivotArea>
    </format>
    <format dxfId="555">
      <pivotArea outline="0" fieldPosition="0">
        <references count="1">
          <reference field="4294967294" count="1">
            <x v="3"/>
          </reference>
        </references>
      </pivotArea>
    </format>
    <format dxfId="554">
      <pivotArea type="all" dataOnly="0" outline="0" fieldPosition="0"/>
    </format>
    <format dxfId="553">
      <pivotArea outline="0" collapsedLevelsAreSubtotals="1" fieldPosition="0"/>
    </format>
    <format dxfId="552">
      <pivotArea field="4" type="button" dataOnly="0" labelOnly="1" outline="0" axis="axisRow" fieldPosition="0"/>
    </format>
    <format dxfId="551">
      <pivotArea dataOnly="0" labelOnly="1" fieldPosition="0">
        <references count="1">
          <reference field="4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550">
      <pivotArea dataOnly="0" labelOnly="1" fieldPosition="0">
        <references count="1">
          <reference field="4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549">
      <pivotArea dataOnly="0" labelOnly="1" fieldPosition="0">
        <references count="1">
          <reference field="4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548">
      <pivotArea dataOnly="0" labelOnly="1" fieldPosition="0">
        <references count="1">
          <reference field="4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547">
      <pivotArea dataOnly="0" labelOnly="1" fieldPosition="0">
        <references count="1">
          <reference field="4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546">
      <pivotArea dataOnly="0" labelOnly="1" fieldPosition="0">
        <references count="1">
          <reference field="4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545">
      <pivotArea dataOnly="0" labelOnly="1" fieldPosition="0">
        <references count="1">
          <reference field="4" count="50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</reference>
        </references>
      </pivotArea>
    </format>
    <format dxfId="544">
      <pivotArea dataOnly="0" labelOnly="1" fieldPosition="0">
        <references count="1">
          <reference field="4" count="50"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  <x v="367"/>
            <x v="368"/>
            <x v="369"/>
            <x v="370"/>
            <x v="371"/>
            <x v="372"/>
            <x v="373"/>
            <x v="374"/>
            <x v="375"/>
            <x v="376"/>
            <x v="377"/>
            <x v="378"/>
            <x v="379"/>
            <x v="380"/>
            <x v="381"/>
            <x v="382"/>
            <x v="383"/>
            <x v="384"/>
            <x v="385"/>
            <x v="386"/>
            <x v="387"/>
            <x v="388"/>
            <x v="389"/>
            <x v="390"/>
            <x v="391"/>
            <x v="392"/>
            <x v="393"/>
            <x v="394"/>
            <x v="395"/>
            <x v="396"/>
            <x v="397"/>
            <x v="398"/>
            <x v="399"/>
          </reference>
        </references>
      </pivotArea>
    </format>
    <format dxfId="543">
      <pivotArea dataOnly="0" labelOnly="1" fieldPosition="0">
        <references count="1">
          <reference field="4" count="50">
            <x v="400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4"/>
            <x v="415"/>
            <x v="416"/>
            <x v="417"/>
            <x v="418"/>
            <x v="419"/>
            <x v="420"/>
            <x v="421"/>
            <x v="422"/>
            <x v="423"/>
            <x v="424"/>
            <x v="425"/>
            <x v="426"/>
            <x v="427"/>
            <x v="428"/>
            <x v="429"/>
            <x v="430"/>
            <x v="431"/>
            <x v="432"/>
            <x v="433"/>
            <x v="434"/>
            <x v="435"/>
            <x v="436"/>
            <x v="437"/>
            <x v="438"/>
            <x v="439"/>
            <x v="440"/>
            <x v="441"/>
            <x v="442"/>
            <x v="443"/>
            <x v="444"/>
            <x v="445"/>
            <x v="446"/>
            <x v="447"/>
            <x v="448"/>
            <x v="449"/>
          </reference>
        </references>
      </pivotArea>
    </format>
    <format dxfId="542">
      <pivotArea dataOnly="0" labelOnly="1" fieldPosition="0">
        <references count="1">
          <reference field="4" count="50">
            <x v="450"/>
            <x v="451"/>
            <x v="452"/>
            <x v="453"/>
            <x v="454"/>
            <x v="455"/>
            <x v="456"/>
            <x v="457"/>
            <x v="458"/>
            <x v="459"/>
            <x v="460"/>
            <x v="461"/>
            <x v="462"/>
            <x v="463"/>
            <x v="464"/>
            <x v="465"/>
            <x v="466"/>
            <x v="467"/>
            <x v="468"/>
            <x v="469"/>
            <x v="470"/>
            <x v="471"/>
            <x v="472"/>
            <x v="473"/>
            <x v="474"/>
            <x v="475"/>
            <x v="476"/>
            <x v="477"/>
            <x v="478"/>
            <x v="479"/>
            <x v="480"/>
            <x v="481"/>
            <x v="482"/>
            <x v="483"/>
            <x v="484"/>
            <x v="485"/>
            <x v="486"/>
            <x v="487"/>
            <x v="488"/>
            <x v="489"/>
            <x v="490"/>
            <x v="491"/>
            <x v="492"/>
            <x v="493"/>
            <x v="494"/>
            <x v="495"/>
            <x v="496"/>
            <x v="497"/>
            <x v="498"/>
            <x v="499"/>
          </reference>
        </references>
      </pivotArea>
    </format>
    <format dxfId="541">
      <pivotArea dataOnly="0" labelOnly="1" fieldPosition="0">
        <references count="1">
          <reference field="4" count="19">
            <x v="500"/>
            <x v="501"/>
            <x v="502"/>
            <x v="503"/>
            <x v="504"/>
            <x v="505"/>
            <x v="506"/>
            <x v="507"/>
            <x v="508"/>
            <x v="509"/>
            <x v="510"/>
            <x v="511"/>
            <x v="512"/>
            <x v="513"/>
            <x v="514"/>
            <x v="515"/>
            <x v="516"/>
            <x v="517"/>
            <x v="518"/>
          </reference>
        </references>
      </pivotArea>
    </format>
    <format dxfId="540">
      <pivotArea dataOnly="0" labelOnly="1" grandRow="1" outline="0" fieldPosition="0"/>
    </format>
    <format dxfId="539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  <format dxfId="538">
      <pivotArea type="all" dataOnly="0" outline="0" fieldPosition="0"/>
    </format>
    <format dxfId="537">
      <pivotArea field="4" type="button" dataOnly="0" labelOnly="1" outline="0" axis="axisRow" fieldPosition="0"/>
    </format>
    <format dxfId="536">
      <pivotArea dataOnly="0" labelOnly="1" fieldPosition="0">
        <references count="1">
          <reference field="4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535">
      <pivotArea dataOnly="0" labelOnly="1" fieldPosition="0">
        <references count="1">
          <reference field="4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534">
      <pivotArea dataOnly="0" labelOnly="1" fieldPosition="0">
        <references count="1">
          <reference field="4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533">
      <pivotArea dataOnly="0" labelOnly="1" fieldPosition="0">
        <references count="1">
          <reference field="4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532">
      <pivotArea dataOnly="0" labelOnly="1" fieldPosition="0">
        <references count="1">
          <reference field="4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531">
      <pivotArea dataOnly="0" labelOnly="1" fieldPosition="0">
        <references count="1">
          <reference field="4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530">
      <pivotArea dataOnly="0" labelOnly="1" fieldPosition="0">
        <references count="1">
          <reference field="4" count="50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</reference>
        </references>
      </pivotArea>
    </format>
    <format dxfId="529">
      <pivotArea dataOnly="0" labelOnly="1" fieldPosition="0">
        <references count="1">
          <reference field="4" count="50"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  <x v="367"/>
            <x v="368"/>
            <x v="369"/>
            <x v="370"/>
            <x v="371"/>
            <x v="372"/>
            <x v="373"/>
            <x v="374"/>
            <x v="375"/>
            <x v="376"/>
            <x v="377"/>
            <x v="378"/>
            <x v="379"/>
            <x v="380"/>
            <x v="381"/>
            <x v="382"/>
            <x v="383"/>
            <x v="384"/>
            <x v="385"/>
            <x v="386"/>
            <x v="387"/>
            <x v="388"/>
            <x v="389"/>
            <x v="390"/>
            <x v="391"/>
            <x v="392"/>
            <x v="393"/>
            <x v="394"/>
            <x v="395"/>
            <x v="396"/>
            <x v="397"/>
            <x v="398"/>
            <x v="399"/>
          </reference>
        </references>
      </pivotArea>
    </format>
    <format dxfId="528">
      <pivotArea dataOnly="0" labelOnly="1" fieldPosition="0">
        <references count="1">
          <reference field="4" count="50">
            <x v="400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4"/>
            <x v="415"/>
            <x v="416"/>
            <x v="417"/>
            <x v="418"/>
            <x v="419"/>
            <x v="420"/>
            <x v="421"/>
            <x v="422"/>
            <x v="423"/>
            <x v="424"/>
            <x v="425"/>
            <x v="426"/>
            <x v="427"/>
            <x v="428"/>
            <x v="429"/>
            <x v="430"/>
            <x v="431"/>
            <x v="432"/>
            <x v="433"/>
            <x v="434"/>
            <x v="435"/>
            <x v="436"/>
            <x v="437"/>
            <x v="438"/>
            <x v="439"/>
            <x v="440"/>
            <x v="441"/>
            <x v="442"/>
            <x v="443"/>
            <x v="444"/>
            <x v="445"/>
            <x v="446"/>
            <x v="447"/>
            <x v="448"/>
            <x v="449"/>
          </reference>
        </references>
      </pivotArea>
    </format>
    <format dxfId="527">
      <pivotArea dataOnly="0" labelOnly="1" fieldPosition="0">
        <references count="1">
          <reference field="4" count="50">
            <x v="450"/>
            <x v="451"/>
            <x v="452"/>
            <x v="453"/>
            <x v="454"/>
            <x v="455"/>
            <x v="456"/>
            <x v="457"/>
            <x v="458"/>
            <x v="459"/>
            <x v="460"/>
            <x v="461"/>
            <x v="462"/>
            <x v="463"/>
            <x v="464"/>
            <x v="465"/>
            <x v="466"/>
            <x v="467"/>
            <x v="468"/>
            <x v="469"/>
            <x v="470"/>
            <x v="471"/>
            <x v="472"/>
            <x v="473"/>
            <x v="474"/>
            <x v="475"/>
            <x v="476"/>
            <x v="477"/>
            <x v="478"/>
            <x v="479"/>
            <x v="480"/>
            <x v="481"/>
            <x v="482"/>
            <x v="483"/>
            <x v="484"/>
            <x v="485"/>
            <x v="486"/>
            <x v="487"/>
            <x v="488"/>
            <x v="489"/>
            <x v="490"/>
            <x v="491"/>
            <x v="492"/>
            <x v="493"/>
            <x v="494"/>
            <x v="495"/>
            <x v="496"/>
            <x v="497"/>
            <x v="498"/>
            <x v="499"/>
          </reference>
        </references>
      </pivotArea>
    </format>
    <format dxfId="526">
      <pivotArea dataOnly="0" labelOnly="1" fieldPosition="0">
        <references count="1">
          <reference field="4" count="19">
            <x v="500"/>
            <x v="501"/>
            <x v="502"/>
            <x v="503"/>
            <x v="504"/>
            <x v="505"/>
            <x v="506"/>
            <x v="507"/>
            <x v="508"/>
            <x v="509"/>
            <x v="510"/>
            <x v="511"/>
            <x v="512"/>
            <x v="513"/>
            <x v="514"/>
            <x v="515"/>
            <x v="516"/>
            <x v="517"/>
            <x v="518"/>
          </reference>
        </references>
      </pivotArea>
    </format>
    <format dxfId="525">
      <pivotArea dataOnly="0" labelOnly="1" grandRow="1" outline="0" fieldPosition="0"/>
    </format>
    <format dxfId="524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  <format dxfId="523">
      <pivotArea field="4" type="button" dataOnly="0" labelOnly="1" outline="0" axis="axisRow" fieldPosition="0"/>
    </format>
    <format dxfId="522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  <format dxfId="521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  <format dxfId="520">
      <pivotArea type="all" dataOnly="0" outline="0" fieldPosition="0"/>
    </format>
    <format dxfId="519">
      <pivotArea outline="0" collapsedLevelsAreSubtotals="1" fieldPosition="0"/>
    </format>
    <format dxfId="518">
      <pivotArea field="4" type="button" dataOnly="0" labelOnly="1" outline="0" axis="axisRow" fieldPosition="0"/>
    </format>
    <format dxfId="517">
      <pivotArea dataOnly="0" labelOnly="1" fieldPosition="0">
        <references count="1">
          <reference field="4" count="25">
            <x v="5"/>
            <x v="7"/>
            <x v="71"/>
            <x v="72"/>
            <x v="126"/>
            <x v="145"/>
            <x v="151"/>
            <x v="155"/>
            <x v="156"/>
            <x v="159"/>
            <x v="166"/>
            <x v="216"/>
            <x v="223"/>
            <x v="246"/>
            <x v="272"/>
            <x v="274"/>
            <x v="278"/>
            <x v="298"/>
            <x v="300"/>
            <x v="353"/>
            <x v="443"/>
            <x v="450"/>
            <x v="460"/>
            <x v="467"/>
            <x v="486"/>
          </reference>
        </references>
      </pivotArea>
    </format>
    <format dxfId="516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</formats>
  <conditionalFormats count="2">
    <conditionalFormat priority="2">
      <pivotAreas count="1">
        <pivotArea outline="0" fieldPosition="0">
          <references count="2">
            <reference field="4294967294" count="1">
              <x v="0"/>
            </reference>
            <reference field="0" count="0" selected="0"/>
          </references>
        </pivotArea>
      </pivotAreas>
    </conditionalFormat>
    <conditionalFormat priority="1">
      <pivotAreas count="1">
        <pivotArea outline="0" fieldPosition="0">
          <references count="2">
            <reference field="4294967294" count="5">
              <x v="0"/>
              <x v="1"/>
              <x v="2"/>
              <x v="3"/>
              <x v="4"/>
            </reference>
            <reference field="0" count="0" selected="0"/>
          </references>
        </pivotArea>
      </pivotAreas>
    </conditionalFormat>
  </conditionalFormats>
  <pivotTableStyleInfo name="PivotStyleLight28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49ABCA-3115-4245-9E23-A3611270D47D}" name="pvt_Venda_Detalhada_Tri" cacheId="7" applyNumberFormats="0" applyBorderFormats="0" applyFontFormats="0" applyPatternFormats="0" applyAlignmentFormats="0" applyWidthHeightFormats="1" dataCaption="Valores" updatedVersion="6" minRefreshableVersion="3" showDrill="0" showDataTips="0" rowGrandTotals="0" itemPrintTitles="1" createdVersion="6" indent="0" showHeaders="0" outline="1" outlineData="1" multipleFieldFilters="0">
  <location ref="I7:M123" firstHeaderRow="1" firstDataRow="2" firstDataCol="1" rowPageCount="2" colPageCount="1"/>
  <pivotFields count="7">
    <pivotField axis="axisPage" showAll="0">
      <items count="2">
        <item x="0"/>
        <item t="default"/>
      </items>
    </pivotField>
    <pivotField showAll="0"/>
    <pivotField axis="axisPage" showAll="0">
      <items count="3">
        <item x="0"/>
        <item x="1"/>
        <item t="default"/>
      </items>
    </pivotField>
    <pivotField numFmtId="1" showAll="0"/>
    <pivotField axis="axisRow" showAll="0">
      <items count="119">
        <item x="9"/>
        <item x="39"/>
        <item x="13"/>
        <item x="20"/>
        <item x="61"/>
        <item x="19"/>
        <item x="30"/>
        <item x="107"/>
        <item x="108"/>
        <item x="96"/>
        <item x="91"/>
        <item x="51"/>
        <item x="73"/>
        <item x="89"/>
        <item x="109"/>
        <item x="90"/>
        <item x="10"/>
        <item x="84"/>
        <item x="34"/>
        <item x="83"/>
        <item x="102"/>
        <item x="24"/>
        <item x="33"/>
        <item x="97"/>
        <item x="15"/>
        <item x="98"/>
        <item x="14"/>
        <item x="114"/>
        <item x="117"/>
        <item x="95"/>
        <item x="22"/>
        <item x="81"/>
        <item x="38"/>
        <item x="69"/>
        <item x="29"/>
        <item x="85"/>
        <item x="31"/>
        <item x="71"/>
        <item x="4"/>
        <item x="27"/>
        <item x="63"/>
        <item x="115"/>
        <item x="62"/>
        <item x="70"/>
        <item x="40"/>
        <item x="41"/>
        <item x="57"/>
        <item x="42"/>
        <item x="86"/>
        <item x="56"/>
        <item x="3"/>
        <item x="2"/>
        <item x="77"/>
        <item x="5"/>
        <item x="52"/>
        <item x="110"/>
        <item x="54"/>
        <item x="1"/>
        <item x="50"/>
        <item x="93"/>
        <item x="112"/>
        <item x="111"/>
        <item x="53"/>
        <item x="94"/>
        <item x="6"/>
        <item x="45"/>
        <item x="99"/>
        <item x="105"/>
        <item x="17"/>
        <item x="35"/>
        <item x="64"/>
        <item x="78"/>
        <item x="44"/>
        <item x="60"/>
        <item x="46"/>
        <item x="74"/>
        <item x="7"/>
        <item x="47"/>
        <item x="48"/>
        <item x="80"/>
        <item x="32"/>
        <item x="25"/>
        <item x="100"/>
        <item x="21"/>
        <item x="37"/>
        <item x="28"/>
        <item x="116"/>
        <item x="23"/>
        <item x="76"/>
        <item x="75"/>
        <item x="16"/>
        <item x="11"/>
        <item x="101"/>
        <item x="59"/>
        <item x="58"/>
        <item x="68"/>
        <item x="12"/>
        <item x="79"/>
        <item x="8"/>
        <item x="67"/>
        <item x="82"/>
        <item x="36"/>
        <item x="106"/>
        <item x="26"/>
        <item x="72"/>
        <item x="92"/>
        <item x="113"/>
        <item x="104"/>
        <item x="55"/>
        <item x="43"/>
        <item x="65"/>
        <item x="66"/>
        <item x="18"/>
        <item x="88"/>
        <item x="49"/>
        <item x="103"/>
        <item x="87"/>
        <item x="0"/>
        <item t="default"/>
      </items>
    </pivotField>
    <pivotField axis="axisCol" showAll="0">
      <items count="4">
        <item x="2"/>
        <item x="0"/>
        <item x="1"/>
        <item t="default"/>
      </items>
    </pivotField>
    <pivotField dataField="1" numFmtId="165" showAll="0"/>
  </pivotFields>
  <rowFields count="1">
    <field x="4"/>
  </rowFields>
  <rowItems count="1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0" item="0" hier="-1"/>
    <pageField fld="2" item="0" hier="-1"/>
  </pageFields>
  <dataFields count="1">
    <dataField name="Venda BRL" fld="6" baseField="4" baseItem="0" numFmtId="165"/>
  </dataFields>
  <formats count="23">
    <format dxfId="447">
      <pivotArea dataOnly="0" labelOnly="1" fieldPosition="0">
        <references count="1">
          <reference field="5" count="0"/>
        </references>
      </pivotArea>
    </format>
    <format dxfId="446">
      <pivotArea dataOnly="0" labelOnly="1" grandCol="1" outline="0" fieldPosition="0"/>
    </format>
    <format dxfId="445">
      <pivotArea dataOnly="0" labelOnly="1" fieldPosition="0">
        <references count="1">
          <reference field="5" count="0"/>
        </references>
      </pivotArea>
    </format>
    <format dxfId="444">
      <pivotArea dataOnly="0" labelOnly="1" grandCol="1" outline="0" fieldPosition="0"/>
    </format>
    <format dxfId="443">
      <pivotArea dataOnly="0" labelOnly="1" fieldPosition="0">
        <references count="1">
          <reference field="5" count="0"/>
        </references>
      </pivotArea>
    </format>
    <format dxfId="442">
      <pivotArea dataOnly="0" labelOnly="1" grandCol="1" outline="0" fieldPosition="0"/>
    </format>
    <format dxfId="441">
      <pivotArea type="all" dataOnly="0" outline="0" fieldPosition="0"/>
    </format>
    <format dxfId="440">
      <pivotArea type="origin" dataOnly="0" labelOnly="1" outline="0" fieldPosition="0"/>
    </format>
    <format dxfId="439">
      <pivotArea dataOnly="0" outline="0" fieldPosition="0">
        <references count="1">
          <reference field="5" count="0"/>
        </references>
      </pivotArea>
    </format>
    <format dxfId="438">
      <pivotArea type="all" dataOnly="0" outline="0" fieldPosition="0"/>
    </format>
    <format dxfId="437">
      <pivotArea outline="0" collapsedLevelsAreSubtotals="1" fieldPosition="0"/>
    </format>
    <format dxfId="436">
      <pivotArea type="origin" dataOnly="0" labelOnly="1" outline="0" fieldPosition="0"/>
    </format>
    <format dxfId="435">
      <pivotArea type="topRight" dataOnly="0" labelOnly="1" outline="0" fieldPosition="0"/>
    </format>
    <format dxfId="434">
      <pivotArea dataOnly="0" labelOnly="1" fieldPosition="0">
        <references count="1">
          <reference field="4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433">
      <pivotArea dataOnly="0" labelOnly="1" fieldPosition="0">
        <references count="1">
          <reference field="4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432">
      <pivotArea dataOnly="0" labelOnly="1" fieldPosition="0">
        <references count="1">
          <reference field="4" count="18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</reference>
        </references>
      </pivotArea>
    </format>
    <format dxfId="431">
      <pivotArea dataOnly="0" labelOnly="1" fieldPosition="0">
        <references count="1">
          <reference field="5" count="0"/>
        </references>
      </pivotArea>
    </format>
    <format dxfId="430">
      <pivotArea dataOnly="0" labelOnly="1" grandCol="1" outline="0" fieldPosition="0"/>
    </format>
    <format dxfId="429">
      <pivotArea dataOnly="0" labelOnly="1" fieldPosition="0">
        <references count="1">
          <reference field="5" count="0"/>
        </references>
      </pivotArea>
    </format>
    <format dxfId="428">
      <pivotArea dataOnly="0" labelOnly="1" grandCol="1" outline="0" fieldPosition="0"/>
    </format>
    <format dxfId="427">
      <pivotArea outline="0" fieldPosition="0">
        <references count="1">
          <reference field="4294967294" count="1">
            <x v="0"/>
          </reference>
        </references>
      </pivotArea>
    </format>
    <format dxfId="426">
      <pivotArea dataOnly="0" labelOnly="1" fieldPosition="0">
        <references count="1">
          <reference field="5" count="0"/>
        </references>
      </pivotArea>
    </format>
    <format dxfId="425">
      <pivotArea dataOnly="0" labelOnly="1" grandCol="1" outline="0" fieldPosition="0"/>
    </format>
  </formats>
  <pivotTableStyleInfo name="PivotStyleLight23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C4FE1E-BA92-41E0-958B-9EDFC018AC58}" name="pvt_Venda_Detalhada_Mes" cacheId="7" applyNumberFormats="0" applyBorderFormats="0" applyFontFormats="0" applyPatternFormats="0" applyAlignmentFormats="0" applyWidthHeightFormats="1" dataCaption="Valores" updatedVersion="6" minRefreshableVersion="3" showDrill="0" showDataTips="0" rowGrandTotals="0" itemPrintTitles="1" createdVersion="6" indent="0" showHeaders="0" outline="1" outlineData="1" multipleFieldFilters="0">
  <location ref="C8:G89" firstHeaderRow="1" firstDataRow="2" firstDataCol="1" rowPageCount="3" colPageCount="1"/>
  <pivotFields count="7">
    <pivotField axis="axisPage" showAll="0">
      <items count="2">
        <item x="0"/>
        <item t="default"/>
      </items>
    </pivotField>
    <pivotField axis="axisPage" showAll="0">
      <items count="5">
        <item x="0"/>
        <item x="1"/>
        <item x="2"/>
        <item x="3"/>
        <item t="default"/>
      </items>
    </pivotField>
    <pivotField axis="axisPage" showAll="0">
      <items count="3">
        <item x="0"/>
        <item x="1"/>
        <item t="default"/>
      </items>
    </pivotField>
    <pivotField numFmtId="1" showAll="0"/>
    <pivotField axis="axisRow" showAll="0">
      <items count="119">
        <item x="9"/>
        <item x="39"/>
        <item x="13"/>
        <item x="20"/>
        <item x="61"/>
        <item x="19"/>
        <item x="30"/>
        <item x="107"/>
        <item x="108"/>
        <item x="96"/>
        <item x="91"/>
        <item x="51"/>
        <item x="73"/>
        <item x="89"/>
        <item x="109"/>
        <item x="90"/>
        <item x="10"/>
        <item x="84"/>
        <item x="34"/>
        <item x="83"/>
        <item x="102"/>
        <item x="24"/>
        <item x="33"/>
        <item x="97"/>
        <item x="15"/>
        <item x="98"/>
        <item x="14"/>
        <item x="114"/>
        <item x="117"/>
        <item x="95"/>
        <item x="22"/>
        <item x="81"/>
        <item x="38"/>
        <item x="69"/>
        <item x="29"/>
        <item x="85"/>
        <item x="31"/>
        <item x="71"/>
        <item x="4"/>
        <item x="27"/>
        <item x="63"/>
        <item x="115"/>
        <item x="62"/>
        <item x="70"/>
        <item x="40"/>
        <item x="41"/>
        <item x="57"/>
        <item x="42"/>
        <item x="86"/>
        <item x="56"/>
        <item x="3"/>
        <item x="2"/>
        <item x="77"/>
        <item x="5"/>
        <item x="52"/>
        <item x="110"/>
        <item x="54"/>
        <item x="1"/>
        <item x="50"/>
        <item x="93"/>
        <item x="112"/>
        <item x="111"/>
        <item x="53"/>
        <item x="94"/>
        <item x="6"/>
        <item x="45"/>
        <item x="99"/>
        <item x="105"/>
        <item x="17"/>
        <item x="35"/>
        <item x="64"/>
        <item x="78"/>
        <item x="44"/>
        <item x="60"/>
        <item x="46"/>
        <item x="74"/>
        <item x="7"/>
        <item x="47"/>
        <item x="48"/>
        <item x="80"/>
        <item x="32"/>
        <item x="25"/>
        <item x="100"/>
        <item x="21"/>
        <item x="37"/>
        <item x="28"/>
        <item x="116"/>
        <item x="23"/>
        <item x="76"/>
        <item x="75"/>
        <item x="16"/>
        <item x="11"/>
        <item x="101"/>
        <item x="59"/>
        <item x="58"/>
        <item x="68"/>
        <item x="12"/>
        <item x="79"/>
        <item x="8"/>
        <item x="67"/>
        <item x="82"/>
        <item x="36"/>
        <item x="106"/>
        <item x="26"/>
        <item x="72"/>
        <item x="92"/>
        <item x="113"/>
        <item x="104"/>
        <item x="55"/>
        <item x="43"/>
        <item x="65"/>
        <item x="66"/>
        <item x="18"/>
        <item x="88"/>
        <item x="49"/>
        <item x="103"/>
        <item x="87"/>
        <item x="0"/>
        <item t="default"/>
      </items>
    </pivotField>
    <pivotField axis="axisCol" showAll="0">
      <items count="4">
        <item x="2"/>
        <item x="0"/>
        <item x="1"/>
        <item t="default"/>
      </items>
    </pivotField>
    <pivotField dataField="1" numFmtId="165" showAll="0"/>
  </pivotFields>
  <rowFields count="1">
    <field x="4"/>
  </rowFields>
  <rowItems count="8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6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9"/>
    </i>
    <i>
      <x v="30"/>
    </i>
    <i>
      <x v="32"/>
    </i>
    <i>
      <x v="33"/>
    </i>
    <i>
      <x v="36"/>
    </i>
    <i>
      <x v="38"/>
    </i>
    <i>
      <x v="40"/>
    </i>
    <i>
      <x v="42"/>
    </i>
    <i>
      <x v="43"/>
    </i>
    <i>
      <x v="45"/>
    </i>
    <i>
      <x v="48"/>
    </i>
    <i>
      <x v="54"/>
    </i>
    <i>
      <x v="55"/>
    </i>
    <i>
      <x v="58"/>
    </i>
    <i>
      <x v="59"/>
    </i>
    <i>
      <x v="60"/>
    </i>
    <i>
      <x v="61"/>
    </i>
    <i>
      <x v="62"/>
    </i>
    <i>
      <x v="65"/>
    </i>
    <i>
      <x v="66"/>
    </i>
    <i>
      <x v="67"/>
    </i>
    <i>
      <x v="68"/>
    </i>
    <i>
      <x v="69"/>
    </i>
    <i>
      <x v="71"/>
    </i>
    <i>
      <x v="75"/>
    </i>
    <i>
      <x v="76"/>
    </i>
    <i>
      <x v="78"/>
    </i>
    <i>
      <x v="79"/>
    </i>
    <i>
      <x v="80"/>
    </i>
    <i>
      <x v="81"/>
    </i>
    <i>
      <x v="82"/>
    </i>
    <i>
      <x v="85"/>
    </i>
    <i>
      <x v="87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5"/>
    </i>
    <i>
      <x v="106"/>
    </i>
    <i>
      <x v="107"/>
    </i>
    <i>
      <x v="109"/>
    </i>
    <i>
      <x v="110"/>
    </i>
    <i>
      <x v="111"/>
    </i>
    <i>
      <x v="112"/>
    </i>
    <i>
      <x v="114"/>
    </i>
    <i>
      <x v="115"/>
    </i>
    <i>
      <x v="116"/>
    </i>
  </rowItems>
  <colFields count="1">
    <field x="5"/>
  </colFields>
  <colItems count="4">
    <i>
      <x/>
    </i>
    <i>
      <x v="1"/>
    </i>
    <i>
      <x v="2"/>
    </i>
    <i t="grand">
      <x/>
    </i>
  </colItems>
  <pageFields count="3">
    <pageField fld="0" item="0" hier="-1"/>
    <pageField fld="2" item="0" hier="-1"/>
    <pageField fld="1" item="2" hier="-1"/>
  </pageFields>
  <dataFields count="1">
    <dataField name="Venda BRL" fld="6" baseField="4" baseItem="0" numFmtId="165"/>
  </dataFields>
  <formats count="23">
    <format dxfId="470">
      <pivotArea dataOnly="0" labelOnly="1" fieldPosition="0">
        <references count="1">
          <reference field="5" count="0"/>
        </references>
      </pivotArea>
    </format>
    <format dxfId="469">
      <pivotArea dataOnly="0" labelOnly="1" grandCol="1" outline="0" fieldPosition="0"/>
    </format>
    <format dxfId="468">
      <pivotArea dataOnly="0" labelOnly="1" fieldPosition="0">
        <references count="1">
          <reference field="5" count="0"/>
        </references>
      </pivotArea>
    </format>
    <format dxfId="467">
      <pivotArea dataOnly="0" labelOnly="1" grandCol="1" outline="0" fieldPosition="0"/>
    </format>
    <format dxfId="466">
      <pivotArea dataOnly="0" labelOnly="1" fieldPosition="0">
        <references count="1">
          <reference field="5" count="0"/>
        </references>
      </pivotArea>
    </format>
    <format dxfId="465">
      <pivotArea dataOnly="0" labelOnly="1" grandCol="1" outline="0" fieldPosition="0"/>
    </format>
    <format dxfId="464">
      <pivotArea type="all" dataOnly="0" outline="0" fieldPosition="0"/>
    </format>
    <format dxfId="463">
      <pivotArea type="origin" dataOnly="0" labelOnly="1" outline="0" fieldPosition="0"/>
    </format>
    <format dxfId="462">
      <pivotArea dataOnly="0" outline="0" fieldPosition="0">
        <references count="1">
          <reference field="5" count="0"/>
        </references>
      </pivotArea>
    </format>
    <format dxfId="461">
      <pivotArea type="all" dataOnly="0" outline="0" fieldPosition="0"/>
    </format>
    <format dxfId="460">
      <pivotArea outline="0" collapsedLevelsAreSubtotals="1" fieldPosition="0"/>
    </format>
    <format dxfId="459">
      <pivotArea type="origin" dataOnly="0" labelOnly="1" outline="0" fieldPosition="0"/>
    </format>
    <format dxfId="458">
      <pivotArea type="topRight" dataOnly="0" labelOnly="1" outline="0" fieldPosition="0"/>
    </format>
    <format dxfId="457">
      <pivotArea dataOnly="0" labelOnly="1" fieldPosition="0">
        <references count="1">
          <reference field="4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456">
      <pivotArea dataOnly="0" labelOnly="1" fieldPosition="0">
        <references count="1">
          <reference field="4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455">
      <pivotArea dataOnly="0" labelOnly="1" fieldPosition="0">
        <references count="1">
          <reference field="4" count="18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</reference>
        </references>
      </pivotArea>
    </format>
    <format dxfId="454">
      <pivotArea dataOnly="0" labelOnly="1" fieldPosition="0">
        <references count="1">
          <reference field="5" count="0"/>
        </references>
      </pivotArea>
    </format>
    <format dxfId="453">
      <pivotArea dataOnly="0" labelOnly="1" grandCol="1" outline="0" fieldPosition="0"/>
    </format>
    <format dxfId="452">
      <pivotArea dataOnly="0" labelOnly="1" fieldPosition="0">
        <references count="1">
          <reference field="5" count="0"/>
        </references>
      </pivotArea>
    </format>
    <format dxfId="451">
      <pivotArea dataOnly="0" labelOnly="1" grandCol="1" outline="0" fieldPosition="0"/>
    </format>
    <format dxfId="450">
      <pivotArea outline="0" fieldPosition="0">
        <references count="1">
          <reference field="4294967294" count="1">
            <x v="0"/>
          </reference>
        </references>
      </pivotArea>
    </format>
    <format dxfId="449">
      <pivotArea dataOnly="0" labelOnly="1" fieldPosition="0">
        <references count="1">
          <reference field="5" count="0"/>
        </references>
      </pivotArea>
    </format>
    <format dxfId="448">
      <pivotArea dataOnly="0" labelOnly="1" grandCol="1" outline="0" fieldPosition="0"/>
    </format>
  </formats>
  <pivotTableStyleInfo name="PivotStyleLight23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42D498-1DCE-4171-ACB2-382A8F28C2AF}" name="pvt_Demanda_Detalhada_GR" cacheId="6" applyNumberFormats="0" applyBorderFormats="0" applyFontFormats="0" applyPatternFormats="0" applyAlignmentFormats="0" applyWidthHeightFormats="1" dataCaption="Valores" updatedVersion="6" minRefreshableVersion="3" showDrill="0" showDataTips="0" rowGrandTotals="0" colGrandTotals="0" itemPrintTitles="1" createdVersion="6" indent="0" showHeaders="0" outline="1" outlineData="1" multipleFieldFilters="0">
  <location ref="L7:Q126" firstHeaderRow="1" firstDataRow="2" firstDataCol="1" rowPageCount="4" colPageCount="1"/>
  <pivotFields count="12">
    <pivotField axis="axisPage" showAll="0">
      <items count="2">
        <item x="0"/>
        <item t="default"/>
      </items>
    </pivotField>
    <pivotField axis="axisPage" showAll="0">
      <items count="5">
        <item x="0"/>
        <item x="1"/>
        <item x="2"/>
        <item x="3"/>
        <item t="default"/>
      </items>
    </pivotField>
    <pivotField axis="axisPage" showAll="0">
      <items count="3">
        <item x="0"/>
        <item x="1"/>
        <item t="default"/>
      </items>
    </pivotField>
    <pivotField numFmtId="1" showAll="0"/>
    <pivotField axis="axisRow" showAll="0">
      <items count="522">
        <item x="29"/>
        <item x="240"/>
        <item x="78"/>
        <item x="83"/>
        <item x="375"/>
        <item x="18"/>
        <item x="148"/>
        <item x="36"/>
        <item x="319"/>
        <item x="82"/>
        <item x="267"/>
        <item x="124"/>
        <item x="51"/>
        <item x="273"/>
        <item x="368"/>
        <item x="70"/>
        <item x="123"/>
        <item x="495"/>
        <item x="461"/>
        <item x="214"/>
        <item x="448"/>
        <item x="241"/>
        <item x="309"/>
        <item x="285"/>
        <item x="116"/>
        <item x="514"/>
        <item x="510"/>
        <item x="198"/>
        <item x="297"/>
        <item x="326"/>
        <item x="196"/>
        <item x="488"/>
        <item x="418"/>
        <item x="373"/>
        <item x="1"/>
        <item x="363"/>
        <item x="177"/>
        <item x="507"/>
        <item x="454"/>
        <item x="114"/>
        <item x="16"/>
        <item x="334"/>
        <item x="129"/>
        <item x="464"/>
        <item x="483"/>
        <item x="406"/>
        <item x="421"/>
        <item x="164"/>
        <item x="306"/>
        <item x="286"/>
        <item x="7"/>
        <item x="516"/>
        <item x="513"/>
        <item x="167"/>
        <item x="364"/>
        <item x="392"/>
        <item x="21"/>
        <item x="446"/>
        <item x="407"/>
        <item x="437"/>
        <item x="388"/>
        <item x="385"/>
        <item x="501"/>
        <item x="217"/>
        <item x="508"/>
        <item x="419"/>
        <item x="172"/>
        <item x="161"/>
        <item x="37"/>
        <item x="35"/>
        <item x="122"/>
        <item x="9"/>
        <item x="8"/>
        <item x="417"/>
        <item x="106"/>
        <item x="163"/>
        <item x="127"/>
        <item x="139"/>
        <item x="128"/>
        <item x="209"/>
        <item x="283"/>
        <item x="353"/>
        <item x="330"/>
        <item x="298"/>
        <item x="221"/>
        <item x="218"/>
        <item x="390"/>
        <item x="219"/>
        <item x="317"/>
        <item x="215"/>
        <item x="401"/>
        <item x="220"/>
        <item x="15"/>
        <item x="251"/>
        <item x="137"/>
        <item x="88"/>
        <item x="49"/>
        <item x="130"/>
        <item x="370"/>
        <item x="54"/>
        <item x="301"/>
        <item x="263"/>
        <item x="184"/>
        <item x="520"/>
        <item x="444"/>
        <item x="39"/>
        <item x="235"/>
        <item x="422"/>
        <item x="229"/>
        <item x="303"/>
        <item x="277"/>
        <item x="260"/>
        <item x="289"/>
        <item x="193"/>
        <item x="387"/>
        <item x="328"/>
        <item x="291"/>
        <item x="372"/>
        <item x="458"/>
        <item x="43"/>
        <item x="33"/>
        <item x="367"/>
        <item x="157"/>
        <item x="152"/>
        <item x="187"/>
        <item x="288"/>
        <item x="5"/>
        <item x="183"/>
        <item x="125"/>
        <item x="136"/>
        <item x="159"/>
        <item x="160"/>
        <item x="324"/>
        <item x="10"/>
        <item x="158"/>
        <item x="253"/>
        <item x="77"/>
        <item x="73"/>
        <item x="47"/>
        <item x="466"/>
        <item x="399"/>
        <item x="199"/>
        <item x="44"/>
        <item x="502"/>
        <item x="141"/>
        <item x="25"/>
        <item x="66"/>
        <item x="84"/>
        <item x="384"/>
        <item x="512"/>
        <item x="182"/>
        <item x="23"/>
        <item x="58"/>
        <item x="210"/>
        <item x="249"/>
        <item x="4"/>
        <item x="6"/>
        <item x="179"/>
        <item x="398"/>
        <item x="27"/>
        <item x="339"/>
        <item x="176"/>
        <item x="416"/>
        <item x="341"/>
        <item x="72"/>
        <item x="472"/>
        <item x="12"/>
        <item x="482"/>
        <item x="121"/>
        <item x="244"/>
        <item x="145"/>
        <item x="256"/>
        <item x="496"/>
        <item x="493"/>
        <item x="189"/>
        <item x="492"/>
        <item x="484"/>
        <item x="486"/>
        <item x="275"/>
        <item x="258"/>
        <item x="188"/>
        <item x="477"/>
        <item x="376"/>
        <item x="323"/>
        <item x="56"/>
        <item x="359"/>
        <item x="402"/>
        <item x="118"/>
        <item x="279"/>
        <item x="142"/>
        <item x="211"/>
        <item x="356"/>
        <item x="266"/>
        <item x="424"/>
        <item x="515"/>
        <item x="503"/>
        <item x="420"/>
        <item x="131"/>
        <item x="315"/>
        <item x="313"/>
        <item x="452"/>
        <item x="314"/>
        <item x="327"/>
        <item x="57"/>
        <item x="360"/>
        <item x="171"/>
        <item x="442"/>
        <item x="166"/>
        <item x="191"/>
        <item x="425"/>
        <item x="497"/>
        <item x="449"/>
        <item x="134"/>
        <item x="103"/>
        <item x="239"/>
        <item x="453"/>
        <item x="19"/>
        <item x="305"/>
        <item x="40"/>
        <item x="61"/>
        <item x="30"/>
        <item x="169"/>
        <item x="94"/>
        <item x="14"/>
        <item x="405"/>
        <item x="274"/>
        <item x="180"/>
        <item x="329"/>
        <item x="338"/>
        <item x="476"/>
        <item x="342"/>
        <item x="340"/>
        <item x="475"/>
        <item x="443"/>
        <item x="478"/>
        <item x="38"/>
        <item x="335"/>
        <item x="255"/>
        <item x="282"/>
        <item x="117"/>
        <item x="262"/>
        <item x="31"/>
        <item x="65"/>
        <item x="350"/>
        <item x="206"/>
        <item x="333"/>
        <item x="11"/>
        <item x="336"/>
        <item x="270"/>
        <item x="435"/>
        <item x="238"/>
        <item x="254"/>
        <item x="354"/>
        <item x="231"/>
        <item x="383"/>
        <item x="396"/>
        <item x="284"/>
        <item x="156"/>
        <item x="250"/>
        <item x="366"/>
        <item x="64"/>
        <item x="391"/>
        <item x="223"/>
        <item x="480"/>
        <item x="133"/>
        <item x="491"/>
        <item x="434"/>
        <item x="451"/>
        <item x="487"/>
        <item x="107"/>
        <item x="436"/>
        <item x="469"/>
        <item x="13"/>
        <item x="138"/>
        <item x="97"/>
        <item x="203"/>
        <item x="224"/>
        <item x="468"/>
        <item x="71"/>
        <item x="485"/>
        <item x="242"/>
        <item x="186"/>
        <item x="337"/>
        <item x="467"/>
        <item x="377"/>
        <item x="489"/>
        <item x="500"/>
        <item x="41"/>
        <item x="413"/>
        <item x="26"/>
        <item x="22"/>
        <item x="261"/>
        <item x="237"/>
        <item x="395"/>
        <item x="257"/>
        <item x="222"/>
        <item x="190"/>
        <item x="165"/>
        <item x="24"/>
        <item x="426"/>
        <item x="355"/>
        <item x="120"/>
        <item x="68"/>
        <item x="67"/>
        <item x="59"/>
        <item x="294"/>
        <item x="205"/>
        <item x="76"/>
        <item x="509"/>
        <item x="109"/>
        <item x="307"/>
        <item x="212"/>
        <item x="343"/>
        <item x="450"/>
        <item x="113"/>
        <item x="473"/>
        <item x="271"/>
        <item x="400"/>
        <item x="46"/>
        <item x="173"/>
        <item x="347"/>
        <item x="245"/>
        <item x="272"/>
        <item x="494"/>
        <item x="81"/>
        <item x="463"/>
        <item x="208"/>
        <item x="380"/>
        <item x="91"/>
        <item x="296"/>
        <item x="374"/>
        <item x="247"/>
        <item x="431"/>
        <item x="233"/>
        <item x="462"/>
        <item x="310"/>
        <item x="438"/>
        <item x="268"/>
        <item x="143"/>
        <item x="265"/>
        <item x="194"/>
        <item x="352"/>
        <item x="332"/>
        <item x="311"/>
        <item x="99"/>
        <item x="505"/>
        <item x="397"/>
        <item x="460"/>
        <item x="386"/>
        <item x="135"/>
        <item x="195"/>
        <item x="102"/>
        <item x="53"/>
        <item x="428"/>
        <item x="80"/>
        <item x="79"/>
        <item x="259"/>
        <item x="264"/>
        <item x="243"/>
        <item x="379"/>
        <item x="292"/>
        <item x="411"/>
        <item x="246"/>
        <item x="204"/>
        <item x="290"/>
        <item x="439"/>
        <item x="430"/>
        <item x="170"/>
        <item x="325"/>
        <item x="207"/>
        <item x="278"/>
        <item x="412"/>
        <item x="3"/>
        <item x="358"/>
        <item x="192"/>
        <item x="441"/>
        <item x="69"/>
        <item x="0"/>
        <item x="504"/>
        <item x="168"/>
        <item x="86"/>
        <item x="55"/>
        <item x="110"/>
        <item x="490"/>
        <item x="197"/>
        <item x="506"/>
        <item x="481"/>
        <item x="479"/>
        <item x="149"/>
        <item x="394"/>
        <item x="378"/>
        <item x="17"/>
        <item x="93"/>
        <item x="276"/>
        <item x="62"/>
        <item x="144"/>
        <item x="74"/>
        <item x="112"/>
        <item x="101"/>
        <item x="226"/>
        <item x="471"/>
        <item x="155"/>
        <item x="308"/>
        <item x="345"/>
        <item x="225"/>
        <item x="517"/>
        <item x="320"/>
        <item x="474"/>
        <item x="151"/>
        <item x="348"/>
        <item x="357"/>
        <item x="227"/>
        <item x="346"/>
        <item x="371"/>
        <item x="456"/>
        <item x="178"/>
        <item x="280"/>
        <item x="410"/>
        <item x="230"/>
        <item x="50"/>
        <item x="321"/>
        <item x="409"/>
        <item x="369"/>
        <item x="361"/>
        <item x="2"/>
        <item x="511"/>
        <item x="404"/>
        <item x="498"/>
        <item x="403"/>
        <item x="331"/>
        <item x="429"/>
        <item x="281"/>
        <item x="48"/>
        <item x="150"/>
        <item x="470"/>
        <item x="393"/>
        <item x="216"/>
        <item x="316"/>
        <item x="92"/>
        <item x="111"/>
        <item x="108"/>
        <item x="232"/>
        <item x="295"/>
        <item x="42"/>
        <item x="146"/>
        <item x="433"/>
        <item x="381"/>
        <item x="293"/>
        <item x="162"/>
        <item x="432"/>
        <item x="344"/>
        <item x="60"/>
        <item x="213"/>
        <item x="518"/>
        <item x="154"/>
        <item x="269"/>
        <item x="300"/>
        <item x="34"/>
        <item x="351"/>
        <item x="248"/>
        <item x="423"/>
        <item x="304"/>
        <item x="85"/>
        <item x="153"/>
        <item x="90"/>
        <item x="202"/>
        <item x="318"/>
        <item x="415"/>
        <item x="147"/>
        <item x="140"/>
        <item x="45"/>
        <item x="63"/>
        <item x="299"/>
        <item x="28"/>
        <item x="175"/>
        <item x="408"/>
        <item x="32"/>
        <item x="382"/>
        <item x="52"/>
        <item x="322"/>
        <item x="445"/>
        <item x="234"/>
        <item x="174"/>
        <item x="185"/>
        <item x="455"/>
        <item x="20"/>
        <item x="89"/>
        <item x="87"/>
        <item x="100"/>
        <item x="302"/>
        <item x="459"/>
        <item x="104"/>
        <item x="105"/>
        <item x="252"/>
        <item x="365"/>
        <item x="181"/>
        <item x="457"/>
        <item x="132"/>
        <item x="427"/>
        <item x="95"/>
        <item x="75"/>
        <item x="98"/>
        <item x="115"/>
        <item x="362"/>
        <item x="312"/>
        <item x="96"/>
        <item x="200"/>
        <item x="236"/>
        <item x="287"/>
        <item x="440"/>
        <item x="119"/>
        <item x="389"/>
        <item x="447"/>
        <item x="519"/>
        <item x="465"/>
        <item x="126"/>
        <item x="228"/>
        <item x="349"/>
        <item x="499"/>
        <item x="201"/>
        <item x="414"/>
        <item t="default"/>
      </items>
    </pivotField>
    <pivotField showAll="0"/>
    <pivotField showAll="0"/>
    <pivotField axis="axisPage" showAll="0">
      <items count="5">
        <item x="0"/>
        <item x="1"/>
        <item x="2"/>
        <item x="3"/>
        <item t="default"/>
      </items>
    </pivotField>
    <pivotField showAll="0"/>
    <pivotField showAll="0"/>
    <pivotField axis="axisCol" showAll="0">
      <items count="6">
        <item x="4"/>
        <item x="1"/>
        <item x="3"/>
        <item x="2"/>
        <item x="0"/>
        <item t="default"/>
      </items>
    </pivotField>
    <pivotField dataField="1" numFmtId="3" showAll="0"/>
  </pivotFields>
  <rowFields count="1">
    <field x="4"/>
  </rowFields>
  <rowItems count="118">
    <i>
      <x v="13"/>
    </i>
    <i>
      <x v="17"/>
    </i>
    <i>
      <x v="18"/>
    </i>
    <i>
      <x v="26"/>
    </i>
    <i>
      <x v="30"/>
    </i>
    <i>
      <x v="31"/>
    </i>
    <i>
      <x v="32"/>
    </i>
    <i>
      <x v="43"/>
    </i>
    <i>
      <x v="44"/>
    </i>
    <i>
      <x v="45"/>
    </i>
    <i>
      <x v="48"/>
    </i>
    <i>
      <x v="49"/>
    </i>
    <i>
      <x v="57"/>
    </i>
    <i>
      <x v="59"/>
    </i>
    <i>
      <x v="64"/>
    </i>
    <i>
      <x v="67"/>
    </i>
    <i>
      <x v="73"/>
    </i>
    <i>
      <x v="82"/>
    </i>
    <i>
      <x v="101"/>
    </i>
    <i>
      <x v="103"/>
    </i>
    <i>
      <x v="106"/>
    </i>
    <i>
      <x v="112"/>
    </i>
    <i>
      <x v="118"/>
    </i>
    <i>
      <x v="130"/>
    </i>
    <i>
      <x v="139"/>
    </i>
    <i>
      <x v="143"/>
    </i>
    <i>
      <x v="149"/>
    </i>
    <i>
      <x v="167"/>
    </i>
    <i>
      <x v="172"/>
    </i>
    <i>
      <x v="174"/>
    </i>
    <i>
      <x v="176"/>
    </i>
    <i>
      <x v="177"/>
    </i>
    <i>
      <x v="181"/>
    </i>
    <i>
      <x v="188"/>
    </i>
    <i>
      <x v="192"/>
    </i>
    <i>
      <x v="193"/>
    </i>
    <i>
      <x v="198"/>
    </i>
    <i>
      <x v="199"/>
    </i>
    <i>
      <x v="200"/>
    </i>
    <i>
      <x v="201"/>
    </i>
    <i>
      <x v="205"/>
    </i>
    <i>
      <x v="206"/>
    </i>
    <i>
      <x v="210"/>
    </i>
    <i>
      <x v="211"/>
    </i>
    <i>
      <x v="214"/>
    </i>
    <i>
      <x v="215"/>
    </i>
    <i>
      <x v="217"/>
    </i>
    <i>
      <x v="224"/>
    </i>
    <i>
      <x v="225"/>
    </i>
    <i>
      <x v="237"/>
    </i>
    <i>
      <x v="240"/>
    </i>
    <i>
      <x v="248"/>
    </i>
    <i>
      <x v="249"/>
    </i>
    <i>
      <x v="250"/>
    </i>
    <i>
      <x v="257"/>
    </i>
    <i>
      <x v="263"/>
    </i>
    <i>
      <x v="268"/>
    </i>
    <i>
      <x v="271"/>
    </i>
    <i>
      <x v="277"/>
    </i>
    <i>
      <x v="279"/>
    </i>
    <i>
      <x v="283"/>
    </i>
    <i>
      <x v="285"/>
    </i>
    <i>
      <x v="286"/>
    </i>
    <i>
      <x v="288"/>
    </i>
    <i>
      <x v="291"/>
    </i>
    <i>
      <x v="294"/>
    </i>
    <i>
      <x v="315"/>
    </i>
    <i>
      <x v="323"/>
    </i>
    <i>
      <x v="325"/>
    </i>
    <i>
      <x v="331"/>
    </i>
    <i>
      <x v="334"/>
    </i>
    <i>
      <x v="335"/>
    </i>
    <i>
      <x v="337"/>
    </i>
    <i>
      <x v="339"/>
    </i>
    <i>
      <x v="343"/>
    </i>
    <i>
      <x v="345"/>
    </i>
    <i>
      <x v="347"/>
    </i>
    <i>
      <x v="353"/>
    </i>
    <i>
      <x v="357"/>
    </i>
    <i>
      <x v="366"/>
    </i>
    <i>
      <x v="371"/>
    </i>
    <i>
      <x v="375"/>
    </i>
    <i>
      <x v="386"/>
    </i>
    <i>
      <x v="387"/>
    </i>
    <i>
      <x v="393"/>
    </i>
    <i>
      <x v="400"/>
    </i>
    <i>
      <x v="403"/>
    </i>
    <i>
      <x v="405"/>
    </i>
    <i>
      <x v="406"/>
    </i>
    <i>
      <x v="412"/>
    </i>
    <i>
      <x v="421"/>
    </i>
    <i>
      <x v="425"/>
    </i>
    <i>
      <x v="426"/>
    </i>
    <i>
      <x v="427"/>
    </i>
    <i>
      <x v="429"/>
    </i>
    <i>
      <x v="430"/>
    </i>
    <i>
      <x v="434"/>
    </i>
    <i>
      <x v="436"/>
    </i>
    <i>
      <x v="437"/>
    </i>
    <i>
      <x v="445"/>
    </i>
    <i>
      <x v="449"/>
    </i>
    <i>
      <x v="450"/>
    </i>
    <i>
      <x v="453"/>
    </i>
    <i>
      <x v="459"/>
    </i>
    <i>
      <x v="467"/>
    </i>
    <i>
      <x v="475"/>
    </i>
    <i>
      <x v="481"/>
    </i>
    <i>
      <x v="489"/>
    </i>
    <i>
      <x v="490"/>
    </i>
    <i>
      <x v="496"/>
    </i>
    <i>
      <x v="504"/>
    </i>
    <i>
      <x v="507"/>
    </i>
    <i>
      <x v="513"/>
    </i>
    <i>
      <x v="514"/>
    </i>
    <i>
      <x v="517"/>
    </i>
    <i>
      <x v="518"/>
    </i>
    <i>
      <x v="519"/>
    </i>
    <i>
      <x v="520"/>
    </i>
  </rowItems>
  <colFields count="1">
    <field x="10"/>
  </colFields>
  <colItems count="5">
    <i>
      <x/>
    </i>
    <i>
      <x v="1"/>
    </i>
    <i>
      <x v="2"/>
    </i>
    <i>
      <x v="3"/>
    </i>
    <i>
      <x v="4"/>
    </i>
  </colItems>
  <pageFields count="4">
    <pageField fld="0" item="0" hier="-1"/>
    <pageField fld="2" item="0" hier="-1"/>
    <pageField fld="1" item="2" hier="-1"/>
    <pageField fld="7" item="2" hier="-1"/>
  </pageFields>
  <dataFields count="1">
    <dataField name="Unidades Equivalentes" fld="11" baseField="4" baseItem="8" numFmtId="3"/>
  </dataFields>
  <formats count="45">
    <format dxfId="378">
      <pivotArea type="all" dataOnly="0" outline="0" fieldPosition="0"/>
    </format>
    <format dxfId="377">
      <pivotArea outline="0" collapsedLevelsAreSubtotals="1" fieldPosition="0"/>
    </format>
    <format dxfId="376">
      <pivotArea type="origin" dataOnly="0" labelOnly="1" outline="0" fieldPosition="0"/>
    </format>
    <format dxfId="375">
      <pivotArea field="10" type="button" dataOnly="0" labelOnly="1" outline="0" axis="axisCol" fieldPosition="0"/>
    </format>
    <format dxfId="374">
      <pivotArea type="topRight" dataOnly="0" labelOnly="1" outline="0" fieldPosition="0"/>
    </format>
    <format dxfId="373">
      <pivotArea field="4" type="button" dataOnly="0" labelOnly="1" outline="0" axis="axisRow" fieldPosition="0"/>
    </format>
    <format dxfId="372">
      <pivotArea dataOnly="0" labelOnly="1" fieldPosition="0">
        <references count="1">
          <reference field="4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371">
      <pivotArea dataOnly="0" labelOnly="1" fieldPosition="0">
        <references count="1">
          <reference field="4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370">
      <pivotArea dataOnly="0" labelOnly="1" fieldPosition="0">
        <references count="1">
          <reference field="4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369">
      <pivotArea dataOnly="0" labelOnly="1" fieldPosition="0">
        <references count="1">
          <reference field="4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368">
      <pivotArea dataOnly="0" labelOnly="1" fieldPosition="0">
        <references count="1">
          <reference field="4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367">
      <pivotArea dataOnly="0" labelOnly="1" fieldPosition="0">
        <references count="1">
          <reference field="4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366">
      <pivotArea dataOnly="0" labelOnly="1" fieldPosition="0">
        <references count="1">
          <reference field="4" count="50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</reference>
        </references>
      </pivotArea>
    </format>
    <format dxfId="365">
      <pivotArea dataOnly="0" labelOnly="1" fieldPosition="0">
        <references count="1">
          <reference field="4" count="50"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  <x v="367"/>
            <x v="368"/>
            <x v="369"/>
            <x v="370"/>
            <x v="371"/>
            <x v="372"/>
            <x v="373"/>
            <x v="374"/>
            <x v="375"/>
            <x v="376"/>
            <x v="377"/>
            <x v="378"/>
            <x v="379"/>
            <x v="380"/>
            <x v="381"/>
            <x v="382"/>
            <x v="383"/>
            <x v="384"/>
            <x v="385"/>
            <x v="386"/>
            <x v="387"/>
            <x v="388"/>
            <x v="389"/>
            <x v="390"/>
            <x v="391"/>
            <x v="392"/>
            <x v="393"/>
            <x v="394"/>
            <x v="395"/>
            <x v="396"/>
            <x v="397"/>
            <x v="398"/>
            <x v="399"/>
          </reference>
        </references>
      </pivotArea>
    </format>
    <format dxfId="364">
      <pivotArea dataOnly="0" labelOnly="1" fieldPosition="0">
        <references count="1">
          <reference field="4" count="50">
            <x v="400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4"/>
            <x v="415"/>
            <x v="416"/>
            <x v="417"/>
            <x v="418"/>
            <x v="419"/>
            <x v="420"/>
            <x v="421"/>
            <x v="422"/>
            <x v="423"/>
            <x v="424"/>
            <x v="425"/>
            <x v="426"/>
            <x v="427"/>
            <x v="428"/>
            <x v="429"/>
            <x v="430"/>
            <x v="431"/>
            <x v="432"/>
            <x v="433"/>
            <x v="434"/>
            <x v="435"/>
            <x v="436"/>
            <x v="437"/>
            <x v="438"/>
            <x v="439"/>
            <x v="440"/>
            <x v="441"/>
            <x v="442"/>
            <x v="443"/>
            <x v="444"/>
            <x v="445"/>
            <x v="446"/>
            <x v="447"/>
            <x v="448"/>
            <x v="449"/>
          </reference>
        </references>
      </pivotArea>
    </format>
    <format dxfId="363">
      <pivotArea dataOnly="0" labelOnly="1" fieldPosition="0">
        <references count="1">
          <reference field="4" count="50">
            <x v="450"/>
            <x v="451"/>
            <x v="452"/>
            <x v="453"/>
            <x v="454"/>
            <x v="455"/>
            <x v="456"/>
            <x v="457"/>
            <x v="458"/>
            <x v="459"/>
            <x v="460"/>
            <x v="461"/>
            <x v="462"/>
            <x v="463"/>
            <x v="464"/>
            <x v="465"/>
            <x v="466"/>
            <x v="467"/>
            <x v="468"/>
            <x v="469"/>
            <x v="470"/>
            <x v="471"/>
            <x v="472"/>
            <x v="473"/>
            <x v="474"/>
            <x v="475"/>
            <x v="476"/>
            <x v="477"/>
            <x v="478"/>
            <x v="479"/>
            <x v="480"/>
            <x v="481"/>
            <x v="482"/>
            <x v="483"/>
            <x v="484"/>
            <x v="485"/>
            <x v="486"/>
            <x v="487"/>
            <x v="488"/>
            <x v="489"/>
            <x v="490"/>
            <x v="491"/>
            <x v="492"/>
            <x v="493"/>
            <x v="494"/>
            <x v="495"/>
            <x v="496"/>
            <x v="497"/>
            <x v="498"/>
            <x v="499"/>
          </reference>
        </references>
      </pivotArea>
    </format>
    <format dxfId="362">
      <pivotArea dataOnly="0" labelOnly="1" fieldPosition="0">
        <references count="1">
          <reference field="4" count="21">
            <x v="500"/>
            <x v="501"/>
            <x v="502"/>
            <x v="503"/>
            <x v="504"/>
            <x v="505"/>
            <x v="506"/>
            <x v="507"/>
            <x v="508"/>
            <x v="509"/>
            <x v="510"/>
            <x v="511"/>
            <x v="512"/>
            <x v="513"/>
            <x v="514"/>
            <x v="515"/>
            <x v="516"/>
            <x v="517"/>
            <x v="518"/>
            <x v="519"/>
            <x v="520"/>
          </reference>
        </references>
      </pivotArea>
    </format>
    <format dxfId="361">
      <pivotArea dataOnly="0" labelOnly="1" grandRow="1" outline="0" fieldPosition="0"/>
    </format>
    <format dxfId="360">
      <pivotArea dataOnly="0" labelOnly="1" fieldPosition="0">
        <references count="1">
          <reference field="10" count="0"/>
        </references>
      </pivotArea>
    </format>
    <format dxfId="359">
      <pivotArea dataOnly="0" labelOnly="1" grandCol="1" outline="0" fieldPosition="0"/>
    </format>
    <format dxfId="358">
      <pivotArea type="all" dataOnly="0" outline="0" fieldPosition="0"/>
    </format>
    <format dxfId="357">
      <pivotArea outline="0" collapsedLevelsAreSubtotals="1" fieldPosition="0"/>
    </format>
    <format dxfId="356">
      <pivotArea type="origin" dataOnly="0" labelOnly="1" outline="0" fieldPosition="0"/>
    </format>
    <format dxfId="355">
      <pivotArea field="10" type="button" dataOnly="0" labelOnly="1" outline="0" axis="axisCol" fieldPosition="0"/>
    </format>
    <format dxfId="354">
      <pivotArea type="topRight" dataOnly="0" labelOnly="1" outline="0" fieldPosition="0"/>
    </format>
    <format dxfId="353">
      <pivotArea field="4" type="button" dataOnly="0" labelOnly="1" outline="0" axis="axisRow" fieldPosition="0"/>
    </format>
    <format dxfId="352">
      <pivotArea dataOnly="0" labelOnly="1" fieldPosition="0">
        <references count="1">
          <reference field="4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351">
      <pivotArea dataOnly="0" labelOnly="1" fieldPosition="0">
        <references count="1">
          <reference field="4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350">
      <pivotArea dataOnly="0" labelOnly="1" fieldPosition="0">
        <references count="1">
          <reference field="4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349">
      <pivotArea dataOnly="0" labelOnly="1" fieldPosition="0">
        <references count="1">
          <reference field="4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348">
      <pivotArea dataOnly="0" labelOnly="1" fieldPosition="0">
        <references count="1">
          <reference field="4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347">
      <pivotArea dataOnly="0" labelOnly="1" fieldPosition="0">
        <references count="1">
          <reference field="4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346">
      <pivotArea dataOnly="0" labelOnly="1" fieldPosition="0">
        <references count="1">
          <reference field="4" count="50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</reference>
        </references>
      </pivotArea>
    </format>
    <format dxfId="345">
      <pivotArea dataOnly="0" labelOnly="1" fieldPosition="0">
        <references count="1">
          <reference field="4" count="50"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  <x v="367"/>
            <x v="368"/>
            <x v="369"/>
            <x v="370"/>
            <x v="371"/>
            <x v="372"/>
            <x v="373"/>
            <x v="374"/>
            <x v="375"/>
            <x v="376"/>
            <x v="377"/>
            <x v="378"/>
            <x v="379"/>
            <x v="380"/>
            <x v="381"/>
            <x v="382"/>
            <x v="383"/>
            <x v="384"/>
            <x v="385"/>
            <x v="386"/>
            <x v="387"/>
            <x v="388"/>
            <x v="389"/>
            <x v="390"/>
            <x v="391"/>
            <x v="392"/>
            <x v="393"/>
            <x v="394"/>
            <x v="395"/>
            <x v="396"/>
            <x v="397"/>
            <x v="398"/>
            <x v="399"/>
          </reference>
        </references>
      </pivotArea>
    </format>
    <format dxfId="344">
      <pivotArea dataOnly="0" labelOnly="1" fieldPosition="0">
        <references count="1">
          <reference field="4" count="50">
            <x v="400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4"/>
            <x v="415"/>
            <x v="416"/>
            <x v="417"/>
            <x v="418"/>
            <x v="419"/>
            <x v="420"/>
            <x v="421"/>
            <x v="422"/>
            <x v="423"/>
            <x v="424"/>
            <x v="425"/>
            <x v="426"/>
            <x v="427"/>
            <x v="428"/>
            <x v="429"/>
            <x v="430"/>
            <x v="431"/>
            <x v="432"/>
            <x v="433"/>
            <x v="434"/>
            <x v="435"/>
            <x v="436"/>
            <x v="437"/>
            <x v="438"/>
            <x v="439"/>
            <x v="440"/>
            <x v="441"/>
            <x v="442"/>
            <x v="443"/>
            <x v="444"/>
            <x v="445"/>
            <x v="446"/>
            <x v="447"/>
            <x v="448"/>
            <x v="449"/>
          </reference>
        </references>
      </pivotArea>
    </format>
    <format dxfId="343">
      <pivotArea dataOnly="0" labelOnly="1" fieldPosition="0">
        <references count="1">
          <reference field="4" count="50">
            <x v="450"/>
            <x v="451"/>
            <x v="452"/>
            <x v="453"/>
            <x v="454"/>
            <x v="455"/>
            <x v="456"/>
            <x v="457"/>
            <x v="458"/>
            <x v="459"/>
            <x v="460"/>
            <x v="461"/>
            <x v="462"/>
            <x v="463"/>
            <x v="464"/>
            <x v="465"/>
            <x v="466"/>
            <x v="467"/>
            <x v="468"/>
            <x v="469"/>
            <x v="470"/>
            <x v="471"/>
            <x v="472"/>
            <x v="473"/>
            <x v="474"/>
            <x v="475"/>
            <x v="476"/>
            <x v="477"/>
            <x v="478"/>
            <x v="479"/>
            <x v="480"/>
            <x v="481"/>
            <x v="482"/>
            <x v="483"/>
            <x v="484"/>
            <x v="485"/>
            <x v="486"/>
            <x v="487"/>
            <x v="488"/>
            <x v="489"/>
            <x v="490"/>
            <x v="491"/>
            <x v="492"/>
            <x v="493"/>
            <x v="494"/>
            <x v="495"/>
            <x v="496"/>
            <x v="497"/>
            <x v="498"/>
            <x v="499"/>
          </reference>
        </references>
      </pivotArea>
    </format>
    <format dxfId="342">
      <pivotArea dataOnly="0" labelOnly="1" fieldPosition="0">
        <references count="1">
          <reference field="4" count="21">
            <x v="500"/>
            <x v="501"/>
            <x v="502"/>
            <x v="503"/>
            <x v="504"/>
            <x v="505"/>
            <x v="506"/>
            <x v="507"/>
            <x v="508"/>
            <x v="509"/>
            <x v="510"/>
            <x v="511"/>
            <x v="512"/>
            <x v="513"/>
            <x v="514"/>
            <x v="515"/>
            <x v="516"/>
            <x v="517"/>
            <x v="518"/>
            <x v="519"/>
            <x v="520"/>
          </reference>
        </references>
      </pivotArea>
    </format>
    <format dxfId="341">
      <pivotArea dataOnly="0" labelOnly="1" grandRow="1" outline="0" fieldPosition="0"/>
    </format>
    <format dxfId="340">
      <pivotArea dataOnly="0" labelOnly="1" fieldPosition="0">
        <references count="1">
          <reference field="10" count="0"/>
        </references>
      </pivotArea>
    </format>
    <format dxfId="339">
      <pivotArea dataOnly="0" labelOnly="1" grandCol="1" outline="0" fieldPosition="0"/>
    </format>
    <format dxfId="338">
      <pivotArea dataOnly="0" outline="0" fieldPosition="0">
        <references count="1">
          <reference field="10" count="0"/>
        </references>
      </pivotArea>
    </format>
    <format dxfId="337">
      <pivotArea dataOnly="0" labelOnly="1" fieldPosition="0">
        <references count="1">
          <reference field="10" count="0"/>
        </references>
      </pivotArea>
    </format>
    <format dxfId="336">
      <pivotArea dataOnly="0" labelOnly="1" fieldPosition="0">
        <references count="1">
          <reference field="10" count="0"/>
        </references>
      </pivotArea>
    </format>
    <format dxfId="335">
      <pivotArea dataOnly="0" labelOnly="1" fieldPosition="0">
        <references count="1">
          <reference field="10" count="0"/>
        </references>
      </pivotArea>
    </format>
    <format dxfId="334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28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3" backgroundRefresh="0" connectionId="20" xr16:uid="{B89AB365-9331-440A-98D6-DBE030E7F982}" autoFormatId="16" applyNumberFormats="0" applyBorderFormats="0" applyFontFormats="0" applyPatternFormats="0" applyAlignmentFormats="0" applyWidthHeightFormats="0">
  <queryTableRefresh nextId="26">
    <queryTableFields count="15">
      <queryTableField id="1" name="#FK-CNPJ" tableColumnId="1"/>
      <queryTableField id="2" name="Estabelecimento" tableColumnId="2"/>
      <queryTableField id="3" name="Cidade" tableColumnId="3"/>
      <queryTableField id="4" name="UF" tableColumnId="4"/>
      <queryTableField id="5" name="Status" tableColumnId="5"/>
      <queryTableField id="6" name="Qtd_REPS" tableColumnId="6"/>
      <queryTableField id="7" name="Email-Representante" tableColumnId="7"/>
      <queryTableField id="8" name="Representante" tableColumnId="8"/>
      <queryTableField id="11" name="Equipe" tableColumnId="11"/>
      <queryTableField id="13" name="Gerente" tableColumnId="13"/>
      <queryTableField id="16" name="@-BERINERT" tableColumnId="16"/>
      <queryTableField id="18" name="@-BERIPLEX" tableColumnId="18"/>
      <queryTableField id="20" name="@-HAEMO" tableColumnId="20"/>
      <queryTableField id="22" name="@-HIZENTRA" tableColumnId="22"/>
      <queryTableField id="24" name="@-PRIVIGEN" tableColumnId="24"/>
    </queryTableFields>
  </queryTableRefresh>
  <extLst>
    <ext xmlns:x15="http://schemas.microsoft.com/office/spreadsheetml/2010/11/main" uri="{883FBD77-0823-4a55-B5E3-86C4891E6966}">
      <x15:queryTable sourceDataName="Consulta - VIEW_IV_2019_ESTABELECIMENTOS_SETORIZACAO_REP"/>
    </ext>
  </extLst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1" xr16:uid="{05970C88-ED64-438C-984B-D71F2A6D8AE9}" autoFormatId="16" applyNumberFormats="0" applyBorderFormats="0" applyFontFormats="0" applyPatternFormats="0" applyAlignmentFormats="0" applyWidthHeightFormats="0">
  <queryTableRefresh nextId="15">
    <queryTableFields count="14">
      <queryTableField id="1" name="Ano-Unv" tableColumnId="1"/>
      <queryTableField id="2" name="Mes-Unv" tableColumnId="2"/>
      <queryTableField id="3" name="Ano-Fiscal" tableColumnId="3"/>
      <queryTableField id="4" name="Mes-Fiscal" tableColumnId="4"/>
      <queryTableField id="5" name="Tri-Fiscal" tableColumnId="5"/>
      <queryTableField id="6" name="Periodo-IV" tableColumnId="6"/>
      <queryTableField id="7" name="Calculo-2019" tableColumnId="7"/>
      <queryTableField id="8" name="Calculo-Mensal" tableColumnId="8"/>
      <queryTableField id="9" name="Calculo-Trimestral" tableColumnId="9"/>
      <queryTableField id="10" name="Calculo-Anual" tableColumnId="10"/>
      <queryTableField id="11" name="Data-Mapas" tableColumnId="11"/>
      <queryTableField id="12" name="Data-Conferencia" tableColumnId="12"/>
      <queryTableField id="13" name="Data-Fechamento" tableColumnId="13"/>
      <queryTableField id="14" name="Data-Pagamento" tableColumnId="14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5" backgroundRefresh="0" connectionId="25" xr16:uid="{05BCDC44-810E-4E80-83F8-E2D0F155415D}" autoFormatId="16" applyNumberFormats="0" applyBorderFormats="0" applyFontFormats="0" applyPatternFormats="0" applyAlignmentFormats="0" applyWidthHeightFormats="0">
  <queryTableRefresh nextId="21" unboundColumnsRight="10">
    <queryTableFields count="12">
      <queryTableField id="6" name="E-mail" tableColumnId="6"/>
      <queryTableField id="20" name="Nome" tableColumnId="17"/>
      <queryTableField id="8" dataBound="0" tableColumnId="7"/>
      <queryTableField id="11" dataBound="0" tableColumnId="10"/>
      <queryTableField id="9" dataBound="0" tableColumnId="8"/>
      <queryTableField id="10" dataBound="0" tableColumnId="9"/>
      <queryTableField id="14" dataBound="0" tableColumnId="11"/>
      <queryTableField id="15" dataBound="0" tableColumnId="12"/>
      <queryTableField id="16" dataBound="0" tableColumnId="13"/>
      <queryTableField id="17" dataBound="0" tableColumnId="14"/>
      <queryTableField id="19" dataBound="0" tableColumnId="16"/>
      <queryTableField id="18" dataBound="0" tableColumnId="15"/>
    </queryTableFields>
  </queryTableRefresh>
  <extLst>
    <ext xmlns:x15="http://schemas.microsoft.com/office/spreadsheetml/2010/11/main" uri="{883FBD77-0823-4a55-B5E3-86C4891E6966}">
      <x15:queryTable sourceDataName="Consulta - VIEW_IV_2019_REPRESENTANTES"/>
    </ext>
  </extLst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6" backgroundRefresh="0" connectionId="26" xr16:uid="{A38820F6-FEA0-438E-966D-6DE87CF7F547}" autoFormatId="16" applyNumberFormats="0" applyBorderFormats="0" applyFontFormats="0" applyPatternFormats="0" applyAlignmentFormats="0" applyWidthHeightFormats="0">
  <queryTableRefresh nextId="15" unboundColumnsRight="10">
    <queryTableFields count="12">
      <queryTableField id="13" name="Email" tableColumnId="13"/>
      <queryTableField id="14" name="Nome" tableColumnId="14"/>
      <queryTableField id="3" dataBound="0" tableColumnId="3"/>
      <queryTableField id="4" dataBound="0" tableColumnId="4"/>
      <queryTableField id="5" dataBound="0" tableColumnId="5"/>
      <queryTableField id="6" dataBound="0" tableColumnId="6"/>
      <queryTableField id="7" dataBound="0" tableColumnId="7"/>
      <queryTableField id="8" dataBound="0" tableColumnId="8"/>
      <queryTableField id="9" dataBound="0" tableColumnId="9"/>
      <queryTableField id="10" dataBound="0" tableColumnId="10"/>
      <queryTableField id="11" dataBound="0" tableColumnId="11"/>
      <queryTableField id="12" dataBound="0" tableColumnId="12"/>
    </queryTableFields>
  </queryTableRefresh>
  <extLst>
    <ext xmlns:x15="http://schemas.microsoft.com/office/spreadsheetml/2010/11/main" uri="{883FBD77-0823-4a55-B5E3-86C4891E6966}">
      <x15:queryTable sourceDataName="Consulta - VIEW_IV_2019_GERENTES"/>
    </ext>
  </extLst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5" connectionId="16" xr16:uid="{50AC34FD-E22C-4B93-9E1E-3AB33127F890}" autoFormatId="16" applyNumberFormats="0" applyBorderFormats="0" applyFontFormats="0" applyPatternFormats="0" applyAlignmentFormats="0" applyWidthHeightFormats="0">
  <queryTableRefresh nextId="65" unboundColumnsRight="17">
    <queryTableFields count="27">
      <queryTableField id="3" name="Ano-Fiscal" tableColumnId="3"/>
      <queryTableField id="5" name="Tri-Fiscal" tableColumnId="5"/>
      <queryTableField id="11" name="Cota-ALBUREX" tableColumnId="11"/>
      <queryTableField id="41" name="Cota-RHOPYLAC" tableColumnId="9"/>
      <queryTableField id="43" name="Cota-OUTRO PRODUTOS" tableColumnId="13"/>
      <queryTableField id="23" name="Cota-TOTAL" tableColumnId="23"/>
      <queryTableField id="12" name="Venda-ALBUREX" tableColumnId="12"/>
      <queryTableField id="42" name="Venda-RHOPYLAC" tableColumnId="10"/>
      <queryTableField id="44" name="Venda-OUTRO PRODUTOS" tableColumnId="14"/>
      <queryTableField id="24" name="Venda-TOTAL" tableColumnId="24"/>
      <queryTableField id="55" dataBound="0" tableColumnId="18"/>
      <queryTableField id="54" dataBound="0" tableColumnId="17"/>
      <queryTableField id="53" dataBound="0" tableColumnId="16"/>
      <queryTableField id="52" dataBound="0" tableColumnId="15"/>
      <queryTableField id="27" dataBound="0" tableColumnId="27"/>
      <queryTableField id="28" dataBound="0" tableColumnId="28"/>
      <queryTableField id="29" dataBound="0" tableColumnId="29"/>
      <queryTableField id="30" dataBound="0" tableColumnId="30"/>
      <queryTableField id="56" dataBound="0" tableColumnId="19"/>
      <queryTableField id="57" dataBound="0" tableColumnId="20"/>
      <queryTableField id="58" dataBound="0" tableColumnId="21"/>
      <queryTableField id="59" dataBound="0" tableColumnId="22"/>
      <queryTableField id="60" dataBound="0" tableColumnId="25"/>
      <queryTableField id="61" dataBound="0" tableColumnId="26"/>
      <queryTableField id="62" dataBound="0" tableColumnId="31"/>
      <queryTableField id="64" dataBound="0" tableColumnId="1"/>
      <queryTableField id="63" dataBound="0" tableColumnId="32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5" connectionId="14" xr16:uid="{60E36FEC-693E-437B-8B34-5DA22191550B}" autoFormatId="16" applyNumberFormats="0" applyBorderFormats="0" applyFontFormats="0" applyPatternFormats="0" applyAlignmentFormats="0" applyWidthHeightFormats="0">
  <queryTableRefresh nextId="52" unboundColumnsRight="5">
    <queryTableFields count="24">
      <queryTableField id="3" name="Ano-Fiscal" tableColumnId="3"/>
      <queryTableField id="4" name="Mes-Fiscal" tableColumnId="4"/>
      <queryTableField id="5" name="Tri-Fiscal" tableColumnId="5"/>
      <queryTableField id="11" name="Cota-ALBUREX" tableColumnId="11"/>
      <queryTableField id="15" name="Cota-RHOPHYLAC" tableColumnId="15"/>
      <queryTableField id="19" name="Cota-OUTROS PRODUTOS" tableColumnId="19"/>
      <queryTableField id="23" name="Cota-TOTAL" tableColumnId="23"/>
      <queryTableField id="12" name="Venda-ALBUREX" tableColumnId="12"/>
      <queryTableField id="16" name="Venda-RHOPHYLAC" tableColumnId="16"/>
      <queryTableField id="39" name="Venda-OUTROS PRODUTOS" tableColumnId="8"/>
      <queryTableField id="24" name="Venda-TOTAL" tableColumnId="24"/>
      <queryTableField id="14" name="Cobertura-ALBUREX" tableColumnId="14"/>
      <queryTableField id="18" name="Cobertura-RHOPYLAC" tableColumnId="18"/>
      <queryTableField id="22" name="Cobertura-OUTROS PRODUTOS" tableColumnId="22"/>
      <queryTableField id="26" name="Cobertura-TOTAL" tableColumnId="26"/>
      <queryTableField id="31" name="Peso-ALBUREX" tableColumnId="1"/>
      <queryTableField id="32" name="Peso-RHOPHYLAC" tableColumnId="2"/>
      <queryTableField id="33" name="Peso-OUTROS PRODUTOS" tableColumnId="6"/>
      <queryTableField id="34" name="Peso-TOTAL" tableColumnId="7"/>
      <queryTableField id="27" dataBound="0" tableColumnId="27"/>
      <queryTableField id="28" dataBound="0" tableColumnId="28"/>
      <queryTableField id="29" dataBound="0" tableColumnId="29"/>
      <queryTableField id="51" dataBound="0" tableColumnId="9"/>
      <queryTableField id="30" dataBound="0" tableColumnId="30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6" connectionId="11" xr16:uid="{6C9E986D-EA5F-474C-9E93-F1E86BA3B153}" autoFormatId="16" applyNumberFormats="0" applyBorderFormats="0" applyFontFormats="0" applyPatternFormats="0" applyAlignmentFormats="0" applyWidthHeightFormats="0">
  <queryTableRefresh nextId="81" unboundColumnsRight="6">
    <queryTableFields count="40">
      <queryTableField id="3" name="Ano-Fiscal" tableColumnId="3"/>
      <queryTableField id="4" name="Mes-Fiscal" tableColumnId="4"/>
      <queryTableField id="5" name="Tri-Fiscal" tableColumnId="5"/>
      <queryTableField id="11" name="#PK-Email" tableColumnId="11"/>
      <queryTableField id="12" name="Nome" tableColumnId="12"/>
      <queryTableField id="15" name="Equipe" tableColumnId="15"/>
      <queryTableField id="17" name="Gerente" tableColumnId="17"/>
      <queryTableField id="18" name="@-Ativo" tableColumnId="18"/>
      <queryTableField id="19" name="@-IV" tableColumnId="19"/>
      <queryTableField id="20" name="Cota-BERINERT" tableColumnId="20"/>
      <queryTableField id="25" name="Cota-BERIPLEX" tableColumnId="25"/>
      <queryTableField id="30" name="Cota-HAEMO" tableColumnId="30"/>
      <queryTableField id="35" name="Cota-HIZENTRA" tableColumnId="35"/>
      <queryTableField id="40" name="Cota-PRIVIGEN" tableColumnId="40"/>
      <queryTableField id="21" name="Demanda-BERINERT" tableColumnId="21"/>
      <queryTableField id="26" name="Demanda-BERIPLEX" tableColumnId="26"/>
      <queryTableField id="31" name="Demanda-HAEMO" tableColumnId="31"/>
      <queryTableField id="36" name="Demanda-HIZENTRA" tableColumnId="36"/>
      <queryTableField id="41" name="Demanda-PRIVIGEN" tableColumnId="41"/>
      <queryTableField id="22" name="Garantido-BERINERT" tableColumnId="22"/>
      <queryTableField id="27" name="Garantido-BERIPLEX" tableColumnId="27"/>
      <queryTableField id="32" name="Garantido-HAEMO" tableColumnId="32"/>
      <queryTableField id="37" name="Garantido-HIZENTRA" tableColumnId="37"/>
      <queryTableField id="42" name="Garantido-PRIVIGEN" tableColumnId="42"/>
      <queryTableField id="23" name="Cobertura-BERINERT" tableColumnId="23"/>
      <queryTableField id="28" name="Cobertura-BERIPLEX" tableColumnId="28"/>
      <queryTableField id="33" name="Cobertura-HAEMO" tableColumnId="33"/>
      <queryTableField id="38" name="Cobertura-HIZENTRA" tableColumnId="38"/>
      <queryTableField id="43" name="Cobertura-PRIVIGEN" tableColumnId="43"/>
      <queryTableField id="55" name="Peso-BERINERT" tableColumnId="1"/>
      <queryTableField id="56" name="Peso-BERIPLEX" tableColumnId="2"/>
      <queryTableField id="57" name="Peso-HAEMO" tableColumnId="6"/>
      <queryTableField id="58" name="Peso-HIZENTRA" tableColumnId="7"/>
      <queryTableField id="59" name="Peso-PRIVIGEN" tableColumnId="8"/>
      <queryTableField id="46" dataBound="0" tableColumnId="46"/>
      <queryTableField id="47" dataBound="0" tableColumnId="47"/>
      <queryTableField id="48" dataBound="0" tableColumnId="48"/>
      <queryTableField id="49" dataBound="0" tableColumnId="49"/>
      <queryTableField id="50" dataBound="0" tableColumnId="50"/>
      <queryTableField id="80" dataBound="0" tableColumnId="9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2" connectionId="12" xr16:uid="{D63DA638-8FF4-4EBA-9916-8C3B4B72BF1D}" autoFormatId="16" applyNumberFormats="0" applyBorderFormats="0" applyFontFormats="0" applyPatternFormats="0" applyAlignmentFormats="0" applyWidthHeightFormats="0">
  <queryTableRefresh nextId="56" unboundColumnsRight="21">
    <queryTableFields count="44">
      <queryTableField id="1" name="Ano-Fiscal" tableColumnId="1"/>
      <queryTableField id="3" name="Tri-Fiscal" tableColumnId="3"/>
      <queryTableField id="4" name="#PK-Email" tableColumnId="4"/>
      <queryTableField id="5" name="Nome" tableColumnId="5"/>
      <queryTableField id="6" name="Equipe" tableColumnId="6"/>
      <queryTableField id="7" name="Gerente" tableColumnId="7"/>
      <queryTableField id="8" name="@-Ativo" tableColumnId="8"/>
      <queryTableField id="9" name="@-IV" tableColumnId="9"/>
      <queryTableField id="10" name="Cota-BERINERT" tableColumnId="10"/>
      <queryTableField id="11" name="Cota-BERIPLEX" tableColumnId="11"/>
      <queryTableField id="12" name="Cota-HAEMO" tableColumnId="12"/>
      <queryTableField id="13" name="Cota-HIZENTRA" tableColumnId="13"/>
      <queryTableField id="14" name="Cota-PRIVIGEN" tableColumnId="14"/>
      <queryTableField id="15" name="Demanda-BERINERT" tableColumnId="15"/>
      <queryTableField id="16" name="Demanda-BERIPLEX" tableColumnId="16"/>
      <queryTableField id="17" name="Demanda-HAEMO" tableColumnId="17"/>
      <queryTableField id="18" name="Demanda-HIZENTRA" tableColumnId="18"/>
      <queryTableField id="19" name="Demanda-PRIVIGEN" tableColumnId="19"/>
      <queryTableField id="30" name="Peso-BERINERT" tableColumnId="30"/>
      <queryTableField id="31" name="Peso-BERIPLEX" tableColumnId="31"/>
      <queryTableField id="32" name="Peso-HAEMO" tableColumnId="32"/>
      <queryTableField id="33" name="Peso-HIZENTRA" tableColumnId="33"/>
      <queryTableField id="34" name="Peso-PRIVIGEN" tableColumnId="34"/>
      <queryTableField id="35" dataBound="0" tableColumnId="35"/>
      <queryTableField id="36" dataBound="0" tableColumnId="36"/>
      <queryTableField id="37" dataBound="0" tableColumnId="37"/>
      <queryTableField id="38" dataBound="0" tableColumnId="38"/>
      <queryTableField id="39" dataBound="0" tableColumnId="39"/>
      <queryTableField id="40" dataBound="0" tableColumnId="40"/>
      <queryTableField id="41" dataBound="0" tableColumnId="41"/>
      <queryTableField id="42" dataBound="0" tableColumnId="42"/>
      <queryTableField id="43" dataBound="0" tableColumnId="43"/>
      <queryTableField id="44" dataBound="0" tableColumnId="44"/>
      <queryTableField id="45" dataBound="0" tableColumnId="45"/>
      <queryTableField id="46" dataBound="0" tableColumnId="46"/>
      <queryTableField id="47" dataBound="0" tableColumnId="47"/>
      <queryTableField id="48" dataBound="0" tableColumnId="48"/>
      <queryTableField id="49" dataBound="0" tableColumnId="49"/>
      <queryTableField id="50" dataBound="0" tableColumnId="50"/>
      <queryTableField id="51" dataBound="0" tableColumnId="51"/>
      <queryTableField id="52" dataBound="0" tableColumnId="52"/>
      <queryTableField id="53" dataBound="0" tableColumnId="53"/>
      <queryTableField id="54" dataBound="0" tableColumnId="54"/>
      <queryTableField id="55" dataBound="0" tableColumnId="2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4" backgroundRefresh="0" connectionId="24" xr16:uid="{8FD9DFC6-A86B-4F4A-991C-28F76E25E40B}" autoFormatId="16" applyNumberFormats="0" applyBorderFormats="0" applyFontFormats="0" applyPatternFormats="0" applyAlignmentFormats="0" applyWidthHeightFormats="0">
  <queryTableRefresh nextId="33" unboundColumnsRight="1">
    <queryTableFields count="18">
      <queryTableField id="3" name="Ano-Fiscal" tableColumnId="3"/>
      <queryTableField id="4" name="Mes-Fiscal" tableColumnId="4"/>
      <queryTableField id="5" name="Tri-Fiscal" tableColumnId="5"/>
      <queryTableField id="11" name="#PK-Email" tableColumnId="11"/>
      <queryTableField id="12" name="Nome" tableColumnId="12"/>
      <queryTableField id="16" name="Equipe" tableColumnId="16"/>
      <queryTableField id="17" name="@-Ativo" tableColumnId="17"/>
      <queryTableField id="18" name="@-IV" tableColumnId="18"/>
      <queryTableField id="20" name="Gerente" tableColumnId="20"/>
      <queryTableField id="29" name="Garantido" tableColumnId="29"/>
      <queryTableField id="21" name="Dias-Uteis" tableColumnId="21"/>
      <queryTableField id="22" name="Dias-Eventos" tableColumnId="22"/>
      <queryTableField id="23" name="Dias-Visita" tableColumnId="23"/>
      <queryTableField id="24" name="Visitas-Dia" tableColumnId="24"/>
      <queryTableField id="25" name="Visitas-Realizar" tableColumnId="25"/>
      <queryTableField id="26" name="Visitas-Realizadas" tableColumnId="26"/>
      <queryTableField id="28" name="Visitas-Cobertura" tableColumnId="28"/>
      <queryTableField id="32" dataBound="0" tableColumnId="30"/>
    </queryTableFields>
  </queryTableRefresh>
  <extLst>
    <ext xmlns:x15="http://schemas.microsoft.com/office/spreadsheetml/2010/11/main" uri="{883FBD77-0823-4a55-B5E3-86C4891E6966}">
      <x15:queryTable sourceDataName="Consulta - VIEW_IV_2019_VISITAS_REP"/>
    </ext>
  </extLst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4" backgroundRefresh="0" connectionId="22" xr16:uid="{5C591058-D8C8-4563-96DA-430B068BA359}" autoFormatId="16" applyNumberFormats="0" applyBorderFormats="0" applyFontFormats="0" applyPatternFormats="0" applyAlignmentFormats="0" applyWidthHeightFormats="0">
  <queryTableRefresh nextId="17">
    <queryTableFields count="14">
      <queryTableField id="1" name="#PK-Email" tableColumnId="1"/>
      <queryTableField id="2" name="Nome" tableColumnId="2"/>
      <queryTableField id="3" name="Perfil" tableColumnId="3"/>
      <queryTableField id="4" name="#FK-Cod-Equipe" tableColumnId="4"/>
      <queryTableField id="5" name="Equipe" tableColumnId="5"/>
      <queryTableField id="13" name="#FK-Email-Gerente" tableColumnId="13"/>
      <queryTableField id="14" name="Gerente" tableColumnId="14"/>
      <queryTableField id="6" name="@-Ativo" tableColumnId="6"/>
      <queryTableField id="7" name="@-IV" tableColumnId="7"/>
      <queryTableField id="8" name="%-BERINERT" tableColumnId="8"/>
      <queryTableField id="9" name="%-BERIPLEX" tableColumnId="9"/>
      <queryTableField id="10" name="%-HAEMO" tableColumnId="10"/>
      <queryTableField id="11" name="%-HIZENTRA" tableColumnId="11"/>
      <queryTableField id="12" name="%-PRIVIGEN" tableColumnId="12"/>
    </queryTableFields>
  </queryTableRefresh>
  <extLst>
    <ext xmlns:x15="http://schemas.microsoft.com/office/spreadsheetml/2010/11/main" uri="{883FBD77-0823-4a55-B5E3-86C4891E6966}">
      <x15:queryTable sourceDataName="Consulta - VIEW_IV_2019_DEMANDA_CONFIG_PESOS"/>
    </ext>
  </extLst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3" connectionId="9" xr16:uid="{020B364D-2E7B-4105-ACF4-8218185F0CAB}" autoFormatId="16" applyNumberFormats="0" applyBorderFormats="0" applyFontFormats="0" applyPatternFormats="0" applyAlignmentFormats="0" applyWidthHeightFormats="0">
  <queryTableRefresh nextId="38" unboundColumnsRight="21">
    <queryTableFields count="36">
      <queryTableField id="1" name="Tipo" tableColumnId="1"/>
      <queryTableField id="2" name="Ano-Fiscal" tableColumnId="2"/>
      <queryTableField id="25" name="Tri-Fiscal" tableColumnId="25"/>
      <queryTableField id="3" name="#FK-Email-Gerente" tableColumnId="3"/>
      <queryTableField id="4" name="Gerente" tableColumnId="4"/>
      <queryTableField id="5" name="Cota.BERINERT" tableColumnId="5"/>
      <queryTableField id="6" name="Cota.BERIPLEX" tableColumnId="6"/>
      <queryTableField id="7" name="Cota.HAEMO" tableColumnId="7"/>
      <queryTableField id="8" name="Cota.HIZENTRA" tableColumnId="8"/>
      <queryTableField id="9" name="Cota.PRIVIGEN" tableColumnId="9"/>
      <queryTableField id="10" name="Demanda.BERINERT" tableColumnId="10"/>
      <queryTableField id="11" name="Demanda.BERIPLEX" tableColumnId="11"/>
      <queryTableField id="12" name="Demanda.HAEMO" tableColumnId="12"/>
      <queryTableField id="13" name="Demanda.HIZENTRA" tableColumnId="13"/>
      <queryTableField id="14" name="Demanda.PRIVIGEN" tableColumnId="14"/>
      <queryTableField id="15" dataBound="0" tableColumnId="15"/>
      <queryTableField id="16" dataBound="0" tableColumnId="16"/>
      <queryTableField id="17" dataBound="0" tableColumnId="17"/>
      <queryTableField id="18" dataBound="0" tableColumnId="18"/>
      <queryTableField id="19" dataBound="0" tableColumnId="19"/>
      <queryTableField id="20" dataBound="0" tableColumnId="20"/>
      <queryTableField id="21" dataBound="0" tableColumnId="21"/>
      <queryTableField id="22" dataBound="0" tableColumnId="22"/>
      <queryTableField id="23" dataBound="0" tableColumnId="23"/>
      <queryTableField id="24" dataBound="0" tableColumnId="24"/>
      <queryTableField id="27" dataBound="0" tableColumnId="26"/>
      <queryTableField id="28" dataBound="0" tableColumnId="27"/>
      <queryTableField id="29" dataBound="0" tableColumnId="28"/>
      <queryTableField id="30" dataBound="0" tableColumnId="29"/>
      <queryTableField id="31" dataBound="0" tableColumnId="30"/>
      <queryTableField id="32" dataBound="0" tableColumnId="31"/>
      <queryTableField id="33" dataBound="0" tableColumnId="32"/>
      <queryTableField id="34" dataBound="0" tableColumnId="33"/>
      <queryTableField id="35" dataBound="0" tableColumnId="34"/>
      <queryTableField id="36" dataBound="0" tableColumnId="35"/>
      <queryTableField id="37" dataBound="0" tableColumnId="36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2" connectionId="8" xr16:uid="{A0817D88-5BC8-4443-886E-CC019CF8C910}" autoFormatId="16" applyNumberFormats="0" applyBorderFormats="0" applyFontFormats="0" applyPatternFormats="0" applyAlignmentFormats="0" applyWidthHeightFormats="0">
  <queryTableRefresh nextId="41" unboundColumnsRight="11">
    <queryTableFields count="27">
      <queryTableField id="18" name="Tipo" tableColumnId="18"/>
      <queryTableField id="3" name="Ano-Fiscal" tableColumnId="3"/>
      <queryTableField id="4" name="Mes-Fiscal" tableColumnId="4"/>
      <queryTableField id="5" name="Tri-Fiscal" tableColumnId="5"/>
      <queryTableField id="11" name="#FK-Email-Gerente" tableColumnId="11"/>
      <queryTableField id="12" name="Gerente" tableColumnId="12"/>
      <queryTableField id="20" name="Cota.BERINERT" tableColumnId="19"/>
      <queryTableField id="21" name="Cota.BERIPLEX" tableColumnId="20"/>
      <queryTableField id="22" name="Cota.HAEMO" tableColumnId="21"/>
      <queryTableField id="23" name="Cota.HIZENTRA" tableColumnId="22"/>
      <queryTableField id="24" name="Cota.PRIVIGEN" tableColumnId="23"/>
      <queryTableField id="25" name="Demanda.BERINERT" tableColumnId="24"/>
      <queryTableField id="26" name="Demanda.BERIPLEX" tableColumnId="25"/>
      <queryTableField id="27" name="Demanda.HAEMO" tableColumnId="26"/>
      <queryTableField id="28" name="Demanda.HIZENTRA" tableColumnId="27"/>
      <queryTableField id="29" name="Demanda.PRIVIGEN" tableColumnId="28"/>
      <queryTableField id="30" dataBound="0" tableColumnId="29"/>
      <queryTableField id="31" dataBound="0" tableColumnId="30"/>
      <queryTableField id="32" dataBound="0" tableColumnId="31"/>
      <queryTableField id="33" dataBound="0" tableColumnId="32"/>
      <queryTableField id="34" dataBound="0" tableColumnId="33"/>
      <queryTableField id="35" dataBound="0" tableColumnId="34"/>
      <queryTableField id="36" dataBound="0" tableColumnId="35"/>
      <queryTableField id="37" dataBound="0" tableColumnId="36"/>
      <queryTableField id="38" dataBound="0" tableColumnId="37"/>
      <queryTableField id="39" dataBound="0" tableColumnId="38"/>
      <queryTableField id="40" dataBound="0" tableColumnId="1"/>
    </queryTableFields>
  </queryTableRefresh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3" backgroundRefresh="0" connectionId="21" xr16:uid="{78EAA02F-2997-4430-8302-D34347F9A870}" autoFormatId="16" applyNumberFormats="0" applyBorderFormats="0" applyFontFormats="0" applyPatternFormats="0" applyAlignmentFormats="0" applyWidthHeightFormats="0">
  <queryTableRefresh nextId="17" unboundColumnsRight="2">
    <queryTableFields count="9">
      <queryTableField id="3" name="Ano-Fiscal" tableColumnId="3"/>
      <queryTableField id="4" name="Mes-Fiscal" tableColumnId="4"/>
      <queryTableField id="5" name="Tri-Fiscal" tableColumnId="5"/>
      <queryTableField id="11" name="#FK-Email-Gerente" tableColumnId="11"/>
      <queryTableField id="12" name="Gerente" tableColumnId="12"/>
      <queryTableField id="13" name="Visitas-Realizar" tableColumnId="13"/>
      <queryTableField id="14" name="Visitas-Realizadas" tableColumnId="14"/>
      <queryTableField id="15" dataBound="0" tableColumnId="15"/>
      <queryTableField id="16" dataBound="0" tableColumnId="16"/>
    </queryTableFields>
  </queryTableRefresh>
  <extLst>
    <ext xmlns:x15="http://schemas.microsoft.com/office/spreadsheetml/2010/11/main" uri="{883FBD77-0823-4a55-B5E3-86C4891E6966}">
      <x15:queryTable sourceDataName="Consulta - VIEW_IV_2019_VISITAS_GR"/>
    </ext>
  </extLst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backgroundRefresh="0" connectionId="19" xr16:uid="{D2016282-C3B2-4B6C-82D5-6D65D879F0C4}" autoFormatId="16" applyNumberFormats="0" applyBorderFormats="0" applyFontFormats="0" applyPatternFormats="0" applyAlignmentFormats="0" applyWidthHeightFormats="0">
  <queryTableRefresh nextId="21">
    <queryTableFields count="12">
      <queryTableField id="3" name="Ano-Fiscal" tableColumnId="3"/>
      <queryTableField id="4" name="Mes-Fiscal" tableColumnId="4"/>
      <queryTableField id="5" name="Tri-Fiscal" tableColumnId="5"/>
      <queryTableField id="10" name="CNPJ" tableColumnId="10"/>
      <queryTableField id="11" name="Estabelecimento" tableColumnId="11"/>
      <queryTableField id="12" name="Cidade" tableColumnId="12"/>
      <queryTableField id="13" name="UF" tableColumnId="13"/>
      <queryTableField id="17" name="#FK-Email-Gerente" tableColumnId="17"/>
      <queryTableField id="18" name="Gerente" tableColumnId="18"/>
      <queryTableField id="14" name="Cod-Linha" tableColumnId="14"/>
      <queryTableField id="15" name="Linha" tableColumnId="15"/>
      <queryTableField id="16" name="EQ" tableColumnId="16"/>
    </queryTableFields>
  </queryTableRefresh>
  <extLst>
    <ext xmlns:x15="http://schemas.microsoft.com/office/spreadsheetml/2010/11/main" uri="{883FBD77-0823-4a55-B5E3-86C4891E6966}">
      <x15:queryTable sourceDataName="Consulta - VIEW_IV_2019_DEMANDA_SETORIZADA_GR"/>
    </ext>
  </extLst>
</queryTable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4" backgroundRefresh="0" connectionId="23" xr16:uid="{8AEE9AE2-757F-4DEA-BC68-3C4CE9864341}" autoFormatId="16" applyNumberFormats="0" applyBorderFormats="0" applyFontFormats="0" applyPatternFormats="0" applyAlignmentFormats="0" applyWidthHeightFormats="0">
  <queryTableRefresh nextId="8">
    <queryTableFields count="6">
      <queryTableField id="1" name="#FK-CNPJ" tableColumnId="1"/>
      <queryTableField id="2" name="Estabelecimento" tableColumnId="2"/>
      <queryTableField id="3" name="Cidade" tableColumnId="3"/>
      <queryTableField id="4" name="UF" tableColumnId="4"/>
      <queryTableField id="5" name="#FK-Email-Gerente" tableColumnId="5"/>
      <queryTableField id="6" name="Gerente" tableColumnId="6"/>
    </queryTableFields>
  </queryTableRefresh>
  <extLst>
    <ext xmlns:x15="http://schemas.microsoft.com/office/spreadsheetml/2010/11/main" uri="{883FBD77-0823-4a55-B5E3-86C4891E6966}">
      <x15:queryTable sourceDataName="Consulta - VIEW_IV_2019_ESTABELECIMENTOS_SETORIZACAO_GR"/>
    </ext>
  </extLst>
</queryTable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4" xr16:uid="{7D1D2B1C-B4EC-497C-8E83-EDB8547A0835}" autoFormatId="16" applyNumberFormats="0" applyBorderFormats="0" applyFontFormats="0" applyPatternFormats="0" applyAlignmentFormats="0" applyWidthHeightFormats="0">
  <queryTableRefresh nextId="52">
    <queryTableFields count="19">
      <queryTableField id="29" name="Ano-Fiscal" tableColumnId="29"/>
      <queryTableField id="30" name="Mes-Fiscal" tableColumnId="30"/>
      <queryTableField id="31" name="Tri-Fiscal" tableColumnId="31"/>
      <queryTableField id="1" name="#FK-CNPJ" tableColumnId="1"/>
      <queryTableField id="2" name="Estabelecimento" tableColumnId="2"/>
      <queryTableField id="3" name="Cidade" tableColumnId="3"/>
      <queryTableField id="4" name="UF" tableColumnId="4"/>
      <queryTableField id="5" name="Status" tableColumnId="5"/>
      <queryTableField id="6" name="Qtd_REPS" tableColumnId="6"/>
      <queryTableField id="7" name="Email-Representante" tableColumnId="7"/>
      <queryTableField id="8" name="Representante" tableColumnId="8"/>
      <queryTableField id="11" name="Equipe" tableColumnId="11"/>
      <queryTableField id="50" name="#FK-Email-Gerente" tableColumnId="16"/>
      <queryTableField id="13" name="Gerente" tableColumnId="13"/>
      <queryTableField id="45" name="Demanda.BERINERT" tableColumnId="9"/>
      <queryTableField id="46" name="Demanda.BERIPLEX" tableColumnId="10"/>
      <queryTableField id="47" name="Demanda.HAEMO" tableColumnId="12"/>
      <queryTableField id="48" name="Demanda.HIZENTRA" tableColumnId="14"/>
      <queryTableField id="49" name="Demanda.PRIVIGEN" tableColumnId="15"/>
    </queryTableFields>
  </queryTableRefresh>
</queryTable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15" xr16:uid="{D84D58A5-4D38-473E-B88D-C8DCE7E8DF58}" autoFormatId="16" applyNumberFormats="0" applyBorderFormats="0" applyFontFormats="0" applyPatternFormats="0" applyAlignmentFormats="0" applyWidthHeightFormats="0">
  <queryTableRefresh nextId="15">
    <queryTableFields count="7">
      <queryTableField id="3" name="Ano-Fiscal" tableColumnId="3"/>
      <queryTableField id="4" name="Mes-Fiscal" tableColumnId="4"/>
      <queryTableField id="5" name="Tri-Fiscal" tableColumnId="5"/>
      <queryTableField id="11" name="CNPJ" tableColumnId="11"/>
      <queryTableField id="12" name="Estabelecimento-Venda" tableColumnId="12"/>
      <queryTableField id="13" name="Grupo-Linha-IV-REP" tableColumnId="13"/>
      <queryTableField id="14" name="BRL" tableColumnId="14"/>
    </queryTable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Mes_Fiscal" xr10:uid="{AFD1558A-4243-4E0E-B082-61773D6880AD}" sourceName="Mes-Fiscal">
  <pivotTables>
    <pivotTable tabId="38" name="pvt_Demanda_Detalhada_REP"/>
  </pivotTables>
  <data>
    <tabular pivotCacheId="1805376015">
      <items count="4">
        <i x="0"/>
        <i x="1"/>
        <i x="2" s="1"/>
        <i x="3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Tri_Fiscal" xr10:uid="{A8432534-19D1-4136-8EE1-2EBA867DD059}" sourceName="Tri-Fiscal">
  <pivotTables>
    <pivotTable tabId="38" name="pvt_Demanda_Detalhada_REP"/>
    <pivotTable tabId="38" name="pvt_Demanda_Detalhada_REP_Tri"/>
  </pivotTables>
  <data>
    <tabular pivotCacheId="1805376015">
      <items count="2">
        <i x="0" s="1"/>
        <i x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Email_Representante" xr10:uid="{A35B3970-963F-4DC9-9E09-5699207F6B3A}" sourceName="Email-Representante">
  <pivotTables>
    <pivotTable tabId="38" name="pvt_Demanda_Detalhada_REP"/>
    <pivotTable tabId="38" name="pvt_Demanda_Detalhada_REP_Tri"/>
  </pivotTables>
  <data>
    <tabular pivotCacheId="1805376015">
      <items count="23">
        <i x="13"/>
        <i x="17"/>
        <i x="15"/>
        <i x="14"/>
        <i x="10"/>
        <i x="9"/>
        <i x="5"/>
        <i x="16"/>
        <i x="4"/>
        <i x="3"/>
        <i x="1"/>
        <i x="7"/>
        <i x="12"/>
        <i x="8"/>
        <i x="20"/>
        <i x="11"/>
        <i x="19"/>
        <i x="6"/>
        <i x="18"/>
        <i x="21"/>
        <i x="0"/>
        <i x="2" s="1"/>
        <i x="22" nd="1"/>
      </items>
    </tabular>
  </data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Mes_Fiscal1" xr10:uid="{A4EC26F6-F50C-48F0-ADAB-3B44D1786C26}" sourceName="Mes-Fiscal">
  <pivotTables>
    <pivotTable tabId="43" name="pvt_Demanda_Detalhada_GR"/>
  </pivotTables>
  <data>
    <tabular pivotCacheId="1494696249">
      <items count="4">
        <i x="0"/>
        <i x="1"/>
        <i x="2" s="1"/>
        <i x="3" nd="1"/>
      </items>
    </tabular>
  </data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Tri_Fiscal1" xr10:uid="{7685EC16-4FED-45CE-B9CB-49673297C980}" sourceName="Tri-Fiscal">
  <pivotTables>
    <pivotTable tabId="43" name="pvt_Demanda_Detalhada_GR"/>
  </pivotTables>
  <data>
    <tabular pivotCacheId="1494696249">
      <items count="2">
        <i x="0" s="1"/>
        <i x="1" nd="1"/>
      </items>
    </tabular>
  </data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_FK_Email_Gerente" xr10:uid="{2944CAC2-0D70-4A7C-906D-118BAAEE23EC}" sourceName="#FK-Email-Gerente">
  <pivotTables>
    <pivotTable tabId="43" name="pvt_Demanda_Detalhada_GR"/>
  </pivotTables>
  <data>
    <tabular pivotCacheId="1494696249">
      <items count="4">
        <i x="0"/>
        <i x="1"/>
        <i x="2" s="1"/>
        <i x="3" nd="1"/>
      </items>
    </tabular>
  </data>
</slicerCacheDefinition>
</file>

<file path=xl/slicerCaches/slicerCache7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Ano_Fiscal1" xr10:uid="{6F3F0AEF-2BBC-4071-B1B2-A8A95A6C7611}" sourceName="Ano-Fiscal">
  <pivotTables>
    <pivotTable tabId="46" name="pvt_Venda_Detalhada_Mes"/>
  </pivotTables>
  <data>
    <tabular pivotCacheId="1167195518">
      <items count="1">
        <i x="0" s="1"/>
      </items>
    </tabular>
  </data>
</slicerCacheDefinition>
</file>

<file path=xl/slicerCaches/slicerCache8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Mes_Fiscal3" xr10:uid="{A0849B56-47EE-4833-9EDF-9363B8A2B153}" sourceName="Mes-Fiscal">
  <pivotTables>
    <pivotTable tabId="46" name="pvt_Venda_Detalhada_Mes"/>
  </pivotTables>
  <data>
    <tabular pivotCacheId="1167195518">
      <items count="4">
        <i x="0"/>
        <i x="1"/>
        <i x="2" s="1"/>
        <i x="3" nd="1"/>
      </items>
    </tabular>
  </data>
</slicerCacheDefinition>
</file>

<file path=xl/slicerCaches/slicerCache9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Tri_Fiscal3" xr10:uid="{342E62C7-3141-4B92-AC06-F40DE2B101B9}" sourceName="Tri-Fiscal">
  <pivotTables>
    <pivotTable tabId="46" name="pvt_Venda_Detalhada_Mes"/>
  </pivotTables>
  <data>
    <tabular pivotCacheId="1167195518">
      <items count="2">
        <i x="0" s="1"/>
        <i x="1" nd="1"/>
      </items>
    </tabular>
  </data>
</slicerCacheDefinition>
</file>

<file path=xl/slicerCaches/slicerCache10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Ano_Fiscal" xr10:uid="{0E98E227-CAB8-44F0-AA61-4A07B6F18932}" sourceName="Ano-Fiscal">
  <extLst>
    <x:ext xmlns:x15="http://schemas.microsoft.com/office/spreadsheetml/2010/11/main" uri="{2F2917AC-EB37-4324-AD4E-5DD8C200BD13}">
      <x15:tableSlicerCache tableId="14" column="3"/>
    </x:ext>
  </extLst>
</slicerCacheDefinition>
</file>

<file path=xl/slicerCaches/slicerCache1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Mes_Fiscal2" xr10:uid="{0A154D0E-EF73-4BB1-98E5-A2E5040C63BE}" sourceName="Mes-Fiscal">
  <extLst>
    <x:ext xmlns:x15="http://schemas.microsoft.com/office/spreadsheetml/2010/11/main" uri="{2F2917AC-EB37-4324-AD4E-5DD8C200BD13}">
      <x15:tableSlicerCache tableId="14" column="4"/>
    </x:ext>
  </extLst>
</slicerCacheDefinition>
</file>

<file path=xl/slicerCaches/slicerCache1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Tri_Fiscal2" xr10:uid="{DB1B9793-AF1D-4114-A6F8-CAB3EAC7FB0F}" sourceName="Tri-Fiscal">
  <extLst>
    <x:ext xmlns:x15="http://schemas.microsoft.com/office/spreadsheetml/2010/11/main" uri="{2F2917AC-EB37-4324-AD4E-5DD8C200BD13}">
      <x15:tableSlicerCache tableId="14" column="5"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Ano-Fiscal 1" xr10:uid="{39BC3186-A7D5-4833-8767-62BA12B77B6C}" cache="SegmentaçãodeDados_Ano_Fiscal" caption="Ano-Fiscal" style="SlicerStyleLight6" rowHeight="241300"/>
  <slicer name="Mes-Fiscal 3" xr10:uid="{CAFC3B10-19EF-48F8-BE24-1ACC2329BAD2}" cache="SegmentaçãodeDados_Mes_Fiscal2" caption="Mes-Fiscal" startItem="2" style="SlicerStyleLight6" rowHeight="241300"/>
  <slicer name="Tri-Fiscal 3" xr10:uid="{F870010B-1005-4712-AE47-39E733045F6B}" cache="SegmentaçãodeDados_Tri_Fiscal2" caption="Tri-Fiscal" style="SlicerStyleLight6" rowHeight="24130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Ano-Fiscal" xr10:uid="{E29E862F-1356-4F0B-8CCB-27F84445AF3F}" cache="SegmentaçãodeDados_Ano_Fiscal" caption="Ano-Fiscal" style="SlicerStyleLight6" rowHeight="241300"/>
  <slicer name="Mes-Fiscal 2" xr10:uid="{EAD20C8F-A21D-43F1-BAF9-1FF88B748438}" cache="SegmentaçãodeDados_Mes_Fiscal2" caption="Mes-Fiscal" columnCount="5" style="SlicerStyleLight6" rowHeight="241300"/>
  <slicer name="Tri-Fiscal 2" xr10:uid="{A4F95F99-5A5D-4BF9-820E-599CF97FDC6C}" cache="SegmentaçãodeDados_Tri_Fiscal2" caption="Tri-Fiscal" style="SlicerStyleLight6" rowHeight="241300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Mes-Fiscal" xr10:uid="{A4A8E603-14F4-4D34-A891-9F89684D1401}" cache="SegmentaçãodeDados_Mes_Fiscal" caption="Mês" startItem="2" style="SlicerStyleLight6" rowHeight="241300"/>
  <slicer name="Tri-Fiscal" xr10:uid="{7105824C-40BD-4B60-A831-2F21328C2B75}" cache="SegmentaçãodeDados_Tri_Fiscal" caption="Tri" style="SlicerStyleLight6" rowHeight="241300"/>
  <slicer name="Email-Representante" xr10:uid="{557B0685-C06D-4D1F-BCC3-7D01D622AE1B}" cache="SegmentaçãodeDados_Email_Representante" caption="Email-Representante" startItem="3" style="SlicerStyleLight6" rowHeight="241300"/>
</slicers>
</file>

<file path=xl/slicers/slicer4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Ano-Fiscal 2" xr10:uid="{2E8A27DE-EF8C-4DC1-879A-6A04C92CDAE0}" cache="SegmentaçãodeDados_Ano_Fiscal1" caption="Ano-Fiscal" rowHeight="241300"/>
  <slicer name="Mes-Fiscal 4" xr10:uid="{02D3A96F-A7D2-409B-9A5E-361D04C9A169}" cache="SegmentaçãodeDados_Mes_Fiscal3" caption="Mes-Fiscal" rowHeight="241300"/>
  <slicer name="Tri-Fiscal 4" xr10:uid="{6469D04E-EDAB-49D9-BA5B-745FEF5B53CD}" cache="SegmentaçãodeDados_Tri_Fiscal3" caption="Tri-Fiscal" rowHeight="241300"/>
</slicers>
</file>

<file path=xl/slicers/slicer5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Mes-Fiscal 1" xr10:uid="{26E334DC-B8DB-4E21-8C1E-DB6E4C6E9951}" cache="SegmentaçãodeDados_Mes_Fiscal1" caption="Mês" startItem="2" style="SlicerStyleLight6" rowHeight="241300"/>
  <slicer name="Tri-Fiscal 1" xr10:uid="{C5165686-D86A-4132-BE5F-80811E0A2197}" cache="SegmentaçãodeDados_Tri_Fiscal1" caption="Tri" style="SlicerStyleLight6" rowHeight="241300"/>
  <slicer name="#FK-Email-Gerente" xr10:uid="{44F5C6C2-F194-4664-BB90-88C827B500AF}" cache="SegmentaçãodeDados__FK_Email_Gerente" caption="#FK-Email-Gerente" style="SlicerStyleLight6" rowHeight="241300"/>
</slicers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1CEF0685-FFA4-4D31-A9C3-53116062BE8E}" name="VIEW_IV_2019_ESTABELECIMENTOS_SETORIZACAO_REP" displayName="VIEW_IV_2019_ESTABELECIMENTOS_SETORIZACAO_REP" ref="A5:O1000" tableType="queryTable" totalsRowShown="0" headerRowDxfId="694" dataDxfId="693">
  <autoFilter ref="A5:O1000" xr:uid="{D8065C7A-5728-4B53-9698-1CA6708A75C8}"/>
  <tableColumns count="15">
    <tableColumn id="1" xr3:uid="{54406788-230D-4183-8998-C3BF047701A6}" uniqueName="1" name="#FK-CNPJ" queryTableFieldId="1" dataDxfId="692"/>
    <tableColumn id="2" xr3:uid="{1662F042-844E-4241-BB34-EEF4EDD3C583}" uniqueName="2" name="Estabelecimento" queryTableFieldId="2" dataDxfId="691"/>
    <tableColumn id="3" xr3:uid="{6104D244-5D50-4244-9AF6-B6CA3F20B67C}" uniqueName="3" name="Cidade" queryTableFieldId="3" dataDxfId="690"/>
    <tableColumn id="4" xr3:uid="{B0F2A169-858A-4260-A1B9-985B0D3DABF3}" uniqueName="4" name="UF" queryTableFieldId="4" dataDxfId="689"/>
    <tableColumn id="5" xr3:uid="{1F7CF81C-E758-4079-82B6-AEE2F4CB7DDF}" uniqueName="5" name="Status" queryTableFieldId="5" dataDxfId="688"/>
    <tableColumn id="6" xr3:uid="{5DAB6BB4-7363-49D6-846C-4645A0611293}" uniqueName="6" name="Qtd_REPS" queryTableFieldId="6" dataDxfId="687"/>
    <tableColumn id="7" xr3:uid="{22E6FC9F-CB80-4E92-BB04-A10FA91341CA}" uniqueName="7" name="Email-Representante" queryTableFieldId="7" dataDxfId="686"/>
    <tableColumn id="8" xr3:uid="{01F2FE9B-A113-4E2C-8BD7-82B76E4561FD}" uniqueName="8" name="Representante" queryTableFieldId="8" dataDxfId="685"/>
    <tableColumn id="11" xr3:uid="{2626CEC9-5938-42F6-B590-D7A029DDA934}" uniqueName="11" name="Equipe" queryTableFieldId="11" dataDxfId="684"/>
    <tableColumn id="13" xr3:uid="{79AACF41-4549-4077-B8FE-F68D62508F80}" uniqueName="13" name="Gerente" queryTableFieldId="13" dataDxfId="683"/>
    <tableColumn id="16" xr3:uid="{85368B1E-E780-4F68-B6A1-23C09107C220}" uniqueName="16" name="@-BERINERT" queryTableFieldId="16" dataDxfId="682"/>
    <tableColumn id="18" xr3:uid="{854CA5C7-F830-4108-8B2E-756AA2950D94}" uniqueName="18" name="@-BERIPLEX" queryTableFieldId="18" dataDxfId="681"/>
    <tableColumn id="20" xr3:uid="{2EFC2CE4-B287-42AD-9B2B-3D7619E9DCDF}" uniqueName="20" name="@-HAEMO" queryTableFieldId="20" dataDxfId="680"/>
    <tableColumn id="22" xr3:uid="{5C778364-6A19-432A-B246-2D7A025B781B}" uniqueName="22" name="@-HIZENTRA" queryTableFieldId="22" dataDxfId="679"/>
    <tableColumn id="24" xr3:uid="{B05BFF73-A8C9-45FB-AE13-BE28D21EBC88}" uniqueName="24" name="@-PRIVIGEN" queryTableFieldId="24" dataDxfId="678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87B86EC8-2718-4723-BDAF-AD352F59C65D}" name="TBL_IV_PERIODOS" displayName="TBL_IV_PERIODOS" ref="A5:N17" tableType="queryTable" totalsRowShown="0" headerRowDxfId="673" dataDxfId="672">
  <autoFilter ref="A5:N17" xr:uid="{0B1ADB40-287F-4F77-A3E3-179351A88A36}">
    <filterColumn colId="3">
      <filters>
        <filter val="03-Set"/>
      </filters>
    </filterColumn>
    <filterColumn colId="4">
      <filters>
        <filter val="01-Tri"/>
      </filters>
    </filterColumn>
  </autoFilter>
  <tableColumns count="14">
    <tableColumn id="1" xr3:uid="{0B20FAB7-EB8A-4EF3-ABF1-D497EDEB70CD}" uniqueName="1" name="Ano-Unv" queryTableFieldId="1" dataDxfId="671"/>
    <tableColumn id="2" xr3:uid="{F5DC3F6D-BD50-42AA-8612-E76B6A72EBF0}" uniqueName="2" name="Mes-Unv" queryTableFieldId="2" dataDxfId="670"/>
    <tableColumn id="3" xr3:uid="{1BA7E2C1-C812-48D9-96E9-1A7B4BF1921F}" uniqueName="3" name="Ano-Fiscal" queryTableFieldId="3" dataDxfId="669"/>
    <tableColumn id="4" xr3:uid="{BFDCB482-1B24-46E1-9AC2-0D0C087DDC11}" uniqueName="4" name="Mes-Fiscal" queryTableFieldId="4" dataDxfId="668"/>
    <tableColumn id="5" xr3:uid="{9AE34C67-3215-4E4C-86EA-80BF44A0AC9F}" uniqueName="5" name="Tri-Fiscal" queryTableFieldId="5" dataDxfId="667"/>
    <tableColumn id="6" xr3:uid="{C789CE47-18E1-4A5C-8057-9BFB9CE62A26}" uniqueName="6" name="Periodo-IV" queryTableFieldId="6" dataDxfId="666"/>
    <tableColumn id="7" xr3:uid="{032BF01B-8A64-4187-97E8-BC74C1549A7B}" uniqueName="7" name="Calculo-2019" queryTableFieldId="7" dataDxfId="665"/>
    <tableColumn id="8" xr3:uid="{8EF63EF2-1A10-476E-B7C8-6A23EA2933A6}" uniqueName="8" name="Calculo-Mensal" queryTableFieldId="8" dataDxfId="664"/>
    <tableColumn id="9" xr3:uid="{CA8786E6-1430-496B-BE75-B8C2FB879994}" uniqueName="9" name="Calculo-Trimestral" queryTableFieldId="9" dataDxfId="663"/>
    <tableColumn id="10" xr3:uid="{DB53FAEA-5EAC-4843-9781-157F03B78804}" uniqueName="10" name="Calculo-Anual" queryTableFieldId="10" dataDxfId="662"/>
    <tableColumn id="11" xr3:uid="{2042E2AE-5804-4F98-8626-5E5BEBF5C6EB}" uniqueName="11" name="Data-Mapas" queryTableFieldId="11" dataDxfId="661"/>
    <tableColumn id="12" xr3:uid="{842CC1B6-37D6-44F3-90A3-D6C829AC2BBA}" uniqueName="12" name="Data-Conferencia" queryTableFieldId="12" dataDxfId="660"/>
    <tableColumn id="13" xr3:uid="{437AAA6F-AA7B-4386-AA69-A507596509D6}" uniqueName="13" name="Data-Fechamento" queryTableFieldId="13" dataDxfId="659"/>
    <tableColumn id="14" xr3:uid="{3AAA00BB-827F-47DC-BEC0-E1181FA2BAB5}" uniqueName="14" name="Data-Pagamento" queryTableFieldId="14" dataDxfId="658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6E59D63E-B100-4F84-BB9C-AE3212E33E53}" name="VIEW_IV_2019_REPRESENTANTES" displayName="VIEW_IV_2019_REPRESENTANTES" ref="A19:L38" tableType="queryTable" totalsRowShown="0" headerRowDxfId="655" dataDxfId="654">
  <autoFilter ref="A19:L38" xr:uid="{F50AB0E2-6CFB-4382-84F9-37580BE146F2}"/>
  <tableColumns count="12">
    <tableColumn id="6" xr3:uid="{E63567E2-ACFC-406A-981C-74B8249A2C32}" uniqueName="6" name="E-mail" queryTableFieldId="6" dataDxfId="653"/>
    <tableColumn id="17" xr3:uid="{C55C0A30-D32A-4F0E-A16B-C37D9651E24C}" uniqueName="17" name="Nome" queryTableFieldId="20" dataDxfId="652"/>
    <tableColumn id="7" xr3:uid="{85C62B70-2B1A-4F3D-9EDD-D6B45FCA1803}" uniqueName="7" name="IV Demanda Mês (70%)" queryTableFieldId="8" dataDxfId="651">
      <calculatedColumnFormula>SUMIFS(VIEW_IV_2019_REP_CALCULO[Premio-Total],VIEW_IV_2019_REP_CALCULO[Ano-Fiscal],Demostrativo_Ano,VIEW_IV_2019_REP_CALCULO[Mes-Fiscal],Demonstrativo_Mes,VIEW_IV_2019_REP_CALCULO['#PK-Email],VIEW_IV_2019_REPRESENTANTES[[#This Row],[E-mail]])</calculatedColumnFormula>
    </tableColumn>
    <tableColumn id="10" xr3:uid="{692D3786-D1BB-413A-98AB-69D1F314A281}" uniqueName="10" name="IV Venda Mês (20%)" queryTableFieldId="11" dataDxfId="650">
      <calculatedColumnFormula>SUMIFS(VIEW_IV_2019_VENDA[Premio-Total-REP],VIEW_IV_2019_VENDA[Ano-Fiscal],Demostrativo_Ano,VIEW_IV_2019_VENDA[Mes-Fiscal],Demonstrativo_Mes)</calculatedColumnFormula>
    </tableColumn>
    <tableColumn id="8" xr3:uid="{1D8DA7F9-EB6A-4884-A711-1A3148FC8918}" uniqueName="8" name="IV Visitas (5%)" queryTableFieldId="9" dataDxfId="649">
      <calculatedColumnFormula>SUMIFS(VIEW_IV_2019_VISITAS_REP[Visitas-Premio],VIEW_IV_2019_VISITAS_REP[Ano-Fiscal],Demostrativo_Ano,VIEW_IV_2019_VISITAS_REP[Mes-Fiscal],Demonstrativo_Mes,VIEW_IV_2019_VISITAS_REP['#PK-Email],VIEW_IV_2019_REPRESENTANTES[[#This Row],[E-mail]])</calculatedColumnFormula>
    </tableColumn>
    <tableColumn id="9" xr3:uid="{118DBBDD-3C33-45A0-AFD1-A35E0C32B3EA}" uniqueName="9" name="IV Conhecimento (5%)" queryTableFieldId="10" dataDxfId="648">
      <calculatedColumnFormula>Vlr_100_REP*0.05</calculatedColumnFormula>
    </tableColumn>
    <tableColumn id="11" xr3:uid="{0651290B-C047-4792-B18A-04252727DEEE}" uniqueName="11" name="Recuperavel Demanda Tri" queryTableFieldId="14" dataDxfId="647">
      <calculatedColumnFormula array="1">IF(Demonstrativo_Calcular_Recuperavel_Tri="Não",0,SUMIFS(VIEW_IV_2019_REP_CALCULO_TRI[Recuperavel-Total],VIEW_IV_2019_REP_CALCULO_TRI[Ano-Fiscal],Demostrativo_Ano,VIEW_IV_2019_REP_CALCULO_TRI[Tri-Fiscal],Demonstrativo_Tri,VIEW_IV_2019_REP_CALCULO_TRI['#PK-Email],VIEW_IV_2019_REPRESENTANTES[[#This Row],[E-mail]]))</calculatedColumnFormula>
    </tableColumn>
    <tableColumn id="12" xr3:uid="{86A7B79D-8C03-43CF-8A4B-5CA8C96E41F3}" uniqueName="12" name="Recuperavel Venda Tri" queryTableFieldId="15" dataDxfId="646">
      <calculatedColumnFormula array="1">IF(Demonstrativo_Calcular_Recuperavel_Tri="Não",0,SUMIFS(VIEW_IV_2019_VENDA_TRI[Recuperavel-Total-REP],VIEW_IV_2019_VENDA_TRI[Ano-Fiscal],Demostrativo_Ano,VIEW_IV_2019_VENDA_TRI[Tri-Fiscal],Demonstrativo_Tri))</calculatedColumnFormula>
    </tableColumn>
    <tableColumn id="13" xr3:uid="{404847A0-1766-47D3-A126-3ED74C673675}" uniqueName="13" name="Acréscimos (+)" queryTableFieldId="16" dataDxfId="645"/>
    <tableColumn id="14" xr3:uid="{044FCB47-6C4B-4A1E-AB63-B608007ACF52}" uniqueName="14" name="Descontos (-)" queryTableFieldId="17" dataDxfId="644"/>
    <tableColumn id="16" xr3:uid="{D3BBC669-4B60-4B23-B501-A7BA6C194CD8}" uniqueName="16" name="Total Premiação" queryTableFieldId="19" dataDxfId="643">
      <calculatedColumnFormula>SUM(VIEW_IV_2019_REPRESENTANTES[[#This Row],[IV Demanda Mês (70%)]:[Acréscimos (+)]])-VIEW_IV_2019_REPRESENTANTES[[#This Row],[Descontos (-)]]</calculatedColumnFormula>
    </tableColumn>
    <tableColumn id="15" xr3:uid="{E794F78B-BA41-4501-90FA-FE0A55BEE7A7}" uniqueName="15" name="Observações" queryTableFieldId="18" dataDxfId="642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3B9D854C-535F-4254-8B19-5B64050D2A52}" name="VIEW_IV_2019_GERENTES" displayName="VIEW_IV_2019_GERENTES" ref="A12:L15" tableType="queryTable" totalsRowShown="0" headerRowDxfId="641" dataDxfId="640">
  <autoFilter ref="A12:L15" xr:uid="{0FD1D4C3-487E-42D6-B0BE-B0BDE697712D}"/>
  <tableColumns count="12">
    <tableColumn id="13" xr3:uid="{0AE42079-8024-4933-9CF4-27DA01B08F6D}" uniqueName="13" name="Email" queryTableFieldId="13" dataDxfId="639"/>
    <tableColumn id="14" xr3:uid="{A085B727-B241-471F-A074-522124C13648}" uniqueName="14" name="Nome" queryTableFieldId="14" dataDxfId="638"/>
    <tableColumn id="3" xr3:uid="{E2FF7BA6-4F1E-46AE-8C56-93BBE809BDA4}" uniqueName="3" name="IV Demanda Mês (70%)" queryTableFieldId="3" dataDxfId="637">
      <calculatedColumnFormula>SUMIFS(VIEW_IV_2019_GR_COTA_DEMANDA[Premio.Total],VIEW_IV_2019_GR_COTA_DEMANDA[Ano-Fiscal],Demostrativo_Ano,VIEW_IV_2019_GR_COTA_DEMANDA[Mes-Fiscal],Demonstrativo_Mes,VIEW_IV_2019_GR_COTA_DEMANDA['#FK-Email-Gerente],VIEW_IV_2019_GERENTES[[#This Row],[Email]])</calculatedColumnFormula>
    </tableColumn>
    <tableColumn id="4" xr3:uid="{76BABE98-D569-4D04-BD06-48FA6D019DDC}" uniqueName="4" name="IV Venda Mês (20%)" queryTableFieldId="4" dataDxfId="636">
      <calculatedColumnFormula>SUMIFS(VIEW_IV_2019_VENDA[Premio-TOTAL-GR],VIEW_IV_2019_VENDA[Ano-Fiscal],Demostrativo_Ano,VIEW_IV_2019_VENDA[Mes-Fiscal],Demonstrativo_Mes)</calculatedColumnFormula>
    </tableColumn>
    <tableColumn id="5" xr3:uid="{21CD3B60-FD7A-4D4F-83E4-5A8E0F7FB3F5}" uniqueName="5" name="IV Visitas (5%)" queryTableFieldId="5" dataDxfId="635">
      <calculatedColumnFormula>SUMIFS(VIEW_IV_2019_VISITAS_GR[Visitas-Premio],VIEW_IV_2019_VISITAS_GR[Ano-Fiscal],Demostrativo_Ano,VIEW_IV_2019_VISITAS_GR[Mes-Fiscal],Demonstrativo_Mes,VIEW_IV_2019_VISITAS_GR['#FK-Email-Gerente],VIEW_IV_2019_GERENTES[[#This Row],[Email]])</calculatedColumnFormula>
    </tableColumn>
    <tableColumn id="6" xr3:uid="{DE4FD780-EC54-4F99-B133-C5A19B453D16}" uniqueName="6" name="IV Conhecimento (5%)" queryTableFieldId="6" dataDxfId="634">
      <calculatedColumnFormula>Vlr_100_GR*0.05</calculatedColumnFormula>
    </tableColumn>
    <tableColumn id="7" xr3:uid="{63E44442-984A-4B1B-8968-7D53DDAA6626}" uniqueName="7" name="Recuperavel Demanda Tri" queryTableFieldId="7" dataDxfId="633">
      <calculatedColumnFormula array="1">IF(Demonstrativo_Calcular_Recuperavel_Tri="Não",0,SUMIFS(VIEW_IV_2019_GR_COTA_DEMANDA_TRI[Recuperavel-Total],VIEW_IV_2019_GR_COTA_DEMANDA_TRI[Ano-Fiscal],Demostrativo_Ano,VIEW_IV_2019_GR_COTA_DEMANDA_TRI[Tri-Fiscal],Demonstrativo_Tri,VIEW_IV_2019_GR_COTA_DEMANDA_TRI['#FK-Email-Gerente],VIEW_IV_2019_GERENTES[[#This Row],[Email]]))</calculatedColumnFormula>
    </tableColumn>
    <tableColumn id="8" xr3:uid="{B2B72AD5-A4AF-4A60-88C2-B6E44574CB6B}" uniqueName="8" name="Recuperavel Venda Tri" queryTableFieldId="8" dataDxfId="632">
      <calculatedColumnFormula array="1">IF(Demonstrativo_Calcular_Recuperavel_Tri="Não",0,SUMIFS(VIEW_IV_2019_VENDA_TRI[Recuperavel-TOTAL-GR],VIEW_IV_2019_VENDA_TRI[Ano-Fiscal],Demostrativo_Ano,VIEW_IV_2019_VENDA_TRI[Tri-Fiscal],Demonstrativo_Tri))</calculatedColumnFormula>
    </tableColumn>
    <tableColumn id="9" xr3:uid="{A29ED50B-F351-4364-AE59-B6CE97DE2D71}" uniqueName="9" name="Acréscimos (+)" queryTableFieldId="9" dataDxfId="631"/>
    <tableColumn id="10" xr3:uid="{C08BF66F-A2F3-422A-BB91-A8F3858F6511}" uniqueName="10" name="Descontos (-)" queryTableFieldId="10" dataDxfId="630"/>
    <tableColumn id="11" xr3:uid="{92878E9C-669F-4D21-9EC1-85D14C773F90}" uniqueName="11" name="Total Premiação" queryTableFieldId="11" dataDxfId="629">
      <calculatedColumnFormula>SUM(VIEW_IV_2019_GERENTES[[#This Row],[IV Demanda Mês (70%)]:[Acréscimos (+)]])-VIEW_IV_2019_GERENTES[[#This Row],[Descontos (-)]]</calculatedColumnFormula>
    </tableColumn>
    <tableColumn id="12" xr3:uid="{8F2BF373-D0F0-43E3-8E62-CD0486A40CB2}" uniqueName="12" name="Observações" queryTableFieldId="12" dataDxfId="628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2EEB6380-6050-4FEC-81F6-3E3E0B390F22}" name="VIEW_IV_2019_VENDA_TRI" displayName="VIEW_IV_2019_VENDA_TRI" ref="A5:AA7" tableType="queryTable" totalsRowShown="0" headerRowDxfId="331" dataDxfId="330">
  <autoFilter ref="A5:AA7" xr:uid="{20726ECE-4173-438F-8BAC-54FCCF873CA3}"/>
  <tableColumns count="27">
    <tableColumn id="3" xr3:uid="{32A3E124-DFB9-464B-9D5A-890461584868}" uniqueName="3" name="Ano-Fiscal" queryTableFieldId="3" dataDxfId="329"/>
    <tableColumn id="5" xr3:uid="{3A247634-B12F-43D6-8006-8873C7A7B11B}" uniqueName="5" name="Tri-Fiscal" queryTableFieldId="5" dataDxfId="328"/>
    <tableColumn id="11" xr3:uid="{EFB396EB-29F1-46FE-B763-BE1029A1798B}" uniqueName="11" name="Cota-ALBUREX" queryTableFieldId="11" dataDxfId="327"/>
    <tableColumn id="9" xr3:uid="{91DCC2F0-DA39-44F4-8810-9D2EF9AB370C}" uniqueName="9" name="Cota-RHOPYLAC" queryTableFieldId="41" dataDxfId="326"/>
    <tableColumn id="13" xr3:uid="{6383DDBA-E55D-4634-AA23-3630315DA21F}" uniqueName="13" name="Cota-OUTRO PRODUTOS" queryTableFieldId="43" dataDxfId="325"/>
    <tableColumn id="23" xr3:uid="{8E697A87-F9DE-4AAF-8D9F-BE3BDFE3231D}" uniqueName="23" name="Cota-TOTAL" queryTableFieldId="23" dataDxfId="324"/>
    <tableColumn id="12" xr3:uid="{5FF8FF2A-27E0-4CCF-8E41-0996CB2B699D}" uniqueName="12" name="Venda-ALBUREX" queryTableFieldId="12" dataDxfId="323"/>
    <tableColumn id="10" xr3:uid="{32B5546D-6B51-4670-B8BF-020113BE3B1B}" uniqueName="10" name="Venda-RHOPYLAC" queryTableFieldId="42" dataDxfId="322"/>
    <tableColumn id="14" xr3:uid="{CA6971D8-5423-4DAF-BCF6-69353FBF4EE5}" uniqueName="14" name="Venda-OUTRO PRODUTOS" queryTableFieldId="44" dataDxfId="321"/>
    <tableColumn id="24" xr3:uid="{8D82ED01-9D74-4FDB-BB62-419AE977BF13}" uniqueName="24" name="Venda-TOTAL" queryTableFieldId="24" dataDxfId="320"/>
    <tableColumn id="18" xr3:uid="{57B18643-02A8-4353-9AE9-65DD40D00019}" uniqueName="18" name="Cobertura-ALBUREX" queryTableFieldId="55" dataDxfId="319" dataCellStyle="Porcentagem">
      <calculatedColumnFormula>IFERROR(VIEW_IV_2019_VENDA_TRI[[#This Row],[Venda-ALBUREX]]/VIEW_IV_2019_VENDA_TRI[[#This Row],[Cota-ALBUREX]],0)</calculatedColumnFormula>
    </tableColumn>
    <tableColumn id="17" xr3:uid="{1FAC4280-74C0-4D4E-9689-333EEF7A6BC8}" uniqueName="17" name="Cobertura-RHOPYLAC" queryTableFieldId="54" dataDxfId="318" dataCellStyle="Porcentagem">
      <calculatedColumnFormula>IFERROR(VIEW_IV_2019_VENDA_TRI[[#This Row],[Venda-RHOPYLAC]]/VIEW_IV_2019_VENDA_TRI[[#This Row],[Cota-RHOPYLAC]],0)</calculatedColumnFormula>
    </tableColumn>
    <tableColumn id="16" xr3:uid="{54EC1A03-1874-46D3-9E14-D538CFC87D31}" uniqueName="16" name="Cobertura-OUTROS PRODUTOS" queryTableFieldId="53" dataDxfId="317" dataCellStyle="Porcentagem">
      <calculatedColumnFormula>IFERROR(VIEW_IV_2019_VENDA_TRI[[#This Row],[Venda-OUTRO PRODUTOS]]/VIEW_IV_2019_VENDA_TRI[[#This Row],[Cota-OUTRO PRODUTOS]],0)</calculatedColumnFormula>
    </tableColumn>
    <tableColumn id="15" xr3:uid="{A32B9FCA-18B3-4EF8-82AC-CFB5AAB3305C}" uniqueName="15" name="Cobertura-TOTAL" queryTableFieldId="52" dataDxfId="316" dataCellStyle="Porcentagem">
      <calculatedColumnFormula>IFERROR(VIEW_IV_2019_VENDA_TRI[[#This Row],[Venda-TOTAL]]/VIEW_IV_2019_VENDA_TRI[[#This Row],[Cota-TOTAL]],0)</calculatedColumnFormula>
    </tableColumn>
    <tableColumn id="27" xr3:uid="{517CFC47-961D-4D6C-B130-E1B11715975A}" uniqueName="27" name="Premio-ALBUREX" queryTableFieldId="27" dataDxfId="315">
      <calculatedColumnFormula>(IF(VIEW_IV_2019_VENDA_TRI[[#This Row],[Cobertura-ALBUREX]]&lt;Cob_Min_REP,0,IF(VIEW_IV_2019_VENDA_TRI[[#This Row],[Cobertura-ALBUREX]]&gt;Cob_Max_REP,Vlr_Max_REP,VLOOKUP(VIEW_IV_2019_VENDA_TRI[[#This Row],[Cobertura-ALBUREX]],Tabela_Valores_REP,2,1)))*O$1)*3</calculatedColumnFormula>
    </tableColumn>
    <tableColumn id="28" xr3:uid="{40150489-F6A3-46D7-BDBE-4F4B146F5657}" uniqueName="28" name="Premio-RHOPYLAC" queryTableFieldId="28" dataDxfId="314">
      <calculatedColumnFormula>IF(VIEW_IV_2019_VENDA_TRI[[#This Row],[Cobertura-RHOPYLAC]]&lt;Cob_Min_REP,0,IF(VIEW_IV_2019_VENDA_TRI[[#This Row],[Cobertura-RHOPYLAC]]&gt;Cob_Max_REP,Vlr_Max_REP,VLOOKUP(VIEW_IV_2019_VENDA_TRI[[#This Row],[Cobertura-RHOPYLAC]],Tabela_Valores_REP,2,1)))*P$1</calculatedColumnFormula>
    </tableColumn>
    <tableColumn id="29" xr3:uid="{E9C84C33-8166-4FE0-BDD0-26CB576EE050}" uniqueName="29" name="Premio-OUTROS" queryTableFieldId="29" dataDxfId="313">
      <calculatedColumnFormula>IF(VIEW_IV_2019_VENDA_TRI[[#This Row],[Cobertura-OUTROS PRODUTOS]]&lt;Cob_Min_REP,0,IF(VIEW_IV_2019_VENDA_TRI[[#This Row],[Cobertura-OUTROS PRODUTOS]]&gt;Cob_Max_REP,Vlr_Max_REP,VLOOKUP(VIEW_IV_2019_VENDA_TRI[[#This Row],[Cobertura-OUTROS PRODUTOS]],Tabela_Valores_REP,2,1)))*Q$1</calculatedColumnFormula>
    </tableColumn>
    <tableColumn id="30" xr3:uid="{024D81D4-41D2-47B4-B969-4F60DD0C2B4C}" uniqueName="30" name="Premio-TOTAL-GR" queryTableFieldId="30" dataDxfId="312">
      <calculatedColumnFormula>IF(VIEW_IV_2019_VENDA_TRI[[#This Row],[Cobertura-TOTAL]]&lt;Cob_Min_REP,0,IF(VIEW_IV_2019_VENDA_TRI[[#This Row],[Cobertura-TOTAL]]&gt;Cob_Max_REP,Vlr_Max_REP,VLOOKUP(VIEW_IV_2019_VENDA_TRI[[#This Row],[Cobertura-TOTAL]],Tabela_Valores_REP,2,1)))*R$1</calculatedColumnFormula>
    </tableColumn>
    <tableColumn id="19" xr3:uid="{E7CA3D11-4872-4CF6-AFB8-999E8D87F05F}" uniqueName="19" name="Recebido-ALBUREX" queryTableFieldId="56" dataDxfId="311">
      <calculatedColumnFormula>SUMIFS(VIEW_IV_2019_VENDA[Premio-ALBUREX],VIEW_IV_2019_VENDA[Ano-Fiscal],VIEW_IV_2019_VENDA_TRI[[#This Row],[Ano-Fiscal]],VIEW_IV_2019_VENDA[Tri-Fiscal],VIEW_IV_2019_VENDA_TRI[[#This Row],[Tri-Fiscal]])</calculatedColumnFormula>
    </tableColumn>
    <tableColumn id="20" xr3:uid="{D17DE862-98F9-461D-BEF5-0C458C4EA907}" uniqueName="20" name="Recebido-RHOPYLAC" queryTableFieldId="57" dataDxfId="310">
      <calculatedColumnFormula>SUMIFS(VIEW_IV_2019_VENDA[Premio-RHOPYLAC],VIEW_IV_2019_VENDA[Ano-Fiscal],VIEW_IV_2019_VENDA_TRI[[#This Row],[Ano-Fiscal]],VIEW_IV_2019_VENDA[Tri-Fiscal],VIEW_IV_2019_VENDA_TRI[[#This Row],[Tri-Fiscal]])</calculatedColumnFormula>
    </tableColumn>
    <tableColumn id="21" xr3:uid="{D239FA98-4ACA-49F4-BD45-B50B8D3B7198}" uniqueName="21" name="Recebido-OUTROS" queryTableFieldId="58" dataDxfId="309">
      <calculatedColumnFormula>SUMIFS(VIEW_IV_2019_VENDA[Premio-OUTROS],VIEW_IV_2019_VENDA[Ano-Fiscal],VIEW_IV_2019_VENDA_TRI[[#This Row],[Ano-Fiscal]],VIEW_IV_2019_VENDA[Tri-Fiscal],VIEW_IV_2019_VENDA_TRI[[#This Row],[Tri-Fiscal]])</calculatedColumnFormula>
    </tableColumn>
    <tableColumn id="22" xr3:uid="{CC49C7CC-9135-46C5-8DB0-015C0ED854E8}" uniqueName="22" name="Recebido-TOTAL-GR" queryTableFieldId="59" dataDxfId="308">
      <calculatedColumnFormula>SUMIFS(VIEW_IV_2019_VENDA[Premio-TOTAL-GR],VIEW_IV_2019_VENDA[Ano-Fiscal],VIEW_IV_2019_VENDA_TRI[[#This Row],[Ano-Fiscal]],VIEW_IV_2019_VENDA[Tri-Fiscal],VIEW_IV_2019_VENDA_TRI[[#This Row],[Tri-Fiscal]])</calculatedColumnFormula>
    </tableColumn>
    <tableColumn id="25" xr3:uid="{39102885-DFE4-4691-89B8-AAABEAE60C34}" uniqueName="25" name="Recuperavel-ALBUREX" queryTableFieldId="60" dataDxfId="307">
      <calculatedColumnFormula>IF(VIEW_IV_2019_VENDA_TRI[[#This Row],[Premio-ALBUREX]]-VIEW_IV_2019_VENDA_TRI[[#This Row],[Recebido-ALBUREX]]&lt;=0,0,VIEW_IV_2019_VENDA_TRI[[#This Row],[Premio-ALBUREX]]-VIEW_IV_2019_VENDA_TRI[[#This Row],[Recebido-ALBUREX]])</calculatedColumnFormula>
    </tableColumn>
    <tableColumn id="26" xr3:uid="{41E97A4C-277F-4684-BCB2-7B9206C063D0}" uniqueName="26" name="Recuperavel-RHOPYLAC" queryTableFieldId="61" dataDxfId="306">
      <calculatedColumnFormula>IF(VIEW_IV_2019_VENDA_TRI[[#This Row],[Premio-RHOPYLAC]]-VIEW_IV_2019_VENDA_TRI[[#This Row],[Recebido-RHOPYLAC]]&lt;=0,0,VIEW_IV_2019_VENDA_TRI[[#This Row],[Premio-RHOPYLAC]]-VIEW_IV_2019_VENDA_TRI[[#This Row],[Recebido-RHOPYLAC]])</calculatedColumnFormula>
    </tableColumn>
    <tableColumn id="31" xr3:uid="{E67FEB31-6308-4F92-B4F4-6C008E4CA152}" uniqueName="31" name="Recuperavel-OUTROS" queryTableFieldId="62" dataDxfId="305">
      <calculatedColumnFormula>IF(VIEW_IV_2019_VENDA_TRI[[#This Row],[Premio-OUTROS]]-VIEW_IV_2019_VENDA_TRI[[#This Row],[Recebido-OUTROS]]&lt;=0,0,VIEW_IV_2019_VENDA_TRI[[#This Row],[Premio-OUTROS]]-VIEW_IV_2019_VENDA_TRI[[#This Row],[Recebido-OUTROS]])</calculatedColumnFormula>
    </tableColumn>
    <tableColumn id="1" xr3:uid="{FA6C01E0-C7BB-426F-A90D-17C9CE469F5A}" uniqueName="1" name="Recuperavel-Total-REP" queryTableFieldId="64" dataDxfId="304">
      <calculatedColumnFormula>SUM(VIEW_IV_2019_VENDA_TRI[[#This Row],[Recuperavel-ALBUREX]:[Recuperavel-OUTROS]])</calculatedColumnFormula>
    </tableColumn>
    <tableColumn id="32" xr3:uid="{2D904BD2-6279-4691-A30F-3D5FF705400F}" uniqueName="32" name="Recuperavel-TOTAL-GR" queryTableFieldId="63" dataDxfId="303">
      <calculatedColumnFormula>IF(VIEW_IV_2019_VENDA_TRI[[#This Row],[Premio-TOTAL-GR]]-VIEW_IV_2019_VENDA_TRI[[#This Row],[Recebido-TOTAL-GR]]&lt;=0,0,VIEW_IV_2019_VENDA_TRI[[#This Row],[Premio-TOTAL-GR]]-VIEW_IV_2019_VENDA_TRI[[#This Row],[Recebido-TOTAL-GR]])</calculatedColumnFormula>
    </tableColumn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2A56B160-EFC8-4165-A101-D684D76CED79}" name="VIEW_IV_2019_VENDA" displayName="VIEW_IV_2019_VENDA" ref="A5:X9" tableType="queryTable" totalsRowShown="0" headerRowDxfId="302" dataDxfId="301">
  <autoFilter ref="A5:X9" xr:uid="{20726ECE-4173-438F-8BAC-54FCCF873CA3}"/>
  <tableColumns count="24">
    <tableColumn id="3" xr3:uid="{2618A5E1-0FEA-4449-9EA9-CDE02FEEBD4F}" uniqueName="3" name="Ano-Fiscal" queryTableFieldId="3" dataDxfId="300"/>
    <tableColumn id="4" xr3:uid="{F6F6C435-1741-4D5B-B1EF-51B0AD175AE1}" uniqueName="4" name="Mes-Fiscal" queryTableFieldId="4" dataDxfId="299"/>
    <tableColumn id="5" xr3:uid="{A0643623-800F-4F35-846F-B03C67684FB6}" uniqueName="5" name="Tri-Fiscal" queryTableFieldId="5" dataDxfId="298"/>
    <tableColumn id="11" xr3:uid="{5A001562-23D0-400F-8623-D6A4EE8EE52F}" uniqueName="11" name="Cota-ALBUREX" queryTableFieldId="11" dataDxfId="297"/>
    <tableColumn id="15" xr3:uid="{2879CA53-2233-4306-BB59-F635859769E4}" uniqueName="15" name="Cota-RHOPHYLAC" queryTableFieldId="15" dataDxfId="296"/>
    <tableColumn id="19" xr3:uid="{3AB47B12-EE35-4AF8-95BE-1E573F19A006}" uniqueName="19" name="Cota-OUTROS PRODUTOS" queryTableFieldId="19" dataDxfId="295"/>
    <tableColumn id="23" xr3:uid="{7CBAC899-1016-42F4-9B12-76E93BE75300}" uniqueName="23" name="Cota-TOTAL" queryTableFieldId="23" dataDxfId="294"/>
    <tableColumn id="12" xr3:uid="{5E15942D-7ECC-4CC1-A8D4-AFC17E81EC8D}" uniqueName="12" name="Venda-ALBUREX" queryTableFieldId="12" dataDxfId="293"/>
    <tableColumn id="16" xr3:uid="{12C4BAE9-A220-47A6-8258-C158D3676A38}" uniqueName="16" name="Venda-RHOPHYLAC" queryTableFieldId="16" dataDxfId="292"/>
    <tableColumn id="8" xr3:uid="{D9221B5C-038E-4B3F-ACE1-2157BC223FA1}" uniqueName="8" name="Venda-OUTROS PRODUTOS" queryTableFieldId="39" dataDxfId="291" dataCellStyle="Porcentagem"/>
    <tableColumn id="24" xr3:uid="{10E421EB-6A32-4CEB-A909-646A9492C84A}" uniqueName="24" name="Venda-TOTAL" queryTableFieldId="24" dataDxfId="290"/>
    <tableColumn id="14" xr3:uid="{8CB94A96-5415-437C-B6CC-40E85F44BFD1}" uniqueName="14" name="Cobertura-ALBUREX" queryTableFieldId="14" dataDxfId="289" dataCellStyle="Porcentagem"/>
    <tableColumn id="18" xr3:uid="{CF7B17FE-ADD4-47E7-9B79-3020C57EF8D7}" uniqueName="18" name="Cobertura-RHOPYLAC" queryTableFieldId="18" dataDxfId="288" dataCellStyle="Porcentagem"/>
    <tableColumn id="22" xr3:uid="{40B33A8F-A2D7-4CC1-B464-2C690AA5A23D}" uniqueName="22" name="Cobertura-OUTROS PRODUTOS" queryTableFieldId="22" dataDxfId="287" dataCellStyle="Porcentagem"/>
    <tableColumn id="26" xr3:uid="{461435BB-6D32-45E2-9D58-78F69EE85E41}" uniqueName="26" name="Cobertura-TOTAL" queryTableFieldId="26" dataDxfId="286" dataCellStyle="Porcentagem"/>
    <tableColumn id="1" xr3:uid="{AC98637C-1C3E-4F8C-AFB4-176144CD5AC8}" uniqueName="1" name="Peso-ALBUREX" queryTableFieldId="31" dataDxfId="285" dataCellStyle="Porcentagem"/>
    <tableColumn id="2" xr3:uid="{BA9C7880-09CA-4DBA-AFBD-BF0E86A79B37}" uniqueName="2" name="Peso-RHOPHYLAC" queryTableFieldId="32" dataDxfId="284" dataCellStyle="Porcentagem"/>
    <tableColumn id="6" xr3:uid="{4466F5E2-F3B8-4C86-8EFD-0F1A5E0DCC22}" uniqueName="6" name="Peso-OUTROS PRODUTOS" queryTableFieldId="33" dataDxfId="283" dataCellStyle="Porcentagem"/>
    <tableColumn id="7" xr3:uid="{C0BD3EF0-A744-46DB-A437-89D506CF485F}" uniqueName="7" name="Peso-TOTAL" queryTableFieldId="34" dataDxfId="282" dataCellStyle="Porcentagem"/>
    <tableColumn id="27" xr3:uid="{C4EFE3D4-7BB3-468C-BD10-F47FF5135B4C}" uniqueName="27" name="Premio-ALBUREX" queryTableFieldId="27" dataDxfId="281">
      <calculatedColumnFormula>IF(VIEW_IV_2019_VENDA[[#This Row],[Cobertura-ALBUREX]]&lt;Cob_Min_REP,0,IF(VIEW_IV_2019_VENDA[[#This Row],[Cobertura-ALBUREX]]&gt;Cob_Max_REP,Vlr_Max_REP,VLOOKUP(VIEW_IV_2019_VENDA[[#This Row],[Cobertura-ALBUREX]],Tabela_Valores_REP,2,1)))*VIEW_IV_2019_VENDA[[#This Row],[Peso-ALBUREX]]</calculatedColumnFormula>
    </tableColumn>
    <tableColumn id="28" xr3:uid="{E5285847-22BE-4FA8-9C8D-8B09F4440AF8}" uniqueName="28" name="Premio-RHOPYLAC" queryTableFieldId="28" dataDxfId="280">
      <calculatedColumnFormula>IF(VIEW_IV_2019_VENDA[[#This Row],[Cobertura-RHOPYLAC]]&lt;Cob_Min_REP,0,IF(VIEW_IV_2019_VENDA[[#This Row],[Cobertura-RHOPYLAC]]&gt;Cob_Max_REP,Vlr_Max_REP,VLOOKUP(VIEW_IV_2019_VENDA[[#This Row],[Cobertura-RHOPYLAC]],Tabela_Valores_REP,2,1)))*VIEW_IV_2019_VENDA[[#This Row],[Peso-RHOPHYLAC]]</calculatedColumnFormula>
    </tableColumn>
    <tableColumn id="29" xr3:uid="{A06D8A12-4BED-461C-A17B-9B9F1CE7F1F5}" uniqueName="29" name="Premio-OUTROS" queryTableFieldId="29" dataDxfId="279">
      <calculatedColumnFormula>IF(VIEW_IV_2019_VENDA[[#This Row],[Cobertura-OUTROS PRODUTOS]]&lt;Cob_Min_REP,0,IF(VIEW_IV_2019_VENDA[[#This Row],[Cobertura-OUTROS PRODUTOS]]&gt;Cob_Max_REP,Vlr_Max_REP,VLOOKUP(VIEW_IV_2019_VENDA[[#This Row],[Cobertura-OUTROS PRODUTOS]],Tabela_Valores_REP,2,1)))*VIEW_IV_2019_VENDA[[#This Row],[Peso-OUTROS PRODUTOS]]</calculatedColumnFormula>
    </tableColumn>
    <tableColumn id="9" xr3:uid="{C6F8F14A-4028-4D72-849F-5CABE2EC2833}" uniqueName="9" name="Premio-Total-REP" queryTableFieldId="51" dataDxfId="278">
      <calculatedColumnFormula>SUM(VIEW_IV_2019_VENDA[[#This Row],[Premio-ALBUREX]:[Premio-OUTROS]])</calculatedColumnFormula>
    </tableColumn>
    <tableColumn id="30" xr3:uid="{3FB5EBE8-79D2-4C73-A289-2A38104CCBDF}" uniqueName="30" name="Premio-TOTAL-GR" queryTableFieldId="30" dataDxfId="277">
      <calculatedColumnFormula>IF(VIEW_IV_2019_VENDA[[#This Row],[Cobertura-TOTAL]]&lt;Cob_Min_GR,0,IF(VIEW_IV_2019_VENDA[[#This Row],[Cobertura-TOTAL]]&gt;Cob_Max_GR,Vlr_Max_GR,VLOOKUP(VIEW_IV_2019_VENDA[[#This Row],[Cobertura-TOTAL]],Tabela_Valores_GR,2,1)))*VIEW_IV_2019_VENDA[[#This Row],[Peso-TOTAL]]</calculatedColumnFormula>
    </tableColumn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DD466C34-9AF4-4458-B0BD-BAB92E4303A8}" name="VIEW_IV_2019_REP_CALCULO" displayName="VIEW_IV_2019_REP_CALCULO" ref="A5:AN125" tableType="queryTable" totalsRowShown="0" headerRowDxfId="272" dataDxfId="271">
  <autoFilter ref="A5:AN125" xr:uid="{4827CB14-21C5-45DB-9FD3-6A7448B89114}"/>
  <tableColumns count="40">
    <tableColumn id="3" xr3:uid="{7708B3ED-0D6F-4445-AF1D-27495424131F}" uniqueName="3" name="Ano-Fiscal" queryTableFieldId="3" dataDxfId="270"/>
    <tableColumn id="4" xr3:uid="{C58BD0BE-AFB2-4DC3-8478-B4F08EA3EFB5}" uniqueName="4" name="Mes-Fiscal" queryTableFieldId="4" dataDxfId="269"/>
    <tableColumn id="5" xr3:uid="{8EC4B92F-96F5-4460-B618-71EB1E98C01B}" uniqueName="5" name="Tri-Fiscal" queryTableFieldId="5" dataDxfId="268"/>
    <tableColumn id="11" xr3:uid="{ACF844BA-53AB-4445-9583-68313041BBDA}" uniqueName="11" name="#PK-Email" queryTableFieldId="11" dataDxfId="267"/>
    <tableColumn id="12" xr3:uid="{78C67EC1-BB9F-40DA-AE46-74FD75149600}" uniqueName="12" name="Nome" queryTableFieldId="12" dataDxfId="266"/>
    <tableColumn id="15" xr3:uid="{CFDC9C67-A40C-492B-9CB2-D60108483040}" uniqueName="15" name="Equipe" queryTableFieldId="15" dataDxfId="265"/>
    <tableColumn id="17" xr3:uid="{9C4C010B-87D2-4C39-8121-6AA753037D74}" uniqueName="17" name="Gerente" queryTableFieldId="17" dataDxfId="264"/>
    <tableColumn id="18" xr3:uid="{CD7511F7-C87A-4B5A-8DF1-56F7CCD96541}" uniqueName="18" name="@-Ativo" queryTableFieldId="18" dataDxfId="263"/>
    <tableColumn id="19" xr3:uid="{1DBAFFDB-6E31-4BBD-9B6F-FCE168234EE6}" uniqueName="19" name="@-IV" queryTableFieldId="19" dataDxfId="262"/>
    <tableColumn id="20" xr3:uid="{7213FEC9-54A0-4A4B-98B6-E2CF0D45182B}" uniqueName="20" name="Cota-BERINERT" queryTableFieldId="20" dataDxfId="261"/>
    <tableColumn id="25" xr3:uid="{8530583B-77B5-49EB-90CF-7F7863909FFD}" uniqueName="25" name="Cota-BERIPLEX" queryTableFieldId="25" dataDxfId="260"/>
    <tableColumn id="30" xr3:uid="{7DCB832F-0102-4D49-90BD-32619E3D6538}" uniqueName="30" name="Cota-HAEMO" queryTableFieldId="30" dataDxfId="259"/>
    <tableColumn id="35" xr3:uid="{238EA9A9-07C4-4E91-BF20-4DBF3294C1B2}" uniqueName="35" name="Cota-HIZENTRA" queryTableFieldId="35" dataDxfId="258"/>
    <tableColumn id="40" xr3:uid="{143E42C9-3EB4-438C-93F0-3963985129E8}" uniqueName="40" name="Cota-PRIVIGEN" queryTableFieldId="40" dataDxfId="257"/>
    <tableColumn id="21" xr3:uid="{73877ECA-A37C-4297-BCFD-51BD06711631}" uniqueName="21" name="Demanda-BERINERT" queryTableFieldId="21" dataDxfId="256"/>
    <tableColumn id="26" xr3:uid="{C39E59DF-41B2-46D3-9845-8D937EDBEB17}" uniqueName="26" name="Demanda-BERIPLEX" queryTableFieldId="26" dataDxfId="255"/>
    <tableColumn id="31" xr3:uid="{1D10C1E7-A328-472E-94A0-334E13C6D14B}" uniqueName="31" name="Demanda-HAEMO" queryTableFieldId="31" dataDxfId="254"/>
    <tableColumn id="36" xr3:uid="{8E55A4BC-3AD6-4A2C-A1C5-680671D3422E}" uniqueName="36" name="Demanda-HIZENTRA" queryTableFieldId="36" dataDxfId="253"/>
    <tableColumn id="41" xr3:uid="{4AF16452-3166-4860-B598-1EC050446E17}" uniqueName="41" name="Demanda-PRIVIGEN" queryTableFieldId="41" dataDxfId="252"/>
    <tableColumn id="22" xr3:uid="{11B8F7AB-54CB-4201-BB47-2A75A5DE845A}" uniqueName="22" name="Garantido-BERINERT" queryTableFieldId="22" dataDxfId="251"/>
    <tableColumn id="27" xr3:uid="{BF0C77B6-C129-421F-839E-4D5F8D826D00}" uniqueName="27" name="Garantido-BERIPLEX" queryTableFieldId="27" dataDxfId="250"/>
    <tableColumn id="32" xr3:uid="{03FF547D-55D9-491D-A598-854B1AAE6905}" uniqueName="32" name="Garantido-HAEMO" queryTableFieldId="32" dataDxfId="249"/>
    <tableColumn id="37" xr3:uid="{3ACB1269-40F6-4573-878C-29A6C186A751}" uniqueName="37" name="Garantido-HIZENTRA" queryTableFieldId="37" dataDxfId="248"/>
    <tableColumn id="42" xr3:uid="{9E28EA08-64D7-4877-BF87-8895571E3272}" uniqueName="42" name="Garantido-PRIVIGEN" queryTableFieldId="42" dataDxfId="247"/>
    <tableColumn id="23" xr3:uid="{7303563C-3B9F-498A-9876-F84462438967}" uniqueName="23" name="Cobertura-BERINERT" queryTableFieldId="23" dataDxfId="246" dataCellStyle="Porcentagem"/>
    <tableColumn id="28" xr3:uid="{FD6B839C-CEF4-4B0F-9F33-DFD29E255ECF}" uniqueName="28" name="Cobertura-BERIPLEX" queryTableFieldId="28" dataDxfId="245" dataCellStyle="Porcentagem"/>
    <tableColumn id="33" xr3:uid="{925E1EC9-AFFB-47E3-82A7-FDB8E241C051}" uniqueName="33" name="Cobertura-HAEMO" queryTableFieldId="33" dataDxfId="244" dataCellStyle="Porcentagem"/>
    <tableColumn id="38" xr3:uid="{3D0985D3-1B39-4A70-9CA0-B626972B3FB0}" uniqueName="38" name="Cobertura-HIZENTRA" queryTableFieldId="38" dataDxfId="243" dataCellStyle="Porcentagem"/>
    <tableColumn id="43" xr3:uid="{2953A73D-AFCF-4622-9649-6E674F31D525}" uniqueName="43" name="Cobertura-PRIVIGEN" queryTableFieldId="43" dataDxfId="242" dataCellStyle="Porcentagem"/>
    <tableColumn id="1" xr3:uid="{C82516A2-FB3D-40A1-820F-F8EE104C669E}" uniqueName="1" name="Peso-BERINERT" queryTableFieldId="55" dataDxfId="241" dataCellStyle="Porcentagem"/>
    <tableColumn id="2" xr3:uid="{02BE1FFB-843D-4B9F-A7C4-B7487FF41A98}" uniqueName="2" name="Peso-BERIPLEX" queryTableFieldId="56" dataDxfId="240" dataCellStyle="Porcentagem"/>
    <tableColumn id="6" xr3:uid="{1EBE5CD7-1696-4AB2-A334-7405EF9A7E4C}" uniqueName="6" name="Peso-HAEMO" queryTableFieldId="57" dataDxfId="239" dataCellStyle="Porcentagem"/>
    <tableColumn id="7" xr3:uid="{74B8695F-37DD-4222-B729-6E520EA42556}" uniqueName="7" name="Peso-HIZENTRA" queryTableFieldId="58" dataDxfId="238" dataCellStyle="Porcentagem"/>
    <tableColumn id="8" xr3:uid="{BC24B71C-8BBB-4D71-8BD1-C8AC32E8A15C}" uniqueName="8" name="Peso-PRIVIGEN" queryTableFieldId="59" dataDxfId="237" dataCellStyle="Porcentagem"/>
    <tableColumn id="46" xr3:uid="{119600E8-6E42-4D32-B7E9-5FE899796E88}" uniqueName="46" name="Premio-BERINERT" queryTableFieldId="46" dataDxfId="236">
      <calculatedColumnFormula>IF(VIEW_IV_2019_REP_CALCULO[[#This Row],[Cobertura-BERINERT]]&lt;Cob_Min_REP,0,IF(VIEW_IV_2019_REP_CALCULO[[#This Row],[Cobertura-BERINERT]]&gt;Cob_Max_REP,Vlr_Max_REP,VLOOKUP(VIEW_IV_2019_REP_CALCULO[[#This Row],[Cobertura-BERINERT]],Tabela_Valores_REP,2,1)))*VIEW_IV_2019_REP_CALCULO[[#This Row],[Peso-BERINERT]]</calculatedColumnFormula>
    </tableColumn>
    <tableColumn id="47" xr3:uid="{82F3202D-A41F-48DB-A693-5F571D1A7BD1}" uniqueName="47" name="Premio-BERIPLEX" queryTableFieldId="47" dataDxfId="235">
      <calculatedColumnFormula>IF(VIEW_IV_2019_REP_CALCULO[[#This Row],[Cobertura-BERIPLEX]]&lt;Cob_Min_REP,0,IF(VIEW_IV_2019_REP_CALCULO[[#This Row],[Cobertura-BERIPLEX]]&gt;Cob_Max_REP,Vlr_Max_REP,VLOOKUP(VIEW_IV_2019_REP_CALCULO[[#This Row],[Cobertura-BERIPLEX]],Tabela_Valores_REP,2,1)))*VIEW_IV_2019_REP_CALCULO[[#This Row],[Peso-BERIPLEX]]</calculatedColumnFormula>
    </tableColumn>
    <tableColumn id="48" xr3:uid="{2BCB4A42-68E0-4BBF-84EB-746CB9018F28}" uniqueName="48" name="Premio-HAEMO" queryTableFieldId="48" dataDxfId="234">
      <calculatedColumnFormula>IF(VIEW_IV_2019_REP_CALCULO[[#This Row],[Cobertura-HAEMO]]&lt;Cob_Min_REP,0,IF(VIEW_IV_2019_REP_CALCULO[[#This Row],[Cobertura-HAEMO]]&gt;Cob_Max_REP,Vlr_Max_REP,VLOOKUP(VIEW_IV_2019_REP_CALCULO[[#This Row],[Cobertura-HAEMO]],Tabela_Valores_REP,2,1)))*VIEW_IV_2019_REP_CALCULO[[#This Row],[Peso-HAEMO]]</calculatedColumnFormula>
    </tableColumn>
    <tableColumn id="49" xr3:uid="{FEB5A41B-61AD-4C0F-AC21-6804D09D307D}" uniqueName="49" name="Premio-HIZENTRA" queryTableFieldId="49" dataDxfId="233">
      <calculatedColumnFormula>IF(VIEW_IV_2019_REP_CALCULO[[#This Row],[Cobertura-HIZENTRA]]&lt;Cob_Min_REP,0,IF(VIEW_IV_2019_REP_CALCULO[[#This Row],[Cobertura-HIZENTRA]]&gt;Cob_Max_REP,Vlr_Max_REP,VLOOKUP(VIEW_IV_2019_REP_CALCULO[[#This Row],[Cobertura-HIZENTRA]],Tabela_Valores_REP,2,1)))*VIEW_IV_2019_REP_CALCULO[[#This Row],[Peso-HIZENTRA]]</calculatedColumnFormula>
    </tableColumn>
    <tableColumn id="50" xr3:uid="{AD9F7D22-3BD6-470E-AE30-FB5EF7F1E85F}" uniqueName="50" name="Premio-PRIVIGEN" queryTableFieldId="50" dataDxfId="232">
      <calculatedColumnFormula>IF(VIEW_IV_2019_REP_CALCULO[[#This Row],[Cobertura-PRIVIGEN]]&lt;Cob_Min_REP,0,IF(VIEW_IV_2019_REP_CALCULO[[#This Row],[Cobertura-PRIVIGEN]]&gt;Cob_Max_REP,Vlr_Max_REP,VLOOKUP(VIEW_IV_2019_REP_CALCULO[[#This Row],[Cobertura-PRIVIGEN]],Tabela_Valores_REP,2,1)))*VIEW_IV_2019_REP_CALCULO[[#This Row],[Peso-PRIVIGEN]]</calculatedColumnFormula>
    </tableColumn>
    <tableColumn id="9" xr3:uid="{B8D88914-1BA8-41E8-BCF5-AFDE1D4DC799}" uniqueName="9" name="Premio-Total" queryTableFieldId="80" dataDxfId="231">
      <calculatedColumnFormula>SUM(VIEW_IV_2019_REP_CALCULO[[#This Row],[Premio-BERINERT]:[Premio-PRIVIGEN]])</calculatedColumnFormula>
    </tableColumn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66ABA3D-39BD-4387-9D46-BC6001A2778C}" name="VIEW_IV_2019_REP_CALCULO_TRI" displayName="VIEW_IV_2019_REP_CALCULO_TRI" ref="A5:AR45" tableType="queryTable" totalsRowShown="0" headerRowDxfId="224" dataDxfId="223">
  <autoFilter ref="A5:AR45" xr:uid="{C02A4E94-A8A2-461D-9ECE-FA9CB90B9C8B}"/>
  <tableColumns count="44">
    <tableColumn id="1" xr3:uid="{27E39DAF-5892-4624-9622-383300515A8C}" uniqueName="1" name="Ano-Fiscal" queryTableFieldId="1" dataDxfId="222"/>
    <tableColumn id="3" xr3:uid="{AD6EEA50-AF90-4EB2-8702-8AA6650EB79D}" uniqueName="3" name="Tri-Fiscal" queryTableFieldId="3" dataDxfId="221"/>
    <tableColumn id="4" xr3:uid="{C4AB793F-7617-452B-92F3-CECA6FE267DB}" uniqueName="4" name="#PK-Email" queryTableFieldId="4" dataDxfId="220"/>
    <tableColumn id="5" xr3:uid="{363BFD4D-0257-4BEC-A72F-3E59D1559F54}" uniqueName="5" name="Nome" queryTableFieldId="5" dataDxfId="219"/>
    <tableColumn id="6" xr3:uid="{9284E26E-C7BF-4C16-9D95-C29C5FD8BDD6}" uniqueName="6" name="Equipe" queryTableFieldId="6" dataDxfId="218"/>
    <tableColumn id="7" xr3:uid="{165B439C-2081-4D51-8C1C-76823C326C7C}" uniqueName="7" name="Gerente" queryTableFieldId="7" dataDxfId="217"/>
    <tableColumn id="8" xr3:uid="{1470084A-5D1C-4B21-84B9-DE6340E6B592}" uniqueName="8" name="@-Ativo" queryTableFieldId="8" dataDxfId="216"/>
    <tableColumn id="9" xr3:uid="{30A8A2C4-2E21-4DF4-A92A-5A11DBEEB7F4}" uniqueName="9" name="@-IV" queryTableFieldId="9" dataDxfId="215"/>
    <tableColumn id="10" xr3:uid="{583EFCD7-0F85-4925-9AF5-A9F9E4C8094E}" uniqueName="10" name="Cota-BERINERT" queryTableFieldId="10" dataDxfId="214"/>
    <tableColumn id="11" xr3:uid="{1EAFFDFF-BB59-41A8-B56E-79187675C09D}" uniqueName="11" name="Cota-BERIPLEX" queryTableFieldId="11" dataDxfId="213"/>
    <tableColumn id="12" xr3:uid="{CC92C638-4687-46F6-A4D1-1D1AB1F57B9C}" uniqueName="12" name="Cota-HAEMO" queryTableFieldId="12" dataDxfId="212"/>
    <tableColumn id="13" xr3:uid="{6B80BC6E-BD2C-49F2-B789-CF8C82E08B08}" uniqueName="13" name="Cota-HIZENTRA" queryTableFieldId="13" dataDxfId="211"/>
    <tableColumn id="14" xr3:uid="{BAF66581-2BED-4BF4-B866-F8AABE7C6342}" uniqueName="14" name="Cota-PRIVIGEN" queryTableFieldId="14" dataDxfId="210"/>
    <tableColumn id="15" xr3:uid="{BE13A12A-410E-40BF-90C6-B106EA41B0BE}" uniqueName="15" name="Demanda-BERINERT" queryTableFieldId="15" dataDxfId="209"/>
    <tableColumn id="16" xr3:uid="{45AB6449-C91A-4522-8C00-7F1FDD77938D}" uniqueName="16" name="Demanda-BERIPLEX" queryTableFieldId="16" dataDxfId="208"/>
    <tableColumn id="17" xr3:uid="{6248E381-9680-4BFC-A9D8-454316A5F1AE}" uniqueName="17" name="Demanda-HAEMO" queryTableFieldId="17" dataDxfId="207"/>
    <tableColumn id="18" xr3:uid="{60ED8C2E-C2F5-4A17-BF58-5925DAB6B636}" uniqueName="18" name="Demanda-HIZENTRA" queryTableFieldId="18" dataDxfId="206"/>
    <tableColumn id="19" xr3:uid="{F46CBA18-08D6-4E28-90C5-4BBE6DAE7E71}" uniqueName="19" name="Demanda-PRIVIGEN" queryTableFieldId="19" dataDxfId="205"/>
    <tableColumn id="30" xr3:uid="{39CD9BC8-CEB6-4CC9-A34A-AE80EE76A316}" uniqueName="30" name="Peso-BERINERT" queryTableFieldId="30" dataDxfId="204"/>
    <tableColumn id="31" xr3:uid="{1954A8B7-D417-44FF-8EC6-DBD840C9874C}" uniqueName="31" name="Peso-BERIPLEX" queryTableFieldId="31" dataDxfId="203"/>
    <tableColumn id="32" xr3:uid="{7BA88FD1-C786-4437-8AEC-172D491680F1}" uniqueName="32" name="Peso-HAEMO" queryTableFieldId="32" dataDxfId="202"/>
    <tableColumn id="33" xr3:uid="{4525E74F-28E2-4E80-B64F-C410B8811B24}" uniqueName="33" name="Peso-HIZENTRA" queryTableFieldId="33" dataDxfId="201"/>
    <tableColumn id="34" xr3:uid="{37ECFCBB-6EF6-4221-8F3E-256F124380A7}" uniqueName="34" name="Peso-PRIVIGEN" queryTableFieldId="34" dataDxfId="200"/>
    <tableColumn id="35" xr3:uid="{6FF89C0A-E050-4EA4-BCC8-9C57E7938718}" uniqueName="35" name="Cobertura-BERINERT" queryTableFieldId="35" dataDxfId="199">
      <calculatedColumnFormula>IFERROR(VIEW_IV_2019_REP_CALCULO_TRI[[#This Row],[Demanda-BERINERT]]/VIEW_IV_2019_REP_CALCULO_TRI[[#This Row],[Cota-BERINERT]],0)</calculatedColumnFormula>
    </tableColumn>
    <tableColumn id="36" xr3:uid="{85B06D80-BE47-4A48-8CEE-C046D84D64AF}" uniqueName="36" name="Cobertura-BERIPLEX" queryTableFieldId="36" dataDxfId="198">
      <calculatedColumnFormula>IFERROR(VIEW_IV_2019_REP_CALCULO_TRI[[#This Row],[Demanda-BERIPLEX]]/VIEW_IV_2019_REP_CALCULO_TRI[[#This Row],[Cota-BERIPLEX]],0)</calculatedColumnFormula>
    </tableColumn>
    <tableColumn id="37" xr3:uid="{DC76D61C-2C1C-448F-A793-36F0E1D61186}" uniqueName="37" name="Cobertura-HAEMO" queryTableFieldId="37" dataDxfId="197">
      <calculatedColumnFormula>IFERROR(VIEW_IV_2019_REP_CALCULO_TRI[[#This Row],[Demanda-HAEMO]]/VIEW_IV_2019_REP_CALCULO_TRI[[#This Row],[Cota-HAEMO]],0)</calculatedColumnFormula>
    </tableColumn>
    <tableColumn id="38" xr3:uid="{75FA5EB9-43FB-4CDC-A52B-3E2374C6FCCF}" uniqueName="38" name="Cobertura-HIZENTRA" queryTableFieldId="38" dataDxfId="196">
      <calculatedColumnFormula>IFERROR(VIEW_IV_2019_REP_CALCULO_TRI[[#This Row],[Demanda-HIZENTRA]]/VIEW_IV_2019_REP_CALCULO_TRI[[#This Row],[Cota-HIZENTRA]],0)</calculatedColumnFormula>
    </tableColumn>
    <tableColumn id="39" xr3:uid="{43B9DDB8-7B10-4873-A9AC-8B4F88DC67A0}" uniqueName="39" name="Cobertura-PRIVIGEN" queryTableFieldId="39" dataDxfId="195">
      <calculatedColumnFormula>IFERROR(VIEW_IV_2019_REP_CALCULO_TRI[[#This Row],[Demanda-PRIVIGEN]]/VIEW_IV_2019_REP_CALCULO_TRI[[#This Row],[Cota-PRIVIGEN]],0)</calculatedColumnFormula>
    </tableColumn>
    <tableColumn id="40" xr3:uid="{DD23AD20-13DF-47C4-874B-10DD4328614A}" uniqueName="40" name="Premio-BERINERT" queryTableFieldId="40" dataDxfId="194">
      <calculatedColumnFormula>(IF(VIEW_IV_2019_REP_CALCULO_TRI[[#This Row],[Cobertura-BERINERT]]&lt;Cob_Min_REP,0,IF(VIEW_IV_2019_REP_CALCULO_TRI[[#This Row],[Cobertura-BERINERT]]&gt;Cob_Max_REP,Vlr_Max_REP,VLOOKUP(VIEW_IV_2019_REP_CALCULO_TRI[[#This Row],[Cobertura-BERINERT]],Tabela_Valores_REP,2,1)))*VIEW_IV_2019_REP_CALCULO_TRI[[#This Row],[Peso-BERINERT]])*3</calculatedColumnFormula>
    </tableColumn>
    <tableColumn id="41" xr3:uid="{D1ED98A9-86B8-4705-91D3-0D79AF9ED764}" uniqueName="41" name="Premio-BERIPLEX" queryTableFieldId="41" dataDxfId="193">
      <calculatedColumnFormula>(IF(VIEW_IV_2019_REP_CALCULO_TRI[[#This Row],[Cobertura-BERIPLEX]]&lt;Cob_Min_REP,0,IF(VIEW_IV_2019_REP_CALCULO_TRI[[#This Row],[Cobertura-BERIPLEX]]&gt;Cob_Max_REP,Vlr_Max_REP,VLOOKUP(VIEW_IV_2019_REP_CALCULO_TRI[[#This Row],[Cobertura-BERIPLEX]],Tabela_Valores_REP,2,1)))*VIEW_IV_2019_REP_CALCULO_TRI[[#This Row],[Peso-BERIPLEX]])*3</calculatedColumnFormula>
    </tableColumn>
    <tableColumn id="42" xr3:uid="{529A2348-58A5-4DD2-A20E-FFB0B8A59152}" uniqueName="42" name="Premio-HAEMO" queryTableFieldId="42" dataDxfId="192">
      <calculatedColumnFormula>(IF(VIEW_IV_2019_REP_CALCULO_TRI[[#This Row],[Cobertura-HAEMO]]&lt;Cob_Min_REP,0,IF(VIEW_IV_2019_REP_CALCULO_TRI[[#This Row],[Cobertura-HAEMO]]&gt;Cob_Max_REP,Vlr_Max_REP,VLOOKUP(VIEW_IV_2019_REP_CALCULO_TRI[[#This Row],[Cobertura-HAEMO]],Tabela_Valores_REP,2,1)))*VIEW_IV_2019_REP_CALCULO_TRI[[#This Row],[Peso-HAEMO]])*3</calculatedColumnFormula>
    </tableColumn>
    <tableColumn id="43" xr3:uid="{E606E51E-6211-41C2-9DEE-12CF1310DCA8}" uniqueName="43" name="Premio-HIZENTRA" queryTableFieldId="43" dataDxfId="191">
      <calculatedColumnFormula>(IF(VIEW_IV_2019_REP_CALCULO_TRI[[#This Row],[Cobertura-HIZENTRA]]&lt;Cob_Min_REP,0,IF(VIEW_IV_2019_REP_CALCULO_TRI[[#This Row],[Cobertura-HIZENTRA]]&gt;Cob_Max_REP,Vlr_Max_REP,VLOOKUP(VIEW_IV_2019_REP_CALCULO_TRI[[#This Row],[Cobertura-HIZENTRA]],Tabela_Valores_REP,2,1)))*VIEW_IV_2019_REP_CALCULO_TRI[[#This Row],[Peso-HIZENTRA]])*3</calculatedColumnFormula>
    </tableColumn>
    <tableColumn id="44" xr3:uid="{578AEBBC-ED57-4647-A15A-FC1F9A76C3C4}" uniqueName="44" name="Premio-PRIVIGEN" queryTableFieldId="44" dataDxfId="190">
      <calculatedColumnFormula>(IF(VIEW_IV_2019_REP_CALCULO_TRI[[#This Row],[Cobertura-PRIVIGEN]]&lt;Cob_Min_REP,0,IF(VIEW_IV_2019_REP_CALCULO_TRI[[#This Row],[Cobertura-PRIVIGEN]]&gt;Cob_Max_REP,Vlr_Max_REP,VLOOKUP(VIEW_IV_2019_REP_CALCULO_TRI[[#This Row],[Cobertura-PRIVIGEN]],Tabela_Valores_REP,2,1)))*VIEW_IV_2019_REP_CALCULO_TRI[[#This Row],[Peso-PRIVIGEN]])*3</calculatedColumnFormula>
    </tableColumn>
    <tableColumn id="45" xr3:uid="{21D8EA90-29D4-42BB-8D08-5B278850F770}" uniqueName="45" name="Recebido-BERINERT" queryTableFieldId="45" dataDxfId="189">
      <calculatedColumnFormula>SUMIFS(VIEW_IV_2019_REP_CALCULO[Premio-BERINERT],VIEW_IV_2019_REP_CALCULO[Ano-Fiscal],VIEW_IV_2019_REP_CALCULO_TRI[[#This Row],[Ano-Fiscal]],VIEW_IV_2019_REP_CALCULO[Tri-Fiscal],VIEW_IV_2019_REP_CALCULO_TRI[[#This Row],[Tri-Fiscal]],VIEW_IV_2019_REP_CALCULO['#PK-Email],VIEW_IV_2019_REP_CALCULO_TRI[[#This Row],['#PK-Email]])</calculatedColumnFormula>
    </tableColumn>
    <tableColumn id="46" xr3:uid="{D61C4D19-265B-4795-A80E-B72629592A9B}" uniqueName="46" name="Recebido-BERIPLEX" queryTableFieldId="46" dataDxfId="188">
      <calculatedColumnFormula>SUMIFS(VIEW_IV_2019_REP_CALCULO[Premio-BERIPLEX],VIEW_IV_2019_REP_CALCULO[Ano-Fiscal],VIEW_IV_2019_REP_CALCULO_TRI[[#This Row],[Ano-Fiscal]],VIEW_IV_2019_REP_CALCULO[Tri-Fiscal],VIEW_IV_2019_REP_CALCULO_TRI[[#This Row],[Tri-Fiscal]],VIEW_IV_2019_REP_CALCULO['#PK-Email],VIEW_IV_2019_REP_CALCULO_TRI[[#This Row],['#PK-Email]])</calculatedColumnFormula>
    </tableColumn>
    <tableColumn id="47" xr3:uid="{C02629C5-DD26-41FB-9759-6D04A9712628}" uniqueName="47" name="Recebido-HAEMO" queryTableFieldId="47" dataDxfId="187">
      <calculatedColumnFormula>SUMIFS(VIEW_IV_2019_REP_CALCULO[Premio-HAEMO],VIEW_IV_2019_REP_CALCULO[Ano-Fiscal],VIEW_IV_2019_REP_CALCULO_TRI[[#This Row],[Ano-Fiscal]],VIEW_IV_2019_REP_CALCULO[Tri-Fiscal],VIEW_IV_2019_REP_CALCULO_TRI[[#This Row],[Tri-Fiscal]],VIEW_IV_2019_REP_CALCULO['#PK-Email],VIEW_IV_2019_REP_CALCULO_TRI[[#This Row],['#PK-Email]])</calculatedColumnFormula>
    </tableColumn>
    <tableColumn id="48" xr3:uid="{05254220-A4E8-416E-A0F7-BECE05FB73CD}" uniqueName="48" name="Recebido-HIZENTRA" queryTableFieldId="48" dataDxfId="186">
      <calculatedColumnFormula>SUMIFS(VIEW_IV_2019_REP_CALCULO[Premio-HIZENTRA],VIEW_IV_2019_REP_CALCULO[Ano-Fiscal],VIEW_IV_2019_REP_CALCULO_TRI[[#This Row],[Ano-Fiscal]],VIEW_IV_2019_REP_CALCULO[Tri-Fiscal],VIEW_IV_2019_REP_CALCULO_TRI[[#This Row],[Tri-Fiscal]],VIEW_IV_2019_REP_CALCULO['#PK-Email],VIEW_IV_2019_REP_CALCULO_TRI[[#This Row],['#PK-Email]])</calculatedColumnFormula>
    </tableColumn>
    <tableColumn id="49" xr3:uid="{47026DEA-1CC6-4867-A300-2B2F25B4B9CA}" uniqueName="49" name="Recebido-PRIVIGEN" queryTableFieldId="49" dataDxfId="185">
      <calculatedColumnFormula>SUMIFS(VIEW_IV_2019_REP_CALCULO[Premio-PRIVIGEN],VIEW_IV_2019_REP_CALCULO[Ano-Fiscal],VIEW_IV_2019_REP_CALCULO_TRI[[#This Row],[Ano-Fiscal]],VIEW_IV_2019_REP_CALCULO[Tri-Fiscal],VIEW_IV_2019_REP_CALCULO_TRI[[#This Row],[Tri-Fiscal]],VIEW_IV_2019_REP_CALCULO['#PK-Email],VIEW_IV_2019_REP_CALCULO_TRI[[#This Row],['#PK-Email]])</calculatedColumnFormula>
    </tableColumn>
    <tableColumn id="50" xr3:uid="{4053E07B-96DB-42B1-8826-C47C4E7766C2}" uniqueName="50" name="Recuperavel-BERINERT" queryTableFieldId="50" dataDxfId="184">
      <calculatedColumnFormula>IF((VIEW_IV_2019_REP_CALCULO_TRI[[#This Row],[Premio-BERINERT]]-VIEW_IV_2019_REP_CALCULO_TRI[[#This Row],[Recebido-BERINERT]])&lt;=0,0,VIEW_IV_2019_REP_CALCULO_TRI[[#This Row],[Premio-BERINERT]]-VIEW_IV_2019_REP_CALCULO_TRI[[#This Row],[Recebido-BERINERT]])</calculatedColumnFormula>
    </tableColumn>
    <tableColumn id="51" xr3:uid="{BACFD548-CAA9-47E3-AE70-CA3E6A29ECE6}" uniqueName="51" name="Recuperavel-BERIPLEX" queryTableFieldId="51" dataDxfId="183">
      <calculatedColumnFormula>IF((VIEW_IV_2019_REP_CALCULO_TRI[[#This Row],[Premio-BERIPLEX]]-VIEW_IV_2019_REP_CALCULO_TRI[[#This Row],[Recebido-BERIPLEX]])&lt;=0,0,VIEW_IV_2019_REP_CALCULO_TRI[[#This Row],[Premio-BERIPLEX]]-VIEW_IV_2019_REP_CALCULO_TRI[[#This Row],[Recebido-BERIPLEX]])</calculatedColumnFormula>
    </tableColumn>
    <tableColumn id="52" xr3:uid="{FF84B6F7-020B-4C01-9593-175973B0F0D4}" uniqueName="52" name="Recuperavel-HAEMO" queryTableFieldId="52" dataDxfId="182">
      <calculatedColumnFormula>IF((VIEW_IV_2019_REP_CALCULO_TRI[[#This Row],[Premio-HAEMO]]-VIEW_IV_2019_REP_CALCULO_TRI[[#This Row],[Recebido-HAEMO]])&lt;=0,0,VIEW_IV_2019_REP_CALCULO_TRI[[#This Row],[Premio-HAEMO]]-VIEW_IV_2019_REP_CALCULO_TRI[[#This Row],[Recebido-HAEMO]])</calculatedColumnFormula>
    </tableColumn>
    <tableColumn id="53" xr3:uid="{2052AB26-7755-4C9B-8D35-9CBA1316B158}" uniqueName="53" name="Recuperavel-HIZENTRA" queryTableFieldId="53" dataDxfId="181">
      <calculatedColumnFormula>IF((VIEW_IV_2019_REP_CALCULO_TRI[[#This Row],[Premio-HIZENTRA]]-VIEW_IV_2019_REP_CALCULO_TRI[[#This Row],[Recebido-HIZENTRA]])&lt;=0,0,VIEW_IV_2019_REP_CALCULO_TRI[[#This Row],[Premio-HIZENTRA]]-VIEW_IV_2019_REP_CALCULO_TRI[[#This Row],[Recebido-HIZENTRA]])</calculatedColumnFormula>
    </tableColumn>
    <tableColumn id="54" xr3:uid="{B0A68570-D5AE-4785-8CB5-CF6392ADF06B}" uniqueName="54" name="Recuperavel-PRIVIGEN" queryTableFieldId="54" dataDxfId="180">
      <calculatedColumnFormula>IF((VIEW_IV_2019_REP_CALCULO_TRI[[#This Row],[Premio-PRIVIGEN]]-VIEW_IV_2019_REP_CALCULO_TRI[[#This Row],[Recebido-PRIVIGEN]])&lt;=0,0,VIEW_IV_2019_REP_CALCULO_TRI[[#This Row],[Premio-PRIVIGEN]]-VIEW_IV_2019_REP_CALCULO_TRI[[#This Row],[Recebido-PRIVIGEN]])</calculatedColumnFormula>
    </tableColumn>
    <tableColumn id="2" xr3:uid="{C9833445-BE2D-4C4E-8E06-233403E4AECA}" uniqueName="2" name="Recuperavel-Total" queryTableFieldId="55" dataDxfId="179">
      <calculatedColumnFormula>SUM(VIEW_IV_2019_REP_CALCULO_TRI[[#This Row],[Recuperavel-BERINERT]:[Recuperavel-PRIVIGEN]])</calculatedColumnFormula>
    </tableColumn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ECDB9C5A-9299-430A-937A-0CB1B09FF5D6}" name="VIEW_IV_2019_VISITAS_REP" displayName="VIEW_IV_2019_VISITAS_REP" ref="A5:R61" tableType="queryTable" totalsRowShown="0" headerRowDxfId="176" dataDxfId="175">
  <autoFilter ref="A5:R61" xr:uid="{86069856-EFFE-49ED-A403-C02D314AB3A5}"/>
  <tableColumns count="18">
    <tableColumn id="3" xr3:uid="{B8DE7AF9-DDD7-494C-AAB6-AB68261A6DD0}" uniqueName="3" name="Ano-Fiscal" queryTableFieldId="3" dataDxfId="174"/>
    <tableColumn id="4" xr3:uid="{B349D56A-10B6-4CDF-B59F-CA3236063246}" uniqueName="4" name="Mes-Fiscal" queryTableFieldId="4" dataDxfId="173"/>
    <tableColumn id="5" xr3:uid="{94B753CD-7EC2-494B-BB0D-DCCAD8FC97A1}" uniqueName="5" name="Tri-Fiscal" queryTableFieldId="5" dataDxfId="172"/>
    <tableColumn id="11" xr3:uid="{14071676-1EB4-47DB-ADE9-6744904F237B}" uniqueName="11" name="#PK-Email" queryTableFieldId="11" dataDxfId="171"/>
    <tableColumn id="12" xr3:uid="{1F17B03A-22BD-482B-A0D1-2BD48E4CC35B}" uniqueName="12" name="Nome" queryTableFieldId="12" dataDxfId="170"/>
    <tableColumn id="16" xr3:uid="{70B7B329-2747-4CB4-AA01-8FCBC14D8D50}" uniqueName="16" name="Equipe" queryTableFieldId="16" dataDxfId="169"/>
    <tableColumn id="17" xr3:uid="{8107708F-72C2-4A53-A671-AF023E7DCA10}" uniqueName="17" name="@-Ativo" queryTableFieldId="17" dataDxfId="168"/>
    <tableColumn id="18" xr3:uid="{4E4B9311-7C88-496F-ABD2-262F48507EB0}" uniqueName="18" name="@-IV" queryTableFieldId="18" dataDxfId="167"/>
    <tableColumn id="20" xr3:uid="{9CC8F1F5-3418-492D-9171-3310A07CAB50}" uniqueName="20" name="Gerente" queryTableFieldId="20" dataDxfId="166"/>
    <tableColumn id="29" xr3:uid="{8C5069F4-7140-4541-BA7F-4B4DB20DDC0A}" uniqueName="29" name="Garantido" queryTableFieldId="29" dataDxfId="165"/>
    <tableColumn id="21" xr3:uid="{724971C4-5237-4BFF-AAFC-660C0F04B832}" uniqueName="21" name="Dias-Uteis" queryTableFieldId="21" dataDxfId="164"/>
    <tableColumn id="22" xr3:uid="{EA00159A-F4EA-46A9-9921-4E1AC4194B29}" uniqueName="22" name="Dias-Eventos" queryTableFieldId="22" dataDxfId="163"/>
    <tableColumn id="23" xr3:uid="{C4014CA4-412F-458F-9440-457F1C886A9C}" uniqueName="23" name="Dias-Visita" queryTableFieldId="23" dataDxfId="162"/>
    <tableColumn id="24" xr3:uid="{2D538F85-8282-4C45-B8AE-BCDBE01B83EB}" uniqueName="24" name="Visitas-Dia" queryTableFieldId="24" dataDxfId="161"/>
    <tableColumn id="25" xr3:uid="{09F49035-D94D-4A70-BD7A-86B797EF3E03}" uniqueName="25" name="Visitas-Realizar" queryTableFieldId="25" dataDxfId="160"/>
    <tableColumn id="26" xr3:uid="{AFEB9A24-3B2A-41AF-B30F-C20AA44840F5}" uniqueName="26" name="Visitas-Realizadas" queryTableFieldId="26" dataDxfId="159"/>
    <tableColumn id="28" xr3:uid="{4B867CAE-56EA-4D9C-B5CD-1CEE7F3C9BAB}" uniqueName="28" name="Visitas-Cobertura" queryTableFieldId="28" dataDxfId="158"/>
    <tableColumn id="30" xr3:uid="{BA588289-D1C6-41DF-83EA-50B4ACF55EDA}" uniqueName="30" name="Visitas-Premio" queryTableFieldId="32" dataDxfId="157">
      <calculatedColumnFormula>(IF(VIEW_IV_2019_VISITAS_REP[[#This Row],[Visitas-Cobertura]]&lt;Cob_Min_REP,0,IF(VIEW_IV_2019_VISITAS_REP[[#This Row],[Visitas-Cobertura]]&gt;Cob_100_REP,Vlr_100_REP,VLOOKUP(VIEW_IV_2019_VISITAS_REP[[#This Row],[Visitas-Cobertura]],Tabela_Valores_REP,2,1)))*R$1)</calculatedColumnFormula>
    </tableColumn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C70C130E-C44B-4821-AA50-5B0D94E3D5D2}" name="VIEW_IV_2019_DEMANDA_CONFIG_PESOS" displayName="VIEW_IV_2019_DEMANDA_CONFIG_PESOS" ref="A5:N34" tableType="queryTable" totalsRowShown="0" headerRowDxfId="149" dataDxfId="148">
  <autoFilter ref="A5:N34" xr:uid="{79E14787-E8FA-4787-8A3D-92E6D5A25E31}"/>
  <sortState xmlns:xlrd2="http://schemas.microsoft.com/office/spreadsheetml/2017/richdata2" ref="A6:N34">
    <sortCondition ref="E6:E34"/>
    <sortCondition ref="B6:B34"/>
  </sortState>
  <tableColumns count="14">
    <tableColumn id="1" xr3:uid="{0C849593-DABA-4D2A-A67E-3F6DCF91FD14}" uniqueName="1" name="#PK-Email" queryTableFieldId="1" dataDxfId="147"/>
    <tableColumn id="2" xr3:uid="{86718CB9-A92D-4D66-B27D-851C772A9AFB}" uniqueName="2" name="Nome" queryTableFieldId="2" dataDxfId="146"/>
    <tableColumn id="3" xr3:uid="{8D6325CF-33FC-45C3-BD07-6FE9EC7BC49D}" uniqueName="3" name="Perfil" queryTableFieldId="3" dataDxfId="145"/>
    <tableColumn id="4" xr3:uid="{B0FFFBEF-4572-4CD4-A50B-57E7FE42EAED}" uniqueName="4" name="#FK-Cod-Equipe" queryTableFieldId="4" dataDxfId="144"/>
    <tableColumn id="5" xr3:uid="{B88EC9D3-3553-400A-BF05-34E1E68A12EB}" uniqueName="5" name="Equipe" queryTableFieldId="5" dataDxfId="143"/>
    <tableColumn id="13" xr3:uid="{043A9079-91BF-4350-BC59-9D77C9B61F2A}" uniqueName="13" name="#FK-Email-Gerente" queryTableFieldId="13" dataDxfId="142"/>
    <tableColumn id="14" xr3:uid="{14D93221-9EDE-4AC2-9DE5-5DE1134812D9}" uniqueName="14" name="Gerente" queryTableFieldId="14" dataDxfId="141"/>
    <tableColumn id="6" xr3:uid="{EF78C30A-861A-4A30-9548-7E442E67F6A6}" uniqueName="6" name="@-Ativo" queryTableFieldId="6" dataDxfId="140"/>
    <tableColumn id="7" xr3:uid="{E7CB5719-919F-43E8-8BF3-93764BAD9AFB}" uniqueName="7" name="@-IV" queryTableFieldId="7" dataDxfId="139"/>
    <tableColumn id="8" xr3:uid="{87C961A9-E7F8-4402-8AE7-82242749EB88}" uniqueName="8" name="%-BERINERT" queryTableFieldId="8" dataDxfId="138" dataCellStyle="Porcentagem"/>
    <tableColumn id="9" xr3:uid="{C0BB2E0E-8BB0-42A5-A3DE-58B694B95BC4}" uniqueName="9" name="%-BERIPLEX" queryTableFieldId="9" dataDxfId="137" dataCellStyle="Porcentagem"/>
    <tableColumn id="10" xr3:uid="{E5308EFC-22C3-4EF8-97C0-9026C29F2166}" uniqueName="10" name="%-HAEMO" queryTableFieldId="10" dataDxfId="136" dataCellStyle="Porcentagem"/>
    <tableColumn id="11" xr3:uid="{33A7219B-1DFD-4CD7-85BB-7A03F2B8E219}" uniqueName="11" name="%-HIZENTRA" queryTableFieldId="11" dataDxfId="135" dataCellStyle="Porcentagem"/>
    <tableColumn id="12" xr3:uid="{937874CB-C610-4C51-83A6-65BE7DD6C006}" uniqueName="12" name="%-PRIVIGEN" queryTableFieldId="12" dataDxfId="134" dataCellStyle="Porcentagem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3A88EFDE-00E7-4B1D-9D4F-7F3DEBBB0192}" name="VIEW_IV_2019_GR_COTA_DEMANDA_TRI" displayName="VIEW_IV_2019_GR_COTA_DEMANDA_TRI" ref="A5:AJ11" tableType="queryTable" totalsRowShown="0" headerRowDxfId="129" dataDxfId="128">
  <autoFilter ref="A5:AJ11" xr:uid="{DF750115-0DDD-46AC-A2E4-AC19B19B98D4}"/>
  <tableColumns count="36">
    <tableColumn id="1" xr3:uid="{3D6532BB-B8FA-40FD-934A-AB9D3F9B152D}" uniqueName="1" name="Tipo" queryTableFieldId="1" dataDxfId="127"/>
    <tableColumn id="2" xr3:uid="{FAD34036-CFDE-44FF-B061-341C993EA6E8}" uniqueName="2" name="Ano-Fiscal" queryTableFieldId="2" dataDxfId="126"/>
    <tableColumn id="25" xr3:uid="{3B4C8D73-1F8E-4AE9-9953-27FE6BF0BA16}" uniqueName="25" name="Tri-Fiscal" queryTableFieldId="25" dataDxfId="125"/>
    <tableColumn id="3" xr3:uid="{86B9920A-CA9C-43FA-B14B-A277B66F8640}" uniqueName="3" name="#FK-Email-Gerente" queryTableFieldId="3" dataDxfId="124"/>
    <tableColumn id="4" xr3:uid="{72E3A406-F4C8-49F9-A5AB-85C7C02D1C0D}" uniqueName="4" name="Gerente" queryTableFieldId="4" dataDxfId="123"/>
    <tableColumn id="5" xr3:uid="{82400CCC-ED23-4E67-AD1D-438C90589862}" uniqueName="5" name="Cota.BERINERT" queryTableFieldId="5" dataDxfId="122"/>
    <tableColumn id="6" xr3:uid="{15493040-3DDB-4C18-8680-7FCF7BFEC89F}" uniqueName="6" name="Cota.BERIPLEX" queryTableFieldId="6" dataDxfId="121"/>
    <tableColumn id="7" xr3:uid="{9D54B16B-1E40-4563-B6DD-3EB88EE231EA}" uniqueName="7" name="Cota.HAEMO" queryTableFieldId="7" dataDxfId="120"/>
    <tableColumn id="8" xr3:uid="{6616005D-B902-4809-AAEE-F25D2A3F2BD8}" uniqueName="8" name="Cota.HIZENTRA" queryTableFieldId="8" dataDxfId="119"/>
    <tableColumn id="9" xr3:uid="{80F03879-619F-40CD-94D9-23D44FE19874}" uniqueName="9" name="Cota.PRIVIGEN" queryTableFieldId="9" dataDxfId="118"/>
    <tableColumn id="10" xr3:uid="{9B438A81-F554-4130-8465-BB5570F37AF9}" uniqueName="10" name="Demanda.BERINERT" queryTableFieldId="10" dataDxfId="117"/>
    <tableColumn id="11" xr3:uid="{B01E72A8-75F0-4093-8E6B-52B7A6688B59}" uniqueName="11" name="Demanda.BERIPLEX" queryTableFieldId="11" dataDxfId="116"/>
    <tableColumn id="12" xr3:uid="{2F298F46-6720-42BB-8919-1C6EB31105FF}" uniqueName="12" name="Demanda.HAEMO" queryTableFieldId="12" dataDxfId="115"/>
    <tableColumn id="13" xr3:uid="{12D3C77F-EE91-47B4-9206-C25A90A8D379}" uniqueName="13" name="Demanda.HIZENTRA" queryTableFieldId="13" dataDxfId="114"/>
    <tableColumn id="14" xr3:uid="{69EC8A69-50F5-47DD-B1EA-3DE29E281478}" uniqueName="14" name="Demanda.PRIVIGEN" queryTableFieldId="14" dataDxfId="113"/>
    <tableColumn id="15" xr3:uid="{E6137806-E27F-4B36-AFE4-33C9DCEEB32A}" uniqueName="15" name="Cobertura.BERINERT" queryTableFieldId="15" dataDxfId="112">
      <calculatedColumnFormula>IFERROR(VIEW_IV_2019_GR_COTA_DEMANDA_TRI[[#This Row],[Demanda.BERINERT]]/VIEW_IV_2019_GR_COTA_DEMANDA_TRI[[#This Row],[Cota.BERINERT]],0)</calculatedColumnFormula>
    </tableColumn>
    <tableColumn id="16" xr3:uid="{D477B516-AF1F-4551-9F3F-3770C67E7CBD}" uniqueName="16" name="Cobertura.BERIPLEX" queryTableFieldId="16" dataDxfId="111">
      <calculatedColumnFormula>IFERROR(VIEW_IV_2019_GR_COTA_DEMANDA_TRI[[#This Row],[Demanda.BERIPLEX]]/VIEW_IV_2019_GR_COTA_DEMANDA_TRI[[#This Row],[Cota.BERIPLEX]],0)</calculatedColumnFormula>
    </tableColumn>
    <tableColumn id="17" xr3:uid="{AFB30724-B486-41B3-99FF-D138B6931030}" uniqueName="17" name="Cobertura.HAEMO" queryTableFieldId="17" dataDxfId="110">
      <calculatedColumnFormula>IFERROR(VIEW_IV_2019_GR_COTA_DEMANDA_TRI[[#This Row],[Demanda.HAEMO]]/VIEW_IV_2019_GR_COTA_DEMANDA_TRI[[#This Row],[Cota.HAEMO]],0)</calculatedColumnFormula>
    </tableColumn>
    <tableColumn id="18" xr3:uid="{7D4E9923-92EC-49CE-84DE-679B170E97B5}" uniqueName="18" name="Cobertura.HIZENTRA" queryTableFieldId="18" dataDxfId="109">
      <calculatedColumnFormula>IFERROR(VIEW_IV_2019_GR_COTA_DEMANDA_TRI[[#This Row],[Demanda.HIZENTRA]]/VIEW_IV_2019_GR_COTA_DEMANDA_TRI[[#This Row],[Cota.HIZENTRA]],0)</calculatedColumnFormula>
    </tableColumn>
    <tableColumn id="19" xr3:uid="{37D3A400-17A1-4359-BF05-74C0BAA5872C}" uniqueName="19" name="Cobertura.PRIVIGEN" queryTableFieldId="19" dataDxfId="108">
      <calculatedColumnFormula>IFERROR(VIEW_IV_2019_GR_COTA_DEMANDA_TRI[[#This Row],[Demanda.PRIVIGEN]]/VIEW_IV_2019_GR_COTA_DEMANDA_TRI[[#This Row],[Cota.PRIVIGEN]],0)</calculatedColumnFormula>
    </tableColumn>
    <tableColumn id="20" xr3:uid="{FADFE7C7-5D15-4E3F-AB5B-381052D0057F}" uniqueName="20" name="Premio.BERINERT" queryTableFieldId="20" dataDxfId="107">
      <calculatedColumnFormula>IF(VIEW_IV_2019_GR_COTA_DEMANDA_TRI[[#This Row],[Cobertura.BERINERT]]&lt;Cob_Min_GR,0,IF(VIEW_IV_2019_GR_COTA_DEMANDA_TRI[[#This Row],[Cobertura.BERINERT]]&gt;=Cob_Max_GR,(Vlr_Max_GR*U$1),(VLOOKUP(VIEW_IV_2019_GR_COTA_DEMANDA_TRI[[#This Row],[Cobertura.BERINERT]],Tabela_Valores_GR,2,1))*U$1))*3</calculatedColumnFormula>
    </tableColumn>
    <tableColumn id="21" xr3:uid="{463E8598-8E63-4126-997A-B7F262084C96}" uniqueName="21" name="Premio.BERIPLEX" queryTableFieldId="21" dataDxfId="106">
      <calculatedColumnFormula>IF(VIEW_IV_2019_GR_COTA_DEMANDA_TRI[[#This Row],[Cobertura.BERIPLEX]]&lt;Cob_Min_GR,0,IF(VIEW_IV_2019_GR_COTA_DEMANDA_TRI[[#This Row],[Cobertura.BERIPLEX]]&gt;=Cob_Max_GR,(Vlr_Max_GR*V$1),(VLOOKUP(VIEW_IV_2019_GR_COTA_DEMANDA_TRI[[#This Row],[Cobertura.BERIPLEX]],Tabela_Valores_GR,2,1))*V$1))*3</calculatedColumnFormula>
    </tableColumn>
    <tableColumn id="22" xr3:uid="{9A8C6B08-7E93-4E11-BCEC-AD1F146ECB97}" uniqueName="22" name="Premio.HAEMO" queryTableFieldId="22" dataDxfId="105">
      <calculatedColumnFormula>IF(VIEW_IV_2019_GR_COTA_DEMANDA_TRI[[#This Row],[Cobertura.HAEMO]]&lt;Cob_Min_GR,0,IF(VIEW_IV_2019_GR_COTA_DEMANDA_TRI[[#This Row],[Cobertura.HAEMO]]&gt;=Cob_Max_GR,(Vlr_Max_GR*W$1),(VLOOKUP(VIEW_IV_2019_GR_COTA_DEMANDA_TRI[[#This Row],[Cobertura.HAEMO]],Tabela_Valores_GR,2,1))*W$1))*3</calculatedColumnFormula>
    </tableColumn>
    <tableColumn id="23" xr3:uid="{EEEDBE5A-0704-4E5D-88D0-B6EF4ACE3B85}" uniqueName="23" name="Premio.HIZENTRA" queryTableFieldId="23" dataDxfId="104">
      <calculatedColumnFormula>IF(VIEW_IV_2019_GR_COTA_DEMANDA_TRI[[#This Row],[Cobertura.HIZENTRA]]&lt;Cob_Min_GR,0,IF(VIEW_IV_2019_GR_COTA_DEMANDA_TRI[[#This Row],[Cobertura.HIZENTRA]]&gt;=Cob_Max_GR,(Vlr_Max_GR*X$1),(VLOOKUP(VIEW_IV_2019_GR_COTA_DEMANDA_TRI[[#This Row],[Cobertura.HIZENTRA]],Tabela_Valores_GR,2,1))*X$1))*3</calculatedColumnFormula>
    </tableColumn>
    <tableColumn id="24" xr3:uid="{2408BA53-C797-41C0-83BC-5A07A62BC40C}" uniqueName="24" name="Premio.PRIVIGEN" queryTableFieldId="24" dataDxfId="103">
      <calculatedColumnFormula>IF(VIEW_IV_2019_GR_COTA_DEMANDA_TRI[[#This Row],[Cobertura.PRIVIGEN]]&lt;Cob_Min_GR,0,IF(VIEW_IV_2019_GR_COTA_DEMANDA_TRI[[#This Row],[Cobertura.PRIVIGEN]]&gt;=Cob_Max_GR,(Vlr_Max_GR*Y$1),(VLOOKUP(VIEW_IV_2019_GR_COTA_DEMANDA_TRI[[#This Row],[Cobertura.PRIVIGEN]],Tabela_Valores_GR,2,1))*Y$1))*3</calculatedColumnFormula>
    </tableColumn>
    <tableColumn id="26" xr3:uid="{B65E1AA9-E7C4-4B35-8492-1213ED46BA8C}" uniqueName="26" name="Recebido.BERINERT" queryTableFieldId="27" dataDxfId="102">
      <calculatedColumnFormula>SUMIFS(VIEW_IV_2019_GR_COTA_DEMANDA[Premio.BERINERT],VIEW_IV_2019_GR_COTA_DEMANDA[Ano-Fiscal],VIEW_IV_2019_GR_COTA_DEMANDA_TRI[[#This Row],[Ano-Fiscal]],VIEW_IV_2019_GR_COTA_DEMANDA[Tri-Fiscal],VIEW_IV_2019_GR_COTA_DEMANDA_TRI[[#This Row],[Tri-Fiscal]],VIEW_IV_2019_GR_COTA_DEMANDA[Gerente],VIEW_IV_2019_GR_COTA_DEMANDA_TRI[[#This Row],[Gerente]])</calculatedColumnFormula>
    </tableColumn>
    <tableColumn id="27" xr3:uid="{6FDA2A35-4EB8-4C0F-B378-51F5DB398F8D}" uniqueName="27" name="Recebido.BERIPLEX" queryTableFieldId="28" dataDxfId="101">
      <calculatedColumnFormula>SUMIFS(VIEW_IV_2019_GR_COTA_DEMANDA[Premio.BERIPLEX],VIEW_IV_2019_GR_COTA_DEMANDA[Ano-Fiscal],VIEW_IV_2019_GR_COTA_DEMANDA_TRI[[#This Row],[Ano-Fiscal]],VIEW_IV_2019_GR_COTA_DEMANDA[Tri-Fiscal],VIEW_IV_2019_GR_COTA_DEMANDA_TRI[[#This Row],[Tri-Fiscal]],VIEW_IV_2019_GR_COTA_DEMANDA[Gerente],VIEW_IV_2019_GR_COTA_DEMANDA_TRI[[#This Row],[Gerente]])</calculatedColumnFormula>
    </tableColumn>
    <tableColumn id="28" xr3:uid="{AC49A198-508C-4F42-8DAB-A3FF0347E76E}" uniqueName="28" name="Recebido.HAEMO" queryTableFieldId="29" dataDxfId="100">
      <calculatedColumnFormula>SUMIFS(VIEW_IV_2019_GR_COTA_DEMANDA[Premio.HAEMO],VIEW_IV_2019_GR_COTA_DEMANDA[Ano-Fiscal],VIEW_IV_2019_GR_COTA_DEMANDA_TRI[[#This Row],[Ano-Fiscal]],VIEW_IV_2019_GR_COTA_DEMANDA[Tri-Fiscal],VIEW_IV_2019_GR_COTA_DEMANDA_TRI[[#This Row],[Tri-Fiscal]],VIEW_IV_2019_GR_COTA_DEMANDA[Gerente],VIEW_IV_2019_GR_COTA_DEMANDA_TRI[[#This Row],[Gerente]])</calculatedColumnFormula>
    </tableColumn>
    <tableColumn id="29" xr3:uid="{6AE32934-F4A3-4017-B5B8-ECF5A2742570}" uniqueName="29" name="Recebido.HIZENTRA" queryTableFieldId="30" dataDxfId="99">
      <calculatedColumnFormula>SUMIFS(VIEW_IV_2019_GR_COTA_DEMANDA[Premio.HIZENTRA],VIEW_IV_2019_GR_COTA_DEMANDA[Ano-Fiscal],VIEW_IV_2019_GR_COTA_DEMANDA_TRI[[#This Row],[Ano-Fiscal]],VIEW_IV_2019_GR_COTA_DEMANDA[Tri-Fiscal],VIEW_IV_2019_GR_COTA_DEMANDA_TRI[[#This Row],[Tri-Fiscal]],VIEW_IV_2019_GR_COTA_DEMANDA[Gerente],VIEW_IV_2019_GR_COTA_DEMANDA_TRI[[#This Row],[Gerente]])</calculatedColumnFormula>
    </tableColumn>
    <tableColumn id="30" xr3:uid="{4098CA1D-C0B3-4085-82AA-7C8B7FCB65A1}" uniqueName="30" name="Recebido.PRIVIGEN" queryTableFieldId="31" dataDxfId="98">
      <calculatedColumnFormula>SUMIFS(VIEW_IV_2019_GR_COTA_DEMANDA[Premio.PRIVIGEN],VIEW_IV_2019_GR_COTA_DEMANDA[Ano-Fiscal],VIEW_IV_2019_GR_COTA_DEMANDA_TRI[[#This Row],[Ano-Fiscal]],VIEW_IV_2019_GR_COTA_DEMANDA[Tri-Fiscal],VIEW_IV_2019_GR_COTA_DEMANDA_TRI[[#This Row],[Tri-Fiscal]],VIEW_IV_2019_GR_COTA_DEMANDA[Gerente],VIEW_IV_2019_GR_COTA_DEMANDA_TRI[[#This Row],[Gerente]])</calculatedColumnFormula>
    </tableColumn>
    <tableColumn id="31" xr3:uid="{2F45DF78-D3FA-404A-BBB9-1BF38882565E}" uniqueName="31" name="Recuperavel.BERINERT" queryTableFieldId="32" dataDxfId="97">
      <calculatedColumnFormula>IF(VIEW_IV_2019_GR_COTA_DEMANDA_TRI[[#This Row],[Premio.BERINERT]]-VIEW_IV_2019_GR_COTA_DEMANDA_TRI[[#This Row],[Recebido.BERINERT]]&lt;=0,0,VIEW_IV_2019_GR_COTA_DEMANDA_TRI[[#This Row],[Premio.BERINERT]]-VIEW_IV_2019_GR_COTA_DEMANDA_TRI[[#This Row],[Recebido.BERINERT]])</calculatedColumnFormula>
    </tableColumn>
    <tableColumn id="32" xr3:uid="{78A4FCDB-7395-4B1B-BEA0-963D60A2D3B9}" uniqueName="32" name="Recuperavel.BERIPLEX" queryTableFieldId="33" dataDxfId="96">
      <calculatedColumnFormula>IF(VIEW_IV_2019_GR_COTA_DEMANDA_TRI[[#This Row],[Premio.BERIPLEX]]-VIEW_IV_2019_GR_COTA_DEMANDA_TRI[[#This Row],[Recebido.BERIPLEX]]&lt;=0,0,VIEW_IV_2019_GR_COTA_DEMANDA_TRI[[#This Row],[Premio.BERIPLEX]]-VIEW_IV_2019_GR_COTA_DEMANDA_TRI[[#This Row],[Recebido.BERIPLEX]])</calculatedColumnFormula>
    </tableColumn>
    <tableColumn id="33" xr3:uid="{C3194485-2FAA-4252-901A-9624476388B6}" uniqueName="33" name="Recuperavel.HAEMO" queryTableFieldId="34" dataDxfId="95">
      <calculatedColumnFormula>IF(VIEW_IV_2019_GR_COTA_DEMANDA_TRI[[#This Row],[Premio.HAEMO]]-VIEW_IV_2019_GR_COTA_DEMANDA_TRI[[#This Row],[Recebido.HAEMO]]&lt;=0,0,VIEW_IV_2019_GR_COTA_DEMANDA_TRI[[#This Row],[Premio.HAEMO]]-VIEW_IV_2019_GR_COTA_DEMANDA_TRI[[#This Row],[Recebido.HAEMO]])</calculatedColumnFormula>
    </tableColumn>
    <tableColumn id="34" xr3:uid="{918DD2A2-5B12-478F-B8A2-10B6405167B3}" uniqueName="34" name="Recuperavel.HIZENTRA" queryTableFieldId="35" dataDxfId="94">
      <calculatedColumnFormula>IF(VIEW_IV_2019_GR_COTA_DEMANDA_TRI[[#This Row],[Premio.HIZENTRA]]-VIEW_IV_2019_GR_COTA_DEMANDA_TRI[[#This Row],[Recebido.HIZENTRA]]&lt;=0,0,VIEW_IV_2019_GR_COTA_DEMANDA_TRI[[#This Row],[Premio.HIZENTRA]]-VIEW_IV_2019_GR_COTA_DEMANDA_TRI[[#This Row],[Recebido.HIZENTRA]])</calculatedColumnFormula>
    </tableColumn>
    <tableColumn id="35" xr3:uid="{D3DD56E5-DE09-4374-A6CE-F9091B9AE710}" uniqueName="35" name="Recuperavel.PRIVIGEN" queryTableFieldId="36" dataDxfId="93">
      <calculatedColumnFormula>IF(VIEW_IV_2019_GR_COTA_DEMANDA_TRI[[#This Row],[Premio.PRIVIGEN]]-VIEW_IV_2019_GR_COTA_DEMANDA_TRI[[#This Row],[Recebido.PRIVIGEN]]&lt;=0,0,VIEW_IV_2019_GR_COTA_DEMANDA_TRI[[#This Row],[Premio.PRIVIGEN]]-VIEW_IV_2019_GR_COTA_DEMANDA_TRI[[#This Row],[Recebido.PRIVIGEN]])</calculatedColumnFormula>
    </tableColumn>
    <tableColumn id="36" xr3:uid="{E570BB07-E4B5-4F8F-8399-122F79D4FAB6}" uniqueName="36" name="Recuperavel-Total" queryTableFieldId="37" dataDxfId="92">
      <calculatedColumnFormula>SUM(VIEW_IV_2019_GR_COTA_DEMANDA_TRI[[#This Row],[Recuperavel.BERINERT]:[Recuperavel.PRIVIGEN]])</calculatedColumnFormula>
    </tableColumn>
  </tableColumns>
  <tableStyleInfo name="TableStyleMedium7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386B08E0-D315-45E8-A4F7-CE1E6557DDBA}" name="VIEW_IV_2019_GR_COTA_DEMANDA" displayName="VIEW_IV_2019_GR_COTA_DEMANDA" ref="A5:AA23" tableType="queryTable" totalsRowShown="0" headerRowDxfId="91" dataDxfId="90">
  <autoFilter ref="A5:AA23" xr:uid="{3F514BE4-96BE-4CF5-97BC-95DF0B420783}"/>
  <tableColumns count="27">
    <tableColumn id="18" xr3:uid="{3D3CE370-223B-48D8-BC7C-EB840E37CBD6}" uniqueName="18" name="Tipo" queryTableFieldId="18" dataDxfId="89"/>
    <tableColumn id="3" xr3:uid="{E29BB81C-0C33-4F74-90C0-D57FAFD088F2}" uniqueName="3" name="Ano-Fiscal" queryTableFieldId="3" dataDxfId="88"/>
    <tableColumn id="4" xr3:uid="{F9938679-40C2-4C41-B3E5-EA5ACD928BDD}" uniqueName="4" name="Mes-Fiscal" queryTableFieldId="4" dataDxfId="87"/>
    <tableColumn id="5" xr3:uid="{5EF3B1E5-2694-4035-A6A5-ECB8405C4466}" uniqueName="5" name="Tri-Fiscal" queryTableFieldId="5" dataDxfId="86"/>
    <tableColumn id="11" xr3:uid="{A26BB7A0-C155-4384-8E6B-C41B6C2264B8}" uniqueName="11" name="#FK-Email-Gerente" queryTableFieldId="11" dataDxfId="85"/>
    <tableColumn id="12" xr3:uid="{06FD3997-BE24-4101-9E60-AB195A0FD688}" uniqueName="12" name="Gerente" queryTableFieldId="12" dataDxfId="84"/>
    <tableColumn id="19" xr3:uid="{710B0C1F-FEEF-4C34-ADDD-CB4AA906CC51}" uniqueName="19" name="Cota.BERINERT" queryTableFieldId="20" dataDxfId="83"/>
    <tableColumn id="20" xr3:uid="{9290497E-86DF-4861-BCEE-55A44AC13978}" uniqueName="20" name="Cota.BERIPLEX" queryTableFieldId="21" dataDxfId="82"/>
    <tableColumn id="21" xr3:uid="{50025F84-D825-4A01-BAC6-2FC37F52820C}" uniqueName="21" name="Cota.HAEMO" queryTableFieldId="22" dataDxfId="81"/>
    <tableColumn id="22" xr3:uid="{107EF51B-3B07-476F-BD6A-07772045483A}" uniqueName="22" name="Cota.HIZENTRA" queryTableFieldId="23" dataDxfId="80"/>
    <tableColumn id="23" xr3:uid="{6DF9BB81-795B-40A8-8E16-833FB8C97405}" uniqueName="23" name="Cota.PRIVIGEN" queryTableFieldId="24" dataDxfId="79"/>
    <tableColumn id="24" xr3:uid="{801B140D-8C19-467B-8DAA-76DBF021DDFE}" uniqueName="24" name="Demanda.BERINERT" queryTableFieldId="25" dataDxfId="78"/>
    <tableColumn id="25" xr3:uid="{35B2B19A-A061-4E71-996E-8DD780BE2444}" uniqueName="25" name="Demanda.BERIPLEX" queryTableFieldId="26" dataDxfId="77"/>
    <tableColumn id="26" xr3:uid="{CC6AC185-684A-4BAE-9F30-ABFA6431208F}" uniqueName="26" name="Demanda.HAEMO" queryTableFieldId="27" dataDxfId="76"/>
    <tableColumn id="27" xr3:uid="{343EC700-39EF-404F-92CA-D2E1E4DA0989}" uniqueName="27" name="Demanda.HIZENTRA" queryTableFieldId="28" dataDxfId="75"/>
    <tableColumn id="28" xr3:uid="{A3626FC3-0539-465E-B43C-599B6E4B5DD7}" uniqueName="28" name="Demanda.PRIVIGEN" queryTableFieldId="29" dataDxfId="74"/>
    <tableColumn id="29" xr3:uid="{7992F58F-4C7D-40F6-9F3C-CAF7FDA734FC}" uniqueName="29" name="Cobertura.BERINERT" queryTableFieldId="30" dataDxfId="73" dataCellStyle="Porcentagem">
      <calculatedColumnFormula>IFERROR(VIEW_IV_2019_GR_COTA_DEMANDA[[#This Row],[Demanda.BERINERT]]/VIEW_IV_2019_GR_COTA_DEMANDA[[#This Row],[Cota.BERINERT]],0)</calculatedColumnFormula>
    </tableColumn>
    <tableColumn id="30" xr3:uid="{CDBD95FB-8CD8-498F-9401-EA30A68917F1}" uniqueName="30" name="Cobertura.BERIPLEX" queryTableFieldId="31" dataDxfId="72" dataCellStyle="Porcentagem">
      <calculatedColumnFormula>IFERROR(VIEW_IV_2019_GR_COTA_DEMANDA[[#This Row],[Demanda.BERIPLEX]]/VIEW_IV_2019_GR_COTA_DEMANDA[[#This Row],[Cota.BERIPLEX]],0)</calculatedColumnFormula>
    </tableColumn>
    <tableColumn id="31" xr3:uid="{6E56C3D3-6D10-4137-9FB4-58F77083F942}" uniqueName="31" name="Cobertura.HAEMO" queryTableFieldId="32" dataDxfId="71" dataCellStyle="Porcentagem">
      <calculatedColumnFormula>IFERROR(VIEW_IV_2019_GR_COTA_DEMANDA[[#This Row],[Demanda.HAEMO]]/VIEW_IV_2019_GR_COTA_DEMANDA[[#This Row],[Cota.HAEMO]],0)</calculatedColumnFormula>
    </tableColumn>
    <tableColumn id="32" xr3:uid="{8D3EB499-4967-47CD-8F7B-5BD5617986EB}" uniqueName="32" name="Cobertura.HIZENTRA" queryTableFieldId="33" dataDxfId="70" dataCellStyle="Porcentagem">
      <calculatedColumnFormula>IFERROR(VIEW_IV_2019_GR_COTA_DEMANDA[[#This Row],[Demanda.HIZENTRA]]/VIEW_IV_2019_GR_COTA_DEMANDA[[#This Row],[Cota.HIZENTRA]],0)</calculatedColumnFormula>
    </tableColumn>
    <tableColumn id="33" xr3:uid="{7B79B6D4-868A-4497-B5F2-C04CD63D66DD}" uniqueName="33" name="Cobertura.PRIVIGEN" queryTableFieldId="34" dataDxfId="69" dataCellStyle="Porcentagem">
      <calculatedColumnFormula>IFERROR(VIEW_IV_2019_GR_COTA_DEMANDA[[#This Row],[Demanda.PRIVIGEN]]/VIEW_IV_2019_GR_COTA_DEMANDA[[#This Row],[Cota.PRIVIGEN]],0)</calculatedColumnFormula>
    </tableColumn>
    <tableColumn id="34" xr3:uid="{370A8319-EC26-4951-B66F-6D72B8624C12}" uniqueName="34" name="Premio.BERINERT" queryTableFieldId="35" dataDxfId="68" dataCellStyle="Porcentagem">
      <calculatedColumnFormula>IF(VIEW_IV_2019_GR_COTA_DEMANDA[[#This Row],[Cobertura.BERINERT]]&lt;Cob_Min_GR,0,IF(VIEW_IV_2019_GR_COTA_DEMANDA[[#This Row],[Cobertura.BERINERT]]&gt;=Cob_Max_GR,(Vlr_Max_GR*V$1),(VLOOKUP(VIEW_IV_2019_GR_COTA_DEMANDA[[#This Row],[Cobertura.BERINERT]],Tabela_Valores_GR,2,1))*V$1))</calculatedColumnFormula>
    </tableColumn>
    <tableColumn id="35" xr3:uid="{4BBE4843-AD93-4EF5-98A8-B826FEAEE8EF}" uniqueName="35" name="Premio.BERIPLEX" queryTableFieldId="36" dataDxfId="67" dataCellStyle="Porcentagem">
      <calculatedColumnFormula>IF(VIEW_IV_2019_GR_COTA_DEMANDA[[#This Row],[Cobertura.BERIPLEX]]&lt;Cob_Min_GR,0,IF(VIEW_IV_2019_GR_COTA_DEMANDA[[#This Row],[Cobertura.BERIPLEX]]&gt;=Cob_Max_GR,(Vlr_Max_GR*W$1),(VLOOKUP(VIEW_IV_2019_GR_COTA_DEMANDA[[#This Row],[Cobertura.BERIPLEX]],Tabela_Valores_GR,2,1))*W$1))</calculatedColumnFormula>
    </tableColumn>
    <tableColumn id="36" xr3:uid="{B0E60B0C-65C8-4DDE-94F2-A5C068E36A94}" uniqueName="36" name="Premio.HAEMO" queryTableFieldId="37" dataDxfId="66" dataCellStyle="Porcentagem">
      <calculatedColumnFormula>IF(VIEW_IV_2019_GR_COTA_DEMANDA[[#This Row],[Cobertura.HAEMO]]&lt;Cob_Min_GR,0,IF(VIEW_IV_2019_GR_COTA_DEMANDA[[#This Row],[Cobertura.HAEMO]]&gt;=Cob_Max_GR,(Vlr_Max_GR*X$1),(VLOOKUP(VIEW_IV_2019_GR_COTA_DEMANDA[[#This Row],[Cobertura.HAEMO]],Tabela_Valores_GR,2,1))*X$1))</calculatedColumnFormula>
    </tableColumn>
    <tableColumn id="37" xr3:uid="{C48B6B88-60A8-4302-BC2E-B9AC99ADC688}" uniqueName="37" name="Premio.HIZENTRA" queryTableFieldId="38" dataDxfId="65" dataCellStyle="Porcentagem">
      <calculatedColumnFormula>IF(VIEW_IV_2019_GR_COTA_DEMANDA[[#This Row],[Cobertura.HIZENTRA]]&lt;Cob_Min_GR,0,IF(VIEW_IV_2019_GR_COTA_DEMANDA[[#This Row],[Cobertura.HIZENTRA]]&gt;=Cob_Max_GR,(Vlr_Max_GR*Y$1),(VLOOKUP(VIEW_IV_2019_GR_COTA_DEMANDA[[#This Row],[Cobertura.HIZENTRA]],Tabela_Valores_GR,2,1))*Y$1))</calculatedColumnFormula>
    </tableColumn>
    <tableColumn id="38" xr3:uid="{B92A7BF0-701C-4163-8F66-3DBE78467154}" uniqueName="38" name="Premio.PRIVIGEN" queryTableFieldId="39" dataDxfId="64" dataCellStyle="Porcentagem">
      <calculatedColumnFormula>IF(VIEW_IV_2019_GR_COTA_DEMANDA[[#This Row],[Cobertura.PRIVIGEN]]&lt;Cob_Min_GR,0,IF(VIEW_IV_2019_GR_COTA_DEMANDA[[#This Row],[Cobertura.PRIVIGEN]]&gt;=Cob_Max_GR,(Vlr_Max_GR*Z$1),(VLOOKUP(VIEW_IV_2019_GR_COTA_DEMANDA[[#This Row],[Cobertura.PRIVIGEN]],Tabela_Valores_GR,2,1))*Z$1))</calculatedColumnFormula>
    </tableColumn>
    <tableColumn id="1" xr3:uid="{C298F3C8-F90C-42FD-8B82-3810F661A8CC}" uniqueName="1" name="Premio.Total" queryTableFieldId="40" dataDxfId="63" dataCellStyle="Porcentagem"/>
  </tableColumns>
  <tableStyleInfo name="TableStyleMedium7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C745AA56-4B7C-4951-99F2-48BAD042309D}" name="VIEW_IV_2019_VISITAS_GR" displayName="VIEW_IV_2019_VISITAS_GR" ref="A5:I16" tableType="queryTable" totalsRowShown="0" headerRowDxfId="62" dataDxfId="61">
  <autoFilter ref="A5:I16" xr:uid="{030CC3E1-4C94-4744-A379-7EDCC71481A6}"/>
  <tableColumns count="9">
    <tableColumn id="3" xr3:uid="{E6791E9B-A3AF-403D-B659-90659497246D}" uniqueName="3" name="Ano-Fiscal" queryTableFieldId="3" dataDxfId="60"/>
    <tableColumn id="4" xr3:uid="{80A6D0EE-2A8B-4F7A-8285-A57D5C729B80}" uniqueName="4" name="Mes-Fiscal" queryTableFieldId="4" dataDxfId="59"/>
    <tableColumn id="5" xr3:uid="{9CBF8134-A86F-4B0F-BFFF-AE89A97330D9}" uniqueName="5" name="Tri-Fiscal" queryTableFieldId="5" dataDxfId="58"/>
    <tableColumn id="11" xr3:uid="{F76F015B-2FBD-49C2-B4BA-83BB99C164F9}" uniqueName="11" name="#FK-Email-Gerente" queryTableFieldId="11" dataDxfId="57"/>
    <tableColumn id="12" xr3:uid="{A048F8B7-1101-420D-AF92-313F2BAB0853}" uniqueName="12" name="Gerente" queryTableFieldId="12" dataDxfId="56"/>
    <tableColumn id="13" xr3:uid="{022711F1-CA6E-4151-BB81-A924D1589F0C}" uniqueName="13" name="Visitas-Realizar" queryTableFieldId="13" dataDxfId="55"/>
    <tableColumn id="14" xr3:uid="{775A4C15-1951-4BD2-B215-C135C8683A52}" uniqueName="14" name="Visitas-Realizadas" queryTableFieldId="14" dataDxfId="54"/>
    <tableColumn id="15" xr3:uid="{33A5D457-BB99-4E29-88C8-E1E6BA1BF3DF}" uniqueName="15" name="Visitas-Cobertura" queryTableFieldId="15" dataDxfId="53" dataCellStyle="Porcentagem">
      <calculatedColumnFormula>IFERROR(VIEW_IV_2019_VISITAS_GR[[#This Row],[Visitas-Realizadas]]/VIEW_IV_2019_VISITAS_GR[[#This Row],[Visitas-Realizar]],0)</calculatedColumnFormula>
    </tableColumn>
    <tableColumn id="16" xr3:uid="{6AAFF521-13C0-429C-B0E5-58B7C9CCC60D}" uniqueName="16" name="Visitas-Premio" queryTableFieldId="16" dataDxfId="52">
      <calculatedColumnFormula>IF(VIEW_IV_2019_VISITAS_GR[[#This Row],[Visitas-Cobertura]]&lt;Cob_Min_GR,0,IF(VIEW_IV_2019_VISITAS_GR[[#This Row],[Visitas-Cobertura]]&gt;=Cob_100_GR,(Vlr_100_GR*I$1),(VLOOKUP(VIEW_IV_2019_VISITAS_GR[[#This Row],[Visitas-Cobertura]],Tabela_Valores_GR,2,1))*I$1))</calculatedColumnFormula>
    </tableColumn>
  </tableColumns>
  <tableStyleInfo name="TableStyleMedium7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91A696E-5FD2-40F6-8E4C-867609CE2109}" name="VIEW_IV_2019_DEMANDA_SETORIZADA_GR" displayName="VIEW_IV_2019_DEMANDA_SETORIZADA_GR" ref="A5:L1525" tableType="queryTable" totalsRowShown="0" headerRowDxfId="51" dataDxfId="50">
  <autoFilter ref="A5:L1525" xr:uid="{B4702A13-381B-4C19-A1C9-7B90AFB689A1}"/>
  <tableColumns count="12">
    <tableColumn id="3" xr3:uid="{EAB81966-144F-4551-BE67-5E7F718E86B4}" uniqueName="3" name="Ano-Fiscal" queryTableFieldId="3" dataDxfId="49"/>
    <tableColumn id="4" xr3:uid="{96EAFA6F-5976-4E80-BCBB-C913D61DCC38}" uniqueName="4" name="Mes-Fiscal" queryTableFieldId="4" dataDxfId="48"/>
    <tableColumn id="5" xr3:uid="{E99BC4FB-93F6-4E09-965D-0FBD50D37E81}" uniqueName="5" name="Tri-Fiscal" queryTableFieldId="5" dataDxfId="47"/>
    <tableColumn id="10" xr3:uid="{D3375185-A75F-4CD3-9007-050E27BF5C77}" uniqueName="10" name="CNPJ" queryTableFieldId="10" dataDxfId="46"/>
    <tableColumn id="11" xr3:uid="{94ADFA00-D9AA-490E-902C-3C610491F2F1}" uniqueName="11" name="Estabelecimento" queryTableFieldId="11" dataDxfId="45"/>
    <tableColumn id="12" xr3:uid="{07CF2C53-AF7B-4C1A-8930-929A62CB994A}" uniqueName="12" name="Cidade" queryTableFieldId="12" dataDxfId="44"/>
    <tableColumn id="13" xr3:uid="{E8C1BE46-BAC1-4CF0-94A0-D5600E899B4D}" uniqueName="13" name="UF" queryTableFieldId="13" dataDxfId="43"/>
    <tableColumn id="17" xr3:uid="{FF2D9768-EDEE-4BA0-AA4F-8668E1EB62BD}" uniqueName="17" name="#FK-Email-Gerente" queryTableFieldId="17" dataDxfId="42"/>
    <tableColumn id="18" xr3:uid="{D746A70B-B6D8-4845-ACC4-ACAD3861C3C6}" uniqueName="18" name="Gerente" queryTableFieldId="18" dataDxfId="41"/>
    <tableColumn id="14" xr3:uid="{E5517A84-D617-4113-A37A-0E055C913F99}" uniqueName="14" name="Cod-Linha" queryTableFieldId="14" dataDxfId="40"/>
    <tableColumn id="15" xr3:uid="{614DF146-2E87-4B7B-B972-77D3CF2C2055}" uniqueName="15" name="Linha" queryTableFieldId="15" dataDxfId="39"/>
    <tableColumn id="16" xr3:uid="{7E164D8C-507E-4A9C-98A4-859222275CBB}" uniqueName="16" name="EQ" queryTableFieldId="16" dataDxfId="38"/>
  </tableColumns>
  <tableStyleInfo name="TableStyleMedium7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BB5FB6B-FD54-44FD-B69B-913B77AEEBEC}" name="VIEW_IV_2019_ESTABELECIMENTOS_SETORIZACAO_GR" displayName="VIEW_IV_2019_ESTABELECIMENTOS_SETORIZACAO_GR" ref="A5:F529" tableType="queryTable" totalsRowShown="0" headerRowDxfId="37" dataDxfId="36">
  <autoFilter ref="A5:F529" xr:uid="{C5C3EF0D-6BFB-4C78-9E91-17835DA4357F}"/>
  <tableColumns count="6">
    <tableColumn id="1" xr3:uid="{6DCFC684-B051-4731-8667-7EA24C67C7DC}" uniqueName="1" name="#FK-CNPJ" queryTableFieldId="1" dataDxfId="35"/>
    <tableColumn id="2" xr3:uid="{FC4A3DB8-8D84-4ACE-8E49-FA5B2F4AB5AB}" uniqueName="2" name="Estabelecimento" queryTableFieldId="2" dataDxfId="34"/>
    <tableColumn id="3" xr3:uid="{FF970E4C-2F36-4660-9EA2-30B56FB28730}" uniqueName="3" name="Cidade" queryTableFieldId="3" dataDxfId="33"/>
    <tableColumn id="4" xr3:uid="{CD1B7D15-834C-456E-8EEC-584FA1ADBD27}" uniqueName="4" name="UF" queryTableFieldId="4" dataDxfId="32"/>
    <tableColumn id="5" xr3:uid="{B9FC7C80-D1D2-4781-A0B0-F48591E829B1}" uniqueName="5" name="#FK-Email-Gerente" queryTableFieldId="5" dataDxfId="31"/>
    <tableColumn id="6" xr3:uid="{74104D5F-1A39-47C1-8896-1459A4D704E8}" uniqueName="6" name="Gerente" queryTableFieldId="6" dataDxfId="30"/>
  </tableColumns>
  <tableStyleInfo name="TableStyleMedium7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AA35FC83-C88D-424D-BCA3-44EAC3F4A050}" name="VIEW_IV_2019_DEMANDA_SETORIZADA_REP" displayName="VIEW_IV_2019_DEMANDA_SETORIZADA_REP" ref="A5:S2171" tableType="queryTable" totalsRowShown="0" headerRowDxfId="29" dataDxfId="28">
  <autoFilter ref="A5:S2171" xr:uid="{31BE928C-27BF-4D10-ABEE-CC8E87A021DF}"/>
  <tableColumns count="19">
    <tableColumn id="29" xr3:uid="{2416DEEE-17FC-404D-81DC-260E8DB50433}" uniqueName="29" name="Ano-Fiscal" queryTableFieldId="29" dataDxfId="27"/>
    <tableColumn id="30" xr3:uid="{4438666A-48FD-4F14-9AF3-991BE4E52884}" uniqueName="30" name="Mes-Fiscal" queryTableFieldId="30" dataDxfId="26"/>
    <tableColumn id="31" xr3:uid="{FC891D70-5BEA-4E19-9D3F-D8BCB4902F11}" uniqueName="31" name="Tri-Fiscal" queryTableFieldId="31" dataDxfId="25"/>
    <tableColumn id="1" xr3:uid="{EA702922-595C-4964-A359-D34A318067BB}" uniqueName="1" name="#FK-CNPJ" queryTableFieldId="1" dataDxfId="24"/>
    <tableColumn id="2" xr3:uid="{89D05978-6016-40F9-BC27-1450CC665E8C}" uniqueName="2" name="Estabelecimento" queryTableFieldId="2" dataDxfId="23"/>
    <tableColumn id="3" xr3:uid="{80266867-60CC-46B1-B180-A16DEAD442BE}" uniqueName="3" name="Cidade" queryTableFieldId="3" dataDxfId="22"/>
    <tableColumn id="4" xr3:uid="{1CAC6EBF-56CE-4781-9FA1-AA6DAAF80C80}" uniqueName="4" name="UF" queryTableFieldId="4" dataDxfId="21"/>
    <tableColumn id="5" xr3:uid="{9C351A71-2D2A-494F-99B4-6846C201F6D1}" uniqueName="5" name="Status" queryTableFieldId="5" dataDxfId="20"/>
    <tableColumn id="6" xr3:uid="{BF20CE8F-11BC-478E-AFF7-01D4D33F54F7}" uniqueName="6" name="Qtd_REPS" queryTableFieldId="6" dataDxfId="19"/>
    <tableColumn id="7" xr3:uid="{A4C1788C-77C7-4243-B68B-312674DD5D87}" uniqueName="7" name="Email-Representante" queryTableFieldId="7" dataDxfId="18"/>
    <tableColumn id="8" xr3:uid="{4111252C-367F-4DDE-8479-DA65DEE7392A}" uniqueName="8" name="Representante" queryTableFieldId="8" dataDxfId="17"/>
    <tableColumn id="11" xr3:uid="{B7494D48-F852-4B9D-88B0-9FBDEE4ACC54}" uniqueName="11" name="Equipe" queryTableFieldId="11" dataDxfId="16"/>
    <tableColumn id="16" xr3:uid="{43AE88A0-2F1D-4C70-BD61-294DA6544087}" uniqueName="16" name="#FK-Email-Gerente" queryTableFieldId="50" dataDxfId="15"/>
    <tableColumn id="13" xr3:uid="{976345D5-C7CD-433C-80C0-9AF6C7F857D4}" uniqueName="13" name="Gerente" queryTableFieldId="13" dataDxfId="14"/>
    <tableColumn id="9" xr3:uid="{00192C16-470F-45BE-8225-939DF67904A6}" uniqueName="9" name="Demanda.BERINERT" queryTableFieldId="45" dataDxfId="13"/>
    <tableColumn id="10" xr3:uid="{220CF4CA-6905-4A5F-B3D7-5BC0E7E007D3}" uniqueName="10" name="Demanda.BERIPLEX" queryTableFieldId="46" dataDxfId="12"/>
    <tableColumn id="12" xr3:uid="{0818AEEC-A95F-4C60-B0BF-620850AEFE0E}" uniqueName="12" name="Demanda.HAEMO" queryTableFieldId="47" dataDxfId="11"/>
    <tableColumn id="14" xr3:uid="{35B6A27E-F222-4E62-A577-3DA96D54EEF1}" uniqueName="14" name="Demanda.HIZENTRA" queryTableFieldId="48" dataDxfId="10"/>
    <tableColumn id="15" xr3:uid="{4DF2AEC6-077E-4BA9-8D02-07DCBC5D44EE}" uniqueName="15" name="Demanda.PRIVIGEN" queryTableFieldId="49" dataDxfId="9"/>
  </tableColumns>
  <tableStyleInfo name="TableStyleMedium7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A47FB76B-B523-4BBC-ABD0-2B4231EA6732}" name="VIEW_IV_2019_VENDA_DETALHADA" displayName="VIEW_IV_2019_VENDA_DETALHADA" ref="A5:G433" tableType="queryTable" totalsRowShown="0" headerRowDxfId="8" dataDxfId="7">
  <autoFilter ref="A5:G433" xr:uid="{2E20153E-4FEC-4A06-BA11-FC3809A8D449}"/>
  <tableColumns count="7">
    <tableColumn id="3" xr3:uid="{1E04C071-FF35-4221-9766-D5B1020AD751}" uniqueName="3" name="Ano-Fiscal" queryTableFieldId="3" dataDxfId="6"/>
    <tableColumn id="4" xr3:uid="{3E82D8BC-64EF-41CD-BB0D-AE6BFF67E6A6}" uniqueName="4" name="Mes-Fiscal" queryTableFieldId="4" dataDxfId="5"/>
    <tableColumn id="5" xr3:uid="{291F1961-0CAB-42B2-B25E-B9654A0E868E}" uniqueName="5" name="Tri-Fiscal" queryTableFieldId="5" dataDxfId="4"/>
    <tableColumn id="11" xr3:uid="{1A244881-274C-421B-A190-E711A8AC43F7}" uniqueName="11" name="CNPJ" queryTableFieldId="11" dataDxfId="3"/>
    <tableColumn id="12" xr3:uid="{D8E39B8B-4FF7-4633-B4DB-F45477794238}" uniqueName="12" name="Estabelecimento-Venda" queryTableFieldId="12" dataDxfId="2"/>
    <tableColumn id="13" xr3:uid="{F61C0CBB-DDB0-4D02-9D99-82AC89480AF2}" uniqueName="13" name="Grupo-Linha-IV-REP" queryTableFieldId="13" dataDxfId="1"/>
    <tableColumn id="14" xr3:uid="{D0793EB0-CAFE-4060-9630-1AA5E6A13B78}" uniqueName="14" name="BRL" queryTableFieldId="14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table" Target="../tables/table2.xml"/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table" Target="../tables/table3.xml"/><Relationship Id="rId1" Type="http://schemas.openxmlformats.org/officeDocument/2006/relationships/drawing" Target="../drawings/drawing2.xml"/><Relationship Id="rId4" Type="http://schemas.microsoft.com/office/2007/relationships/slicer" Target="../slicers/slicer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microsoft.com/office/2007/relationships/slicer" Target="../slicers/slicer3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Relationship Id="rId4" Type="http://schemas.microsoft.com/office/2007/relationships/slicer" Target="../slicers/slicer4.xml"/></Relationships>
</file>

<file path=xl/worksheets/_rels/sheet7.xml.rels><?xml version="1.0" encoding="UTF-8" standalone="yes"?>
<Relationships xmlns="http://schemas.openxmlformats.org/package/2006/relationships"><Relationship Id="rId3" Type="http://schemas.microsoft.com/office/2007/relationships/slicer" Target="../slicers/slicer5.xml"/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7.xml"/><Relationship Id="rId1" Type="http://schemas.openxmlformats.org/officeDocument/2006/relationships/printerSettings" Target="../printerSettings/printerSettings1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F11515-6485-41F9-A9C4-DB827DA18F8F}">
  <sheetPr>
    <tabColor theme="9" tint="-0.249977111117893"/>
  </sheetPr>
  <dimension ref="A1:D28"/>
  <sheetViews>
    <sheetView showGridLines="0" workbookViewId="0">
      <pane ySplit="4" topLeftCell="A5" activePane="bottomLeft" state="frozen"/>
      <selection pane="bottomLeft" activeCell="A7" sqref="A7"/>
    </sheetView>
  </sheetViews>
  <sheetFormatPr defaultRowHeight="15" x14ac:dyDescent="0.25"/>
  <cols>
    <col min="1" max="1" width="7.85546875" style="87" customWidth="1"/>
    <col min="2" max="2" width="63.7109375" style="87" customWidth="1"/>
    <col min="3" max="3" width="9.140625" style="2"/>
    <col min="4" max="4" width="62.42578125" style="87" bestFit="1" customWidth="1"/>
    <col min="5" max="16384" width="9.140625" style="87"/>
  </cols>
  <sheetData>
    <row r="1" spans="1:4" ht="18.75" x14ac:dyDescent="0.25">
      <c r="A1" s="48" t="s">
        <v>1022</v>
      </c>
    </row>
    <row r="3" spans="1:4" s="3" customFormat="1" ht="15.75" x14ac:dyDescent="0.25">
      <c r="A3" s="49" t="s">
        <v>1155</v>
      </c>
      <c r="C3" s="6"/>
    </row>
    <row r="4" spans="1:4" s="3" customFormat="1" ht="12.75" x14ac:dyDescent="0.25">
      <c r="A4" s="170" t="s">
        <v>1160</v>
      </c>
      <c r="B4" s="170" t="s">
        <v>1159</v>
      </c>
      <c r="C4" s="170" t="s">
        <v>1158</v>
      </c>
      <c r="D4" s="170" t="s">
        <v>986</v>
      </c>
    </row>
    <row r="5" spans="1:4" s="3" customFormat="1" ht="12.75" x14ac:dyDescent="0.25">
      <c r="A5" s="171">
        <v>1</v>
      </c>
      <c r="B5" s="169" t="s">
        <v>1162</v>
      </c>
      <c r="C5" s="168" t="s">
        <v>1157</v>
      </c>
      <c r="D5" s="169"/>
    </row>
    <row r="6" spans="1:4" s="3" customFormat="1" ht="12.75" x14ac:dyDescent="0.25">
      <c r="A6" s="171">
        <v>2</v>
      </c>
      <c r="B6" s="169" t="s">
        <v>1156</v>
      </c>
      <c r="C6" s="168" t="s">
        <v>1157</v>
      </c>
      <c r="D6" s="169" t="s">
        <v>1161</v>
      </c>
    </row>
    <row r="7" spans="1:4" s="3" customFormat="1" ht="12.75" x14ac:dyDescent="0.25">
      <c r="A7" s="171">
        <v>3</v>
      </c>
      <c r="B7" s="169" t="s">
        <v>1164</v>
      </c>
      <c r="C7" s="168" t="s">
        <v>1163</v>
      </c>
      <c r="D7" s="169"/>
    </row>
    <row r="8" spans="1:4" s="3" customFormat="1" ht="12.75" x14ac:dyDescent="0.25">
      <c r="A8" s="171"/>
      <c r="B8" s="169"/>
      <c r="C8" s="168"/>
      <c r="D8" s="169"/>
    </row>
    <row r="9" spans="1:4" s="3" customFormat="1" ht="12.75" x14ac:dyDescent="0.25">
      <c r="A9" s="171"/>
      <c r="B9" s="169"/>
      <c r="C9" s="168"/>
      <c r="D9" s="169"/>
    </row>
    <row r="10" spans="1:4" s="3" customFormat="1" ht="12.75" x14ac:dyDescent="0.25">
      <c r="A10" s="171"/>
      <c r="B10" s="169"/>
      <c r="C10" s="168"/>
      <c r="D10" s="169"/>
    </row>
    <row r="11" spans="1:4" s="3" customFormat="1" ht="12.75" x14ac:dyDescent="0.25">
      <c r="A11" s="171"/>
      <c r="B11" s="169"/>
      <c r="C11" s="168"/>
      <c r="D11" s="169"/>
    </row>
    <row r="12" spans="1:4" s="3" customFormat="1" ht="12.75" x14ac:dyDescent="0.25">
      <c r="A12" s="171"/>
      <c r="B12" s="169"/>
      <c r="C12" s="168"/>
      <c r="D12" s="169"/>
    </row>
    <row r="13" spans="1:4" s="3" customFormat="1" ht="12.75" x14ac:dyDescent="0.25">
      <c r="A13" s="171"/>
      <c r="B13" s="169"/>
      <c r="C13" s="168"/>
      <c r="D13" s="169"/>
    </row>
    <row r="14" spans="1:4" s="3" customFormat="1" ht="12.75" x14ac:dyDescent="0.25">
      <c r="A14" s="171"/>
      <c r="B14" s="169"/>
      <c r="C14" s="168"/>
      <c r="D14" s="169"/>
    </row>
    <row r="15" spans="1:4" s="3" customFormat="1" ht="12.75" x14ac:dyDescent="0.25">
      <c r="A15" s="171"/>
      <c r="B15" s="169"/>
      <c r="C15" s="168"/>
      <c r="D15" s="169"/>
    </row>
    <row r="16" spans="1:4" s="3" customFormat="1" ht="12.75" x14ac:dyDescent="0.25">
      <c r="A16" s="171"/>
      <c r="B16" s="169"/>
      <c r="C16" s="168"/>
      <c r="D16" s="169"/>
    </row>
    <row r="17" spans="3:3" s="3" customFormat="1" ht="12.75" x14ac:dyDescent="0.25">
      <c r="C17" s="6"/>
    </row>
    <row r="18" spans="3:3" s="3" customFormat="1" ht="12.75" x14ac:dyDescent="0.25">
      <c r="C18" s="6"/>
    </row>
    <row r="19" spans="3:3" s="3" customFormat="1" ht="12.75" x14ac:dyDescent="0.25">
      <c r="C19" s="6"/>
    </row>
    <row r="20" spans="3:3" s="3" customFormat="1" ht="12.75" x14ac:dyDescent="0.25">
      <c r="C20" s="6"/>
    </row>
    <row r="21" spans="3:3" s="3" customFormat="1" ht="12.75" x14ac:dyDescent="0.25">
      <c r="C21" s="6"/>
    </row>
    <row r="22" spans="3:3" s="3" customFormat="1" ht="12.75" x14ac:dyDescent="0.25">
      <c r="C22" s="6"/>
    </row>
    <row r="23" spans="3:3" s="3" customFormat="1" ht="12.75" x14ac:dyDescent="0.25">
      <c r="C23" s="6"/>
    </row>
    <row r="24" spans="3:3" s="3" customFormat="1" ht="12.75" x14ac:dyDescent="0.25">
      <c r="C24" s="6"/>
    </row>
    <row r="25" spans="3:3" s="3" customFormat="1" ht="12.75" x14ac:dyDescent="0.25">
      <c r="C25" s="6"/>
    </row>
    <row r="26" spans="3:3" s="3" customFormat="1" ht="12.75" x14ac:dyDescent="0.25">
      <c r="C26" s="6"/>
    </row>
    <row r="27" spans="3:3" s="3" customFormat="1" ht="12.75" x14ac:dyDescent="0.25">
      <c r="C27" s="6"/>
    </row>
    <row r="28" spans="3:3" s="3" customFormat="1" ht="12.75" x14ac:dyDescent="0.25">
      <c r="C28" s="6"/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8E153-1258-4D1D-891C-F221CB440D2E}">
  <sheetPr codeName="Planilha7">
    <tabColor rgb="FFFF9933"/>
  </sheetPr>
  <dimension ref="A1:W1000"/>
  <sheetViews>
    <sheetView showGridLines="0" workbookViewId="0">
      <pane xSplit="4" ySplit="5" topLeftCell="E6" activePane="bottomRight" state="frozen"/>
      <selection pane="topRight" activeCell="E1" sqref="E1"/>
      <selection pane="bottomLeft" activeCell="A2" sqref="A2"/>
      <selection pane="bottomRight" activeCell="E6" sqref="E6"/>
    </sheetView>
  </sheetViews>
  <sheetFormatPr defaultRowHeight="12.75" x14ac:dyDescent="0.25"/>
  <cols>
    <col min="1" max="1" width="15.140625" style="3" bestFit="1" customWidth="1"/>
    <col min="2" max="2" width="81.140625" style="3" bestFit="1" customWidth="1"/>
    <col min="3" max="3" width="23.5703125" style="3" bestFit="1" customWidth="1"/>
    <col min="4" max="4" width="5.28515625" style="3" bestFit="1" customWidth="1"/>
    <col min="5" max="6" width="10.85546875" style="3" bestFit="1" customWidth="1"/>
    <col min="7" max="7" width="32.42578125" style="3" bestFit="1" customWidth="1"/>
    <col min="8" max="8" width="46.85546875" style="3" bestFit="1" customWidth="1"/>
    <col min="9" max="9" width="12" style="3" bestFit="1" customWidth="1"/>
    <col min="10" max="10" width="24.85546875" style="3" bestFit="1" customWidth="1"/>
    <col min="11" max="11" width="12.85546875" style="3" bestFit="1" customWidth="1"/>
    <col min="12" max="12" width="12.5703125" style="3" bestFit="1" customWidth="1"/>
    <col min="13" max="13" width="11.5703125" style="3" bestFit="1" customWidth="1"/>
    <col min="14" max="14" width="13.140625" style="14" bestFit="1" customWidth="1"/>
    <col min="15" max="15" width="12.85546875" style="14" bestFit="1" customWidth="1"/>
    <col min="16" max="16" width="11.5703125" style="3" bestFit="1" customWidth="1"/>
    <col min="17" max="17" width="13.140625" style="3" bestFit="1" customWidth="1"/>
    <col min="18" max="18" width="12.85546875" style="3" bestFit="1" customWidth="1"/>
    <col min="19" max="19" width="12.140625" style="3" bestFit="1" customWidth="1"/>
    <col min="20" max="20" width="11.5703125" style="3" bestFit="1" customWidth="1"/>
    <col min="21" max="21" width="11.140625" style="3" bestFit="1" customWidth="1"/>
    <col min="22" max="22" width="13.140625" style="3" bestFit="1" customWidth="1"/>
    <col min="23" max="23" width="15" style="12" bestFit="1" customWidth="1"/>
    <col min="24" max="24" width="12.85546875" style="3" bestFit="1" customWidth="1"/>
    <col min="25" max="25" width="12.42578125" style="3" bestFit="1" customWidth="1"/>
    <col min="26" max="16384" width="9.140625" style="3"/>
  </cols>
  <sheetData>
    <row r="1" spans="1:23" ht="15.75" x14ac:dyDescent="0.25">
      <c r="A1" s="49" t="s">
        <v>885</v>
      </c>
    </row>
    <row r="2" spans="1:23" x14ac:dyDescent="0.25">
      <c r="A2" s="64" t="s">
        <v>889</v>
      </c>
    </row>
    <row r="3" spans="1:23" x14ac:dyDescent="0.25">
      <c r="A3" s="64" t="s">
        <v>894</v>
      </c>
    </row>
    <row r="5" spans="1:23" x14ac:dyDescent="0.25">
      <c r="A5" s="3" t="s">
        <v>796</v>
      </c>
      <c r="B5" s="3" t="s">
        <v>10</v>
      </c>
      <c r="C5" s="3" t="s">
        <v>11</v>
      </c>
      <c r="D5" s="3" t="s">
        <v>12</v>
      </c>
      <c r="E5" s="3" t="s">
        <v>793</v>
      </c>
      <c r="F5" s="3" t="s">
        <v>794</v>
      </c>
      <c r="G5" s="3" t="s">
        <v>797</v>
      </c>
      <c r="H5" s="3" t="s">
        <v>722</v>
      </c>
      <c r="I5" s="3" t="s">
        <v>712</v>
      </c>
      <c r="J5" s="3" t="s">
        <v>783</v>
      </c>
      <c r="K5" s="3" t="s">
        <v>798</v>
      </c>
      <c r="L5" s="3" t="s">
        <v>799</v>
      </c>
      <c r="M5" s="3" t="s">
        <v>800</v>
      </c>
      <c r="N5" s="3" t="s">
        <v>801</v>
      </c>
      <c r="O5" s="3" t="s">
        <v>802</v>
      </c>
      <c r="W5" s="3"/>
    </row>
    <row r="6" spans="1:23" x14ac:dyDescent="0.25">
      <c r="A6" s="4">
        <v>461479001992</v>
      </c>
      <c r="B6" s="8" t="s">
        <v>67</v>
      </c>
      <c r="C6" s="8" t="s">
        <v>20</v>
      </c>
      <c r="D6" s="7" t="s">
        <v>21</v>
      </c>
      <c r="E6" s="7" t="s">
        <v>795</v>
      </c>
      <c r="F6" s="6">
        <v>2</v>
      </c>
      <c r="G6" s="8" t="s">
        <v>724</v>
      </c>
      <c r="H6" s="8" t="s">
        <v>725</v>
      </c>
      <c r="I6" s="7" t="s">
        <v>723</v>
      </c>
      <c r="J6" s="8" t="s">
        <v>787</v>
      </c>
      <c r="K6" s="14" t="b">
        <v>0</v>
      </c>
      <c r="L6" s="14" t="b">
        <v>1</v>
      </c>
      <c r="M6" s="14" t="b">
        <v>1</v>
      </c>
      <c r="N6" s="14" t="b">
        <v>0</v>
      </c>
      <c r="O6" s="14" t="b">
        <v>1</v>
      </c>
      <c r="W6" s="3"/>
    </row>
    <row r="7" spans="1:23" x14ac:dyDescent="0.25">
      <c r="A7" s="4">
        <v>461479001992</v>
      </c>
      <c r="B7" s="8" t="s">
        <v>67</v>
      </c>
      <c r="C7" s="8" t="s">
        <v>20</v>
      </c>
      <c r="D7" s="7" t="s">
        <v>21</v>
      </c>
      <c r="E7" s="7" t="s">
        <v>795</v>
      </c>
      <c r="F7" s="6">
        <v>2</v>
      </c>
      <c r="G7" s="8" t="s">
        <v>740</v>
      </c>
      <c r="H7" s="8" t="s">
        <v>741</v>
      </c>
      <c r="I7" s="7" t="s">
        <v>730</v>
      </c>
      <c r="J7" s="8" t="s">
        <v>787</v>
      </c>
      <c r="K7" s="14" t="b">
        <v>1</v>
      </c>
      <c r="L7" s="14" t="b">
        <v>0</v>
      </c>
      <c r="M7" s="14" t="b">
        <v>0</v>
      </c>
      <c r="N7" s="14" t="b">
        <v>1</v>
      </c>
      <c r="O7" s="14" t="b">
        <v>1</v>
      </c>
      <c r="W7" s="3"/>
    </row>
    <row r="8" spans="1:23" x14ac:dyDescent="0.25">
      <c r="A8" s="4">
        <v>461479004584</v>
      </c>
      <c r="B8" s="8" t="s">
        <v>19</v>
      </c>
      <c r="C8" s="8" t="s">
        <v>20</v>
      </c>
      <c r="D8" s="7" t="s">
        <v>21</v>
      </c>
      <c r="E8" s="7" t="s">
        <v>795</v>
      </c>
      <c r="F8" s="6">
        <v>2</v>
      </c>
      <c r="G8" s="8" t="s">
        <v>724</v>
      </c>
      <c r="H8" s="8" t="s">
        <v>725</v>
      </c>
      <c r="I8" s="7" t="s">
        <v>723</v>
      </c>
      <c r="J8" s="8" t="s">
        <v>787</v>
      </c>
      <c r="K8" s="14" t="b">
        <v>0</v>
      </c>
      <c r="L8" s="14" t="b">
        <v>1</v>
      </c>
      <c r="M8" s="14" t="b">
        <v>1</v>
      </c>
      <c r="N8" s="14" t="b">
        <v>0</v>
      </c>
      <c r="O8" s="14" t="b">
        <v>1</v>
      </c>
      <c r="W8" s="3"/>
    </row>
    <row r="9" spans="1:23" x14ac:dyDescent="0.25">
      <c r="A9" s="4">
        <v>461479004584</v>
      </c>
      <c r="B9" s="8" t="s">
        <v>19</v>
      </c>
      <c r="C9" s="8" t="s">
        <v>20</v>
      </c>
      <c r="D9" s="7" t="s">
        <v>21</v>
      </c>
      <c r="E9" s="7" t="s">
        <v>795</v>
      </c>
      <c r="F9" s="6">
        <v>2</v>
      </c>
      <c r="G9" s="8" t="s">
        <v>740</v>
      </c>
      <c r="H9" s="8" t="s">
        <v>741</v>
      </c>
      <c r="I9" s="7" t="s">
        <v>730</v>
      </c>
      <c r="J9" s="8" t="s">
        <v>787</v>
      </c>
      <c r="K9" s="14" t="b">
        <v>1</v>
      </c>
      <c r="L9" s="14" t="b">
        <v>0</v>
      </c>
      <c r="M9" s="14" t="b">
        <v>0</v>
      </c>
      <c r="N9" s="14" t="b">
        <v>1</v>
      </c>
      <c r="O9" s="14" t="b">
        <v>1</v>
      </c>
      <c r="W9" s="3"/>
    </row>
    <row r="10" spans="1:23" x14ac:dyDescent="0.25">
      <c r="A10" s="4">
        <v>603226000187</v>
      </c>
      <c r="B10" s="8" t="s">
        <v>103</v>
      </c>
      <c r="C10" s="8" t="s">
        <v>20</v>
      </c>
      <c r="D10" s="7" t="s">
        <v>21</v>
      </c>
      <c r="E10" s="7" t="s">
        <v>795</v>
      </c>
      <c r="F10" s="6">
        <v>2</v>
      </c>
      <c r="G10" s="8" t="s">
        <v>740</v>
      </c>
      <c r="H10" s="8" t="s">
        <v>741</v>
      </c>
      <c r="I10" s="7" t="s">
        <v>730</v>
      </c>
      <c r="J10" s="8" t="s">
        <v>787</v>
      </c>
      <c r="K10" s="14" t="b">
        <v>1</v>
      </c>
      <c r="L10" s="14" t="b">
        <v>0</v>
      </c>
      <c r="M10" s="14" t="b">
        <v>0</v>
      </c>
      <c r="N10" s="14" t="b">
        <v>1</v>
      </c>
      <c r="O10" s="14" t="b">
        <v>1</v>
      </c>
      <c r="W10" s="3"/>
    </row>
    <row r="11" spans="1:23" x14ac:dyDescent="0.25">
      <c r="A11" s="4">
        <v>603226000187</v>
      </c>
      <c r="B11" s="8" t="s">
        <v>103</v>
      </c>
      <c r="C11" s="8" t="s">
        <v>20</v>
      </c>
      <c r="D11" s="7" t="s">
        <v>21</v>
      </c>
      <c r="E11" s="7" t="s">
        <v>795</v>
      </c>
      <c r="F11" s="6">
        <v>2</v>
      </c>
      <c r="G11" s="8" t="s">
        <v>756</v>
      </c>
      <c r="H11" s="8" t="s">
        <v>757</v>
      </c>
      <c r="I11" s="7" t="s">
        <v>723</v>
      </c>
      <c r="J11" s="8" t="s">
        <v>787</v>
      </c>
      <c r="K11" s="14" t="b">
        <v>0</v>
      </c>
      <c r="L11" s="14" t="b">
        <v>1</v>
      </c>
      <c r="M11" s="14" t="b">
        <v>1</v>
      </c>
      <c r="N11" s="14" t="b">
        <v>0</v>
      </c>
      <c r="O11" s="14" t="b">
        <v>1</v>
      </c>
      <c r="W11" s="3"/>
    </row>
    <row r="12" spans="1:23" x14ac:dyDescent="0.25">
      <c r="A12" s="4">
        <v>2383508000494</v>
      </c>
      <c r="B12" s="8" t="s">
        <v>56</v>
      </c>
      <c r="C12" s="8" t="s">
        <v>20</v>
      </c>
      <c r="D12" s="7" t="s">
        <v>21</v>
      </c>
      <c r="E12" s="7" t="s">
        <v>795</v>
      </c>
      <c r="F12" s="6">
        <v>2</v>
      </c>
      <c r="G12" s="8" t="s">
        <v>724</v>
      </c>
      <c r="H12" s="8" t="s">
        <v>725</v>
      </c>
      <c r="I12" s="7" t="s">
        <v>723</v>
      </c>
      <c r="J12" s="8" t="s">
        <v>787</v>
      </c>
      <c r="K12" s="14" t="b">
        <v>0</v>
      </c>
      <c r="L12" s="14" t="b">
        <v>1</v>
      </c>
      <c r="M12" s="14" t="b">
        <v>1</v>
      </c>
      <c r="N12" s="14" t="b">
        <v>0</v>
      </c>
      <c r="O12" s="14" t="b">
        <v>1</v>
      </c>
      <c r="W12" s="3"/>
    </row>
    <row r="13" spans="1:23" x14ac:dyDescent="0.25">
      <c r="A13" s="4">
        <v>2383508000494</v>
      </c>
      <c r="B13" s="8" t="s">
        <v>56</v>
      </c>
      <c r="C13" s="8" t="s">
        <v>20</v>
      </c>
      <c r="D13" s="7" t="s">
        <v>21</v>
      </c>
      <c r="E13" s="7" t="s">
        <v>795</v>
      </c>
      <c r="F13" s="6">
        <v>2</v>
      </c>
      <c r="G13" s="8" t="s">
        <v>740</v>
      </c>
      <c r="H13" s="8" t="s">
        <v>741</v>
      </c>
      <c r="I13" s="7" t="s">
        <v>730</v>
      </c>
      <c r="J13" s="8" t="s">
        <v>787</v>
      </c>
      <c r="K13" s="14" t="b">
        <v>1</v>
      </c>
      <c r="L13" s="14" t="b">
        <v>0</v>
      </c>
      <c r="M13" s="14" t="b">
        <v>0</v>
      </c>
      <c r="N13" s="14" t="b">
        <v>1</v>
      </c>
      <c r="O13" s="14" t="b">
        <v>1</v>
      </c>
      <c r="W13" s="3"/>
    </row>
    <row r="14" spans="1:23" x14ac:dyDescent="0.25">
      <c r="A14" s="4">
        <v>2837922000183</v>
      </c>
      <c r="B14" s="8" t="s">
        <v>70</v>
      </c>
      <c r="C14" s="8" t="s">
        <v>20</v>
      </c>
      <c r="D14" s="7" t="s">
        <v>21</v>
      </c>
      <c r="E14" s="7" t="s">
        <v>795</v>
      </c>
      <c r="F14" s="6">
        <v>2</v>
      </c>
      <c r="G14" s="8" t="s">
        <v>724</v>
      </c>
      <c r="H14" s="8" t="s">
        <v>725</v>
      </c>
      <c r="I14" s="7" t="s">
        <v>723</v>
      </c>
      <c r="J14" s="8" t="s">
        <v>787</v>
      </c>
      <c r="K14" s="14" t="b">
        <v>0</v>
      </c>
      <c r="L14" s="14" t="b">
        <v>1</v>
      </c>
      <c r="M14" s="14" t="b">
        <v>1</v>
      </c>
      <c r="N14" s="14" t="b">
        <v>0</v>
      </c>
      <c r="O14" s="14" t="b">
        <v>1</v>
      </c>
      <c r="W14" s="3"/>
    </row>
    <row r="15" spans="1:23" x14ac:dyDescent="0.25">
      <c r="A15" s="4">
        <v>2837922000183</v>
      </c>
      <c r="B15" s="8" t="s">
        <v>70</v>
      </c>
      <c r="C15" s="8" t="s">
        <v>20</v>
      </c>
      <c r="D15" s="7" t="s">
        <v>21</v>
      </c>
      <c r="E15" s="7" t="s">
        <v>795</v>
      </c>
      <c r="F15" s="6">
        <v>2</v>
      </c>
      <c r="G15" s="8" t="s">
        <v>740</v>
      </c>
      <c r="H15" s="8" t="s">
        <v>741</v>
      </c>
      <c r="I15" s="7" t="s">
        <v>730</v>
      </c>
      <c r="J15" s="8" t="s">
        <v>787</v>
      </c>
      <c r="K15" s="14" t="b">
        <v>1</v>
      </c>
      <c r="L15" s="14" t="b">
        <v>0</v>
      </c>
      <c r="M15" s="14" t="b">
        <v>0</v>
      </c>
      <c r="N15" s="14" t="b">
        <v>1</v>
      </c>
      <c r="O15" s="14" t="b">
        <v>1</v>
      </c>
      <c r="W15" s="3"/>
    </row>
    <row r="16" spans="1:23" x14ac:dyDescent="0.25">
      <c r="A16" s="4">
        <v>3872790000193</v>
      </c>
      <c r="B16" s="8" t="s">
        <v>71</v>
      </c>
      <c r="C16" s="8" t="s">
        <v>20</v>
      </c>
      <c r="D16" s="7" t="s">
        <v>21</v>
      </c>
      <c r="E16" s="7" t="s">
        <v>795</v>
      </c>
      <c r="F16" s="6">
        <v>2</v>
      </c>
      <c r="G16" s="8" t="s">
        <v>724</v>
      </c>
      <c r="H16" s="8" t="s">
        <v>725</v>
      </c>
      <c r="I16" s="7" t="s">
        <v>723</v>
      </c>
      <c r="J16" s="8" t="s">
        <v>787</v>
      </c>
      <c r="K16" s="14" t="b">
        <v>0</v>
      </c>
      <c r="L16" s="14" t="b">
        <v>1</v>
      </c>
      <c r="M16" s="14" t="b">
        <v>1</v>
      </c>
      <c r="N16" s="14" t="b">
        <v>0</v>
      </c>
      <c r="O16" s="14" t="b">
        <v>1</v>
      </c>
      <c r="W16" s="3"/>
    </row>
    <row r="17" spans="1:23" x14ac:dyDescent="0.25">
      <c r="A17" s="4">
        <v>3872790000193</v>
      </c>
      <c r="B17" s="8" t="s">
        <v>71</v>
      </c>
      <c r="C17" s="8" t="s">
        <v>20</v>
      </c>
      <c r="D17" s="7" t="s">
        <v>21</v>
      </c>
      <c r="E17" s="7" t="s">
        <v>795</v>
      </c>
      <c r="F17" s="6">
        <v>2</v>
      </c>
      <c r="G17" s="8" t="s">
        <v>740</v>
      </c>
      <c r="H17" s="8" t="s">
        <v>741</v>
      </c>
      <c r="I17" s="7" t="s">
        <v>730</v>
      </c>
      <c r="J17" s="8" t="s">
        <v>787</v>
      </c>
      <c r="K17" s="14" t="b">
        <v>1</v>
      </c>
      <c r="L17" s="14" t="b">
        <v>0</v>
      </c>
      <c r="M17" s="14" t="b">
        <v>0</v>
      </c>
      <c r="N17" s="14" t="b">
        <v>1</v>
      </c>
      <c r="O17" s="14" t="b">
        <v>1</v>
      </c>
      <c r="W17" s="3"/>
    </row>
    <row r="18" spans="1:23" x14ac:dyDescent="0.25">
      <c r="A18" s="4">
        <v>4036348000190</v>
      </c>
      <c r="B18" s="8" t="s">
        <v>23</v>
      </c>
      <c r="C18" s="8" t="s">
        <v>20</v>
      </c>
      <c r="D18" s="7" t="s">
        <v>21</v>
      </c>
      <c r="E18" s="7" t="s">
        <v>795</v>
      </c>
      <c r="F18" s="6">
        <v>2</v>
      </c>
      <c r="G18" s="8" t="s">
        <v>724</v>
      </c>
      <c r="H18" s="8" t="s">
        <v>725</v>
      </c>
      <c r="I18" s="7" t="s">
        <v>723</v>
      </c>
      <c r="J18" s="8" t="s">
        <v>787</v>
      </c>
      <c r="K18" s="14" t="b">
        <v>0</v>
      </c>
      <c r="L18" s="14" t="b">
        <v>1</v>
      </c>
      <c r="M18" s="14" t="b">
        <v>1</v>
      </c>
      <c r="N18" s="14" t="b">
        <v>0</v>
      </c>
      <c r="O18" s="14" t="b">
        <v>1</v>
      </c>
      <c r="W18" s="3"/>
    </row>
    <row r="19" spans="1:23" x14ac:dyDescent="0.25">
      <c r="A19" s="4">
        <v>4036348000190</v>
      </c>
      <c r="B19" s="8" t="s">
        <v>23</v>
      </c>
      <c r="C19" s="8" t="s">
        <v>20</v>
      </c>
      <c r="D19" s="7" t="s">
        <v>21</v>
      </c>
      <c r="E19" s="7" t="s">
        <v>795</v>
      </c>
      <c r="F19" s="6">
        <v>2</v>
      </c>
      <c r="G19" s="8" t="s">
        <v>740</v>
      </c>
      <c r="H19" s="8" t="s">
        <v>741</v>
      </c>
      <c r="I19" s="7" t="s">
        <v>730</v>
      </c>
      <c r="J19" s="8" t="s">
        <v>787</v>
      </c>
      <c r="K19" s="14" t="b">
        <v>1</v>
      </c>
      <c r="L19" s="14" t="b">
        <v>0</v>
      </c>
      <c r="M19" s="14" t="b">
        <v>0</v>
      </c>
      <c r="N19" s="14" t="b">
        <v>1</v>
      </c>
      <c r="O19" s="14" t="b">
        <v>1</v>
      </c>
      <c r="W19" s="3"/>
    </row>
    <row r="20" spans="1:23" x14ac:dyDescent="0.25">
      <c r="A20" s="4">
        <v>5831510000124</v>
      </c>
      <c r="B20" s="8" t="s">
        <v>24</v>
      </c>
      <c r="C20" s="8" t="s">
        <v>20</v>
      </c>
      <c r="D20" s="7" t="s">
        <v>21</v>
      </c>
      <c r="E20" s="7" t="s">
        <v>795</v>
      </c>
      <c r="F20" s="6">
        <v>2</v>
      </c>
      <c r="G20" s="8" t="s">
        <v>724</v>
      </c>
      <c r="H20" s="8" t="s">
        <v>725</v>
      </c>
      <c r="I20" s="7" t="s">
        <v>723</v>
      </c>
      <c r="J20" s="8" t="s">
        <v>787</v>
      </c>
      <c r="K20" s="14" t="b">
        <v>0</v>
      </c>
      <c r="L20" s="14" t="b">
        <v>1</v>
      </c>
      <c r="M20" s="14" t="b">
        <v>1</v>
      </c>
      <c r="N20" s="14" t="b">
        <v>0</v>
      </c>
      <c r="O20" s="14" t="b">
        <v>1</v>
      </c>
      <c r="W20" s="3"/>
    </row>
    <row r="21" spans="1:23" x14ac:dyDescent="0.25">
      <c r="A21" s="4">
        <v>5831510000124</v>
      </c>
      <c r="B21" s="8" t="s">
        <v>24</v>
      </c>
      <c r="C21" s="8" t="s">
        <v>20</v>
      </c>
      <c r="D21" s="7" t="s">
        <v>21</v>
      </c>
      <c r="E21" s="7" t="s">
        <v>795</v>
      </c>
      <c r="F21" s="6">
        <v>2</v>
      </c>
      <c r="G21" s="8" t="s">
        <v>740</v>
      </c>
      <c r="H21" s="8" t="s">
        <v>741</v>
      </c>
      <c r="I21" s="7" t="s">
        <v>730</v>
      </c>
      <c r="J21" s="8" t="s">
        <v>787</v>
      </c>
      <c r="K21" s="14" t="b">
        <v>1</v>
      </c>
      <c r="L21" s="14" t="b">
        <v>0</v>
      </c>
      <c r="M21" s="14" t="b">
        <v>0</v>
      </c>
      <c r="N21" s="14" t="b">
        <v>1</v>
      </c>
      <c r="O21" s="14" t="b">
        <v>1</v>
      </c>
      <c r="W21" s="3"/>
    </row>
    <row r="22" spans="1:23" x14ac:dyDescent="0.25">
      <c r="A22" s="4">
        <v>6047087000139</v>
      </c>
      <c r="B22" s="8" t="s">
        <v>72</v>
      </c>
      <c r="C22" s="8" t="s">
        <v>20</v>
      </c>
      <c r="D22" s="7" t="s">
        <v>21</v>
      </c>
      <c r="E22" s="7" t="s">
        <v>795</v>
      </c>
      <c r="F22" s="6">
        <v>2</v>
      </c>
      <c r="G22" s="8" t="s">
        <v>724</v>
      </c>
      <c r="H22" s="8" t="s">
        <v>725</v>
      </c>
      <c r="I22" s="7" t="s">
        <v>723</v>
      </c>
      <c r="J22" s="8" t="s">
        <v>787</v>
      </c>
      <c r="K22" s="14" t="b">
        <v>0</v>
      </c>
      <c r="L22" s="14" t="b">
        <v>1</v>
      </c>
      <c r="M22" s="14" t="b">
        <v>1</v>
      </c>
      <c r="N22" s="14" t="b">
        <v>0</v>
      </c>
      <c r="O22" s="14" t="b">
        <v>1</v>
      </c>
      <c r="W22" s="3"/>
    </row>
    <row r="23" spans="1:23" x14ac:dyDescent="0.25">
      <c r="A23" s="4">
        <v>6047087000139</v>
      </c>
      <c r="B23" s="8" t="s">
        <v>72</v>
      </c>
      <c r="C23" s="8" t="s">
        <v>20</v>
      </c>
      <c r="D23" s="7" t="s">
        <v>21</v>
      </c>
      <c r="E23" s="7" t="s">
        <v>795</v>
      </c>
      <c r="F23" s="6">
        <v>2</v>
      </c>
      <c r="G23" s="8" t="s">
        <v>740</v>
      </c>
      <c r="H23" s="8" t="s">
        <v>741</v>
      </c>
      <c r="I23" s="7" t="s">
        <v>730</v>
      </c>
      <c r="J23" s="8" t="s">
        <v>787</v>
      </c>
      <c r="K23" s="14" t="b">
        <v>1</v>
      </c>
      <c r="L23" s="14" t="b">
        <v>0</v>
      </c>
      <c r="M23" s="14" t="b">
        <v>0</v>
      </c>
      <c r="N23" s="14" t="b">
        <v>1</v>
      </c>
      <c r="O23" s="14" t="b">
        <v>1</v>
      </c>
      <c r="W23" s="3"/>
    </row>
    <row r="24" spans="1:23" x14ac:dyDescent="0.25">
      <c r="A24" s="4">
        <v>6047087000210</v>
      </c>
      <c r="B24" s="8" t="s">
        <v>73</v>
      </c>
      <c r="C24" s="8" t="s">
        <v>20</v>
      </c>
      <c r="D24" s="7" t="s">
        <v>21</v>
      </c>
      <c r="E24" s="7" t="s">
        <v>795</v>
      </c>
      <c r="F24" s="6">
        <v>2</v>
      </c>
      <c r="G24" s="8" t="s">
        <v>724</v>
      </c>
      <c r="H24" s="8" t="s">
        <v>725</v>
      </c>
      <c r="I24" s="7" t="s">
        <v>723</v>
      </c>
      <c r="J24" s="8" t="s">
        <v>787</v>
      </c>
      <c r="K24" s="14" t="b">
        <v>0</v>
      </c>
      <c r="L24" s="14" t="b">
        <v>1</v>
      </c>
      <c r="M24" s="14" t="b">
        <v>1</v>
      </c>
      <c r="N24" s="14" t="b">
        <v>0</v>
      </c>
      <c r="O24" s="14" t="b">
        <v>1</v>
      </c>
      <c r="W24" s="3"/>
    </row>
    <row r="25" spans="1:23" x14ac:dyDescent="0.25">
      <c r="A25" s="4">
        <v>6047087000210</v>
      </c>
      <c r="B25" s="8" t="s">
        <v>73</v>
      </c>
      <c r="C25" s="8" t="s">
        <v>20</v>
      </c>
      <c r="D25" s="7" t="s">
        <v>21</v>
      </c>
      <c r="E25" s="7" t="s">
        <v>795</v>
      </c>
      <c r="F25" s="6">
        <v>2</v>
      </c>
      <c r="G25" s="8" t="s">
        <v>740</v>
      </c>
      <c r="H25" s="8" t="s">
        <v>741</v>
      </c>
      <c r="I25" s="7" t="s">
        <v>730</v>
      </c>
      <c r="J25" s="8" t="s">
        <v>787</v>
      </c>
      <c r="K25" s="14" t="b">
        <v>1</v>
      </c>
      <c r="L25" s="14" t="b">
        <v>0</v>
      </c>
      <c r="M25" s="14" t="b">
        <v>0</v>
      </c>
      <c r="N25" s="14" t="b">
        <v>1</v>
      </c>
      <c r="O25" s="14" t="b">
        <v>1</v>
      </c>
      <c r="W25" s="3"/>
    </row>
    <row r="26" spans="1:23" x14ac:dyDescent="0.25">
      <c r="A26" s="4">
        <v>6047087003820</v>
      </c>
      <c r="B26" s="8" t="s">
        <v>75</v>
      </c>
      <c r="C26" s="8" t="s">
        <v>20</v>
      </c>
      <c r="D26" s="7" t="s">
        <v>21</v>
      </c>
      <c r="E26" s="7" t="s">
        <v>795</v>
      </c>
      <c r="F26" s="6">
        <v>2</v>
      </c>
      <c r="G26" s="8" t="s">
        <v>724</v>
      </c>
      <c r="H26" s="8" t="s">
        <v>725</v>
      </c>
      <c r="I26" s="7" t="s">
        <v>723</v>
      </c>
      <c r="J26" s="8" t="s">
        <v>787</v>
      </c>
      <c r="K26" s="14" t="b">
        <v>0</v>
      </c>
      <c r="L26" s="14" t="b">
        <v>1</v>
      </c>
      <c r="M26" s="14" t="b">
        <v>1</v>
      </c>
      <c r="N26" s="14" t="b">
        <v>0</v>
      </c>
      <c r="O26" s="14" t="b">
        <v>1</v>
      </c>
      <c r="W26" s="3"/>
    </row>
    <row r="27" spans="1:23" x14ac:dyDescent="0.25">
      <c r="A27" s="4">
        <v>6047087003820</v>
      </c>
      <c r="B27" s="8" t="s">
        <v>75</v>
      </c>
      <c r="C27" s="8" t="s">
        <v>20</v>
      </c>
      <c r="D27" s="7" t="s">
        <v>21</v>
      </c>
      <c r="E27" s="7" t="s">
        <v>795</v>
      </c>
      <c r="F27" s="6">
        <v>2</v>
      </c>
      <c r="G27" s="8" t="s">
        <v>740</v>
      </c>
      <c r="H27" s="8" t="s">
        <v>741</v>
      </c>
      <c r="I27" s="7" t="s">
        <v>730</v>
      </c>
      <c r="J27" s="8" t="s">
        <v>787</v>
      </c>
      <c r="K27" s="14" t="b">
        <v>1</v>
      </c>
      <c r="L27" s="14" t="b">
        <v>0</v>
      </c>
      <c r="M27" s="14" t="b">
        <v>0</v>
      </c>
      <c r="N27" s="14" t="b">
        <v>1</v>
      </c>
      <c r="O27" s="14" t="b">
        <v>1</v>
      </c>
      <c r="W27" s="3"/>
    </row>
    <row r="28" spans="1:23" x14ac:dyDescent="0.25">
      <c r="A28" s="4">
        <v>7045325000130</v>
      </c>
      <c r="B28" s="8" t="s">
        <v>57</v>
      </c>
      <c r="C28" s="8" t="s">
        <v>20</v>
      </c>
      <c r="D28" s="7" t="s">
        <v>21</v>
      </c>
      <c r="E28" s="7" t="s">
        <v>795</v>
      </c>
      <c r="F28" s="6">
        <v>2</v>
      </c>
      <c r="G28" s="8" t="s">
        <v>724</v>
      </c>
      <c r="H28" s="8" t="s">
        <v>725</v>
      </c>
      <c r="I28" s="7" t="s">
        <v>723</v>
      </c>
      <c r="J28" s="8" t="s">
        <v>787</v>
      </c>
      <c r="K28" s="14" t="b">
        <v>0</v>
      </c>
      <c r="L28" s="14" t="b">
        <v>1</v>
      </c>
      <c r="M28" s="14" t="b">
        <v>1</v>
      </c>
      <c r="N28" s="14" t="b">
        <v>0</v>
      </c>
      <c r="O28" s="14" t="b">
        <v>1</v>
      </c>
      <c r="W28" s="3"/>
    </row>
    <row r="29" spans="1:23" x14ac:dyDescent="0.25">
      <c r="A29" s="4">
        <v>7045325000130</v>
      </c>
      <c r="B29" s="8" t="s">
        <v>57</v>
      </c>
      <c r="C29" s="8" t="s">
        <v>20</v>
      </c>
      <c r="D29" s="7" t="s">
        <v>21</v>
      </c>
      <c r="E29" s="7" t="s">
        <v>795</v>
      </c>
      <c r="F29" s="6">
        <v>2</v>
      </c>
      <c r="G29" s="8" t="s">
        <v>740</v>
      </c>
      <c r="H29" s="8" t="s">
        <v>741</v>
      </c>
      <c r="I29" s="7" t="s">
        <v>730</v>
      </c>
      <c r="J29" s="8" t="s">
        <v>787</v>
      </c>
      <c r="K29" s="14" t="b">
        <v>1</v>
      </c>
      <c r="L29" s="14" t="b">
        <v>0</v>
      </c>
      <c r="M29" s="14" t="b">
        <v>0</v>
      </c>
      <c r="N29" s="14" t="b">
        <v>1</v>
      </c>
      <c r="O29" s="14" t="b">
        <v>1</v>
      </c>
      <c r="W29" s="3"/>
    </row>
    <row r="30" spans="1:23" x14ac:dyDescent="0.25">
      <c r="A30" s="4">
        <v>8100676000592</v>
      </c>
      <c r="B30" s="8" t="s">
        <v>25</v>
      </c>
      <c r="C30" s="8" t="s">
        <v>20</v>
      </c>
      <c r="D30" s="7" t="s">
        <v>21</v>
      </c>
      <c r="E30" s="7" t="s">
        <v>795</v>
      </c>
      <c r="F30" s="6">
        <v>2</v>
      </c>
      <c r="G30" s="8" t="s">
        <v>740</v>
      </c>
      <c r="H30" s="8" t="s">
        <v>741</v>
      </c>
      <c r="I30" s="7" t="s">
        <v>730</v>
      </c>
      <c r="J30" s="8" t="s">
        <v>787</v>
      </c>
      <c r="K30" s="14" t="b">
        <v>1</v>
      </c>
      <c r="L30" s="14" t="b">
        <v>0</v>
      </c>
      <c r="M30" s="14" t="b">
        <v>0</v>
      </c>
      <c r="N30" s="14" t="b">
        <v>1</v>
      </c>
      <c r="O30" s="14" t="b">
        <v>1</v>
      </c>
      <c r="W30" s="3"/>
    </row>
    <row r="31" spans="1:23" x14ac:dyDescent="0.25">
      <c r="A31" s="4">
        <v>8100676000592</v>
      </c>
      <c r="B31" s="8" t="s">
        <v>25</v>
      </c>
      <c r="C31" s="8" t="s">
        <v>20</v>
      </c>
      <c r="D31" s="7" t="s">
        <v>21</v>
      </c>
      <c r="E31" s="7" t="s">
        <v>795</v>
      </c>
      <c r="F31" s="6">
        <v>2</v>
      </c>
      <c r="G31" s="8" t="s">
        <v>762</v>
      </c>
      <c r="H31" s="8" t="s">
        <v>763</v>
      </c>
      <c r="I31" s="7" t="s">
        <v>723</v>
      </c>
      <c r="J31" s="8" t="s">
        <v>787</v>
      </c>
      <c r="K31" s="14" t="b">
        <v>0</v>
      </c>
      <c r="L31" s="14" t="b">
        <v>1</v>
      </c>
      <c r="M31" s="14" t="b">
        <v>1</v>
      </c>
      <c r="N31" s="14" t="b">
        <v>0</v>
      </c>
      <c r="O31" s="14" t="b">
        <v>1</v>
      </c>
      <c r="W31" s="3"/>
    </row>
    <row r="32" spans="1:23" x14ac:dyDescent="0.25">
      <c r="A32" s="4">
        <v>8100676000835</v>
      </c>
      <c r="B32" s="8" t="s">
        <v>26</v>
      </c>
      <c r="C32" s="8" t="s">
        <v>20</v>
      </c>
      <c r="D32" s="7" t="s">
        <v>21</v>
      </c>
      <c r="E32" s="7" t="s">
        <v>795</v>
      </c>
      <c r="F32" s="6">
        <v>2</v>
      </c>
      <c r="G32" s="8" t="s">
        <v>740</v>
      </c>
      <c r="H32" s="8" t="s">
        <v>741</v>
      </c>
      <c r="I32" s="7" t="s">
        <v>730</v>
      </c>
      <c r="J32" s="8" t="s">
        <v>787</v>
      </c>
      <c r="K32" s="14" t="b">
        <v>1</v>
      </c>
      <c r="L32" s="14" t="b">
        <v>0</v>
      </c>
      <c r="M32" s="14" t="b">
        <v>0</v>
      </c>
      <c r="N32" s="14" t="b">
        <v>1</v>
      </c>
      <c r="O32" s="14" t="b">
        <v>1</v>
      </c>
      <c r="W32" s="3"/>
    </row>
    <row r="33" spans="1:23" x14ac:dyDescent="0.25">
      <c r="A33" s="4">
        <v>8100676000835</v>
      </c>
      <c r="B33" s="8" t="s">
        <v>26</v>
      </c>
      <c r="C33" s="8" t="s">
        <v>20</v>
      </c>
      <c r="D33" s="7" t="s">
        <v>21</v>
      </c>
      <c r="E33" s="7" t="s">
        <v>795</v>
      </c>
      <c r="F33" s="6">
        <v>2</v>
      </c>
      <c r="G33" s="8" t="s">
        <v>762</v>
      </c>
      <c r="H33" s="8" t="s">
        <v>763</v>
      </c>
      <c r="I33" s="7" t="s">
        <v>723</v>
      </c>
      <c r="J33" s="8" t="s">
        <v>787</v>
      </c>
      <c r="K33" s="14" t="b">
        <v>0</v>
      </c>
      <c r="L33" s="14" t="b">
        <v>1</v>
      </c>
      <c r="M33" s="14" t="b">
        <v>1</v>
      </c>
      <c r="N33" s="14" t="b">
        <v>0</v>
      </c>
      <c r="O33" s="14" t="b">
        <v>1</v>
      </c>
      <c r="W33" s="3"/>
    </row>
    <row r="34" spans="1:23" x14ac:dyDescent="0.25">
      <c r="A34" s="4">
        <v>8100676002455</v>
      </c>
      <c r="B34" s="8" t="s">
        <v>27</v>
      </c>
      <c r="C34" s="8" t="s">
        <v>20</v>
      </c>
      <c r="D34" s="7" t="s">
        <v>21</v>
      </c>
      <c r="E34" s="7" t="s">
        <v>795</v>
      </c>
      <c r="F34" s="6">
        <v>2</v>
      </c>
      <c r="G34" s="8" t="s">
        <v>740</v>
      </c>
      <c r="H34" s="8" t="s">
        <v>741</v>
      </c>
      <c r="I34" s="7" t="s">
        <v>730</v>
      </c>
      <c r="J34" s="8" t="s">
        <v>787</v>
      </c>
      <c r="K34" s="14" t="b">
        <v>1</v>
      </c>
      <c r="L34" s="14" t="b">
        <v>0</v>
      </c>
      <c r="M34" s="14" t="b">
        <v>0</v>
      </c>
      <c r="N34" s="14" t="b">
        <v>1</v>
      </c>
      <c r="O34" s="14" t="b">
        <v>1</v>
      </c>
      <c r="W34" s="3"/>
    </row>
    <row r="35" spans="1:23" x14ac:dyDescent="0.25">
      <c r="A35" s="4">
        <v>8100676002455</v>
      </c>
      <c r="B35" s="8" t="s">
        <v>27</v>
      </c>
      <c r="C35" s="8" t="s">
        <v>20</v>
      </c>
      <c r="D35" s="7" t="s">
        <v>21</v>
      </c>
      <c r="E35" s="7" t="s">
        <v>795</v>
      </c>
      <c r="F35" s="6">
        <v>2</v>
      </c>
      <c r="G35" s="8" t="s">
        <v>762</v>
      </c>
      <c r="H35" s="8" t="s">
        <v>763</v>
      </c>
      <c r="I35" s="7" t="s">
        <v>723</v>
      </c>
      <c r="J35" s="8" t="s">
        <v>787</v>
      </c>
      <c r="K35" s="14" t="b">
        <v>0</v>
      </c>
      <c r="L35" s="14" t="b">
        <v>1</v>
      </c>
      <c r="M35" s="14" t="b">
        <v>1</v>
      </c>
      <c r="N35" s="14" t="b">
        <v>0</v>
      </c>
      <c r="O35" s="14" t="b">
        <v>1</v>
      </c>
      <c r="W35" s="3"/>
    </row>
    <row r="36" spans="1:23" x14ac:dyDescent="0.25">
      <c r="A36" s="4">
        <v>8438844000392</v>
      </c>
      <c r="B36" s="8" t="s">
        <v>76</v>
      </c>
      <c r="C36" s="8" t="s">
        <v>20</v>
      </c>
      <c r="D36" s="7" t="s">
        <v>21</v>
      </c>
      <c r="E36" s="7" t="s">
        <v>795</v>
      </c>
      <c r="F36" s="6">
        <v>2</v>
      </c>
      <c r="G36" s="8" t="s">
        <v>740</v>
      </c>
      <c r="H36" s="8" t="s">
        <v>741</v>
      </c>
      <c r="I36" s="7" t="s">
        <v>730</v>
      </c>
      <c r="J36" s="8" t="s">
        <v>787</v>
      </c>
      <c r="K36" s="14" t="b">
        <v>1</v>
      </c>
      <c r="L36" s="14" t="b">
        <v>0</v>
      </c>
      <c r="M36" s="14" t="b">
        <v>0</v>
      </c>
      <c r="N36" s="14" t="b">
        <v>1</v>
      </c>
      <c r="O36" s="14" t="b">
        <v>1</v>
      </c>
      <c r="W36" s="3"/>
    </row>
    <row r="37" spans="1:23" x14ac:dyDescent="0.25">
      <c r="A37" s="4">
        <v>8438844000392</v>
      </c>
      <c r="B37" s="8" t="s">
        <v>76</v>
      </c>
      <c r="C37" s="8" t="s">
        <v>20</v>
      </c>
      <c r="D37" s="7" t="s">
        <v>21</v>
      </c>
      <c r="E37" s="7" t="s">
        <v>795</v>
      </c>
      <c r="F37" s="6">
        <v>2</v>
      </c>
      <c r="G37" s="8" t="s">
        <v>762</v>
      </c>
      <c r="H37" s="8" t="s">
        <v>763</v>
      </c>
      <c r="I37" s="7" t="s">
        <v>723</v>
      </c>
      <c r="J37" s="8" t="s">
        <v>787</v>
      </c>
      <c r="K37" s="14" t="b">
        <v>0</v>
      </c>
      <c r="L37" s="14" t="b">
        <v>1</v>
      </c>
      <c r="M37" s="14" t="b">
        <v>1</v>
      </c>
      <c r="N37" s="14" t="b">
        <v>0</v>
      </c>
      <c r="O37" s="14" t="b">
        <v>1</v>
      </c>
      <c r="W37" s="3"/>
    </row>
    <row r="38" spans="1:23" x14ac:dyDescent="0.25">
      <c r="A38" s="4">
        <v>8677327000104</v>
      </c>
      <c r="B38" s="8" t="s">
        <v>92</v>
      </c>
      <c r="C38" s="8" t="s">
        <v>20</v>
      </c>
      <c r="D38" s="7" t="s">
        <v>21</v>
      </c>
      <c r="E38" s="7" t="s">
        <v>795</v>
      </c>
      <c r="F38" s="6">
        <v>2</v>
      </c>
      <c r="G38" s="8" t="s">
        <v>740</v>
      </c>
      <c r="H38" s="8" t="s">
        <v>741</v>
      </c>
      <c r="I38" s="7" t="s">
        <v>730</v>
      </c>
      <c r="J38" s="8" t="s">
        <v>787</v>
      </c>
      <c r="K38" s="14" t="b">
        <v>1</v>
      </c>
      <c r="L38" s="14" t="b">
        <v>0</v>
      </c>
      <c r="M38" s="14" t="b">
        <v>0</v>
      </c>
      <c r="N38" s="14" t="b">
        <v>1</v>
      </c>
      <c r="O38" s="14" t="b">
        <v>1</v>
      </c>
      <c r="W38" s="3"/>
    </row>
    <row r="39" spans="1:23" x14ac:dyDescent="0.25">
      <c r="A39" s="4">
        <v>8677327000104</v>
      </c>
      <c r="B39" s="8" t="s">
        <v>92</v>
      </c>
      <c r="C39" s="8" t="s">
        <v>20</v>
      </c>
      <c r="D39" s="7" t="s">
        <v>21</v>
      </c>
      <c r="E39" s="7" t="s">
        <v>795</v>
      </c>
      <c r="F39" s="6">
        <v>2</v>
      </c>
      <c r="G39" s="8" t="s">
        <v>756</v>
      </c>
      <c r="H39" s="8" t="s">
        <v>757</v>
      </c>
      <c r="I39" s="7" t="s">
        <v>723</v>
      </c>
      <c r="J39" s="8" t="s">
        <v>787</v>
      </c>
      <c r="K39" s="14" t="b">
        <v>0</v>
      </c>
      <c r="L39" s="14" t="b">
        <v>1</v>
      </c>
      <c r="M39" s="14" t="b">
        <v>1</v>
      </c>
      <c r="N39" s="14" t="b">
        <v>0</v>
      </c>
      <c r="O39" s="14" t="b">
        <v>1</v>
      </c>
      <c r="W39" s="3"/>
    </row>
    <row r="40" spans="1:23" x14ac:dyDescent="0.25">
      <c r="A40" s="4">
        <v>8871521000126</v>
      </c>
      <c r="B40" s="8" t="s">
        <v>28</v>
      </c>
      <c r="C40" s="8" t="s">
        <v>20</v>
      </c>
      <c r="D40" s="7" t="s">
        <v>21</v>
      </c>
      <c r="E40" s="7" t="s">
        <v>795</v>
      </c>
      <c r="F40" s="6">
        <v>2</v>
      </c>
      <c r="G40" s="8" t="s">
        <v>756</v>
      </c>
      <c r="H40" s="8" t="s">
        <v>757</v>
      </c>
      <c r="I40" s="7" t="s">
        <v>723</v>
      </c>
      <c r="J40" s="8" t="s">
        <v>787</v>
      </c>
      <c r="K40" s="14" t="b">
        <v>0</v>
      </c>
      <c r="L40" s="14" t="b">
        <v>1</v>
      </c>
      <c r="M40" s="14" t="b">
        <v>1</v>
      </c>
      <c r="N40" s="14" t="b">
        <v>0</v>
      </c>
      <c r="O40" s="14" t="b">
        <v>1</v>
      </c>
      <c r="W40" s="3"/>
    </row>
    <row r="41" spans="1:23" x14ac:dyDescent="0.25">
      <c r="A41" s="4">
        <v>8871521000126</v>
      </c>
      <c r="B41" s="8" t="s">
        <v>28</v>
      </c>
      <c r="C41" s="8" t="s">
        <v>20</v>
      </c>
      <c r="D41" s="7" t="s">
        <v>21</v>
      </c>
      <c r="E41" s="7" t="s">
        <v>795</v>
      </c>
      <c r="F41" s="6">
        <v>2</v>
      </c>
      <c r="G41" s="8" t="s">
        <v>770</v>
      </c>
      <c r="H41" s="8" t="s">
        <v>771</v>
      </c>
      <c r="I41" s="7" t="s">
        <v>730</v>
      </c>
      <c r="J41" s="8" t="s">
        <v>787</v>
      </c>
      <c r="K41" s="14" t="b">
        <v>1</v>
      </c>
      <c r="L41" s="14" t="b">
        <v>0</v>
      </c>
      <c r="M41" s="14" t="b">
        <v>0</v>
      </c>
      <c r="N41" s="14" t="b">
        <v>1</v>
      </c>
      <c r="O41" s="14" t="b">
        <v>1</v>
      </c>
      <c r="W41" s="3"/>
    </row>
    <row r="42" spans="1:23" x14ac:dyDescent="0.25">
      <c r="A42" s="4">
        <v>10211939000230</v>
      </c>
      <c r="B42" s="8" t="s">
        <v>77</v>
      </c>
      <c r="C42" s="8" t="s">
        <v>20</v>
      </c>
      <c r="D42" s="7" t="s">
        <v>21</v>
      </c>
      <c r="E42" s="7" t="s">
        <v>795</v>
      </c>
      <c r="F42" s="6">
        <v>2</v>
      </c>
      <c r="G42" s="8" t="s">
        <v>762</v>
      </c>
      <c r="H42" s="8" t="s">
        <v>763</v>
      </c>
      <c r="I42" s="7" t="s">
        <v>723</v>
      </c>
      <c r="J42" s="8" t="s">
        <v>787</v>
      </c>
      <c r="K42" s="14" t="b">
        <v>0</v>
      </c>
      <c r="L42" s="14" t="b">
        <v>1</v>
      </c>
      <c r="M42" s="14" t="b">
        <v>1</v>
      </c>
      <c r="N42" s="14" t="b">
        <v>0</v>
      </c>
      <c r="O42" s="14" t="b">
        <v>1</v>
      </c>
      <c r="W42" s="3"/>
    </row>
    <row r="43" spans="1:23" x14ac:dyDescent="0.25">
      <c r="A43" s="4">
        <v>10211939000230</v>
      </c>
      <c r="B43" s="8" t="s">
        <v>77</v>
      </c>
      <c r="C43" s="8" t="s">
        <v>20</v>
      </c>
      <c r="D43" s="7" t="s">
        <v>21</v>
      </c>
      <c r="E43" s="7" t="s">
        <v>795</v>
      </c>
      <c r="F43" s="6">
        <v>2</v>
      </c>
      <c r="G43" s="8" t="s">
        <v>770</v>
      </c>
      <c r="H43" s="8" t="s">
        <v>771</v>
      </c>
      <c r="I43" s="7" t="s">
        <v>730</v>
      </c>
      <c r="J43" s="8" t="s">
        <v>787</v>
      </c>
      <c r="K43" s="14" t="b">
        <v>1</v>
      </c>
      <c r="L43" s="14" t="b">
        <v>0</v>
      </c>
      <c r="M43" s="14" t="b">
        <v>0</v>
      </c>
      <c r="N43" s="14" t="b">
        <v>1</v>
      </c>
      <c r="O43" s="14" t="b">
        <v>1</v>
      </c>
      <c r="W43" s="3"/>
    </row>
    <row r="44" spans="1:23" x14ac:dyDescent="0.25">
      <c r="A44" s="4">
        <v>10323381000101</v>
      </c>
      <c r="B44" s="8" t="s">
        <v>78</v>
      </c>
      <c r="C44" s="8" t="s">
        <v>20</v>
      </c>
      <c r="D44" s="7" t="s">
        <v>21</v>
      </c>
      <c r="E44" s="7" t="s">
        <v>795</v>
      </c>
      <c r="F44" s="6">
        <v>2</v>
      </c>
      <c r="G44" s="8" t="s">
        <v>724</v>
      </c>
      <c r="H44" s="8" t="s">
        <v>725</v>
      </c>
      <c r="I44" s="7" t="s">
        <v>723</v>
      </c>
      <c r="J44" s="8" t="s">
        <v>787</v>
      </c>
      <c r="K44" s="14" t="b">
        <v>0</v>
      </c>
      <c r="L44" s="14" t="b">
        <v>1</v>
      </c>
      <c r="M44" s="14" t="b">
        <v>1</v>
      </c>
      <c r="N44" s="14" t="b">
        <v>0</v>
      </c>
      <c r="O44" s="14" t="b">
        <v>1</v>
      </c>
      <c r="W44" s="3"/>
    </row>
    <row r="45" spans="1:23" x14ac:dyDescent="0.25">
      <c r="A45" s="4">
        <v>10323381000101</v>
      </c>
      <c r="B45" s="8" t="s">
        <v>78</v>
      </c>
      <c r="C45" s="8" t="s">
        <v>20</v>
      </c>
      <c r="D45" s="7" t="s">
        <v>21</v>
      </c>
      <c r="E45" s="7" t="s">
        <v>795</v>
      </c>
      <c r="F45" s="6">
        <v>2</v>
      </c>
      <c r="G45" s="8" t="s">
        <v>740</v>
      </c>
      <c r="H45" s="8" t="s">
        <v>741</v>
      </c>
      <c r="I45" s="7" t="s">
        <v>730</v>
      </c>
      <c r="J45" s="8" t="s">
        <v>787</v>
      </c>
      <c r="K45" s="14" t="b">
        <v>1</v>
      </c>
      <c r="L45" s="14" t="b">
        <v>0</v>
      </c>
      <c r="M45" s="14" t="b">
        <v>0</v>
      </c>
      <c r="N45" s="14" t="b">
        <v>1</v>
      </c>
      <c r="O45" s="14" t="b">
        <v>1</v>
      </c>
      <c r="W45" s="3"/>
    </row>
    <row r="46" spans="1:23" x14ac:dyDescent="0.25">
      <c r="A46" s="4">
        <v>10468341000140</v>
      </c>
      <c r="B46" s="8" t="s">
        <v>29</v>
      </c>
      <c r="C46" s="8" t="s">
        <v>20</v>
      </c>
      <c r="D46" s="7" t="s">
        <v>21</v>
      </c>
      <c r="E46" s="7" t="s">
        <v>795</v>
      </c>
      <c r="F46" s="6">
        <v>2</v>
      </c>
      <c r="G46" s="8" t="s">
        <v>740</v>
      </c>
      <c r="H46" s="8" t="s">
        <v>741</v>
      </c>
      <c r="I46" s="7" t="s">
        <v>730</v>
      </c>
      <c r="J46" s="8" t="s">
        <v>787</v>
      </c>
      <c r="K46" s="14" t="b">
        <v>1</v>
      </c>
      <c r="L46" s="14" t="b">
        <v>0</v>
      </c>
      <c r="M46" s="14" t="b">
        <v>0</v>
      </c>
      <c r="N46" s="14" t="b">
        <v>1</v>
      </c>
      <c r="O46" s="14" t="b">
        <v>1</v>
      </c>
      <c r="W46" s="3"/>
    </row>
    <row r="47" spans="1:23" x14ac:dyDescent="0.25">
      <c r="A47" s="4">
        <v>10468341000140</v>
      </c>
      <c r="B47" s="8" t="s">
        <v>29</v>
      </c>
      <c r="C47" s="8" t="s">
        <v>20</v>
      </c>
      <c r="D47" s="7" t="s">
        <v>21</v>
      </c>
      <c r="E47" s="7" t="s">
        <v>795</v>
      </c>
      <c r="F47" s="6">
        <v>2</v>
      </c>
      <c r="G47" s="8" t="s">
        <v>762</v>
      </c>
      <c r="H47" s="8" t="s">
        <v>763</v>
      </c>
      <c r="I47" s="7" t="s">
        <v>723</v>
      </c>
      <c r="J47" s="8" t="s">
        <v>787</v>
      </c>
      <c r="K47" s="14" t="b">
        <v>0</v>
      </c>
      <c r="L47" s="14" t="b">
        <v>1</v>
      </c>
      <c r="M47" s="14" t="b">
        <v>1</v>
      </c>
      <c r="N47" s="14" t="b">
        <v>0</v>
      </c>
      <c r="O47" s="14" t="b">
        <v>1</v>
      </c>
      <c r="W47" s="3"/>
    </row>
    <row r="48" spans="1:23" x14ac:dyDescent="0.25">
      <c r="A48" s="4">
        <v>10468341000220</v>
      </c>
      <c r="B48" s="8" t="s">
        <v>30</v>
      </c>
      <c r="C48" s="8" t="s">
        <v>20</v>
      </c>
      <c r="D48" s="7" t="s">
        <v>21</v>
      </c>
      <c r="E48" s="7" t="s">
        <v>795</v>
      </c>
      <c r="F48" s="6">
        <v>2</v>
      </c>
      <c r="G48" s="8" t="s">
        <v>740</v>
      </c>
      <c r="H48" s="8" t="s">
        <v>741</v>
      </c>
      <c r="I48" s="7" t="s">
        <v>730</v>
      </c>
      <c r="J48" s="8" t="s">
        <v>787</v>
      </c>
      <c r="K48" s="14" t="b">
        <v>1</v>
      </c>
      <c r="L48" s="14" t="b">
        <v>0</v>
      </c>
      <c r="M48" s="14" t="b">
        <v>0</v>
      </c>
      <c r="N48" s="14" t="b">
        <v>1</v>
      </c>
      <c r="O48" s="14" t="b">
        <v>1</v>
      </c>
      <c r="W48" s="3"/>
    </row>
    <row r="49" spans="1:23" x14ac:dyDescent="0.25">
      <c r="A49" s="4">
        <v>10468341000220</v>
      </c>
      <c r="B49" s="8" t="s">
        <v>30</v>
      </c>
      <c r="C49" s="8" t="s">
        <v>20</v>
      </c>
      <c r="D49" s="7" t="s">
        <v>21</v>
      </c>
      <c r="E49" s="7" t="s">
        <v>795</v>
      </c>
      <c r="F49" s="6">
        <v>2</v>
      </c>
      <c r="G49" s="8" t="s">
        <v>762</v>
      </c>
      <c r="H49" s="8" t="s">
        <v>763</v>
      </c>
      <c r="I49" s="7" t="s">
        <v>723</v>
      </c>
      <c r="J49" s="8" t="s">
        <v>787</v>
      </c>
      <c r="K49" s="14" t="b">
        <v>0</v>
      </c>
      <c r="L49" s="14" t="b">
        <v>1</v>
      </c>
      <c r="M49" s="14" t="b">
        <v>1</v>
      </c>
      <c r="N49" s="14" t="b">
        <v>0</v>
      </c>
      <c r="O49" s="14" t="b">
        <v>1</v>
      </c>
      <c r="W49" s="3"/>
    </row>
    <row r="50" spans="1:23" x14ac:dyDescent="0.25">
      <c r="A50" s="4">
        <v>10475230000160</v>
      </c>
      <c r="B50" s="8" t="s">
        <v>31</v>
      </c>
      <c r="C50" s="8" t="s">
        <v>20</v>
      </c>
      <c r="D50" s="7" t="s">
        <v>21</v>
      </c>
      <c r="E50" s="7" t="s">
        <v>795</v>
      </c>
      <c r="F50" s="6">
        <v>2</v>
      </c>
      <c r="G50" s="8" t="s">
        <v>740</v>
      </c>
      <c r="H50" s="8" t="s">
        <v>741</v>
      </c>
      <c r="I50" s="7" t="s">
        <v>730</v>
      </c>
      <c r="J50" s="8" t="s">
        <v>787</v>
      </c>
      <c r="K50" s="14" t="b">
        <v>1</v>
      </c>
      <c r="L50" s="14" t="b">
        <v>0</v>
      </c>
      <c r="M50" s="14" t="b">
        <v>0</v>
      </c>
      <c r="N50" s="14" t="b">
        <v>1</v>
      </c>
      <c r="O50" s="14" t="b">
        <v>1</v>
      </c>
      <c r="W50" s="3"/>
    </row>
    <row r="51" spans="1:23" x14ac:dyDescent="0.25">
      <c r="A51" s="4">
        <v>10475230000160</v>
      </c>
      <c r="B51" s="8" t="s">
        <v>31</v>
      </c>
      <c r="C51" s="8" t="s">
        <v>20</v>
      </c>
      <c r="D51" s="7" t="s">
        <v>21</v>
      </c>
      <c r="E51" s="7" t="s">
        <v>795</v>
      </c>
      <c r="F51" s="6">
        <v>2</v>
      </c>
      <c r="G51" s="8" t="s">
        <v>756</v>
      </c>
      <c r="H51" s="8" t="s">
        <v>757</v>
      </c>
      <c r="I51" s="7" t="s">
        <v>723</v>
      </c>
      <c r="J51" s="8" t="s">
        <v>787</v>
      </c>
      <c r="K51" s="14" t="b">
        <v>0</v>
      </c>
      <c r="L51" s="14" t="b">
        <v>1</v>
      </c>
      <c r="M51" s="14" t="b">
        <v>1</v>
      </c>
      <c r="N51" s="14" t="b">
        <v>0</v>
      </c>
      <c r="O51" s="14" t="b">
        <v>1</v>
      </c>
      <c r="W51" s="3"/>
    </row>
    <row r="52" spans="1:23" x14ac:dyDescent="0.25">
      <c r="A52" s="4">
        <v>13718999000150</v>
      </c>
      <c r="B52" s="8" t="s">
        <v>79</v>
      </c>
      <c r="C52" s="8" t="s">
        <v>20</v>
      </c>
      <c r="D52" s="7" t="s">
        <v>21</v>
      </c>
      <c r="E52" s="7" t="s">
        <v>795</v>
      </c>
      <c r="F52" s="6">
        <v>2</v>
      </c>
      <c r="G52" s="8" t="s">
        <v>724</v>
      </c>
      <c r="H52" s="8" t="s">
        <v>725</v>
      </c>
      <c r="I52" s="7" t="s">
        <v>723</v>
      </c>
      <c r="J52" s="8" t="s">
        <v>787</v>
      </c>
      <c r="K52" s="14" t="b">
        <v>0</v>
      </c>
      <c r="L52" s="14" t="b">
        <v>1</v>
      </c>
      <c r="M52" s="14" t="b">
        <v>1</v>
      </c>
      <c r="N52" s="14" t="b">
        <v>0</v>
      </c>
      <c r="O52" s="14" t="b">
        <v>1</v>
      </c>
      <c r="W52" s="3"/>
    </row>
    <row r="53" spans="1:23" x14ac:dyDescent="0.25">
      <c r="A53" s="4">
        <v>13718999000150</v>
      </c>
      <c r="B53" s="8" t="s">
        <v>79</v>
      </c>
      <c r="C53" s="8" t="s">
        <v>20</v>
      </c>
      <c r="D53" s="7" t="s">
        <v>21</v>
      </c>
      <c r="E53" s="7" t="s">
        <v>795</v>
      </c>
      <c r="F53" s="6">
        <v>2</v>
      </c>
      <c r="G53" s="8" t="s">
        <v>740</v>
      </c>
      <c r="H53" s="8" t="s">
        <v>741</v>
      </c>
      <c r="I53" s="7" t="s">
        <v>730</v>
      </c>
      <c r="J53" s="8" t="s">
        <v>787</v>
      </c>
      <c r="K53" s="14" t="b">
        <v>1</v>
      </c>
      <c r="L53" s="14" t="b">
        <v>0</v>
      </c>
      <c r="M53" s="14" t="b">
        <v>0</v>
      </c>
      <c r="N53" s="14" t="b">
        <v>1</v>
      </c>
      <c r="O53" s="14" t="b">
        <v>1</v>
      </c>
      <c r="W53" s="3"/>
    </row>
    <row r="54" spans="1:23" x14ac:dyDescent="0.25">
      <c r="A54" s="4">
        <v>18180008000142</v>
      </c>
      <c r="B54" s="8" t="s">
        <v>80</v>
      </c>
      <c r="C54" s="8" t="s">
        <v>20</v>
      </c>
      <c r="D54" s="7" t="s">
        <v>21</v>
      </c>
      <c r="E54" s="7" t="s">
        <v>795</v>
      </c>
      <c r="F54" s="6">
        <v>2</v>
      </c>
      <c r="G54" s="8" t="s">
        <v>740</v>
      </c>
      <c r="H54" s="8" t="s">
        <v>741</v>
      </c>
      <c r="I54" s="7" t="s">
        <v>730</v>
      </c>
      <c r="J54" s="8" t="s">
        <v>787</v>
      </c>
      <c r="K54" s="14" t="b">
        <v>1</v>
      </c>
      <c r="L54" s="14" t="b">
        <v>0</v>
      </c>
      <c r="M54" s="14" t="b">
        <v>0</v>
      </c>
      <c r="N54" s="14" t="b">
        <v>1</v>
      </c>
      <c r="O54" s="14" t="b">
        <v>1</v>
      </c>
      <c r="W54" s="3"/>
    </row>
    <row r="55" spans="1:23" x14ac:dyDescent="0.25">
      <c r="A55" s="4">
        <v>18180008000142</v>
      </c>
      <c r="B55" s="8" t="s">
        <v>80</v>
      </c>
      <c r="C55" s="8" t="s">
        <v>20</v>
      </c>
      <c r="D55" s="7" t="s">
        <v>21</v>
      </c>
      <c r="E55" s="7" t="s">
        <v>795</v>
      </c>
      <c r="F55" s="6">
        <v>2</v>
      </c>
      <c r="G55" s="8" t="s">
        <v>756</v>
      </c>
      <c r="H55" s="8" t="s">
        <v>757</v>
      </c>
      <c r="I55" s="7" t="s">
        <v>723</v>
      </c>
      <c r="J55" s="8" t="s">
        <v>787</v>
      </c>
      <c r="K55" s="14" t="b">
        <v>0</v>
      </c>
      <c r="L55" s="14" t="b">
        <v>1</v>
      </c>
      <c r="M55" s="14" t="b">
        <v>1</v>
      </c>
      <c r="N55" s="14" t="b">
        <v>0</v>
      </c>
      <c r="O55" s="14" t="b">
        <v>1</v>
      </c>
      <c r="W55" s="3"/>
    </row>
    <row r="56" spans="1:23" x14ac:dyDescent="0.25">
      <c r="A56" s="4">
        <v>19056055000141</v>
      </c>
      <c r="B56" s="8" t="s">
        <v>93</v>
      </c>
      <c r="C56" s="8" t="s">
        <v>20</v>
      </c>
      <c r="D56" s="7" t="s">
        <v>21</v>
      </c>
      <c r="E56" s="7" t="s">
        <v>795</v>
      </c>
      <c r="F56" s="6">
        <v>2</v>
      </c>
      <c r="G56" s="8" t="s">
        <v>740</v>
      </c>
      <c r="H56" s="8" t="s">
        <v>741</v>
      </c>
      <c r="I56" s="7" t="s">
        <v>730</v>
      </c>
      <c r="J56" s="8" t="s">
        <v>787</v>
      </c>
      <c r="K56" s="14" t="b">
        <v>1</v>
      </c>
      <c r="L56" s="14" t="b">
        <v>0</v>
      </c>
      <c r="M56" s="14" t="b">
        <v>0</v>
      </c>
      <c r="N56" s="14" t="b">
        <v>1</v>
      </c>
      <c r="O56" s="14" t="b">
        <v>1</v>
      </c>
      <c r="W56" s="3"/>
    </row>
    <row r="57" spans="1:23" x14ac:dyDescent="0.25">
      <c r="A57" s="4">
        <v>19056055000141</v>
      </c>
      <c r="B57" s="8" t="s">
        <v>93</v>
      </c>
      <c r="C57" s="8" t="s">
        <v>20</v>
      </c>
      <c r="D57" s="7" t="s">
        <v>21</v>
      </c>
      <c r="E57" s="7" t="s">
        <v>795</v>
      </c>
      <c r="F57" s="6">
        <v>2</v>
      </c>
      <c r="G57" s="8" t="s">
        <v>756</v>
      </c>
      <c r="H57" s="8" t="s">
        <v>757</v>
      </c>
      <c r="I57" s="7" t="s">
        <v>723</v>
      </c>
      <c r="J57" s="8" t="s">
        <v>787</v>
      </c>
      <c r="K57" s="14" t="b">
        <v>0</v>
      </c>
      <c r="L57" s="14" t="b">
        <v>1</v>
      </c>
      <c r="M57" s="14" t="b">
        <v>1</v>
      </c>
      <c r="N57" s="14" t="b">
        <v>0</v>
      </c>
      <c r="O57" s="14" t="b">
        <v>1</v>
      </c>
      <c r="W57" s="3"/>
    </row>
    <row r="58" spans="1:23" x14ac:dyDescent="0.25">
      <c r="A58" s="4">
        <v>19803199000114</v>
      </c>
      <c r="B58" s="8" t="s">
        <v>32</v>
      </c>
      <c r="C58" s="8" t="s">
        <v>20</v>
      </c>
      <c r="D58" s="7" t="s">
        <v>21</v>
      </c>
      <c r="E58" s="7" t="s">
        <v>795</v>
      </c>
      <c r="F58" s="6">
        <v>2</v>
      </c>
      <c r="G58" s="8" t="s">
        <v>740</v>
      </c>
      <c r="H58" s="8" t="s">
        <v>741</v>
      </c>
      <c r="I58" s="7" t="s">
        <v>730</v>
      </c>
      <c r="J58" s="8" t="s">
        <v>787</v>
      </c>
      <c r="K58" s="14" t="b">
        <v>1</v>
      </c>
      <c r="L58" s="14" t="b">
        <v>0</v>
      </c>
      <c r="M58" s="14" t="b">
        <v>0</v>
      </c>
      <c r="N58" s="14" t="b">
        <v>1</v>
      </c>
      <c r="O58" s="14" t="b">
        <v>1</v>
      </c>
      <c r="W58" s="3"/>
    </row>
    <row r="59" spans="1:23" x14ac:dyDescent="0.25">
      <c r="A59" s="4">
        <v>19803199000114</v>
      </c>
      <c r="B59" s="8" t="s">
        <v>32</v>
      </c>
      <c r="C59" s="8" t="s">
        <v>20</v>
      </c>
      <c r="D59" s="7" t="s">
        <v>21</v>
      </c>
      <c r="E59" s="7" t="s">
        <v>795</v>
      </c>
      <c r="F59" s="6">
        <v>2</v>
      </c>
      <c r="G59" s="8" t="s">
        <v>762</v>
      </c>
      <c r="H59" s="8" t="s">
        <v>763</v>
      </c>
      <c r="I59" s="7" t="s">
        <v>723</v>
      </c>
      <c r="J59" s="8" t="s">
        <v>787</v>
      </c>
      <c r="K59" s="14" t="b">
        <v>0</v>
      </c>
      <c r="L59" s="14" t="b">
        <v>1</v>
      </c>
      <c r="M59" s="14" t="b">
        <v>1</v>
      </c>
      <c r="N59" s="14" t="b">
        <v>0</v>
      </c>
      <c r="O59" s="14" t="b">
        <v>1</v>
      </c>
      <c r="W59" s="3"/>
    </row>
    <row r="60" spans="1:23" x14ac:dyDescent="0.25">
      <c r="A60" s="4">
        <v>20812223000241</v>
      </c>
      <c r="B60" s="8" t="s">
        <v>81</v>
      </c>
      <c r="C60" s="8" t="s">
        <v>20</v>
      </c>
      <c r="D60" s="7" t="s">
        <v>21</v>
      </c>
      <c r="E60" s="7" t="s">
        <v>795</v>
      </c>
      <c r="F60" s="6">
        <v>2</v>
      </c>
      <c r="G60" s="8" t="s">
        <v>724</v>
      </c>
      <c r="H60" s="8" t="s">
        <v>725</v>
      </c>
      <c r="I60" s="7" t="s">
        <v>723</v>
      </c>
      <c r="J60" s="8" t="s">
        <v>787</v>
      </c>
      <c r="K60" s="14" t="b">
        <v>0</v>
      </c>
      <c r="L60" s="14" t="b">
        <v>1</v>
      </c>
      <c r="M60" s="14" t="b">
        <v>1</v>
      </c>
      <c r="N60" s="14" t="b">
        <v>0</v>
      </c>
      <c r="O60" s="14" t="b">
        <v>1</v>
      </c>
      <c r="W60" s="3"/>
    </row>
    <row r="61" spans="1:23" x14ac:dyDescent="0.25">
      <c r="A61" s="4">
        <v>20812223000241</v>
      </c>
      <c r="B61" s="8" t="s">
        <v>81</v>
      </c>
      <c r="C61" s="8" t="s">
        <v>20</v>
      </c>
      <c r="D61" s="7" t="s">
        <v>21</v>
      </c>
      <c r="E61" s="7" t="s">
        <v>795</v>
      </c>
      <c r="F61" s="6">
        <v>2</v>
      </c>
      <c r="G61" s="8" t="s">
        <v>740</v>
      </c>
      <c r="H61" s="8" t="s">
        <v>741</v>
      </c>
      <c r="I61" s="7" t="s">
        <v>730</v>
      </c>
      <c r="J61" s="8" t="s">
        <v>787</v>
      </c>
      <c r="K61" s="14" t="b">
        <v>1</v>
      </c>
      <c r="L61" s="14" t="b">
        <v>0</v>
      </c>
      <c r="M61" s="14" t="b">
        <v>0</v>
      </c>
      <c r="N61" s="14" t="b">
        <v>1</v>
      </c>
      <c r="O61" s="14" t="b">
        <v>1</v>
      </c>
      <c r="W61" s="3"/>
    </row>
    <row r="62" spans="1:23" x14ac:dyDescent="0.25">
      <c r="A62" s="4">
        <v>21371777000132</v>
      </c>
      <c r="B62" s="8" t="s">
        <v>33</v>
      </c>
      <c r="C62" s="8" t="s">
        <v>20</v>
      </c>
      <c r="D62" s="7" t="s">
        <v>21</v>
      </c>
      <c r="E62" s="7" t="s">
        <v>795</v>
      </c>
      <c r="F62" s="6">
        <v>2</v>
      </c>
      <c r="G62" s="8" t="s">
        <v>740</v>
      </c>
      <c r="H62" s="8" t="s">
        <v>741</v>
      </c>
      <c r="I62" s="7" t="s">
        <v>730</v>
      </c>
      <c r="J62" s="8" t="s">
        <v>787</v>
      </c>
      <c r="K62" s="14" t="b">
        <v>1</v>
      </c>
      <c r="L62" s="14" t="b">
        <v>0</v>
      </c>
      <c r="M62" s="14" t="b">
        <v>0</v>
      </c>
      <c r="N62" s="14" t="b">
        <v>1</v>
      </c>
      <c r="O62" s="14" t="b">
        <v>1</v>
      </c>
      <c r="W62" s="3"/>
    </row>
    <row r="63" spans="1:23" x14ac:dyDescent="0.25">
      <c r="A63" s="4">
        <v>21371777000132</v>
      </c>
      <c r="B63" s="8" t="s">
        <v>33</v>
      </c>
      <c r="C63" s="8" t="s">
        <v>20</v>
      </c>
      <c r="D63" s="7" t="s">
        <v>21</v>
      </c>
      <c r="E63" s="7" t="s">
        <v>795</v>
      </c>
      <c r="F63" s="6">
        <v>2</v>
      </c>
      <c r="G63" s="8" t="s">
        <v>762</v>
      </c>
      <c r="H63" s="8" t="s">
        <v>763</v>
      </c>
      <c r="I63" s="7" t="s">
        <v>723</v>
      </c>
      <c r="J63" s="8" t="s">
        <v>787</v>
      </c>
      <c r="K63" s="14" t="b">
        <v>0</v>
      </c>
      <c r="L63" s="14" t="b">
        <v>1</v>
      </c>
      <c r="M63" s="14" t="b">
        <v>1</v>
      </c>
      <c r="N63" s="14" t="b">
        <v>0</v>
      </c>
      <c r="O63" s="14" t="b">
        <v>1</v>
      </c>
      <c r="W63" s="3"/>
    </row>
    <row r="64" spans="1:23" x14ac:dyDescent="0.25">
      <c r="A64" s="4">
        <v>28290788000137</v>
      </c>
      <c r="B64" s="8" t="s">
        <v>82</v>
      </c>
      <c r="C64" s="8" t="s">
        <v>20</v>
      </c>
      <c r="D64" s="7" t="s">
        <v>21</v>
      </c>
      <c r="E64" s="7" t="s">
        <v>795</v>
      </c>
      <c r="F64" s="6">
        <v>2</v>
      </c>
      <c r="G64" s="8" t="s">
        <v>724</v>
      </c>
      <c r="H64" s="8" t="s">
        <v>725</v>
      </c>
      <c r="I64" s="7" t="s">
        <v>723</v>
      </c>
      <c r="J64" s="8" t="s">
        <v>787</v>
      </c>
      <c r="K64" s="14" t="b">
        <v>0</v>
      </c>
      <c r="L64" s="14" t="b">
        <v>1</v>
      </c>
      <c r="M64" s="14" t="b">
        <v>1</v>
      </c>
      <c r="N64" s="14" t="b">
        <v>0</v>
      </c>
      <c r="O64" s="14" t="b">
        <v>1</v>
      </c>
      <c r="W64" s="3"/>
    </row>
    <row r="65" spans="1:23" x14ac:dyDescent="0.25">
      <c r="A65" s="4">
        <v>28290788000137</v>
      </c>
      <c r="B65" s="8" t="s">
        <v>82</v>
      </c>
      <c r="C65" s="8" t="s">
        <v>20</v>
      </c>
      <c r="D65" s="7" t="s">
        <v>21</v>
      </c>
      <c r="E65" s="7" t="s">
        <v>795</v>
      </c>
      <c r="F65" s="6">
        <v>2</v>
      </c>
      <c r="G65" s="8" t="s">
        <v>740</v>
      </c>
      <c r="H65" s="8" t="s">
        <v>741</v>
      </c>
      <c r="I65" s="7" t="s">
        <v>730</v>
      </c>
      <c r="J65" s="8" t="s">
        <v>787</v>
      </c>
      <c r="K65" s="14" t="b">
        <v>1</v>
      </c>
      <c r="L65" s="14" t="b">
        <v>0</v>
      </c>
      <c r="M65" s="14" t="b">
        <v>0</v>
      </c>
      <c r="N65" s="14" t="b">
        <v>1</v>
      </c>
      <c r="O65" s="14" t="b">
        <v>1</v>
      </c>
      <c r="W65" s="3"/>
    </row>
    <row r="66" spans="1:23" x14ac:dyDescent="0.25">
      <c r="A66" s="4">
        <v>28290788000307</v>
      </c>
      <c r="B66" s="8" t="s">
        <v>83</v>
      </c>
      <c r="C66" s="8" t="s">
        <v>20</v>
      </c>
      <c r="D66" s="7" t="s">
        <v>21</v>
      </c>
      <c r="E66" s="7" t="s">
        <v>795</v>
      </c>
      <c r="F66" s="6">
        <v>2</v>
      </c>
      <c r="G66" s="8" t="s">
        <v>724</v>
      </c>
      <c r="H66" s="8" t="s">
        <v>725</v>
      </c>
      <c r="I66" s="7" t="s">
        <v>723</v>
      </c>
      <c r="J66" s="8" t="s">
        <v>787</v>
      </c>
      <c r="K66" s="14" t="b">
        <v>0</v>
      </c>
      <c r="L66" s="14" t="b">
        <v>1</v>
      </c>
      <c r="M66" s="14" t="b">
        <v>1</v>
      </c>
      <c r="N66" s="14" t="b">
        <v>0</v>
      </c>
      <c r="O66" s="14" t="b">
        <v>1</v>
      </c>
      <c r="W66" s="3"/>
    </row>
    <row r="67" spans="1:23" x14ac:dyDescent="0.25">
      <c r="A67" s="4">
        <v>28290788000307</v>
      </c>
      <c r="B67" s="8" t="s">
        <v>83</v>
      </c>
      <c r="C67" s="8" t="s">
        <v>20</v>
      </c>
      <c r="D67" s="7" t="s">
        <v>21</v>
      </c>
      <c r="E67" s="7" t="s">
        <v>795</v>
      </c>
      <c r="F67" s="6">
        <v>2</v>
      </c>
      <c r="G67" s="8" t="s">
        <v>770</v>
      </c>
      <c r="H67" s="8" t="s">
        <v>771</v>
      </c>
      <c r="I67" s="7" t="s">
        <v>730</v>
      </c>
      <c r="J67" s="8" t="s">
        <v>787</v>
      </c>
      <c r="K67" s="14" t="b">
        <v>1</v>
      </c>
      <c r="L67" s="14" t="b">
        <v>0</v>
      </c>
      <c r="M67" s="14" t="b">
        <v>0</v>
      </c>
      <c r="N67" s="14" t="b">
        <v>1</v>
      </c>
      <c r="O67" s="14" t="b">
        <v>1</v>
      </c>
      <c r="W67" s="3"/>
    </row>
    <row r="68" spans="1:23" x14ac:dyDescent="0.25">
      <c r="A68" s="4">
        <v>29435005002687</v>
      </c>
      <c r="B68" s="8" t="s">
        <v>34</v>
      </c>
      <c r="C68" s="8" t="s">
        <v>20</v>
      </c>
      <c r="D68" s="7" t="s">
        <v>21</v>
      </c>
      <c r="E68" s="7" t="s">
        <v>795</v>
      </c>
      <c r="F68" s="6">
        <v>2</v>
      </c>
      <c r="G68" s="8" t="s">
        <v>740</v>
      </c>
      <c r="H68" s="8" t="s">
        <v>741</v>
      </c>
      <c r="I68" s="7" t="s">
        <v>730</v>
      </c>
      <c r="J68" s="8" t="s">
        <v>787</v>
      </c>
      <c r="K68" s="14" t="b">
        <v>1</v>
      </c>
      <c r="L68" s="14" t="b">
        <v>0</v>
      </c>
      <c r="M68" s="14" t="b">
        <v>0</v>
      </c>
      <c r="N68" s="14" t="b">
        <v>1</v>
      </c>
      <c r="O68" s="14" t="b">
        <v>1</v>
      </c>
      <c r="W68" s="3"/>
    </row>
    <row r="69" spans="1:23" x14ac:dyDescent="0.25">
      <c r="A69" s="4">
        <v>29435005002687</v>
      </c>
      <c r="B69" s="8" t="s">
        <v>34</v>
      </c>
      <c r="C69" s="8" t="s">
        <v>20</v>
      </c>
      <c r="D69" s="7" t="s">
        <v>21</v>
      </c>
      <c r="E69" s="7" t="s">
        <v>795</v>
      </c>
      <c r="F69" s="6">
        <v>2</v>
      </c>
      <c r="G69" s="8" t="s">
        <v>762</v>
      </c>
      <c r="H69" s="8" t="s">
        <v>763</v>
      </c>
      <c r="I69" s="7" t="s">
        <v>723</v>
      </c>
      <c r="J69" s="8" t="s">
        <v>787</v>
      </c>
      <c r="K69" s="14" t="b">
        <v>0</v>
      </c>
      <c r="L69" s="14" t="b">
        <v>1</v>
      </c>
      <c r="M69" s="14" t="b">
        <v>1</v>
      </c>
      <c r="N69" s="14" t="b">
        <v>0</v>
      </c>
      <c r="O69" s="14" t="b">
        <v>1</v>
      </c>
      <c r="W69" s="3"/>
    </row>
    <row r="70" spans="1:23" x14ac:dyDescent="0.25">
      <c r="A70" s="4">
        <v>29435005004540</v>
      </c>
      <c r="B70" s="8" t="s">
        <v>35</v>
      </c>
      <c r="C70" s="8" t="s">
        <v>20</v>
      </c>
      <c r="D70" s="7" t="s">
        <v>21</v>
      </c>
      <c r="E70" s="7" t="s">
        <v>795</v>
      </c>
      <c r="F70" s="6">
        <v>2</v>
      </c>
      <c r="G70" s="8" t="s">
        <v>740</v>
      </c>
      <c r="H70" s="8" t="s">
        <v>741</v>
      </c>
      <c r="I70" s="7" t="s">
        <v>730</v>
      </c>
      <c r="J70" s="8" t="s">
        <v>787</v>
      </c>
      <c r="K70" s="14" t="b">
        <v>1</v>
      </c>
      <c r="L70" s="14" t="b">
        <v>0</v>
      </c>
      <c r="M70" s="14" t="b">
        <v>0</v>
      </c>
      <c r="N70" s="14" t="b">
        <v>1</v>
      </c>
      <c r="O70" s="14" t="b">
        <v>1</v>
      </c>
      <c r="W70" s="3"/>
    </row>
    <row r="71" spans="1:23" x14ac:dyDescent="0.25">
      <c r="A71" s="4">
        <v>29435005004540</v>
      </c>
      <c r="B71" s="8" t="s">
        <v>35</v>
      </c>
      <c r="C71" s="8" t="s">
        <v>20</v>
      </c>
      <c r="D71" s="7" t="s">
        <v>21</v>
      </c>
      <c r="E71" s="7" t="s">
        <v>795</v>
      </c>
      <c r="F71" s="6">
        <v>2</v>
      </c>
      <c r="G71" s="8" t="s">
        <v>762</v>
      </c>
      <c r="H71" s="8" t="s">
        <v>763</v>
      </c>
      <c r="I71" s="7" t="s">
        <v>723</v>
      </c>
      <c r="J71" s="8" t="s">
        <v>787</v>
      </c>
      <c r="K71" s="14" t="b">
        <v>0</v>
      </c>
      <c r="L71" s="14" t="b">
        <v>1</v>
      </c>
      <c r="M71" s="14" t="b">
        <v>1</v>
      </c>
      <c r="N71" s="14" t="b">
        <v>0</v>
      </c>
      <c r="O71" s="14" t="b">
        <v>1</v>
      </c>
      <c r="W71" s="3"/>
    </row>
    <row r="72" spans="1:23" x14ac:dyDescent="0.25">
      <c r="A72" s="4">
        <v>29435005009932</v>
      </c>
      <c r="B72" s="8" t="s">
        <v>36</v>
      </c>
      <c r="C72" s="8" t="s">
        <v>20</v>
      </c>
      <c r="D72" s="7" t="s">
        <v>21</v>
      </c>
      <c r="E72" s="7" t="s">
        <v>795</v>
      </c>
      <c r="F72" s="6">
        <v>2</v>
      </c>
      <c r="G72" s="8" t="s">
        <v>724</v>
      </c>
      <c r="H72" s="8" t="s">
        <v>725</v>
      </c>
      <c r="I72" s="7" t="s">
        <v>723</v>
      </c>
      <c r="J72" s="8" t="s">
        <v>787</v>
      </c>
      <c r="K72" s="14" t="b">
        <v>0</v>
      </c>
      <c r="L72" s="14" t="b">
        <v>1</v>
      </c>
      <c r="M72" s="14" t="b">
        <v>1</v>
      </c>
      <c r="N72" s="14" t="b">
        <v>0</v>
      </c>
      <c r="O72" s="14" t="b">
        <v>1</v>
      </c>
      <c r="W72" s="3"/>
    </row>
    <row r="73" spans="1:23" x14ac:dyDescent="0.25">
      <c r="A73" s="4">
        <v>29435005009932</v>
      </c>
      <c r="B73" s="8" t="s">
        <v>36</v>
      </c>
      <c r="C73" s="8" t="s">
        <v>20</v>
      </c>
      <c r="D73" s="7" t="s">
        <v>21</v>
      </c>
      <c r="E73" s="7" t="s">
        <v>795</v>
      </c>
      <c r="F73" s="6">
        <v>2</v>
      </c>
      <c r="G73" s="8" t="s">
        <v>770</v>
      </c>
      <c r="H73" s="8" t="s">
        <v>771</v>
      </c>
      <c r="I73" s="7" t="s">
        <v>730</v>
      </c>
      <c r="J73" s="8" t="s">
        <v>787</v>
      </c>
      <c r="K73" s="14" t="b">
        <v>1</v>
      </c>
      <c r="L73" s="14" t="b">
        <v>0</v>
      </c>
      <c r="M73" s="14" t="b">
        <v>0</v>
      </c>
      <c r="N73" s="14" t="b">
        <v>1</v>
      </c>
      <c r="O73" s="14" t="b">
        <v>1</v>
      </c>
      <c r="W73" s="3"/>
    </row>
    <row r="74" spans="1:23" x14ac:dyDescent="0.25">
      <c r="A74" s="4">
        <v>43643139000409</v>
      </c>
      <c r="B74" s="8" t="s">
        <v>37</v>
      </c>
      <c r="C74" s="8" t="s">
        <v>20</v>
      </c>
      <c r="D74" s="7" t="s">
        <v>21</v>
      </c>
      <c r="E74" s="7" t="s">
        <v>795</v>
      </c>
      <c r="F74" s="6">
        <v>2</v>
      </c>
      <c r="G74" s="8" t="s">
        <v>724</v>
      </c>
      <c r="H74" s="8" t="s">
        <v>725</v>
      </c>
      <c r="I74" s="7" t="s">
        <v>723</v>
      </c>
      <c r="J74" s="8" t="s">
        <v>787</v>
      </c>
      <c r="K74" s="14" t="b">
        <v>0</v>
      </c>
      <c r="L74" s="14" t="b">
        <v>1</v>
      </c>
      <c r="M74" s="14" t="b">
        <v>1</v>
      </c>
      <c r="N74" s="14" t="b">
        <v>0</v>
      </c>
      <c r="O74" s="14" t="b">
        <v>1</v>
      </c>
      <c r="W74" s="3"/>
    </row>
    <row r="75" spans="1:23" x14ac:dyDescent="0.25">
      <c r="A75" s="4">
        <v>43643139000409</v>
      </c>
      <c r="B75" s="8" t="s">
        <v>37</v>
      </c>
      <c r="C75" s="8" t="s">
        <v>20</v>
      </c>
      <c r="D75" s="7" t="s">
        <v>21</v>
      </c>
      <c r="E75" s="7" t="s">
        <v>795</v>
      </c>
      <c r="F75" s="6">
        <v>2</v>
      </c>
      <c r="G75" s="8" t="s">
        <v>740</v>
      </c>
      <c r="H75" s="8" t="s">
        <v>741</v>
      </c>
      <c r="I75" s="7" t="s">
        <v>730</v>
      </c>
      <c r="J75" s="8" t="s">
        <v>787</v>
      </c>
      <c r="K75" s="14" t="b">
        <v>1</v>
      </c>
      <c r="L75" s="14" t="b">
        <v>0</v>
      </c>
      <c r="M75" s="14" t="b">
        <v>0</v>
      </c>
      <c r="N75" s="14" t="b">
        <v>1</v>
      </c>
      <c r="O75" s="14" t="b">
        <v>1</v>
      </c>
      <c r="W75" s="3"/>
    </row>
    <row r="76" spans="1:23" x14ac:dyDescent="0.25">
      <c r="A76" s="4">
        <v>44649812005520</v>
      </c>
      <c r="B76" s="8" t="s">
        <v>38</v>
      </c>
      <c r="C76" s="8" t="s">
        <v>20</v>
      </c>
      <c r="D76" s="7" t="s">
        <v>21</v>
      </c>
      <c r="E76" s="7" t="s">
        <v>795</v>
      </c>
      <c r="F76" s="6">
        <v>2</v>
      </c>
      <c r="G76" s="8" t="s">
        <v>724</v>
      </c>
      <c r="H76" s="8" t="s">
        <v>725</v>
      </c>
      <c r="I76" s="7" t="s">
        <v>723</v>
      </c>
      <c r="J76" s="8" t="s">
        <v>787</v>
      </c>
      <c r="K76" s="14" t="b">
        <v>0</v>
      </c>
      <c r="L76" s="14" t="b">
        <v>1</v>
      </c>
      <c r="M76" s="14" t="b">
        <v>1</v>
      </c>
      <c r="N76" s="14" t="b">
        <v>0</v>
      </c>
      <c r="O76" s="14" t="b">
        <v>1</v>
      </c>
      <c r="W76" s="3"/>
    </row>
    <row r="77" spans="1:23" x14ac:dyDescent="0.25">
      <c r="A77" s="4">
        <v>44649812005520</v>
      </c>
      <c r="B77" s="8" t="s">
        <v>38</v>
      </c>
      <c r="C77" s="8" t="s">
        <v>20</v>
      </c>
      <c r="D77" s="7" t="s">
        <v>21</v>
      </c>
      <c r="E77" s="7" t="s">
        <v>795</v>
      </c>
      <c r="F77" s="6">
        <v>2</v>
      </c>
      <c r="G77" s="8" t="s">
        <v>740</v>
      </c>
      <c r="H77" s="8" t="s">
        <v>741</v>
      </c>
      <c r="I77" s="7" t="s">
        <v>730</v>
      </c>
      <c r="J77" s="8" t="s">
        <v>787</v>
      </c>
      <c r="K77" s="14" t="b">
        <v>1</v>
      </c>
      <c r="L77" s="14" t="b">
        <v>0</v>
      </c>
      <c r="M77" s="14" t="b">
        <v>0</v>
      </c>
      <c r="N77" s="14" t="b">
        <v>1</v>
      </c>
      <c r="O77" s="14" t="b">
        <v>1</v>
      </c>
      <c r="W77" s="3"/>
    </row>
    <row r="78" spans="1:23" x14ac:dyDescent="0.25">
      <c r="A78" s="4">
        <v>46374500008845</v>
      </c>
      <c r="B78" s="8" t="s">
        <v>61</v>
      </c>
      <c r="C78" s="8" t="s">
        <v>20</v>
      </c>
      <c r="D78" s="7" t="s">
        <v>21</v>
      </c>
      <c r="E78" s="7" t="s">
        <v>795</v>
      </c>
      <c r="F78" s="6">
        <v>2</v>
      </c>
      <c r="G78" s="8" t="s">
        <v>740</v>
      </c>
      <c r="H78" s="8" t="s">
        <v>741</v>
      </c>
      <c r="I78" s="7" t="s">
        <v>730</v>
      </c>
      <c r="J78" s="8" t="s">
        <v>787</v>
      </c>
      <c r="K78" s="14" t="b">
        <v>1</v>
      </c>
      <c r="L78" s="14" t="b">
        <v>0</v>
      </c>
      <c r="M78" s="14" t="b">
        <v>0</v>
      </c>
      <c r="N78" s="14" t="b">
        <v>1</v>
      </c>
      <c r="O78" s="14" t="b">
        <v>1</v>
      </c>
      <c r="W78" s="3"/>
    </row>
    <row r="79" spans="1:23" x14ac:dyDescent="0.25">
      <c r="A79" s="4">
        <v>46374500008845</v>
      </c>
      <c r="B79" s="8" t="s">
        <v>61</v>
      </c>
      <c r="C79" s="8" t="s">
        <v>20</v>
      </c>
      <c r="D79" s="7" t="s">
        <v>21</v>
      </c>
      <c r="E79" s="7" t="s">
        <v>795</v>
      </c>
      <c r="F79" s="6">
        <v>2</v>
      </c>
      <c r="G79" s="8" t="s">
        <v>756</v>
      </c>
      <c r="H79" s="8" t="s">
        <v>757</v>
      </c>
      <c r="I79" s="7" t="s">
        <v>723</v>
      </c>
      <c r="J79" s="8" t="s">
        <v>787</v>
      </c>
      <c r="K79" s="14" t="b">
        <v>0</v>
      </c>
      <c r="L79" s="14" t="b">
        <v>1</v>
      </c>
      <c r="M79" s="14" t="b">
        <v>1</v>
      </c>
      <c r="N79" s="14" t="b">
        <v>0</v>
      </c>
      <c r="O79" s="14" t="b">
        <v>1</v>
      </c>
      <c r="W79" s="3"/>
    </row>
    <row r="80" spans="1:23" x14ac:dyDescent="0.25">
      <c r="A80" s="4">
        <v>46374500010823</v>
      </c>
      <c r="B80" s="8" t="s">
        <v>62</v>
      </c>
      <c r="C80" s="8" t="s">
        <v>20</v>
      </c>
      <c r="D80" s="7" t="s">
        <v>21</v>
      </c>
      <c r="E80" s="7" t="s">
        <v>795</v>
      </c>
      <c r="F80" s="6">
        <v>2</v>
      </c>
      <c r="G80" s="8" t="s">
        <v>724</v>
      </c>
      <c r="H80" s="8" t="s">
        <v>725</v>
      </c>
      <c r="I80" s="7" t="s">
        <v>723</v>
      </c>
      <c r="J80" s="8" t="s">
        <v>787</v>
      </c>
      <c r="K80" s="14" t="b">
        <v>0</v>
      </c>
      <c r="L80" s="14" t="b">
        <v>1</v>
      </c>
      <c r="M80" s="14" t="b">
        <v>1</v>
      </c>
      <c r="N80" s="14" t="b">
        <v>0</v>
      </c>
      <c r="O80" s="14" t="b">
        <v>1</v>
      </c>
      <c r="W80" s="3"/>
    </row>
    <row r="81" spans="1:23" x14ac:dyDescent="0.25">
      <c r="A81" s="4">
        <v>46374500010823</v>
      </c>
      <c r="B81" s="8" t="s">
        <v>62</v>
      </c>
      <c r="C81" s="8" t="s">
        <v>20</v>
      </c>
      <c r="D81" s="7" t="s">
        <v>21</v>
      </c>
      <c r="E81" s="7" t="s">
        <v>795</v>
      </c>
      <c r="F81" s="6">
        <v>2</v>
      </c>
      <c r="G81" s="8" t="s">
        <v>740</v>
      </c>
      <c r="H81" s="8" t="s">
        <v>741</v>
      </c>
      <c r="I81" s="7" t="s">
        <v>730</v>
      </c>
      <c r="J81" s="8" t="s">
        <v>787</v>
      </c>
      <c r="K81" s="14" t="b">
        <v>1</v>
      </c>
      <c r="L81" s="14" t="b">
        <v>0</v>
      </c>
      <c r="M81" s="14" t="b">
        <v>0</v>
      </c>
      <c r="N81" s="14" t="b">
        <v>1</v>
      </c>
      <c r="O81" s="14" t="b">
        <v>1</v>
      </c>
      <c r="W81" s="3"/>
    </row>
    <row r="82" spans="1:23" x14ac:dyDescent="0.25">
      <c r="A82" s="4">
        <v>46374500026231</v>
      </c>
      <c r="B82" s="8" t="s">
        <v>58</v>
      </c>
      <c r="C82" s="8" t="s">
        <v>20</v>
      </c>
      <c r="D82" s="7" t="s">
        <v>21</v>
      </c>
      <c r="E82" s="7" t="s">
        <v>795</v>
      </c>
      <c r="F82" s="6">
        <v>2</v>
      </c>
      <c r="G82" s="8" t="s">
        <v>756</v>
      </c>
      <c r="H82" s="8" t="s">
        <v>757</v>
      </c>
      <c r="I82" s="7" t="s">
        <v>723</v>
      </c>
      <c r="J82" s="8" t="s">
        <v>787</v>
      </c>
      <c r="K82" s="14" t="b">
        <v>0</v>
      </c>
      <c r="L82" s="14" t="b">
        <v>1</v>
      </c>
      <c r="M82" s="14" t="b">
        <v>1</v>
      </c>
      <c r="N82" s="14" t="b">
        <v>0</v>
      </c>
      <c r="O82" s="14" t="b">
        <v>1</v>
      </c>
      <c r="W82" s="3"/>
    </row>
    <row r="83" spans="1:23" x14ac:dyDescent="0.25">
      <c r="A83" s="4">
        <v>46374500026231</v>
      </c>
      <c r="B83" s="8" t="s">
        <v>58</v>
      </c>
      <c r="C83" s="8" t="s">
        <v>20</v>
      </c>
      <c r="D83" s="7" t="s">
        <v>21</v>
      </c>
      <c r="E83" s="7" t="s">
        <v>795</v>
      </c>
      <c r="F83" s="6">
        <v>2</v>
      </c>
      <c r="G83" s="8" t="s">
        <v>770</v>
      </c>
      <c r="H83" s="8" t="s">
        <v>771</v>
      </c>
      <c r="I83" s="7" t="s">
        <v>730</v>
      </c>
      <c r="J83" s="8" t="s">
        <v>787</v>
      </c>
      <c r="K83" s="14" t="b">
        <v>1</v>
      </c>
      <c r="L83" s="14" t="b">
        <v>0</v>
      </c>
      <c r="M83" s="14" t="b">
        <v>0</v>
      </c>
      <c r="N83" s="14" t="b">
        <v>1</v>
      </c>
      <c r="O83" s="14" t="b">
        <v>1</v>
      </c>
      <c r="W83" s="3"/>
    </row>
    <row r="84" spans="1:23" x14ac:dyDescent="0.25">
      <c r="A84" s="4">
        <v>51722957000506</v>
      </c>
      <c r="B84" s="8" t="s">
        <v>59</v>
      </c>
      <c r="C84" s="8" t="s">
        <v>20</v>
      </c>
      <c r="D84" s="7" t="s">
        <v>21</v>
      </c>
      <c r="E84" s="7" t="s">
        <v>795</v>
      </c>
      <c r="F84" s="6">
        <v>2</v>
      </c>
      <c r="G84" s="8" t="s">
        <v>740</v>
      </c>
      <c r="H84" s="8" t="s">
        <v>741</v>
      </c>
      <c r="I84" s="7" t="s">
        <v>730</v>
      </c>
      <c r="J84" s="8" t="s">
        <v>787</v>
      </c>
      <c r="K84" s="14" t="b">
        <v>1</v>
      </c>
      <c r="L84" s="14" t="b">
        <v>0</v>
      </c>
      <c r="M84" s="14" t="b">
        <v>0</v>
      </c>
      <c r="N84" s="14" t="b">
        <v>1</v>
      </c>
      <c r="O84" s="14" t="b">
        <v>1</v>
      </c>
      <c r="W84" s="3"/>
    </row>
    <row r="85" spans="1:23" x14ac:dyDescent="0.25">
      <c r="A85" s="4">
        <v>51722957000506</v>
      </c>
      <c r="B85" s="8" t="s">
        <v>59</v>
      </c>
      <c r="C85" s="8" t="s">
        <v>20</v>
      </c>
      <c r="D85" s="7" t="s">
        <v>21</v>
      </c>
      <c r="E85" s="7" t="s">
        <v>795</v>
      </c>
      <c r="F85" s="6">
        <v>2</v>
      </c>
      <c r="G85" s="8" t="s">
        <v>762</v>
      </c>
      <c r="H85" s="8" t="s">
        <v>763</v>
      </c>
      <c r="I85" s="7" t="s">
        <v>723</v>
      </c>
      <c r="J85" s="8" t="s">
        <v>787</v>
      </c>
      <c r="K85" s="14" t="b">
        <v>0</v>
      </c>
      <c r="L85" s="14" t="b">
        <v>1</v>
      </c>
      <c r="M85" s="14" t="b">
        <v>1</v>
      </c>
      <c r="N85" s="14" t="b">
        <v>0</v>
      </c>
      <c r="O85" s="14" t="b">
        <v>1</v>
      </c>
      <c r="W85" s="3"/>
    </row>
    <row r="86" spans="1:23" x14ac:dyDescent="0.25">
      <c r="A86" s="4">
        <v>51722957010226</v>
      </c>
      <c r="B86" s="8" t="s">
        <v>39</v>
      </c>
      <c r="C86" s="8" t="s">
        <v>20</v>
      </c>
      <c r="D86" s="7" t="s">
        <v>21</v>
      </c>
      <c r="E86" s="7" t="s">
        <v>795</v>
      </c>
      <c r="F86" s="6">
        <v>2</v>
      </c>
      <c r="G86" s="8" t="s">
        <v>740</v>
      </c>
      <c r="H86" s="8" t="s">
        <v>741</v>
      </c>
      <c r="I86" s="7" t="s">
        <v>730</v>
      </c>
      <c r="J86" s="8" t="s">
        <v>787</v>
      </c>
      <c r="K86" s="14" t="b">
        <v>1</v>
      </c>
      <c r="L86" s="14" t="b">
        <v>0</v>
      </c>
      <c r="M86" s="14" t="b">
        <v>0</v>
      </c>
      <c r="N86" s="14" t="b">
        <v>1</v>
      </c>
      <c r="O86" s="14" t="b">
        <v>1</v>
      </c>
      <c r="W86" s="3"/>
    </row>
    <row r="87" spans="1:23" x14ac:dyDescent="0.25">
      <c r="A87" s="4">
        <v>51722957010226</v>
      </c>
      <c r="B87" s="8" t="s">
        <v>39</v>
      </c>
      <c r="C87" s="8" t="s">
        <v>20</v>
      </c>
      <c r="D87" s="7" t="s">
        <v>21</v>
      </c>
      <c r="E87" s="7" t="s">
        <v>795</v>
      </c>
      <c r="F87" s="6">
        <v>2</v>
      </c>
      <c r="G87" s="8" t="s">
        <v>762</v>
      </c>
      <c r="H87" s="8" t="s">
        <v>763</v>
      </c>
      <c r="I87" s="7" t="s">
        <v>723</v>
      </c>
      <c r="J87" s="8" t="s">
        <v>787</v>
      </c>
      <c r="K87" s="14" t="b">
        <v>0</v>
      </c>
      <c r="L87" s="14" t="b">
        <v>1</v>
      </c>
      <c r="M87" s="14" t="b">
        <v>1</v>
      </c>
      <c r="N87" s="14" t="b">
        <v>0</v>
      </c>
      <c r="O87" s="14" t="b">
        <v>1</v>
      </c>
      <c r="W87" s="3"/>
    </row>
    <row r="88" spans="1:23" x14ac:dyDescent="0.25">
      <c r="A88" s="4">
        <v>51722957012512</v>
      </c>
      <c r="B88" s="8" t="s">
        <v>40</v>
      </c>
      <c r="C88" s="8" t="s">
        <v>20</v>
      </c>
      <c r="D88" s="7" t="s">
        <v>21</v>
      </c>
      <c r="E88" s="7" t="s">
        <v>795</v>
      </c>
      <c r="F88" s="6">
        <v>2</v>
      </c>
      <c r="G88" s="8" t="s">
        <v>740</v>
      </c>
      <c r="H88" s="8" t="s">
        <v>741</v>
      </c>
      <c r="I88" s="7" t="s">
        <v>730</v>
      </c>
      <c r="J88" s="8" t="s">
        <v>787</v>
      </c>
      <c r="K88" s="14" t="b">
        <v>1</v>
      </c>
      <c r="L88" s="14" t="b">
        <v>0</v>
      </c>
      <c r="M88" s="14" t="b">
        <v>0</v>
      </c>
      <c r="N88" s="14" t="b">
        <v>1</v>
      </c>
      <c r="O88" s="14" t="b">
        <v>1</v>
      </c>
      <c r="W88" s="3"/>
    </row>
    <row r="89" spans="1:23" x14ac:dyDescent="0.25">
      <c r="A89" s="4">
        <v>51722957012512</v>
      </c>
      <c r="B89" s="8" t="s">
        <v>40</v>
      </c>
      <c r="C89" s="8" t="s">
        <v>20</v>
      </c>
      <c r="D89" s="7" t="s">
        <v>21</v>
      </c>
      <c r="E89" s="7" t="s">
        <v>795</v>
      </c>
      <c r="F89" s="6">
        <v>2</v>
      </c>
      <c r="G89" s="8" t="s">
        <v>762</v>
      </c>
      <c r="H89" s="8" t="s">
        <v>763</v>
      </c>
      <c r="I89" s="7" t="s">
        <v>723</v>
      </c>
      <c r="J89" s="8" t="s">
        <v>787</v>
      </c>
      <c r="K89" s="14" t="b">
        <v>0</v>
      </c>
      <c r="L89" s="14" t="b">
        <v>1</v>
      </c>
      <c r="M89" s="14" t="b">
        <v>1</v>
      </c>
      <c r="N89" s="14" t="b">
        <v>0</v>
      </c>
      <c r="O89" s="14" t="b">
        <v>1</v>
      </c>
      <c r="W89" s="3"/>
    </row>
    <row r="90" spans="1:23" x14ac:dyDescent="0.25">
      <c r="A90" s="4">
        <v>56577059000100</v>
      </c>
      <c r="B90" s="8" t="s">
        <v>63</v>
      </c>
      <c r="C90" s="8" t="s">
        <v>20</v>
      </c>
      <c r="D90" s="7" t="s">
        <v>21</v>
      </c>
      <c r="E90" s="7" t="s">
        <v>795</v>
      </c>
      <c r="F90" s="6">
        <v>2</v>
      </c>
      <c r="G90" s="8" t="s">
        <v>756</v>
      </c>
      <c r="H90" s="8" t="s">
        <v>757</v>
      </c>
      <c r="I90" s="7" t="s">
        <v>723</v>
      </c>
      <c r="J90" s="8" t="s">
        <v>787</v>
      </c>
      <c r="K90" s="14" t="b">
        <v>0</v>
      </c>
      <c r="L90" s="14" t="b">
        <v>1</v>
      </c>
      <c r="M90" s="14" t="b">
        <v>1</v>
      </c>
      <c r="N90" s="14" t="b">
        <v>0</v>
      </c>
      <c r="O90" s="14" t="b">
        <v>1</v>
      </c>
      <c r="W90" s="3"/>
    </row>
    <row r="91" spans="1:23" x14ac:dyDescent="0.25">
      <c r="A91" s="4">
        <v>56577059000100</v>
      </c>
      <c r="B91" s="8" t="s">
        <v>63</v>
      </c>
      <c r="C91" s="8" t="s">
        <v>20</v>
      </c>
      <c r="D91" s="7" t="s">
        <v>21</v>
      </c>
      <c r="E91" s="7" t="s">
        <v>795</v>
      </c>
      <c r="F91" s="6">
        <v>2</v>
      </c>
      <c r="G91" s="8" t="s">
        <v>770</v>
      </c>
      <c r="H91" s="8" t="s">
        <v>771</v>
      </c>
      <c r="I91" s="7" t="s">
        <v>730</v>
      </c>
      <c r="J91" s="8" t="s">
        <v>787</v>
      </c>
      <c r="K91" s="14" t="b">
        <v>1</v>
      </c>
      <c r="L91" s="14" t="b">
        <v>0</v>
      </c>
      <c r="M91" s="14" t="b">
        <v>0</v>
      </c>
      <c r="N91" s="14" t="b">
        <v>1</v>
      </c>
      <c r="O91" s="14" t="b">
        <v>1</v>
      </c>
      <c r="W91" s="3"/>
    </row>
    <row r="92" spans="1:23" x14ac:dyDescent="0.25">
      <c r="A92" s="4">
        <v>56577059000606</v>
      </c>
      <c r="B92" s="8" t="s">
        <v>84</v>
      </c>
      <c r="C92" s="8" t="s">
        <v>20</v>
      </c>
      <c r="D92" s="7" t="s">
        <v>21</v>
      </c>
      <c r="E92" s="7" t="s">
        <v>795</v>
      </c>
      <c r="F92" s="6">
        <v>2</v>
      </c>
      <c r="G92" s="8" t="s">
        <v>756</v>
      </c>
      <c r="H92" s="8" t="s">
        <v>757</v>
      </c>
      <c r="I92" s="7" t="s">
        <v>723</v>
      </c>
      <c r="J92" s="8" t="s">
        <v>787</v>
      </c>
      <c r="K92" s="14" t="b">
        <v>0</v>
      </c>
      <c r="L92" s="14" t="b">
        <v>1</v>
      </c>
      <c r="M92" s="14" t="b">
        <v>1</v>
      </c>
      <c r="N92" s="14" t="b">
        <v>0</v>
      </c>
      <c r="O92" s="14" t="b">
        <v>1</v>
      </c>
      <c r="W92" s="3"/>
    </row>
    <row r="93" spans="1:23" x14ac:dyDescent="0.25">
      <c r="A93" s="4">
        <v>56577059000606</v>
      </c>
      <c r="B93" s="8" t="s">
        <v>84</v>
      </c>
      <c r="C93" s="8" t="s">
        <v>20</v>
      </c>
      <c r="D93" s="7" t="s">
        <v>21</v>
      </c>
      <c r="E93" s="7" t="s">
        <v>795</v>
      </c>
      <c r="F93" s="6">
        <v>2</v>
      </c>
      <c r="G93" s="8" t="s">
        <v>770</v>
      </c>
      <c r="H93" s="8" t="s">
        <v>771</v>
      </c>
      <c r="I93" s="7" t="s">
        <v>730</v>
      </c>
      <c r="J93" s="8" t="s">
        <v>787</v>
      </c>
      <c r="K93" s="14" t="b">
        <v>1</v>
      </c>
      <c r="L93" s="14" t="b">
        <v>0</v>
      </c>
      <c r="M93" s="14" t="b">
        <v>0</v>
      </c>
      <c r="N93" s="14" t="b">
        <v>1</v>
      </c>
      <c r="O93" s="14" t="b">
        <v>1</v>
      </c>
      <c r="W93" s="3"/>
    </row>
    <row r="94" spans="1:23" x14ac:dyDescent="0.25">
      <c r="A94" s="4">
        <v>57394710000160</v>
      </c>
      <c r="B94" s="8" t="s">
        <v>41</v>
      </c>
      <c r="C94" s="8" t="s">
        <v>20</v>
      </c>
      <c r="D94" s="7" t="s">
        <v>21</v>
      </c>
      <c r="E94" s="7" t="s">
        <v>795</v>
      </c>
      <c r="F94" s="6">
        <v>2</v>
      </c>
      <c r="G94" s="8" t="s">
        <v>740</v>
      </c>
      <c r="H94" s="8" t="s">
        <v>741</v>
      </c>
      <c r="I94" s="7" t="s">
        <v>730</v>
      </c>
      <c r="J94" s="8" t="s">
        <v>787</v>
      </c>
      <c r="K94" s="14" t="b">
        <v>1</v>
      </c>
      <c r="L94" s="14" t="b">
        <v>0</v>
      </c>
      <c r="M94" s="14" t="b">
        <v>0</v>
      </c>
      <c r="N94" s="14" t="b">
        <v>1</v>
      </c>
      <c r="O94" s="14" t="b">
        <v>1</v>
      </c>
      <c r="W94" s="3"/>
    </row>
    <row r="95" spans="1:23" x14ac:dyDescent="0.25">
      <c r="A95" s="4">
        <v>57394710000160</v>
      </c>
      <c r="B95" s="8" t="s">
        <v>41</v>
      </c>
      <c r="C95" s="8" t="s">
        <v>20</v>
      </c>
      <c r="D95" s="7" t="s">
        <v>21</v>
      </c>
      <c r="E95" s="7" t="s">
        <v>795</v>
      </c>
      <c r="F95" s="6">
        <v>2</v>
      </c>
      <c r="G95" s="8" t="s">
        <v>756</v>
      </c>
      <c r="H95" s="8" t="s">
        <v>757</v>
      </c>
      <c r="I95" s="7" t="s">
        <v>723</v>
      </c>
      <c r="J95" s="8" t="s">
        <v>787</v>
      </c>
      <c r="K95" s="14" t="b">
        <v>0</v>
      </c>
      <c r="L95" s="14" t="b">
        <v>1</v>
      </c>
      <c r="M95" s="14" t="b">
        <v>1</v>
      </c>
      <c r="N95" s="14" t="b">
        <v>0</v>
      </c>
      <c r="O95" s="14" t="b">
        <v>1</v>
      </c>
      <c r="W95" s="3"/>
    </row>
    <row r="96" spans="1:23" x14ac:dyDescent="0.25">
      <c r="A96" s="4">
        <v>59481028000130</v>
      </c>
      <c r="B96" s="8" t="s">
        <v>42</v>
      </c>
      <c r="C96" s="8" t="s">
        <v>20</v>
      </c>
      <c r="D96" s="7" t="s">
        <v>21</v>
      </c>
      <c r="E96" s="7" t="s">
        <v>795</v>
      </c>
      <c r="F96" s="6">
        <v>2</v>
      </c>
      <c r="G96" s="8" t="s">
        <v>724</v>
      </c>
      <c r="H96" s="8" t="s">
        <v>725</v>
      </c>
      <c r="I96" s="7" t="s">
        <v>723</v>
      </c>
      <c r="J96" s="8" t="s">
        <v>787</v>
      </c>
      <c r="K96" s="14" t="b">
        <v>0</v>
      </c>
      <c r="L96" s="14" t="b">
        <v>1</v>
      </c>
      <c r="M96" s="14" t="b">
        <v>1</v>
      </c>
      <c r="N96" s="14" t="b">
        <v>0</v>
      </c>
      <c r="O96" s="14" t="b">
        <v>1</v>
      </c>
      <c r="W96" s="3"/>
    </row>
    <row r="97" spans="1:23" x14ac:dyDescent="0.25">
      <c r="A97" s="4">
        <v>59481028000130</v>
      </c>
      <c r="B97" s="8" t="s">
        <v>42</v>
      </c>
      <c r="C97" s="8" t="s">
        <v>20</v>
      </c>
      <c r="D97" s="7" t="s">
        <v>21</v>
      </c>
      <c r="E97" s="7" t="s">
        <v>795</v>
      </c>
      <c r="F97" s="6">
        <v>2</v>
      </c>
      <c r="G97" s="8" t="s">
        <v>740</v>
      </c>
      <c r="H97" s="8" t="s">
        <v>741</v>
      </c>
      <c r="I97" s="7" t="s">
        <v>730</v>
      </c>
      <c r="J97" s="8" t="s">
        <v>787</v>
      </c>
      <c r="K97" s="14" t="b">
        <v>1</v>
      </c>
      <c r="L97" s="14" t="b">
        <v>0</v>
      </c>
      <c r="M97" s="14" t="b">
        <v>0</v>
      </c>
      <c r="N97" s="14" t="b">
        <v>1</v>
      </c>
      <c r="O97" s="14" t="b">
        <v>1</v>
      </c>
      <c r="W97" s="3"/>
    </row>
    <row r="98" spans="1:23" x14ac:dyDescent="0.25">
      <c r="A98" s="4">
        <v>60448040000122</v>
      </c>
      <c r="B98" s="8" t="s">
        <v>85</v>
      </c>
      <c r="C98" s="8" t="s">
        <v>20</v>
      </c>
      <c r="D98" s="7" t="s">
        <v>21</v>
      </c>
      <c r="E98" s="7" t="s">
        <v>795</v>
      </c>
      <c r="F98" s="6">
        <v>2</v>
      </c>
      <c r="G98" s="8" t="s">
        <v>756</v>
      </c>
      <c r="H98" s="8" t="s">
        <v>757</v>
      </c>
      <c r="I98" s="7" t="s">
        <v>723</v>
      </c>
      <c r="J98" s="8" t="s">
        <v>787</v>
      </c>
      <c r="K98" s="14" t="b">
        <v>0</v>
      </c>
      <c r="L98" s="14" t="b">
        <v>1</v>
      </c>
      <c r="M98" s="14" t="b">
        <v>1</v>
      </c>
      <c r="N98" s="14" t="b">
        <v>0</v>
      </c>
      <c r="O98" s="14" t="b">
        <v>1</v>
      </c>
      <c r="W98" s="3"/>
    </row>
    <row r="99" spans="1:23" x14ac:dyDescent="0.25">
      <c r="A99" s="4">
        <v>60448040000122</v>
      </c>
      <c r="B99" s="8" t="s">
        <v>85</v>
      </c>
      <c r="C99" s="8" t="s">
        <v>20</v>
      </c>
      <c r="D99" s="7" t="s">
        <v>21</v>
      </c>
      <c r="E99" s="7" t="s">
        <v>795</v>
      </c>
      <c r="F99" s="6">
        <v>2</v>
      </c>
      <c r="G99" s="8" t="s">
        <v>770</v>
      </c>
      <c r="H99" s="8" t="s">
        <v>771</v>
      </c>
      <c r="I99" s="7" t="s">
        <v>730</v>
      </c>
      <c r="J99" s="8" t="s">
        <v>787</v>
      </c>
      <c r="K99" s="14" t="b">
        <v>1</v>
      </c>
      <c r="L99" s="14" t="b">
        <v>0</v>
      </c>
      <c r="M99" s="14" t="b">
        <v>0</v>
      </c>
      <c r="N99" s="14" t="b">
        <v>1</v>
      </c>
      <c r="O99" s="14" t="b">
        <v>1</v>
      </c>
      <c r="W99" s="3"/>
    </row>
    <row r="100" spans="1:23" x14ac:dyDescent="0.25">
      <c r="A100" s="4">
        <v>60453024000390</v>
      </c>
      <c r="B100" s="8" t="s">
        <v>86</v>
      </c>
      <c r="C100" s="8" t="s">
        <v>20</v>
      </c>
      <c r="D100" s="7" t="s">
        <v>21</v>
      </c>
      <c r="E100" s="7" t="s">
        <v>795</v>
      </c>
      <c r="F100" s="6">
        <v>2</v>
      </c>
      <c r="G100" s="8" t="s">
        <v>740</v>
      </c>
      <c r="H100" s="8" t="s">
        <v>741</v>
      </c>
      <c r="I100" s="7" t="s">
        <v>730</v>
      </c>
      <c r="J100" s="8" t="s">
        <v>787</v>
      </c>
      <c r="K100" s="14" t="b">
        <v>1</v>
      </c>
      <c r="L100" s="14" t="b">
        <v>0</v>
      </c>
      <c r="M100" s="14" t="b">
        <v>0</v>
      </c>
      <c r="N100" s="14" t="b">
        <v>1</v>
      </c>
      <c r="O100" s="14" t="b">
        <v>1</v>
      </c>
      <c r="W100" s="3"/>
    </row>
    <row r="101" spans="1:23" x14ac:dyDescent="0.25">
      <c r="A101" s="4">
        <v>60453024000390</v>
      </c>
      <c r="B101" s="8" t="s">
        <v>86</v>
      </c>
      <c r="C101" s="8" t="s">
        <v>20</v>
      </c>
      <c r="D101" s="7" t="s">
        <v>21</v>
      </c>
      <c r="E101" s="7" t="s">
        <v>795</v>
      </c>
      <c r="F101" s="6">
        <v>2</v>
      </c>
      <c r="G101" s="8" t="s">
        <v>756</v>
      </c>
      <c r="H101" s="8" t="s">
        <v>757</v>
      </c>
      <c r="I101" s="7" t="s">
        <v>723</v>
      </c>
      <c r="J101" s="8" t="s">
        <v>787</v>
      </c>
      <c r="K101" s="14" t="b">
        <v>0</v>
      </c>
      <c r="L101" s="14" t="b">
        <v>1</v>
      </c>
      <c r="M101" s="14" t="b">
        <v>1</v>
      </c>
      <c r="N101" s="14" t="b">
        <v>0</v>
      </c>
      <c r="O101" s="14" t="b">
        <v>1</v>
      </c>
      <c r="W101" s="3"/>
    </row>
    <row r="102" spans="1:23" x14ac:dyDescent="0.25">
      <c r="A102" s="4">
        <v>60552098000111</v>
      </c>
      <c r="B102" s="8" t="s">
        <v>43</v>
      </c>
      <c r="C102" s="8" t="s">
        <v>20</v>
      </c>
      <c r="D102" s="7" t="s">
        <v>21</v>
      </c>
      <c r="E102" s="7" t="s">
        <v>795</v>
      </c>
      <c r="F102" s="6">
        <v>2</v>
      </c>
      <c r="G102" s="8" t="s">
        <v>724</v>
      </c>
      <c r="H102" s="8" t="s">
        <v>725</v>
      </c>
      <c r="I102" s="7" t="s">
        <v>723</v>
      </c>
      <c r="J102" s="8" t="s">
        <v>787</v>
      </c>
      <c r="K102" s="14" t="b">
        <v>0</v>
      </c>
      <c r="L102" s="14" t="b">
        <v>1</v>
      </c>
      <c r="M102" s="14" t="b">
        <v>1</v>
      </c>
      <c r="N102" s="14" t="b">
        <v>0</v>
      </c>
      <c r="O102" s="14" t="b">
        <v>1</v>
      </c>
      <c r="W102" s="3"/>
    </row>
    <row r="103" spans="1:23" x14ac:dyDescent="0.25">
      <c r="A103" s="4">
        <v>60552098000111</v>
      </c>
      <c r="B103" s="8" t="s">
        <v>43</v>
      </c>
      <c r="C103" s="8" t="s">
        <v>20</v>
      </c>
      <c r="D103" s="7" t="s">
        <v>21</v>
      </c>
      <c r="E103" s="7" t="s">
        <v>795</v>
      </c>
      <c r="F103" s="6">
        <v>2</v>
      </c>
      <c r="G103" s="8" t="s">
        <v>740</v>
      </c>
      <c r="H103" s="8" t="s">
        <v>741</v>
      </c>
      <c r="I103" s="7" t="s">
        <v>730</v>
      </c>
      <c r="J103" s="8" t="s">
        <v>787</v>
      </c>
      <c r="K103" s="14" t="b">
        <v>1</v>
      </c>
      <c r="L103" s="14" t="b">
        <v>0</v>
      </c>
      <c r="M103" s="14" t="b">
        <v>0</v>
      </c>
      <c r="N103" s="14" t="b">
        <v>1</v>
      </c>
      <c r="O103" s="14" t="b">
        <v>1</v>
      </c>
      <c r="W103" s="3"/>
    </row>
    <row r="104" spans="1:23" x14ac:dyDescent="0.25">
      <c r="A104" s="4">
        <v>60678604000113</v>
      </c>
      <c r="B104" s="8" t="s">
        <v>64</v>
      </c>
      <c r="C104" s="8" t="s">
        <v>20</v>
      </c>
      <c r="D104" s="7" t="s">
        <v>21</v>
      </c>
      <c r="E104" s="7" t="s">
        <v>795</v>
      </c>
      <c r="F104" s="6">
        <v>2</v>
      </c>
      <c r="G104" s="8" t="s">
        <v>724</v>
      </c>
      <c r="H104" s="8" t="s">
        <v>725</v>
      </c>
      <c r="I104" s="7" t="s">
        <v>723</v>
      </c>
      <c r="J104" s="8" t="s">
        <v>787</v>
      </c>
      <c r="K104" s="14" t="b">
        <v>0</v>
      </c>
      <c r="L104" s="14" t="b">
        <v>1</v>
      </c>
      <c r="M104" s="14" t="b">
        <v>1</v>
      </c>
      <c r="N104" s="14" t="b">
        <v>0</v>
      </c>
      <c r="O104" s="14" t="b">
        <v>1</v>
      </c>
      <c r="W104" s="3"/>
    </row>
    <row r="105" spans="1:23" x14ac:dyDescent="0.25">
      <c r="A105" s="4">
        <v>60678604000113</v>
      </c>
      <c r="B105" s="8" t="s">
        <v>64</v>
      </c>
      <c r="C105" s="8" t="s">
        <v>20</v>
      </c>
      <c r="D105" s="7" t="s">
        <v>21</v>
      </c>
      <c r="E105" s="7" t="s">
        <v>795</v>
      </c>
      <c r="F105" s="6">
        <v>2</v>
      </c>
      <c r="G105" s="8" t="s">
        <v>740</v>
      </c>
      <c r="H105" s="8" t="s">
        <v>741</v>
      </c>
      <c r="I105" s="7" t="s">
        <v>730</v>
      </c>
      <c r="J105" s="8" t="s">
        <v>787</v>
      </c>
      <c r="K105" s="14" t="b">
        <v>1</v>
      </c>
      <c r="L105" s="14" t="b">
        <v>0</v>
      </c>
      <c r="M105" s="14" t="b">
        <v>0</v>
      </c>
      <c r="N105" s="14" t="b">
        <v>1</v>
      </c>
      <c r="O105" s="14" t="b">
        <v>1</v>
      </c>
      <c r="W105" s="3"/>
    </row>
    <row r="106" spans="1:23" x14ac:dyDescent="0.25">
      <c r="A106" s="4">
        <v>60726502000126</v>
      </c>
      <c r="B106" s="8" t="s">
        <v>44</v>
      </c>
      <c r="C106" s="8" t="s">
        <v>20</v>
      </c>
      <c r="D106" s="7" t="s">
        <v>21</v>
      </c>
      <c r="E106" s="7" t="s">
        <v>795</v>
      </c>
      <c r="F106" s="6">
        <v>2</v>
      </c>
      <c r="G106" s="8" t="s">
        <v>762</v>
      </c>
      <c r="H106" s="8" t="s">
        <v>763</v>
      </c>
      <c r="I106" s="7" t="s">
        <v>723</v>
      </c>
      <c r="J106" s="8" t="s">
        <v>787</v>
      </c>
      <c r="K106" s="14" t="b">
        <v>0</v>
      </c>
      <c r="L106" s="14" t="b">
        <v>1</v>
      </c>
      <c r="M106" s="14" t="b">
        <v>1</v>
      </c>
      <c r="N106" s="14" t="b">
        <v>0</v>
      </c>
      <c r="O106" s="14" t="b">
        <v>1</v>
      </c>
      <c r="W106" s="3"/>
    </row>
    <row r="107" spans="1:23" x14ac:dyDescent="0.25">
      <c r="A107" s="4">
        <v>60726502000126</v>
      </c>
      <c r="B107" s="8" t="s">
        <v>44</v>
      </c>
      <c r="C107" s="8" t="s">
        <v>20</v>
      </c>
      <c r="D107" s="7" t="s">
        <v>21</v>
      </c>
      <c r="E107" s="7" t="s">
        <v>795</v>
      </c>
      <c r="F107" s="6">
        <v>2</v>
      </c>
      <c r="G107" s="8" t="s">
        <v>770</v>
      </c>
      <c r="H107" s="8" t="s">
        <v>771</v>
      </c>
      <c r="I107" s="7" t="s">
        <v>730</v>
      </c>
      <c r="J107" s="8" t="s">
        <v>787</v>
      </c>
      <c r="K107" s="14" t="b">
        <v>1</v>
      </c>
      <c r="L107" s="14" t="b">
        <v>0</v>
      </c>
      <c r="M107" s="14" t="b">
        <v>0</v>
      </c>
      <c r="N107" s="14" t="b">
        <v>1</v>
      </c>
      <c r="O107" s="14" t="b">
        <v>1</v>
      </c>
      <c r="W107" s="3"/>
    </row>
    <row r="108" spans="1:23" x14ac:dyDescent="0.25">
      <c r="A108" s="4">
        <v>60726502000711</v>
      </c>
      <c r="B108" s="8" t="s">
        <v>87</v>
      </c>
      <c r="C108" s="8" t="s">
        <v>20</v>
      </c>
      <c r="D108" s="7" t="s">
        <v>21</v>
      </c>
      <c r="E108" s="7" t="s">
        <v>795</v>
      </c>
      <c r="F108" s="6">
        <v>2</v>
      </c>
      <c r="G108" s="8" t="s">
        <v>762</v>
      </c>
      <c r="H108" s="8" t="s">
        <v>763</v>
      </c>
      <c r="I108" s="7" t="s">
        <v>723</v>
      </c>
      <c r="J108" s="8" t="s">
        <v>787</v>
      </c>
      <c r="K108" s="14" t="b">
        <v>0</v>
      </c>
      <c r="L108" s="14" t="b">
        <v>1</v>
      </c>
      <c r="M108" s="14" t="b">
        <v>1</v>
      </c>
      <c r="N108" s="14" t="b">
        <v>0</v>
      </c>
      <c r="O108" s="14" t="b">
        <v>1</v>
      </c>
      <c r="W108" s="3"/>
    </row>
    <row r="109" spans="1:23" x14ac:dyDescent="0.25">
      <c r="A109" s="4">
        <v>60726502000711</v>
      </c>
      <c r="B109" s="8" t="s">
        <v>87</v>
      </c>
      <c r="C109" s="8" t="s">
        <v>20</v>
      </c>
      <c r="D109" s="7" t="s">
        <v>21</v>
      </c>
      <c r="E109" s="7" t="s">
        <v>795</v>
      </c>
      <c r="F109" s="6">
        <v>2</v>
      </c>
      <c r="G109" s="8" t="s">
        <v>770</v>
      </c>
      <c r="H109" s="8" t="s">
        <v>771</v>
      </c>
      <c r="I109" s="7" t="s">
        <v>730</v>
      </c>
      <c r="J109" s="8" t="s">
        <v>787</v>
      </c>
      <c r="K109" s="14" t="b">
        <v>1</v>
      </c>
      <c r="L109" s="14" t="b">
        <v>0</v>
      </c>
      <c r="M109" s="14" t="b">
        <v>0</v>
      </c>
      <c r="N109" s="14" t="b">
        <v>1</v>
      </c>
      <c r="O109" s="14" t="b">
        <v>1</v>
      </c>
      <c r="W109" s="3"/>
    </row>
    <row r="110" spans="1:23" x14ac:dyDescent="0.25">
      <c r="A110" s="4">
        <v>60765823000130</v>
      </c>
      <c r="B110" s="8" t="s">
        <v>94</v>
      </c>
      <c r="C110" s="8" t="s">
        <v>20</v>
      </c>
      <c r="D110" s="7" t="s">
        <v>21</v>
      </c>
      <c r="E110" s="7" t="s">
        <v>795</v>
      </c>
      <c r="F110" s="6">
        <v>2</v>
      </c>
      <c r="G110" s="8" t="s">
        <v>724</v>
      </c>
      <c r="H110" s="8" t="s">
        <v>725</v>
      </c>
      <c r="I110" s="7" t="s">
        <v>723</v>
      </c>
      <c r="J110" s="8" t="s">
        <v>787</v>
      </c>
      <c r="K110" s="14" t="b">
        <v>0</v>
      </c>
      <c r="L110" s="14" t="b">
        <v>1</v>
      </c>
      <c r="M110" s="14" t="b">
        <v>1</v>
      </c>
      <c r="N110" s="14" t="b">
        <v>0</v>
      </c>
      <c r="O110" s="14" t="b">
        <v>1</v>
      </c>
      <c r="W110" s="3"/>
    </row>
    <row r="111" spans="1:23" x14ac:dyDescent="0.25">
      <c r="A111" s="4">
        <v>60765823000130</v>
      </c>
      <c r="B111" s="8" t="s">
        <v>94</v>
      </c>
      <c r="C111" s="8" t="s">
        <v>20</v>
      </c>
      <c r="D111" s="7" t="s">
        <v>21</v>
      </c>
      <c r="E111" s="7" t="s">
        <v>795</v>
      </c>
      <c r="F111" s="6">
        <v>2</v>
      </c>
      <c r="G111" s="8" t="s">
        <v>770</v>
      </c>
      <c r="H111" s="8" t="s">
        <v>771</v>
      </c>
      <c r="I111" s="7" t="s">
        <v>730</v>
      </c>
      <c r="J111" s="8" t="s">
        <v>787</v>
      </c>
      <c r="K111" s="14" t="b">
        <v>1</v>
      </c>
      <c r="L111" s="14" t="b">
        <v>0</v>
      </c>
      <c r="M111" s="14" t="b">
        <v>0</v>
      </c>
      <c r="N111" s="14" t="b">
        <v>1</v>
      </c>
      <c r="O111" s="14" t="b">
        <v>1</v>
      </c>
      <c r="W111" s="3"/>
    </row>
    <row r="112" spans="1:23" x14ac:dyDescent="0.25">
      <c r="A112" s="4">
        <v>60777901000116</v>
      </c>
      <c r="B112" s="8" t="s">
        <v>45</v>
      </c>
      <c r="C112" s="8" t="s">
        <v>20</v>
      </c>
      <c r="D112" s="7" t="s">
        <v>21</v>
      </c>
      <c r="E112" s="7" t="s">
        <v>795</v>
      </c>
      <c r="F112" s="6">
        <v>2</v>
      </c>
      <c r="G112" s="8" t="s">
        <v>740</v>
      </c>
      <c r="H112" s="8" t="s">
        <v>741</v>
      </c>
      <c r="I112" s="7" t="s">
        <v>730</v>
      </c>
      <c r="J112" s="8" t="s">
        <v>787</v>
      </c>
      <c r="K112" s="14" t="b">
        <v>1</v>
      </c>
      <c r="L112" s="14" t="b">
        <v>0</v>
      </c>
      <c r="M112" s="14" t="b">
        <v>0</v>
      </c>
      <c r="N112" s="14" t="b">
        <v>1</v>
      </c>
      <c r="O112" s="14" t="b">
        <v>1</v>
      </c>
      <c r="W112" s="3"/>
    </row>
    <row r="113" spans="1:23" x14ac:dyDescent="0.25">
      <c r="A113" s="4">
        <v>60777901000116</v>
      </c>
      <c r="B113" s="8" t="s">
        <v>45</v>
      </c>
      <c r="C113" s="8" t="s">
        <v>20</v>
      </c>
      <c r="D113" s="7" t="s">
        <v>21</v>
      </c>
      <c r="E113" s="7" t="s">
        <v>795</v>
      </c>
      <c r="F113" s="6">
        <v>2</v>
      </c>
      <c r="G113" s="16" t="s">
        <v>762</v>
      </c>
      <c r="H113" s="8" t="s">
        <v>763</v>
      </c>
      <c r="I113" s="7" t="s">
        <v>723</v>
      </c>
      <c r="J113" s="8" t="s">
        <v>787</v>
      </c>
      <c r="K113" s="14" t="b">
        <v>0</v>
      </c>
      <c r="L113" s="14" t="b">
        <v>1</v>
      </c>
      <c r="M113" s="14" t="b">
        <v>1</v>
      </c>
      <c r="N113" s="14" t="b">
        <v>0</v>
      </c>
      <c r="O113" s="14" t="b">
        <v>1</v>
      </c>
      <c r="W113" s="3"/>
    </row>
    <row r="114" spans="1:23" x14ac:dyDescent="0.25">
      <c r="A114" s="4">
        <v>60884855000316</v>
      </c>
      <c r="B114" s="8" t="s">
        <v>46</v>
      </c>
      <c r="C114" s="8" t="s">
        <v>20</v>
      </c>
      <c r="D114" s="7" t="s">
        <v>21</v>
      </c>
      <c r="E114" s="7" t="s">
        <v>795</v>
      </c>
      <c r="F114" s="6">
        <v>2</v>
      </c>
      <c r="G114" s="8" t="s">
        <v>762</v>
      </c>
      <c r="H114" s="8" t="s">
        <v>763</v>
      </c>
      <c r="I114" s="7" t="s">
        <v>723</v>
      </c>
      <c r="J114" s="8" t="s">
        <v>787</v>
      </c>
      <c r="K114" s="14" t="b">
        <v>0</v>
      </c>
      <c r="L114" s="14" t="b">
        <v>1</v>
      </c>
      <c r="M114" s="14" t="b">
        <v>1</v>
      </c>
      <c r="N114" s="14" t="b">
        <v>0</v>
      </c>
      <c r="O114" s="14" t="b">
        <v>1</v>
      </c>
      <c r="W114" s="3"/>
    </row>
    <row r="115" spans="1:23" x14ac:dyDescent="0.25">
      <c r="A115" s="4">
        <v>60884855000316</v>
      </c>
      <c r="B115" s="8" t="s">
        <v>46</v>
      </c>
      <c r="C115" s="8" t="s">
        <v>20</v>
      </c>
      <c r="D115" s="7" t="s">
        <v>21</v>
      </c>
      <c r="E115" s="7" t="s">
        <v>795</v>
      </c>
      <c r="F115" s="6">
        <v>2</v>
      </c>
      <c r="G115" s="8" t="s">
        <v>770</v>
      </c>
      <c r="H115" s="8" t="s">
        <v>771</v>
      </c>
      <c r="I115" s="7" t="s">
        <v>730</v>
      </c>
      <c r="J115" s="8" t="s">
        <v>787</v>
      </c>
      <c r="K115" s="14" t="b">
        <v>1</v>
      </c>
      <c r="L115" s="14" t="b">
        <v>0</v>
      </c>
      <c r="M115" s="14" t="b">
        <v>0</v>
      </c>
      <c r="N115" s="14" t="b">
        <v>1</v>
      </c>
      <c r="O115" s="14" t="b">
        <v>1</v>
      </c>
      <c r="W115" s="3"/>
    </row>
    <row r="116" spans="1:23" x14ac:dyDescent="0.25">
      <c r="A116" s="4">
        <v>60922168000771</v>
      </c>
      <c r="B116" s="8" t="s">
        <v>47</v>
      </c>
      <c r="C116" s="8" t="s">
        <v>20</v>
      </c>
      <c r="D116" s="7" t="s">
        <v>21</v>
      </c>
      <c r="E116" s="7" t="s">
        <v>795</v>
      </c>
      <c r="F116" s="6">
        <v>2</v>
      </c>
      <c r="G116" s="8" t="s">
        <v>724</v>
      </c>
      <c r="H116" s="8" t="s">
        <v>725</v>
      </c>
      <c r="I116" s="7" t="s">
        <v>723</v>
      </c>
      <c r="J116" s="8" t="s">
        <v>787</v>
      </c>
      <c r="K116" s="14" t="b">
        <v>0</v>
      </c>
      <c r="L116" s="14" t="b">
        <v>1</v>
      </c>
      <c r="M116" s="14" t="b">
        <v>1</v>
      </c>
      <c r="N116" s="14" t="b">
        <v>0</v>
      </c>
      <c r="O116" s="14" t="b">
        <v>1</v>
      </c>
      <c r="W116" s="3"/>
    </row>
    <row r="117" spans="1:23" x14ac:dyDescent="0.25">
      <c r="A117" s="4">
        <v>60922168000771</v>
      </c>
      <c r="B117" s="8" t="s">
        <v>47</v>
      </c>
      <c r="C117" s="8" t="s">
        <v>20</v>
      </c>
      <c r="D117" s="7" t="s">
        <v>21</v>
      </c>
      <c r="E117" s="7" t="s">
        <v>795</v>
      </c>
      <c r="F117" s="6">
        <v>2</v>
      </c>
      <c r="G117" s="8" t="s">
        <v>770</v>
      </c>
      <c r="H117" s="8" t="s">
        <v>771</v>
      </c>
      <c r="I117" s="7" t="s">
        <v>730</v>
      </c>
      <c r="J117" s="8" t="s">
        <v>787</v>
      </c>
      <c r="K117" s="14" t="b">
        <v>1</v>
      </c>
      <c r="L117" s="14" t="b">
        <v>0</v>
      </c>
      <c r="M117" s="14" t="b">
        <v>0</v>
      </c>
      <c r="N117" s="14" t="b">
        <v>1</v>
      </c>
      <c r="O117" s="14" t="b">
        <v>1</v>
      </c>
      <c r="W117" s="3"/>
    </row>
    <row r="118" spans="1:23" x14ac:dyDescent="0.25">
      <c r="A118" s="4">
        <v>60922168004335</v>
      </c>
      <c r="B118" s="8" t="s">
        <v>48</v>
      </c>
      <c r="C118" s="8" t="s">
        <v>20</v>
      </c>
      <c r="D118" s="7" t="s">
        <v>21</v>
      </c>
      <c r="E118" s="7" t="s">
        <v>795</v>
      </c>
      <c r="F118" s="6">
        <v>2</v>
      </c>
      <c r="G118" s="8" t="s">
        <v>740</v>
      </c>
      <c r="H118" s="8" t="s">
        <v>741</v>
      </c>
      <c r="I118" s="7" t="s">
        <v>730</v>
      </c>
      <c r="J118" s="8" t="s">
        <v>787</v>
      </c>
      <c r="K118" s="14" t="b">
        <v>1</v>
      </c>
      <c r="L118" s="14" t="b">
        <v>0</v>
      </c>
      <c r="M118" s="14" t="b">
        <v>0</v>
      </c>
      <c r="N118" s="14" t="b">
        <v>1</v>
      </c>
      <c r="O118" s="14" t="b">
        <v>1</v>
      </c>
      <c r="W118" s="3"/>
    </row>
    <row r="119" spans="1:23" x14ac:dyDescent="0.25">
      <c r="A119" s="4">
        <v>60922168004335</v>
      </c>
      <c r="B119" s="8" t="s">
        <v>48</v>
      </c>
      <c r="C119" s="8" t="s">
        <v>20</v>
      </c>
      <c r="D119" s="7" t="s">
        <v>21</v>
      </c>
      <c r="E119" s="7" t="s">
        <v>795</v>
      </c>
      <c r="F119" s="6">
        <v>2</v>
      </c>
      <c r="G119" s="8" t="s">
        <v>762</v>
      </c>
      <c r="H119" s="8" t="s">
        <v>763</v>
      </c>
      <c r="I119" s="7" t="s">
        <v>723</v>
      </c>
      <c r="J119" s="8" t="s">
        <v>787</v>
      </c>
      <c r="K119" s="14" t="b">
        <v>0</v>
      </c>
      <c r="L119" s="14" t="b">
        <v>1</v>
      </c>
      <c r="M119" s="14" t="b">
        <v>1</v>
      </c>
      <c r="N119" s="14" t="b">
        <v>0</v>
      </c>
      <c r="O119" s="14" t="b">
        <v>1</v>
      </c>
      <c r="W119" s="3"/>
    </row>
    <row r="120" spans="1:23" x14ac:dyDescent="0.25">
      <c r="A120" s="4">
        <v>60961422000155</v>
      </c>
      <c r="B120" s="8" t="s">
        <v>49</v>
      </c>
      <c r="C120" s="8" t="s">
        <v>20</v>
      </c>
      <c r="D120" s="7" t="s">
        <v>21</v>
      </c>
      <c r="E120" s="7" t="s">
        <v>795</v>
      </c>
      <c r="F120" s="6">
        <v>2</v>
      </c>
      <c r="G120" s="8" t="s">
        <v>724</v>
      </c>
      <c r="H120" s="8" t="s">
        <v>725</v>
      </c>
      <c r="I120" s="7" t="s">
        <v>723</v>
      </c>
      <c r="J120" s="8" t="s">
        <v>787</v>
      </c>
      <c r="K120" s="14" t="b">
        <v>0</v>
      </c>
      <c r="L120" s="14" t="b">
        <v>1</v>
      </c>
      <c r="M120" s="14" t="b">
        <v>1</v>
      </c>
      <c r="N120" s="14" t="b">
        <v>0</v>
      </c>
      <c r="O120" s="14" t="b">
        <v>1</v>
      </c>
      <c r="W120" s="3"/>
    </row>
    <row r="121" spans="1:23" x14ac:dyDescent="0.25">
      <c r="A121" s="4">
        <v>60961422000155</v>
      </c>
      <c r="B121" s="8" t="s">
        <v>49</v>
      </c>
      <c r="C121" s="8" t="s">
        <v>20</v>
      </c>
      <c r="D121" s="7" t="s">
        <v>21</v>
      </c>
      <c r="E121" s="7" t="s">
        <v>795</v>
      </c>
      <c r="F121" s="6">
        <v>2</v>
      </c>
      <c r="G121" s="8" t="s">
        <v>740</v>
      </c>
      <c r="H121" s="8" t="s">
        <v>741</v>
      </c>
      <c r="I121" s="7" t="s">
        <v>730</v>
      </c>
      <c r="J121" s="8" t="s">
        <v>787</v>
      </c>
      <c r="K121" s="14" t="b">
        <v>1</v>
      </c>
      <c r="L121" s="14" t="b">
        <v>0</v>
      </c>
      <c r="M121" s="14" t="b">
        <v>0</v>
      </c>
      <c r="N121" s="14" t="b">
        <v>1</v>
      </c>
      <c r="O121" s="14" t="b">
        <v>1</v>
      </c>
      <c r="W121" s="3"/>
    </row>
    <row r="122" spans="1:23" x14ac:dyDescent="0.25">
      <c r="A122" s="4">
        <v>60961968000106</v>
      </c>
      <c r="B122" s="8" t="s">
        <v>50</v>
      </c>
      <c r="C122" s="8" t="s">
        <v>20</v>
      </c>
      <c r="D122" s="7" t="s">
        <v>21</v>
      </c>
      <c r="E122" s="7" t="s">
        <v>795</v>
      </c>
      <c r="F122" s="6">
        <v>2</v>
      </c>
      <c r="G122" s="8" t="s">
        <v>756</v>
      </c>
      <c r="H122" s="8" t="s">
        <v>757</v>
      </c>
      <c r="I122" s="7" t="s">
        <v>723</v>
      </c>
      <c r="J122" s="8" t="s">
        <v>787</v>
      </c>
      <c r="K122" s="14" t="b">
        <v>0</v>
      </c>
      <c r="L122" s="14" t="b">
        <v>1</v>
      </c>
      <c r="M122" s="14" t="b">
        <v>1</v>
      </c>
      <c r="N122" s="14" t="b">
        <v>0</v>
      </c>
      <c r="O122" s="14" t="b">
        <v>1</v>
      </c>
      <c r="W122" s="3"/>
    </row>
    <row r="123" spans="1:23" x14ac:dyDescent="0.25">
      <c r="A123" s="4">
        <v>60961968000106</v>
      </c>
      <c r="B123" s="8" t="s">
        <v>50</v>
      </c>
      <c r="C123" s="8" t="s">
        <v>20</v>
      </c>
      <c r="D123" s="7" t="s">
        <v>21</v>
      </c>
      <c r="E123" s="7" t="s">
        <v>795</v>
      </c>
      <c r="F123" s="6">
        <v>2</v>
      </c>
      <c r="G123" s="8" t="s">
        <v>770</v>
      </c>
      <c r="H123" s="8" t="s">
        <v>771</v>
      </c>
      <c r="I123" s="7" t="s">
        <v>730</v>
      </c>
      <c r="J123" s="8" t="s">
        <v>787</v>
      </c>
      <c r="K123" s="14" t="b">
        <v>1</v>
      </c>
      <c r="L123" s="14" t="b">
        <v>0</v>
      </c>
      <c r="M123" s="14" t="b">
        <v>0</v>
      </c>
      <c r="N123" s="14" t="b">
        <v>1</v>
      </c>
      <c r="O123" s="14" t="b">
        <v>1</v>
      </c>
      <c r="W123" s="3"/>
    </row>
    <row r="124" spans="1:23" x14ac:dyDescent="0.25">
      <c r="A124" s="4">
        <v>60961968000459</v>
      </c>
      <c r="B124" s="8" t="s">
        <v>95</v>
      </c>
      <c r="C124" s="8" t="s">
        <v>20</v>
      </c>
      <c r="D124" s="7" t="s">
        <v>21</v>
      </c>
      <c r="E124" s="7" t="s">
        <v>795</v>
      </c>
      <c r="F124" s="6">
        <v>2</v>
      </c>
      <c r="G124" s="8" t="s">
        <v>756</v>
      </c>
      <c r="H124" s="8" t="s">
        <v>757</v>
      </c>
      <c r="I124" s="7" t="s">
        <v>723</v>
      </c>
      <c r="J124" s="8" t="s">
        <v>787</v>
      </c>
      <c r="K124" s="14" t="b">
        <v>0</v>
      </c>
      <c r="L124" s="14" t="b">
        <v>1</v>
      </c>
      <c r="M124" s="14" t="b">
        <v>1</v>
      </c>
      <c r="N124" s="14" t="b">
        <v>0</v>
      </c>
      <c r="O124" s="14" t="b">
        <v>1</v>
      </c>
      <c r="W124" s="3"/>
    </row>
    <row r="125" spans="1:23" x14ac:dyDescent="0.25">
      <c r="A125" s="4">
        <v>60961968000459</v>
      </c>
      <c r="B125" s="8" t="s">
        <v>95</v>
      </c>
      <c r="C125" s="8" t="s">
        <v>20</v>
      </c>
      <c r="D125" s="7" t="s">
        <v>21</v>
      </c>
      <c r="E125" s="7" t="s">
        <v>795</v>
      </c>
      <c r="F125" s="6">
        <v>2</v>
      </c>
      <c r="G125" s="8" t="s">
        <v>770</v>
      </c>
      <c r="H125" s="8" t="s">
        <v>771</v>
      </c>
      <c r="I125" s="7" t="s">
        <v>730</v>
      </c>
      <c r="J125" s="8" t="s">
        <v>787</v>
      </c>
      <c r="K125" s="14" t="b">
        <v>1</v>
      </c>
      <c r="L125" s="14" t="b">
        <v>0</v>
      </c>
      <c r="M125" s="14" t="b">
        <v>0</v>
      </c>
      <c r="N125" s="14" t="b">
        <v>1</v>
      </c>
      <c r="O125" s="14" t="b">
        <v>1</v>
      </c>
      <c r="W125" s="3"/>
    </row>
    <row r="126" spans="1:23" x14ac:dyDescent="0.25">
      <c r="A126" s="4">
        <v>60975174000363</v>
      </c>
      <c r="B126" s="8" t="s">
        <v>51</v>
      </c>
      <c r="C126" s="8" t="s">
        <v>20</v>
      </c>
      <c r="D126" s="7" t="s">
        <v>21</v>
      </c>
      <c r="E126" s="7" t="s">
        <v>795</v>
      </c>
      <c r="F126" s="6">
        <v>2</v>
      </c>
      <c r="G126" s="8" t="s">
        <v>724</v>
      </c>
      <c r="H126" s="8" t="s">
        <v>725</v>
      </c>
      <c r="I126" s="7" t="s">
        <v>723</v>
      </c>
      <c r="J126" s="8" t="s">
        <v>787</v>
      </c>
      <c r="K126" s="14" t="b">
        <v>0</v>
      </c>
      <c r="L126" s="14" t="b">
        <v>1</v>
      </c>
      <c r="M126" s="14" t="b">
        <v>1</v>
      </c>
      <c r="N126" s="14" t="b">
        <v>0</v>
      </c>
      <c r="O126" s="14" t="b">
        <v>1</v>
      </c>
      <c r="W126" s="3"/>
    </row>
    <row r="127" spans="1:23" x14ac:dyDescent="0.25">
      <c r="A127" s="4">
        <v>60975174000363</v>
      </c>
      <c r="B127" s="8" t="s">
        <v>51</v>
      </c>
      <c r="C127" s="8" t="s">
        <v>20</v>
      </c>
      <c r="D127" s="7" t="s">
        <v>21</v>
      </c>
      <c r="E127" s="7" t="s">
        <v>795</v>
      </c>
      <c r="F127" s="6">
        <v>2</v>
      </c>
      <c r="G127" s="8" t="s">
        <v>740</v>
      </c>
      <c r="H127" s="8" t="s">
        <v>741</v>
      </c>
      <c r="I127" s="7" t="s">
        <v>730</v>
      </c>
      <c r="J127" s="8" t="s">
        <v>787</v>
      </c>
      <c r="K127" s="14" t="b">
        <v>1</v>
      </c>
      <c r="L127" s="14" t="b">
        <v>0</v>
      </c>
      <c r="M127" s="14" t="b">
        <v>0</v>
      </c>
      <c r="N127" s="14" t="b">
        <v>1</v>
      </c>
      <c r="O127" s="14" t="b">
        <v>1</v>
      </c>
      <c r="W127" s="3"/>
    </row>
    <row r="128" spans="1:23" x14ac:dyDescent="0.25">
      <c r="A128" s="4">
        <v>60975737000232</v>
      </c>
      <c r="B128" s="8" t="s">
        <v>96</v>
      </c>
      <c r="C128" s="8" t="s">
        <v>20</v>
      </c>
      <c r="D128" s="7" t="s">
        <v>21</v>
      </c>
      <c r="E128" s="7" t="s">
        <v>795</v>
      </c>
      <c r="F128" s="6">
        <v>2</v>
      </c>
      <c r="G128" s="8" t="s">
        <v>740</v>
      </c>
      <c r="H128" s="8" t="s">
        <v>741</v>
      </c>
      <c r="I128" s="7" t="s">
        <v>730</v>
      </c>
      <c r="J128" s="8" t="s">
        <v>787</v>
      </c>
      <c r="K128" s="14" t="b">
        <v>1</v>
      </c>
      <c r="L128" s="14" t="b">
        <v>0</v>
      </c>
      <c r="M128" s="14" t="b">
        <v>0</v>
      </c>
      <c r="N128" s="14" t="b">
        <v>1</v>
      </c>
      <c r="O128" s="14" t="b">
        <v>1</v>
      </c>
      <c r="W128" s="3"/>
    </row>
    <row r="129" spans="1:23" x14ac:dyDescent="0.25">
      <c r="A129" s="4">
        <v>60975737000232</v>
      </c>
      <c r="B129" s="8" t="s">
        <v>96</v>
      </c>
      <c r="C129" s="8" t="s">
        <v>20</v>
      </c>
      <c r="D129" s="7" t="s">
        <v>21</v>
      </c>
      <c r="E129" s="7" t="s">
        <v>795</v>
      </c>
      <c r="F129" s="6">
        <v>2</v>
      </c>
      <c r="G129" s="8" t="s">
        <v>756</v>
      </c>
      <c r="H129" s="8" t="s">
        <v>757</v>
      </c>
      <c r="I129" s="7" t="s">
        <v>723</v>
      </c>
      <c r="J129" s="8" t="s">
        <v>787</v>
      </c>
      <c r="K129" s="14" t="b">
        <v>0</v>
      </c>
      <c r="L129" s="14" t="b">
        <v>1</v>
      </c>
      <c r="M129" s="14" t="b">
        <v>1</v>
      </c>
      <c r="N129" s="14" t="b">
        <v>0</v>
      </c>
      <c r="O129" s="14" t="b">
        <v>1</v>
      </c>
      <c r="W129" s="3"/>
    </row>
    <row r="130" spans="1:23" x14ac:dyDescent="0.25">
      <c r="A130" s="4">
        <v>60975737001204</v>
      </c>
      <c r="B130" s="8" t="s">
        <v>88</v>
      </c>
      <c r="C130" s="8" t="s">
        <v>20</v>
      </c>
      <c r="D130" s="7" t="s">
        <v>21</v>
      </c>
      <c r="E130" s="7" t="s">
        <v>795</v>
      </c>
      <c r="F130" s="6">
        <v>2</v>
      </c>
      <c r="G130" s="8" t="s">
        <v>740</v>
      </c>
      <c r="H130" s="8" t="s">
        <v>741</v>
      </c>
      <c r="I130" s="7" t="s">
        <v>730</v>
      </c>
      <c r="J130" s="8" t="s">
        <v>787</v>
      </c>
      <c r="K130" s="14" t="b">
        <v>1</v>
      </c>
      <c r="L130" s="14" t="b">
        <v>0</v>
      </c>
      <c r="M130" s="14" t="b">
        <v>0</v>
      </c>
      <c r="N130" s="14" t="b">
        <v>1</v>
      </c>
      <c r="O130" s="14" t="b">
        <v>1</v>
      </c>
      <c r="W130" s="3"/>
    </row>
    <row r="131" spans="1:23" x14ac:dyDescent="0.25">
      <c r="A131" s="4">
        <v>60975737001204</v>
      </c>
      <c r="B131" s="8" t="s">
        <v>88</v>
      </c>
      <c r="C131" s="8" t="s">
        <v>20</v>
      </c>
      <c r="D131" s="7" t="s">
        <v>21</v>
      </c>
      <c r="E131" s="7" t="s">
        <v>795</v>
      </c>
      <c r="F131" s="6">
        <v>2</v>
      </c>
      <c r="G131" s="8" t="s">
        <v>756</v>
      </c>
      <c r="H131" s="8" t="s">
        <v>757</v>
      </c>
      <c r="I131" s="7" t="s">
        <v>723</v>
      </c>
      <c r="J131" s="8" t="s">
        <v>787</v>
      </c>
      <c r="K131" s="14" t="b">
        <v>0</v>
      </c>
      <c r="L131" s="14" t="b">
        <v>1</v>
      </c>
      <c r="M131" s="14" t="b">
        <v>1</v>
      </c>
      <c r="N131" s="14" t="b">
        <v>0</v>
      </c>
      <c r="O131" s="14" t="b">
        <v>1</v>
      </c>
      <c r="W131" s="3"/>
    </row>
    <row r="132" spans="1:23" x14ac:dyDescent="0.25">
      <c r="A132" s="4">
        <v>60975737005110</v>
      </c>
      <c r="B132" s="8" t="s">
        <v>97</v>
      </c>
      <c r="C132" s="8" t="s">
        <v>20</v>
      </c>
      <c r="D132" s="7" t="s">
        <v>21</v>
      </c>
      <c r="E132" s="7" t="s">
        <v>795</v>
      </c>
      <c r="F132" s="6">
        <v>2</v>
      </c>
      <c r="G132" s="8" t="s">
        <v>740</v>
      </c>
      <c r="H132" s="8" t="s">
        <v>741</v>
      </c>
      <c r="I132" s="7" t="s">
        <v>730</v>
      </c>
      <c r="J132" s="8" t="s">
        <v>787</v>
      </c>
      <c r="K132" s="14" t="b">
        <v>1</v>
      </c>
      <c r="L132" s="14" t="b">
        <v>0</v>
      </c>
      <c r="M132" s="14" t="b">
        <v>0</v>
      </c>
      <c r="N132" s="14" t="b">
        <v>1</v>
      </c>
      <c r="O132" s="14" t="b">
        <v>1</v>
      </c>
      <c r="W132" s="3"/>
    </row>
    <row r="133" spans="1:23" x14ac:dyDescent="0.25">
      <c r="A133" s="4">
        <v>60975737005110</v>
      </c>
      <c r="B133" s="8" t="s">
        <v>97</v>
      </c>
      <c r="C133" s="8" t="s">
        <v>20</v>
      </c>
      <c r="D133" s="7" t="s">
        <v>21</v>
      </c>
      <c r="E133" s="7" t="s">
        <v>795</v>
      </c>
      <c r="F133" s="6">
        <v>2</v>
      </c>
      <c r="G133" s="8" t="s">
        <v>756</v>
      </c>
      <c r="H133" s="8" t="s">
        <v>757</v>
      </c>
      <c r="I133" s="7" t="s">
        <v>723</v>
      </c>
      <c r="J133" s="8" t="s">
        <v>787</v>
      </c>
      <c r="K133" s="14" t="b">
        <v>0</v>
      </c>
      <c r="L133" s="14" t="b">
        <v>1</v>
      </c>
      <c r="M133" s="14" t="b">
        <v>1</v>
      </c>
      <c r="N133" s="14" t="b">
        <v>0</v>
      </c>
      <c r="O133" s="14" t="b">
        <v>1</v>
      </c>
      <c r="W133" s="3"/>
    </row>
    <row r="134" spans="1:23" x14ac:dyDescent="0.25">
      <c r="A134" s="4">
        <v>60992427000650</v>
      </c>
      <c r="B134" s="8" t="s">
        <v>100</v>
      </c>
      <c r="C134" s="8" t="s">
        <v>20</v>
      </c>
      <c r="D134" s="7" t="s">
        <v>21</v>
      </c>
      <c r="E134" s="7" t="s">
        <v>795</v>
      </c>
      <c r="F134" s="6">
        <v>2</v>
      </c>
      <c r="G134" s="8" t="s">
        <v>724</v>
      </c>
      <c r="H134" s="8" t="s">
        <v>725</v>
      </c>
      <c r="I134" s="7" t="s">
        <v>723</v>
      </c>
      <c r="J134" s="8" t="s">
        <v>787</v>
      </c>
      <c r="K134" s="14" t="b">
        <v>0</v>
      </c>
      <c r="L134" s="14" t="b">
        <v>1</v>
      </c>
      <c r="M134" s="14" t="b">
        <v>1</v>
      </c>
      <c r="N134" s="14" t="b">
        <v>0</v>
      </c>
      <c r="O134" s="14" t="b">
        <v>1</v>
      </c>
      <c r="W134" s="3"/>
    </row>
    <row r="135" spans="1:23" x14ac:dyDescent="0.25">
      <c r="A135" s="4">
        <v>60992427000650</v>
      </c>
      <c r="B135" s="8" t="s">
        <v>100</v>
      </c>
      <c r="C135" s="8" t="s">
        <v>20</v>
      </c>
      <c r="D135" s="7" t="s">
        <v>21</v>
      </c>
      <c r="E135" s="7" t="s">
        <v>795</v>
      </c>
      <c r="F135" s="6">
        <v>2</v>
      </c>
      <c r="G135" s="8" t="s">
        <v>740</v>
      </c>
      <c r="H135" s="8" t="s">
        <v>741</v>
      </c>
      <c r="I135" s="7" t="s">
        <v>730</v>
      </c>
      <c r="J135" s="8" t="s">
        <v>787</v>
      </c>
      <c r="K135" s="14" t="b">
        <v>1</v>
      </c>
      <c r="L135" s="14" t="b">
        <v>0</v>
      </c>
      <c r="M135" s="14" t="b">
        <v>0</v>
      </c>
      <c r="N135" s="14" t="b">
        <v>1</v>
      </c>
      <c r="O135" s="14" t="b">
        <v>1</v>
      </c>
      <c r="W135" s="3"/>
    </row>
    <row r="136" spans="1:23" x14ac:dyDescent="0.25">
      <c r="A136" s="4">
        <v>61062212000198</v>
      </c>
      <c r="B136" s="8" t="s">
        <v>101</v>
      </c>
      <c r="C136" s="8" t="s">
        <v>20</v>
      </c>
      <c r="D136" s="7" t="s">
        <v>21</v>
      </c>
      <c r="E136" s="7" t="s">
        <v>795</v>
      </c>
      <c r="F136" s="6">
        <v>2</v>
      </c>
      <c r="G136" s="8" t="s">
        <v>740</v>
      </c>
      <c r="H136" s="8" t="s">
        <v>741</v>
      </c>
      <c r="I136" s="7" t="s">
        <v>730</v>
      </c>
      <c r="J136" s="8" t="s">
        <v>787</v>
      </c>
      <c r="K136" s="14" t="b">
        <v>1</v>
      </c>
      <c r="L136" s="14" t="b">
        <v>0</v>
      </c>
      <c r="M136" s="14" t="b">
        <v>0</v>
      </c>
      <c r="N136" s="14" t="b">
        <v>1</v>
      </c>
      <c r="O136" s="14" t="b">
        <v>1</v>
      </c>
      <c r="W136" s="3"/>
    </row>
    <row r="137" spans="1:23" x14ac:dyDescent="0.25">
      <c r="A137" s="4">
        <v>61062212000198</v>
      </c>
      <c r="B137" s="8" t="s">
        <v>101</v>
      </c>
      <c r="C137" s="8" t="s">
        <v>20</v>
      </c>
      <c r="D137" s="7" t="s">
        <v>21</v>
      </c>
      <c r="E137" s="7" t="s">
        <v>795</v>
      </c>
      <c r="F137" s="6">
        <v>2</v>
      </c>
      <c r="G137" s="8" t="s">
        <v>762</v>
      </c>
      <c r="H137" s="8" t="s">
        <v>763</v>
      </c>
      <c r="I137" s="7" t="s">
        <v>723</v>
      </c>
      <c r="J137" s="8" t="s">
        <v>787</v>
      </c>
      <c r="K137" s="14" t="b">
        <v>0</v>
      </c>
      <c r="L137" s="14" t="b">
        <v>1</v>
      </c>
      <c r="M137" s="14" t="b">
        <v>1</v>
      </c>
      <c r="N137" s="14" t="b">
        <v>0</v>
      </c>
      <c r="O137" s="14" t="b">
        <v>1</v>
      </c>
      <c r="W137" s="3"/>
    </row>
    <row r="138" spans="1:23" x14ac:dyDescent="0.25">
      <c r="A138" s="4">
        <v>61213674000240</v>
      </c>
      <c r="B138" s="8" t="s">
        <v>52</v>
      </c>
      <c r="C138" s="8" t="s">
        <v>20</v>
      </c>
      <c r="D138" s="7" t="s">
        <v>21</v>
      </c>
      <c r="E138" s="7" t="s">
        <v>795</v>
      </c>
      <c r="F138" s="6">
        <v>2</v>
      </c>
      <c r="G138" s="8" t="s">
        <v>724</v>
      </c>
      <c r="H138" s="8" t="s">
        <v>725</v>
      </c>
      <c r="I138" s="7" t="s">
        <v>723</v>
      </c>
      <c r="J138" s="8" t="s">
        <v>787</v>
      </c>
      <c r="K138" s="14" t="b">
        <v>0</v>
      </c>
      <c r="L138" s="14" t="b">
        <v>1</v>
      </c>
      <c r="M138" s="14" t="b">
        <v>1</v>
      </c>
      <c r="N138" s="14" t="b">
        <v>0</v>
      </c>
      <c r="O138" s="14" t="b">
        <v>1</v>
      </c>
      <c r="W138" s="3"/>
    </row>
    <row r="139" spans="1:23" x14ac:dyDescent="0.25">
      <c r="A139" s="4">
        <v>61213674000240</v>
      </c>
      <c r="B139" s="8" t="s">
        <v>52</v>
      </c>
      <c r="C139" s="8" t="s">
        <v>20</v>
      </c>
      <c r="D139" s="7" t="s">
        <v>21</v>
      </c>
      <c r="E139" s="7" t="s">
        <v>795</v>
      </c>
      <c r="F139" s="6">
        <v>2</v>
      </c>
      <c r="G139" s="8" t="s">
        <v>770</v>
      </c>
      <c r="H139" s="8" t="s">
        <v>771</v>
      </c>
      <c r="I139" s="7" t="s">
        <v>730</v>
      </c>
      <c r="J139" s="8" t="s">
        <v>787</v>
      </c>
      <c r="K139" s="14" t="b">
        <v>1</v>
      </c>
      <c r="L139" s="14" t="b">
        <v>0</v>
      </c>
      <c r="M139" s="14" t="b">
        <v>0</v>
      </c>
      <c r="N139" s="14" t="b">
        <v>1</v>
      </c>
      <c r="O139" s="14" t="b">
        <v>1</v>
      </c>
      <c r="W139" s="3"/>
    </row>
    <row r="140" spans="1:23" x14ac:dyDescent="0.25">
      <c r="A140" s="4">
        <v>61590410000124</v>
      </c>
      <c r="B140" s="8" t="s">
        <v>53</v>
      </c>
      <c r="C140" s="8" t="s">
        <v>20</v>
      </c>
      <c r="D140" s="7" t="s">
        <v>21</v>
      </c>
      <c r="E140" s="7" t="s">
        <v>795</v>
      </c>
      <c r="F140" s="6">
        <v>2</v>
      </c>
      <c r="G140" s="8" t="s">
        <v>740</v>
      </c>
      <c r="H140" s="8" t="s">
        <v>741</v>
      </c>
      <c r="I140" s="7" t="s">
        <v>730</v>
      </c>
      <c r="J140" s="8" t="s">
        <v>787</v>
      </c>
      <c r="K140" s="14" t="b">
        <v>1</v>
      </c>
      <c r="L140" s="14" t="b">
        <v>0</v>
      </c>
      <c r="M140" s="14" t="b">
        <v>0</v>
      </c>
      <c r="N140" s="14" t="b">
        <v>1</v>
      </c>
      <c r="O140" s="14" t="b">
        <v>1</v>
      </c>
      <c r="W140" s="3"/>
    </row>
    <row r="141" spans="1:23" x14ac:dyDescent="0.25">
      <c r="A141" s="4">
        <v>61590410000124</v>
      </c>
      <c r="B141" s="8" t="s">
        <v>53</v>
      </c>
      <c r="C141" s="8" t="s">
        <v>20</v>
      </c>
      <c r="D141" s="7" t="s">
        <v>21</v>
      </c>
      <c r="E141" s="7" t="s">
        <v>795</v>
      </c>
      <c r="F141" s="6">
        <v>2</v>
      </c>
      <c r="G141" s="8" t="s">
        <v>756</v>
      </c>
      <c r="H141" s="8" t="s">
        <v>757</v>
      </c>
      <c r="I141" s="7" t="s">
        <v>723</v>
      </c>
      <c r="J141" s="8" t="s">
        <v>787</v>
      </c>
      <c r="K141" s="14" t="b">
        <v>0</v>
      </c>
      <c r="L141" s="14" t="b">
        <v>1</v>
      </c>
      <c r="M141" s="14" t="b">
        <v>1</v>
      </c>
      <c r="N141" s="14" t="b">
        <v>0</v>
      </c>
      <c r="O141" s="14" t="b">
        <v>1</v>
      </c>
      <c r="W141" s="3"/>
    </row>
    <row r="142" spans="1:23" x14ac:dyDescent="0.25">
      <c r="A142" s="4">
        <v>61599908000158</v>
      </c>
      <c r="B142" s="8" t="s">
        <v>89</v>
      </c>
      <c r="C142" s="8" t="s">
        <v>20</v>
      </c>
      <c r="D142" s="7" t="s">
        <v>21</v>
      </c>
      <c r="E142" s="7" t="s">
        <v>795</v>
      </c>
      <c r="F142" s="6">
        <v>2</v>
      </c>
      <c r="G142" s="8" t="s">
        <v>740</v>
      </c>
      <c r="H142" s="8" t="s">
        <v>741</v>
      </c>
      <c r="I142" s="7" t="s">
        <v>730</v>
      </c>
      <c r="J142" s="8" t="s">
        <v>787</v>
      </c>
      <c r="K142" s="14" t="b">
        <v>1</v>
      </c>
      <c r="L142" s="14" t="b">
        <v>0</v>
      </c>
      <c r="M142" s="14" t="b">
        <v>0</v>
      </c>
      <c r="N142" s="14" t="b">
        <v>1</v>
      </c>
      <c r="O142" s="14" t="b">
        <v>1</v>
      </c>
      <c r="W142" s="3"/>
    </row>
    <row r="143" spans="1:23" x14ac:dyDescent="0.25">
      <c r="A143" s="4">
        <v>61599908000158</v>
      </c>
      <c r="B143" s="8" t="s">
        <v>89</v>
      </c>
      <c r="C143" s="8" t="s">
        <v>20</v>
      </c>
      <c r="D143" s="7" t="s">
        <v>21</v>
      </c>
      <c r="E143" s="7" t="s">
        <v>795</v>
      </c>
      <c r="F143" s="6">
        <v>2</v>
      </c>
      <c r="G143" s="8" t="s">
        <v>762</v>
      </c>
      <c r="H143" s="8" t="s">
        <v>763</v>
      </c>
      <c r="I143" s="7" t="s">
        <v>723</v>
      </c>
      <c r="J143" s="8" t="s">
        <v>787</v>
      </c>
      <c r="K143" s="14" t="b">
        <v>0</v>
      </c>
      <c r="L143" s="14" t="b">
        <v>1</v>
      </c>
      <c r="M143" s="14" t="b">
        <v>1</v>
      </c>
      <c r="N143" s="14" t="b">
        <v>0</v>
      </c>
      <c r="O143" s="14" t="b">
        <v>1</v>
      </c>
      <c r="W143" s="3"/>
    </row>
    <row r="144" spans="1:23" x14ac:dyDescent="0.25">
      <c r="A144" s="4">
        <v>61849980001087</v>
      </c>
      <c r="B144" s="8" t="s">
        <v>54</v>
      </c>
      <c r="C144" s="8" t="s">
        <v>20</v>
      </c>
      <c r="D144" s="7" t="s">
        <v>21</v>
      </c>
      <c r="E144" s="7" t="s">
        <v>795</v>
      </c>
      <c r="F144" s="6">
        <v>2</v>
      </c>
      <c r="G144" s="8" t="s">
        <v>724</v>
      </c>
      <c r="H144" s="8" t="s">
        <v>725</v>
      </c>
      <c r="I144" s="7" t="s">
        <v>723</v>
      </c>
      <c r="J144" s="8" t="s">
        <v>787</v>
      </c>
      <c r="K144" s="14" t="b">
        <v>0</v>
      </c>
      <c r="L144" s="14" t="b">
        <v>1</v>
      </c>
      <c r="M144" s="14" t="b">
        <v>1</v>
      </c>
      <c r="N144" s="14" t="b">
        <v>0</v>
      </c>
      <c r="O144" s="14" t="b">
        <v>1</v>
      </c>
      <c r="W144" s="3"/>
    </row>
    <row r="145" spans="1:23" x14ac:dyDescent="0.25">
      <c r="A145" s="4">
        <v>61849980001087</v>
      </c>
      <c r="B145" s="8" t="s">
        <v>54</v>
      </c>
      <c r="C145" s="8" t="s">
        <v>20</v>
      </c>
      <c r="D145" s="7" t="s">
        <v>21</v>
      </c>
      <c r="E145" s="7" t="s">
        <v>795</v>
      </c>
      <c r="F145" s="6">
        <v>2</v>
      </c>
      <c r="G145" s="8" t="s">
        <v>740</v>
      </c>
      <c r="H145" s="8" t="s">
        <v>741</v>
      </c>
      <c r="I145" s="7" t="s">
        <v>730</v>
      </c>
      <c r="J145" s="8" t="s">
        <v>787</v>
      </c>
      <c r="K145" s="14" t="b">
        <v>1</v>
      </c>
      <c r="L145" s="14" t="b">
        <v>0</v>
      </c>
      <c r="M145" s="14" t="b">
        <v>0</v>
      </c>
      <c r="N145" s="14" t="b">
        <v>1</v>
      </c>
      <c r="O145" s="14" t="b">
        <v>1</v>
      </c>
      <c r="W145" s="3"/>
    </row>
    <row r="146" spans="1:23" x14ac:dyDescent="0.25">
      <c r="A146" s="4">
        <v>62106505000192</v>
      </c>
      <c r="B146" s="8" t="s">
        <v>90</v>
      </c>
      <c r="C146" s="8" t="s">
        <v>20</v>
      </c>
      <c r="D146" s="7" t="s">
        <v>21</v>
      </c>
      <c r="E146" s="7" t="s">
        <v>795</v>
      </c>
      <c r="F146" s="6">
        <v>2</v>
      </c>
      <c r="G146" s="8" t="s">
        <v>724</v>
      </c>
      <c r="H146" s="8" t="s">
        <v>725</v>
      </c>
      <c r="I146" s="7" t="s">
        <v>723</v>
      </c>
      <c r="J146" s="8" t="s">
        <v>787</v>
      </c>
      <c r="K146" s="14" t="b">
        <v>0</v>
      </c>
      <c r="L146" s="14" t="b">
        <v>1</v>
      </c>
      <c r="M146" s="14" t="b">
        <v>1</v>
      </c>
      <c r="N146" s="14" t="b">
        <v>0</v>
      </c>
      <c r="O146" s="14" t="b">
        <v>1</v>
      </c>
      <c r="W146" s="3"/>
    </row>
    <row r="147" spans="1:23" x14ac:dyDescent="0.25">
      <c r="A147" s="4">
        <v>62106505000192</v>
      </c>
      <c r="B147" s="8" t="s">
        <v>90</v>
      </c>
      <c r="C147" s="8" t="s">
        <v>20</v>
      </c>
      <c r="D147" s="7" t="s">
        <v>21</v>
      </c>
      <c r="E147" s="7" t="s">
        <v>795</v>
      </c>
      <c r="F147" s="6">
        <v>2</v>
      </c>
      <c r="G147" s="8" t="s">
        <v>740</v>
      </c>
      <c r="H147" s="8" t="s">
        <v>741</v>
      </c>
      <c r="I147" s="7" t="s">
        <v>730</v>
      </c>
      <c r="J147" s="8" t="s">
        <v>787</v>
      </c>
      <c r="K147" s="14" t="b">
        <v>1</v>
      </c>
      <c r="L147" s="14" t="b">
        <v>0</v>
      </c>
      <c r="M147" s="14" t="b">
        <v>0</v>
      </c>
      <c r="N147" s="14" t="b">
        <v>1</v>
      </c>
      <c r="O147" s="14" t="b">
        <v>1</v>
      </c>
      <c r="W147" s="3"/>
    </row>
    <row r="148" spans="1:23" x14ac:dyDescent="0.25">
      <c r="A148" s="4">
        <v>62779145000190</v>
      </c>
      <c r="B148" s="8" t="s">
        <v>91</v>
      </c>
      <c r="C148" s="8" t="s">
        <v>20</v>
      </c>
      <c r="D148" s="7" t="s">
        <v>21</v>
      </c>
      <c r="E148" s="7" t="s">
        <v>795</v>
      </c>
      <c r="F148" s="6">
        <v>2</v>
      </c>
      <c r="G148" s="8" t="s">
        <v>756</v>
      </c>
      <c r="H148" s="8" t="s">
        <v>757</v>
      </c>
      <c r="I148" s="7" t="s">
        <v>723</v>
      </c>
      <c r="J148" s="8" t="s">
        <v>787</v>
      </c>
      <c r="K148" s="14" t="b">
        <v>0</v>
      </c>
      <c r="L148" s="14" t="b">
        <v>1</v>
      </c>
      <c r="M148" s="14" t="b">
        <v>1</v>
      </c>
      <c r="N148" s="14" t="b">
        <v>0</v>
      </c>
      <c r="O148" s="14" t="b">
        <v>1</v>
      </c>
      <c r="W148" s="3"/>
    </row>
    <row r="149" spans="1:23" x14ac:dyDescent="0.25">
      <c r="A149" s="4">
        <v>62779145000190</v>
      </c>
      <c r="B149" s="8" t="s">
        <v>91</v>
      </c>
      <c r="C149" s="8" t="s">
        <v>20</v>
      </c>
      <c r="D149" s="7" t="s">
        <v>21</v>
      </c>
      <c r="E149" s="7" t="s">
        <v>795</v>
      </c>
      <c r="F149" s="6">
        <v>2</v>
      </c>
      <c r="G149" s="8" t="s">
        <v>770</v>
      </c>
      <c r="H149" s="8" t="s">
        <v>771</v>
      </c>
      <c r="I149" s="7" t="s">
        <v>730</v>
      </c>
      <c r="J149" s="8" t="s">
        <v>787</v>
      </c>
      <c r="K149" s="14" t="b">
        <v>1</v>
      </c>
      <c r="L149" s="14" t="b">
        <v>0</v>
      </c>
      <c r="M149" s="14" t="b">
        <v>0</v>
      </c>
      <c r="N149" s="14" t="b">
        <v>1</v>
      </c>
      <c r="O149" s="14" t="b">
        <v>1</v>
      </c>
      <c r="W149" s="3"/>
    </row>
    <row r="150" spans="1:23" x14ac:dyDescent="0.25">
      <c r="A150" s="4">
        <v>67185694000150</v>
      </c>
      <c r="B150" s="8" t="s">
        <v>98</v>
      </c>
      <c r="C150" s="8" t="s">
        <v>20</v>
      </c>
      <c r="D150" s="7" t="s">
        <v>21</v>
      </c>
      <c r="E150" s="7" t="s">
        <v>795</v>
      </c>
      <c r="F150" s="6">
        <v>2</v>
      </c>
      <c r="G150" s="8" t="s">
        <v>724</v>
      </c>
      <c r="H150" s="8" t="s">
        <v>725</v>
      </c>
      <c r="I150" s="7" t="s">
        <v>723</v>
      </c>
      <c r="J150" s="8" t="s">
        <v>787</v>
      </c>
      <c r="K150" s="14" t="b">
        <v>0</v>
      </c>
      <c r="L150" s="14" t="b">
        <v>1</v>
      </c>
      <c r="M150" s="14" t="b">
        <v>1</v>
      </c>
      <c r="N150" s="14" t="b">
        <v>0</v>
      </c>
      <c r="O150" s="14" t="b">
        <v>1</v>
      </c>
      <c r="W150" s="3"/>
    </row>
    <row r="151" spans="1:23" x14ac:dyDescent="0.25">
      <c r="A151" s="4">
        <v>67185694000150</v>
      </c>
      <c r="B151" s="8" t="s">
        <v>98</v>
      </c>
      <c r="C151" s="8" t="s">
        <v>20</v>
      </c>
      <c r="D151" s="7" t="s">
        <v>21</v>
      </c>
      <c r="E151" s="7" t="s">
        <v>795</v>
      </c>
      <c r="F151" s="6">
        <v>2</v>
      </c>
      <c r="G151" s="8" t="s">
        <v>740</v>
      </c>
      <c r="H151" s="8" t="s">
        <v>741</v>
      </c>
      <c r="I151" s="7" t="s">
        <v>730</v>
      </c>
      <c r="J151" s="8" t="s">
        <v>787</v>
      </c>
      <c r="K151" s="14" t="b">
        <v>1</v>
      </c>
      <c r="L151" s="14" t="b">
        <v>0</v>
      </c>
      <c r="M151" s="14" t="b">
        <v>0</v>
      </c>
      <c r="N151" s="14" t="b">
        <v>1</v>
      </c>
      <c r="O151" s="14" t="b">
        <v>1</v>
      </c>
      <c r="W151" s="3"/>
    </row>
    <row r="152" spans="1:23" x14ac:dyDescent="0.25">
      <c r="A152" s="4">
        <v>72775745000133</v>
      </c>
      <c r="B152" s="8" t="s">
        <v>102</v>
      </c>
      <c r="C152" s="8" t="s">
        <v>20</v>
      </c>
      <c r="D152" s="7" t="s">
        <v>21</v>
      </c>
      <c r="E152" s="7" t="s">
        <v>795</v>
      </c>
      <c r="F152" s="6">
        <v>2</v>
      </c>
      <c r="G152" s="8" t="s">
        <v>724</v>
      </c>
      <c r="H152" s="8" t="s">
        <v>725</v>
      </c>
      <c r="I152" s="7" t="s">
        <v>723</v>
      </c>
      <c r="J152" s="8" t="s">
        <v>787</v>
      </c>
      <c r="K152" s="14" t="b">
        <v>0</v>
      </c>
      <c r="L152" s="14" t="b">
        <v>1</v>
      </c>
      <c r="M152" s="14" t="b">
        <v>1</v>
      </c>
      <c r="N152" s="14" t="b">
        <v>0</v>
      </c>
      <c r="O152" s="14" t="b">
        <v>1</v>
      </c>
      <c r="W152" s="3"/>
    </row>
    <row r="153" spans="1:23" x14ac:dyDescent="0.25">
      <c r="A153" s="4">
        <v>72775745000133</v>
      </c>
      <c r="B153" s="8" t="s">
        <v>102</v>
      </c>
      <c r="C153" s="8" t="s">
        <v>20</v>
      </c>
      <c r="D153" s="7" t="s">
        <v>21</v>
      </c>
      <c r="E153" s="7" t="s">
        <v>795</v>
      </c>
      <c r="F153" s="6">
        <v>2</v>
      </c>
      <c r="G153" s="8" t="s">
        <v>740</v>
      </c>
      <c r="H153" s="8" t="s">
        <v>741</v>
      </c>
      <c r="I153" s="7" t="s">
        <v>730</v>
      </c>
      <c r="J153" s="8" t="s">
        <v>787</v>
      </c>
      <c r="K153" s="14" t="b">
        <v>1</v>
      </c>
      <c r="L153" s="14" t="b">
        <v>0</v>
      </c>
      <c r="M153" s="14" t="b">
        <v>0</v>
      </c>
      <c r="N153" s="14" t="b">
        <v>1</v>
      </c>
      <c r="O153" s="14" t="b">
        <v>1</v>
      </c>
      <c r="W153" s="3"/>
    </row>
    <row r="154" spans="1:23" x14ac:dyDescent="0.25">
      <c r="A154" s="4">
        <v>23941593838</v>
      </c>
      <c r="B154" s="8" t="s">
        <v>104</v>
      </c>
      <c r="C154" s="8" t="s">
        <v>105</v>
      </c>
      <c r="D154" s="7" t="s">
        <v>21</v>
      </c>
      <c r="E154" s="7" t="s">
        <v>795</v>
      </c>
      <c r="F154" s="6">
        <v>2</v>
      </c>
      <c r="G154" s="8" t="s">
        <v>762</v>
      </c>
      <c r="H154" s="8" t="s">
        <v>763</v>
      </c>
      <c r="I154" s="7" t="s">
        <v>723</v>
      </c>
      <c r="J154" s="8" t="s">
        <v>787</v>
      </c>
      <c r="K154" s="14" t="b">
        <v>0</v>
      </c>
      <c r="L154" s="14" t="b">
        <v>1</v>
      </c>
      <c r="M154" s="14" t="b">
        <v>1</v>
      </c>
      <c r="N154" s="14" t="b">
        <v>0</v>
      </c>
      <c r="O154" s="14" t="b">
        <v>1</v>
      </c>
      <c r="W154" s="3"/>
    </row>
    <row r="155" spans="1:23" x14ac:dyDescent="0.25">
      <c r="A155" s="4">
        <v>23941593838</v>
      </c>
      <c r="B155" s="8" t="s">
        <v>104</v>
      </c>
      <c r="C155" s="8" t="s">
        <v>105</v>
      </c>
      <c r="D155" s="7" t="s">
        <v>21</v>
      </c>
      <c r="E155" s="7" t="s">
        <v>795</v>
      </c>
      <c r="F155" s="6">
        <v>2</v>
      </c>
      <c r="G155" s="8" t="s">
        <v>770</v>
      </c>
      <c r="H155" s="8" t="s">
        <v>771</v>
      </c>
      <c r="I155" s="7" t="s">
        <v>730</v>
      </c>
      <c r="J155" s="8" t="s">
        <v>787</v>
      </c>
      <c r="K155" s="14" t="b">
        <v>1</v>
      </c>
      <c r="L155" s="14" t="b">
        <v>0</v>
      </c>
      <c r="M155" s="14" t="b">
        <v>0</v>
      </c>
      <c r="N155" s="14" t="b">
        <v>1</v>
      </c>
      <c r="O155" s="14" t="b">
        <v>1</v>
      </c>
      <c r="W155" s="3"/>
    </row>
    <row r="156" spans="1:23" x14ac:dyDescent="0.25">
      <c r="A156" s="4">
        <v>840048000450</v>
      </c>
      <c r="B156" s="8" t="s">
        <v>106</v>
      </c>
      <c r="C156" s="8" t="s">
        <v>107</v>
      </c>
      <c r="D156" s="7" t="s">
        <v>21</v>
      </c>
      <c r="E156" s="7" t="s">
        <v>795</v>
      </c>
      <c r="F156" s="6">
        <v>2</v>
      </c>
      <c r="G156" s="8" t="s">
        <v>726</v>
      </c>
      <c r="H156" s="8" t="s">
        <v>727</v>
      </c>
      <c r="I156" s="7" t="s">
        <v>723</v>
      </c>
      <c r="J156" s="8" t="s">
        <v>787</v>
      </c>
      <c r="K156" s="14" t="b">
        <v>0</v>
      </c>
      <c r="L156" s="14" t="b">
        <v>1</v>
      </c>
      <c r="M156" s="14" t="b">
        <v>1</v>
      </c>
      <c r="N156" s="14" t="b">
        <v>0</v>
      </c>
      <c r="O156" s="14" t="b">
        <v>1</v>
      </c>
      <c r="W156" s="3"/>
    </row>
    <row r="157" spans="1:23" x14ac:dyDescent="0.25">
      <c r="A157" s="4">
        <v>840048000450</v>
      </c>
      <c r="B157" s="8" t="s">
        <v>106</v>
      </c>
      <c r="C157" s="8" t="s">
        <v>107</v>
      </c>
      <c r="D157" s="7" t="s">
        <v>21</v>
      </c>
      <c r="E157" s="7" t="s">
        <v>795</v>
      </c>
      <c r="F157" s="6">
        <v>2</v>
      </c>
      <c r="G157" s="8" t="s">
        <v>728</v>
      </c>
      <c r="H157" s="8" t="s">
        <v>729</v>
      </c>
      <c r="I157" s="7" t="s">
        <v>730</v>
      </c>
      <c r="J157" s="8" t="s">
        <v>787</v>
      </c>
      <c r="K157" s="14" t="b">
        <v>1</v>
      </c>
      <c r="L157" s="14" t="b">
        <v>0</v>
      </c>
      <c r="M157" s="14" t="b">
        <v>0</v>
      </c>
      <c r="N157" s="14" t="b">
        <v>1</v>
      </c>
      <c r="O157" s="14" t="b">
        <v>1</v>
      </c>
      <c r="W157" s="3"/>
    </row>
    <row r="158" spans="1:23" x14ac:dyDescent="0.25">
      <c r="A158" s="4">
        <v>1613433006892</v>
      </c>
      <c r="B158" s="8" t="s">
        <v>108</v>
      </c>
      <c r="C158" s="8" t="s">
        <v>109</v>
      </c>
      <c r="D158" s="7" t="s">
        <v>21</v>
      </c>
      <c r="E158" s="7" t="s">
        <v>795</v>
      </c>
      <c r="F158" s="6">
        <v>2</v>
      </c>
      <c r="G158" s="8" t="s">
        <v>726</v>
      </c>
      <c r="H158" s="8" t="s">
        <v>727</v>
      </c>
      <c r="I158" s="7" t="s">
        <v>723</v>
      </c>
      <c r="J158" s="8" t="s">
        <v>787</v>
      </c>
      <c r="K158" s="14" t="b">
        <v>0</v>
      </c>
      <c r="L158" s="14" t="b">
        <v>1</v>
      </c>
      <c r="M158" s="14" t="b">
        <v>1</v>
      </c>
      <c r="N158" s="14" t="b">
        <v>0</v>
      </c>
      <c r="O158" s="14" t="b">
        <v>1</v>
      </c>
      <c r="W158" s="3"/>
    </row>
    <row r="159" spans="1:23" x14ac:dyDescent="0.25">
      <c r="A159" s="4">
        <v>1613433006892</v>
      </c>
      <c r="B159" s="8" t="s">
        <v>108</v>
      </c>
      <c r="C159" s="8" t="s">
        <v>109</v>
      </c>
      <c r="D159" s="7" t="s">
        <v>21</v>
      </c>
      <c r="E159" s="7" t="s">
        <v>795</v>
      </c>
      <c r="F159" s="6">
        <v>2</v>
      </c>
      <c r="G159" s="8" t="s">
        <v>728</v>
      </c>
      <c r="H159" s="8" t="s">
        <v>729</v>
      </c>
      <c r="I159" s="7" t="s">
        <v>730</v>
      </c>
      <c r="J159" s="8" t="s">
        <v>787</v>
      </c>
      <c r="K159" s="14" t="b">
        <v>1</v>
      </c>
      <c r="L159" s="14" t="b">
        <v>0</v>
      </c>
      <c r="M159" s="14" t="b">
        <v>0</v>
      </c>
      <c r="N159" s="14" t="b">
        <v>1</v>
      </c>
      <c r="O159" s="14" t="b">
        <v>1</v>
      </c>
      <c r="W159" s="3"/>
    </row>
    <row r="160" spans="1:23" x14ac:dyDescent="0.25">
      <c r="A160" s="4">
        <v>1613433008089</v>
      </c>
      <c r="B160" s="8" t="s">
        <v>192</v>
      </c>
      <c r="C160" s="8" t="s">
        <v>193</v>
      </c>
      <c r="D160" s="7" t="s">
        <v>21</v>
      </c>
      <c r="E160" s="7" t="s">
        <v>795</v>
      </c>
      <c r="F160" s="6">
        <v>2</v>
      </c>
      <c r="G160" s="8" t="s">
        <v>726</v>
      </c>
      <c r="H160" s="8" t="s">
        <v>727</v>
      </c>
      <c r="I160" s="7" t="s">
        <v>723</v>
      </c>
      <c r="J160" s="8" t="s">
        <v>787</v>
      </c>
      <c r="K160" s="14" t="b">
        <v>0</v>
      </c>
      <c r="L160" s="14" t="b">
        <v>1</v>
      </c>
      <c r="M160" s="14" t="b">
        <v>1</v>
      </c>
      <c r="N160" s="14" t="b">
        <v>0</v>
      </c>
      <c r="O160" s="14" t="b">
        <v>1</v>
      </c>
      <c r="W160" s="3"/>
    </row>
    <row r="161" spans="1:23" x14ac:dyDescent="0.25">
      <c r="A161" s="4">
        <v>1613433008089</v>
      </c>
      <c r="B161" s="8" t="s">
        <v>192</v>
      </c>
      <c r="C161" s="8" t="s">
        <v>193</v>
      </c>
      <c r="D161" s="7" t="s">
        <v>21</v>
      </c>
      <c r="E161" s="7" t="s">
        <v>795</v>
      </c>
      <c r="F161" s="6">
        <v>2</v>
      </c>
      <c r="G161" s="8" t="s">
        <v>728</v>
      </c>
      <c r="H161" s="8" t="s">
        <v>729</v>
      </c>
      <c r="I161" s="7" t="s">
        <v>730</v>
      </c>
      <c r="J161" s="8" t="s">
        <v>787</v>
      </c>
      <c r="K161" s="14" t="b">
        <v>1</v>
      </c>
      <c r="L161" s="14" t="b">
        <v>0</v>
      </c>
      <c r="M161" s="14" t="b">
        <v>0</v>
      </c>
      <c r="N161" s="14" t="b">
        <v>1</v>
      </c>
      <c r="O161" s="14" t="b">
        <v>1</v>
      </c>
      <c r="W161" s="3"/>
    </row>
    <row r="162" spans="1:23" x14ac:dyDescent="0.25">
      <c r="A162" s="4">
        <v>1613433010814</v>
      </c>
      <c r="B162" s="8" t="s">
        <v>214</v>
      </c>
      <c r="C162" s="8" t="s">
        <v>202</v>
      </c>
      <c r="D162" s="7" t="s">
        <v>21</v>
      </c>
      <c r="E162" s="7" t="s">
        <v>795</v>
      </c>
      <c r="F162" s="6">
        <v>2</v>
      </c>
      <c r="G162" s="8" t="s">
        <v>726</v>
      </c>
      <c r="H162" s="8" t="s">
        <v>727</v>
      </c>
      <c r="I162" s="7" t="s">
        <v>723</v>
      </c>
      <c r="J162" s="8" t="s">
        <v>787</v>
      </c>
      <c r="K162" s="14" t="b">
        <v>0</v>
      </c>
      <c r="L162" s="14" t="b">
        <v>1</v>
      </c>
      <c r="M162" s="14" t="b">
        <v>1</v>
      </c>
      <c r="N162" s="14" t="b">
        <v>0</v>
      </c>
      <c r="O162" s="14" t="b">
        <v>1</v>
      </c>
      <c r="W162" s="3"/>
    </row>
    <row r="163" spans="1:23" x14ac:dyDescent="0.25">
      <c r="A163" s="4">
        <v>1613433010814</v>
      </c>
      <c r="B163" s="8" t="s">
        <v>214</v>
      </c>
      <c r="C163" s="8" t="s">
        <v>202</v>
      </c>
      <c r="D163" s="7" t="s">
        <v>21</v>
      </c>
      <c r="E163" s="7" t="s">
        <v>795</v>
      </c>
      <c r="F163" s="6">
        <v>2</v>
      </c>
      <c r="G163" s="8" t="s">
        <v>728</v>
      </c>
      <c r="H163" s="8" t="s">
        <v>729</v>
      </c>
      <c r="I163" s="7" t="s">
        <v>730</v>
      </c>
      <c r="J163" s="8" t="s">
        <v>787</v>
      </c>
      <c r="K163" s="14" t="b">
        <v>1</v>
      </c>
      <c r="L163" s="14" t="b">
        <v>0</v>
      </c>
      <c r="M163" s="14" t="b">
        <v>0</v>
      </c>
      <c r="N163" s="14" t="b">
        <v>1</v>
      </c>
      <c r="O163" s="14" t="b">
        <v>1</v>
      </c>
      <c r="W163" s="3"/>
    </row>
    <row r="164" spans="1:23" x14ac:dyDescent="0.25">
      <c r="A164" s="4">
        <v>2643405000173</v>
      </c>
      <c r="B164" s="8" t="s">
        <v>110</v>
      </c>
      <c r="C164" s="8" t="s">
        <v>111</v>
      </c>
      <c r="D164" s="7" t="s">
        <v>21</v>
      </c>
      <c r="E164" s="7" t="s">
        <v>795</v>
      </c>
      <c r="F164" s="6">
        <v>2</v>
      </c>
      <c r="G164" s="8" t="s">
        <v>726</v>
      </c>
      <c r="H164" s="8" t="s">
        <v>727</v>
      </c>
      <c r="I164" s="7" t="s">
        <v>723</v>
      </c>
      <c r="J164" s="8" t="s">
        <v>787</v>
      </c>
      <c r="K164" s="14" t="b">
        <v>0</v>
      </c>
      <c r="L164" s="14" t="b">
        <v>1</v>
      </c>
      <c r="M164" s="14" t="b">
        <v>1</v>
      </c>
      <c r="N164" s="14" t="b">
        <v>0</v>
      </c>
      <c r="O164" s="14" t="b">
        <v>1</v>
      </c>
      <c r="W164" s="3"/>
    </row>
    <row r="165" spans="1:23" x14ac:dyDescent="0.25">
      <c r="A165" s="4">
        <v>2643405000173</v>
      </c>
      <c r="B165" s="8" t="s">
        <v>110</v>
      </c>
      <c r="C165" s="8" t="s">
        <v>111</v>
      </c>
      <c r="D165" s="7" t="s">
        <v>21</v>
      </c>
      <c r="E165" s="7" t="s">
        <v>795</v>
      </c>
      <c r="F165" s="6">
        <v>2</v>
      </c>
      <c r="G165" s="8" t="s">
        <v>728</v>
      </c>
      <c r="H165" s="8" t="s">
        <v>729</v>
      </c>
      <c r="I165" s="7" t="s">
        <v>730</v>
      </c>
      <c r="J165" s="8" t="s">
        <v>787</v>
      </c>
      <c r="K165" s="14" t="b">
        <v>1</v>
      </c>
      <c r="L165" s="14" t="b">
        <v>0</v>
      </c>
      <c r="M165" s="14" t="b">
        <v>0</v>
      </c>
      <c r="N165" s="14" t="b">
        <v>1</v>
      </c>
      <c r="O165" s="14" t="b">
        <v>1</v>
      </c>
      <c r="W165" s="3"/>
    </row>
    <row r="166" spans="1:23" x14ac:dyDescent="0.25">
      <c r="A166" s="4">
        <v>4275687000129</v>
      </c>
      <c r="B166" s="8" t="s">
        <v>112</v>
      </c>
      <c r="C166" s="8" t="s">
        <v>113</v>
      </c>
      <c r="D166" s="7" t="s">
        <v>21</v>
      </c>
      <c r="E166" s="7" t="s">
        <v>795</v>
      </c>
      <c r="F166" s="6">
        <v>2</v>
      </c>
      <c r="G166" s="8" t="s">
        <v>726</v>
      </c>
      <c r="H166" s="8" t="s">
        <v>727</v>
      </c>
      <c r="I166" s="7" t="s">
        <v>723</v>
      </c>
      <c r="J166" s="8" t="s">
        <v>787</v>
      </c>
      <c r="K166" s="14" t="b">
        <v>0</v>
      </c>
      <c r="L166" s="14" t="b">
        <v>1</v>
      </c>
      <c r="M166" s="14" t="b">
        <v>1</v>
      </c>
      <c r="N166" s="14" t="b">
        <v>0</v>
      </c>
      <c r="O166" s="14" t="b">
        <v>1</v>
      </c>
      <c r="W166" s="3"/>
    </row>
    <row r="167" spans="1:23" x14ac:dyDescent="0.25">
      <c r="A167" s="4">
        <v>4275687000129</v>
      </c>
      <c r="B167" s="8" t="s">
        <v>112</v>
      </c>
      <c r="C167" s="8" t="s">
        <v>113</v>
      </c>
      <c r="D167" s="7" t="s">
        <v>21</v>
      </c>
      <c r="E167" s="7" t="s">
        <v>795</v>
      </c>
      <c r="F167" s="6">
        <v>2</v>
      </c>
      <c r="G167" s="8" t="s">
        <v>728</v>
      </c>
      <c r="H167" s="8" t="s">
        <v>729</v>
      </c>
      <c r="I167" s="7" t="s">
        <v>730</v>
      </c>
      <c r="J167" s="8" t="s">
        <v>787</v>
      </c>
      <c r="K167" s="14" t="b">
        <v>1</v>
      </c>
      <c r="L167" s="14" t="b">
        <v>0</v>
      </c>
      <c r="M167" s="14" t="b">
        <v>0</v>
      </c>
      <c r="N167" s="14" t="b">
        <v>1</v>
      </c>
      <c r="O167" s="14" t="b">
        <v>1</v>
      </c>
      <c r="W167" s="3"/>
    </row>
    <row r="168" spans="1:23" x14ac:dyDescent="0.25">
      <c r="A168" s="4">
        <v>6033403000113</v>
      </c>
      <c r="B168" s="8" t="s">
        <v>114</v>
      </c>
      <c r="C168" s="8" t="s">
        <v>115</v>
      </c>
      <c r="D168" s="7" t="s">
        <v>21</v>
      </c>
      <c r="E168" s="7" t="s">
        <v>795</v>
      </c>
      <c r="F168" s="6">
        <v>2</v>
      </c>
      <c r="G168" s="8" t="s">
        <v>724</v>
      </c>
      <c r="H168" s="8" t="s">
        <v>725</v>
      </c>
      <c r="I168" s="7" t="s">
        <v>723</v>
      </c>
      <c r="J168" s="8" t="s">
        <v>787</v>
      </c>
      <c r="K168" s="14" t="b">
        <v>0</v>
      </c>
      <c r="L168" s="14" t="b">
        <v>1</v>
      </c>
      <c r="M168" s="14" t="b">
        <v>1</v>
      </c>
      <c r="N168" s="14" t="b">
        <v>0</v>
      </c>
      <c r="O168" s="14" t="b">
        <v>1</v>
      </c>
      <c r="W168" s="3"/>
    </row>
    <row r="169" spans="1:23" x14ac:dyDescent="0.25">
      <c r="A169" s="4">
        <v>6033403000113</v>
      </c>
      <c r="B169" s="8" t="s">
        <v>114</v>
      </c>
      <c r="C169" s="8" t="s">
        <v>115</v>
      </c>
      <c r="D169" s="7" t="s">
        <v>21</v>
      </c>
      <c r="E169" s="7" t="s">
        <v>795</v>
      </c>
      <c r="F169" s="6">
        <v>2</v>
      </c>
      <c r="G169" s="8" t="s">
        <v>740</v>
      </c>
      <c r="H169" s="8" t="s">
        <v>741</v>
      </c>
      <c r="I169" s="7" t="s">
        <v>730</v>
      </c>
      <c r="J169" s="8" t="s">
        <v>787</v>
      </c>
      <c r="K169" s="14" t="b">
        <v>1</v>
      </c>
      <c r="L169" s="14" t="b">
        <v>0</v>
      </c>
      <c r="M169" s="14" t="b">
        <v>0</v>
      </c>
      <c r="N169" s="14" t="b">
        <v>1</v>
      </c>
      <c r="O169" s="14" t="b">
        <v>1</v>
      </c>
      <c r="W169" s="3"/>
    </row>
    <row r="170" spans="1:23" x14ac:dyDescent="0.25">
      <c r="A170" s="4">
        <v>6047087000724</v>
      </c>
      <c r="B170" s="8" t="s">
        <v>194</v>
      </c>
      <c r="C170" s="8" t="s">
        <v>115</v>
      </c>
      <c r="D170" s="7" t="s">
        <v>21</v>
      </c>
      <c r="E170" s="7" t="s">
        <v>795</v>
      </c>
      <c r="F170" s="6">
        <v>2</v>
      </c>
      <c r="G170" s="8" t="s">
        <v>724</v>
      </c>
      <c r="H170" s="8" t="s">
        <v>725</v>
      </c>
      <c r="I170" s="7" t="s">
        <v>723</v>
      </c>
      <c r="J170" s="8" t="s">
        <v>787</v>
      </c>
      <c r="K170" s="14" t="b">
        <v>0</v>
      </c>
      <c r="L170" s="14" t="b">
        <v>1</v>
      </c>
      <c r="M170" s="14" t="b">
        <v>1</v>
      </c>
      <c r="N170" s="14" t="b">
        <v>0</v>
      </c>
      <c r="O170" s="14" t="b">
        <v>1</v>
      </c>
      <c r="W170" s="3"/>
    </row>
    <row r="171" spans="1:23" x14ac:dyDescent="0.25">
      <c r="A171" s="4">
        <v>6047087000724</v>
      </c>
      <c r="B171" s="8" t="s">
        <v>194</v>
      </c>
      <c r="C171" s="8" t="s">
        <v>115</v>
      </c>
      <c r="D171" s="7" t="s">
        <v>21</v>
      </c>
      <c r="E171" s="7" t="s">
        <v>795</v>
      </c>
      <c r="F171" s="6">
        <v>2</v>
      </c>
      <c r="G171" s="8" t="s">
        <v>770</v>
      </c>
      <c r="H171" s="8" t="s">
        <v>771</v>
      </c>
      <c r="I171" s="7" t="s">
        <v>730</v>
      </c>
      <c r="J171" s="8" t="s">
        <v>787</v>
      </c>
      <c r="K171" s="14" t="b">
        <v>1</v>
      </c>
      <c r="L171" s="14" t="b">
        <v>0</v>
      </c>
      <c r="M171" s="14" t="b">
        <v>0</v>
      </c>
      <c r="N171" s="14" t="b">
        <v>1</v>
      </c>
      <c r="O171" s="14" t="b">
        <v>1</v>
      </c>
      <c r="W171" s="3"/>
    </row>
    <row r="172" spans="1:23" x14ac:dyDescent="0.25">
      <c r="A172" s="4">
        <v>6047087003073</v>
      </c>
      <c r="B172" s="8" t="s">
        <v>116</v>
      </c>
      <c r="C172" s="8" t="s">
        <v>117</v>
      </c>
      <c r="D172" s="7" t="s">
        <v>21</v>
      </c>
      <c r="E172" s="7" t="s">
        <v>795</v>
      </c>
      <c r="F172" s="6">
        <v>2</v>
      </c>
      <c r="G172" s="8" t="s">
        <v>740</v>
      </c>
      <c r="H172" s="8" t="s">
        <v>741</v>
      </c>
      <c r="I172" s="7" t="s">
        <v>730</v>
      </c>
      <c r="J172" s="8" t="s">
        <v>787</v>
      </c>
      <c r="K172" s="14" t="b">
        <v>1</v>
      </c>
      <c r="L172" s="14" t="b">
        <v>0</v>
      </c>
      <c r="M172" s="14" t="b">
        <v>0</v>
      </c>
      <c r="N172" s="14" t="b">
        <v>1</v>
      </c>
      <c r="O172" s="14" t="b">
        <v>1</v>
      </c>
      <c r="W172" s="3"/>
    </row>
    <row r="173" spans="1:23" x14ac:dyDescent="0.25">
      <c r="A173" s="4">
        <v>6047087003073</v>
      </c>
      <c r="B173" s="8" t="s">
        <v>116</v>
      </c>
      <c r="C173" s="8" t="s">
        <v>117</v>
      </c>
      <c r="D173" s="7" t="s">
        <v>21</v>
      </c>
      <c r="E173" s="7" t="s">
        <v>795</v>
      </c>
      <c r="F173" s="6">
        <v>2</v>
      </c>
      <c r="G173" s="8" t="s">
        <v>762</v>
      </c>
      <c r="H173" s="8" t="s">
        <v>763</v>
      </c>
      <c r="I173" s="7" t="s">
        <v>723</v>
      </c>
      <c r="J173" s="8" t="s">
        <v>787</v>
      </c>
      <c r="K173" s="14" t="b">
        <v>0</v>
      </c>
      <c r="L173" s="14" t="b">
        <v>1</v>
      </c>
      <c r="M173" s="14" t="b">
        <v>1</v>
      </c>
      <c r="N173" s="14" t="b">
        <v>0</v>
      </c>
      <c r="O173" s="14" t="b">
        <v>1</v>
      </c>
      <c r="W173" s="3"/>
    </row>
    <row r="174" spans="1:23" x14ac:dyDescent="0.25">
      <c r="A174" s="4">
        <v>6047087007656</v>
      </c>
      <c r="B174" s="8" t="s">
        <v>118</v>
      </c>
      <c r="C174" s="8" t="s">
        <v>119</v>
      </c>
      <c r="D174" s="7" t="s">
        <v>21</v>
      </c>
      <c r="E174" s="7" t="s">
        <v>795</v>
      </c>
      <c r="F174" s="6">
        <v>2</v>
      </c>
      <c r="G174" s="8" t="s">
        <v>724</v>
      </c>
      <c r="H174" s="8" t="s">
        <v>725</v>
      </c>
      <c r="I174" s="7" t="s">
        <v>723</v>
      </c>
      <c r="J174" s="8" t="s">
        <v>787</v>
      </c>
      <c r="K174" s="14" t="b">
        <v>0</v>
      </c>
      <c r="L174" s="14" t="b">
        <v>1</v>
      </c>
      <c r="M174" s="14" t="b">
        <v>1</v>
      </c>
      <c r="N174" s="14" t="b">
        <v>0</v>
      </c>
      <c r="O174" s="14" t="b">
        <v>1</v>
      </c>
      <c r="W174" s="3"/>
    </row>
    <row r="175" spans="1:23" x14ac:dyDescent="0.25">
      <c r="A175" s="4">
        <v>6047087007656</v>
      </c>
      <c r="B175" s="8" t="s">
        <v>118</v>
      </c>
      <c r="C175" s="8" t="s">
        <v>119</v>
      </c>
      <c r="D175" s="7" t="s">
        <v>21</v>
      </c>
      <c r="E175" s="7" t="s">
        <v>795</v>
      </c>
      <c r="F175" s="6">
        <v>2</v>
      </c>
      <c r="G175" s="8" t="s">
        <v>770</v>
      </c>
      <c r="H175" s="8" t="s">
        <v>771</v>
      </c>
      <c r="I175" s="7" t="s">
        <v>730</v>
      </c>
      <c r="J175" s="8" t="s">
        <v>787</v>
      </c>
      <c r="K175" s="14" t="b">
        <v>1</v>
      </c>
      <c r="L175" s="14" t="b">
        <v>0</v>
      </c>
      <c r="M175" s="14" t="b">
        <v>0</v>
      </c>
      <c r="N175" s="14" t="b">
        <v>1</v>
      </c>
      <c r="O175" s="14" t="b">
        <v>1</v>
      </c>
      <c r="W175" s="3"/>
    </row>
    <row r="176" spans="1:23" x14ac:dyDescent="0.25">
      <c r="A176" s="4">
        <v>6047087007907</v>
      </c>
      <c r="B176" s="8" t="s">
        <v>177</v>
      </c>
      <c r="C176" s="8" t="s">
        <v>115</v>
      </c>
      <c r="D176" s="7" t="s">
        <v>21</v>
      </c>
      <c r="E176" s="7" t="s">
        <v>795</v>
      </c>
      <c r="F176" s="6">
        <v>2</v>
      </c>
      <c r="G176" s="8" t="s">
        <v>724</v>
      </c>
      <c r="H176" s="8" t="s">
        <v>725</v>
      </c>
      <c r="I176" s="7" t="s">
        <v>723</v>
      </c>
      <c r="J176" s="8" t="s">
        <v>787</v>
      </c>
      <c r="K176" s="14" t="b">
        <v>0</v>
      </c>
      <c r="L176" s="14" t="b">
        <v>1</v>
      </c>
      <c r="M176" s="14" t="b">
        <v>1</v>
      </c>
      <c r="N176" s="14" t="b">
        <v>0</v>
      </c>
      <c r="O176" s="14" t="b">
        <v>1</v>
      </c>
      <c r="W176" s="3"/>
    </row>
    <row r="177" spans="1:23" x14ac:dyDescent="0.25">
      <c r="A177" s="4">
        <v>6047087007907</v>
      </c>
      <c r="B177" s="8" t="s">
        <v>177</v>
      </c>
      <c r="C177" s="8" t="s">
        <v>115</v>
      </c>
      <c r="D177" s="7" t="s">
        <v>21</v>
      </c>
      <c r="E177" s="7" t="s">
        <v>795</v>
      </c>
      <c r="F177" s="6">
        <v>2</v>
      </c>
      <c r="G177" s="8" t="s">
        <v>770</v>
      </c>
      <c r="H177" s="8" t="s">
        <v>771</v>
      </c>
      <c r="I177" s="7" t="s">
        <v>730</v>
      </c>
      <c r="J177" s="8" t="s">
        <v>787</v>
      </c>
      <c r="K177" s="14" t="b">
        <v>1</v>
      </c>
      <c r="L177" s="14" t="b">
        <v>0</v>
      </c>
      <c r="M177" s="14" t="b">
        <v>0</v>
      </c>
      <c r="N177" s="14" t="b">
        <v>1</v>
      </c>
      <c r="O177" s="14" t="b">
        <v>1</v>
      </c>
      <c r="W177" s="3"/>
    </row>
    <row r="178" spans="1:23" x14ac:dyDescent="0.25">
      <c r="A178" s="4">
        <v>6209132000104</v>
      </c>
      <c r="B178" s="8" t="s">
        <v>120</v>
      </c>
      <c r="C178" s="8" t="s">
        <v>121</v>
      </c>
      <c r="D178" s="7" t="s">
        <v>21</v>
      </c>
      <c r="E178" s="7" t="s">
        <v>795</v>
      </c>
      <c r="F178" s="6">
        <v>2</v>
      </c>
      <c r="G178" s="8" t="s">
        <v>726</v>
      </c>
      <c r="H178" s="8" t="s">
        <v>727</v>
      </c>
      <c r="I178" s="7" t="s">
        <v>723</v>
      </c>
      <c r="J178" s="8" t="s">
        <v>787</v>
      </c>
      <c r="K178" s="14" t="b">
        <v>0</v>
      </c>
      <c r="L178" s="14" t="b">
        <v>1</v>
      </c>
      <c r="M178" s="14" t="b">
        <v>1</v>
      </c>
      <c r="N178" s="14" t="b">
        <v>0</v>
      </c>
      <c r="O178" s="14" t="b">
        <v>1</v>
      </c>
      <c r="W178" s="3"/>
    </row>
    <row r="179" spans="1:23" x14ac:dyDescent="0.25">
      <c r="A179" s="4">
        <v>6209132000104</v>
      </c>
      <c r="B179" s="8" t="s">
        <v>120</v>
      </c>
      <c r="C179" s="8" t="s">
        <v>121</v>
      </c>
      <c r="D179" s="7" t="s">
        <v>21</v>
      </c>
      <c r="E179" s="7" t="s">
        <v>795</v>
      </c>
      <c r="F179" s="6">
        <v>2</v>
      </c>
      <c r="G179" s="8" t="s">
        <v>728</v>
      </c>
      <c r="H179" s="8" t="s">
        <v>729</v>
      </c>
      <c r="I179" s="7" t="s">
        <v>730</v>
      </c>
      <c r="J179" s="8" t="s">
        <v>787</v>
      </c>
      <c r="K179" s="14" t="b">
        <v>1</v>
      </c>
      <c r="L179" s="14" t="b">
        <v>0</v>
      </c>
      <c r="M179" s="14" t="b">
        <v>0</v>
      </c>
      <c r="N179" s="14" t="b">
        <v>1</v>
      </c>
      <c r="O179" s="14" t="b">
        <v>1</v>
      </c>
      <c r="W179" s="3"/>
    </row>
    <row r="180" spans="1:23" x14ac:dyDescent="0.25">
      <c r="A180" s="4">
        <v>9528436000122</v>
      </c>
      <c r="B180" s="8" t="s">
        <v>195</v>
      </c>
      <c r="C180" s="8" t="s">
        <v>182</v>
      </c>
      <c r="D180" s="7" t="s">
        <v>21</v>
      </c>
      <c r="E180" s="7" t="s">
        <v>795</v>
      </c>
      <c r="F180" s="6">
        <v>2</v>
      </c>
      <c r="G180" s="8" t="s">
        <v>726</v>
      </c>
      <c r="H180" s="8" t="s">
        <v>727</v>
      </c>
      <c r="I180" s="7" t="s">
        <v>723</v>
      </c>
      <c r="J180" s="8" t="s">
        <v>787</v>
      </c>
      <c r="K180" s="14" t="b">
        <v>0</v>
      </c>
      <c r="L180" s="14" t="b">
        <v>1</v>
      </c>
      <c r="M180" s="14" t="b">
        <v>1</v>
      </c>
      <c r="N180" s="14" t="b">
        <v>0</v>
      </c>
      <c r="O180" s="14" t="b">
        <v>1</v>
      </c>
      <c r="W180" s="3"/>
    </row>
    <row r="181" spans="1:23" x14ac:dyDescent="0.25">
      <c r="A181" s="4">
        <v>9528436000122</v>
      </c>
      <c r="B181" s="8" t="s">
        <v>195</v>
      </c>
      <c r="C181" s="8" t="s">
        <v>182</v>
      </c>
      <c r="D181" s="7" t="s">
        <v>21</v>
      </c>
      <c r="E181" s="7" t="s">
        <v>795</v>
      </c>
      <c r="F181" s="6">
        <v>2</v>
      </c>
      <c r="G181" s="8" t="s">
        <v>728</v>
      </c>
      <c r="H181" s="8" t="s">
        <v>729</v>
      </c>
      <c r="I181" s="7" t="s">
        <v>730</v>
      </c>
      <c r="J181" s="8" t="s">
        <v>787</v>
      </c>
      <c r="K181" s="14" t="b">
        <v>1</v>
      </c>
      <c r="L181" s="14" t="b">
        <v>0</v>
      </c>
      <c r="M181" s="14" t="b">
        <v>0</v>
      </c>
      <c r="N181" s="14" t="b">
        <v>1</v>
      </c>
      <c r="O181" s="14" t="b">
        <v>1</v>
      </c>
      <c r="W181" s="3"/>
    </row>
    <row r="182" spans="1:23" x14ac:dyDescent="0.25">
      <c r="A182" s="4">
        <v>10447300000177</v>
      </c>
      <c r="B182" s="8" t="s">
        <v>122</v>
      </c>
      <c r="C182" s="8" t="s">
        <v>123</v>
      </c>
      <c r="D182" s="7" t="s">
        <v>21</v>
      </c>
      <c r="E182" s="7" t="s">
        <v>795</v>
      </c>
      <c r="F182" s="6">
        <v>2</v>
      </c>
      <c r="G182" s="8" t="s">
        <v>726</v>
      </c>
      <c r="H182" s="8" t="s">
        <v>727</v>
      </c>
      <c r="I182" s="7" t="s">
        <v>723</v>
      </c>
      <c r="J182" s="8" t="s">
        <v>787</v>
      </c>
      <c r="K182" s="14" t="b">
        <v>0</v>
      </c>
      <c r="L182" s="14" t="b">
        <v>1</v>
      </c>
      <c r="M182" s="14" t="b">
        <v>1</v>
      </c>
      <c r="N182" s="14" t="b">
        <v>0</v>
      </c>
      <c r="O182" s="14" t="b">
        <v>1</v>
      </c>
      <c r="W182" s="3"/>
    </row>
    <row r="183" spans="1:23" x14ac:dyDescent="0.25">
      <c r="A183" s="4">
        <v>10447300000177</v>
      </c>
      <c r="B183" s="8" t="s">
        <v>122</v>
      </c>
      <c r="C183" s="8" t="s">
        <v>123</v>
      </c>
      <c r="D183" s="7" t="s">
        <v>21</v>
      </c>
      <c r="E183" s="7" t="s">
        <v>795</v>
      </c>
      <c r="F183" s="6">
        <v>2</v>
      </c>
      <c r="G183" s="8" t="s">
        <v>728</v>
      </c>
      <c r="H183" s="8" t="s">
        <v>729</v>
      </c>
      <c r="I183" s="7" t="s">
        <v>730</v>
      </c>
      <c r="J183" s="8" t="s">
        <v>787</v>
      </c>
      <c r="K183" s="14" t="b">
        <v>1</v>
      </c>
      <c r="L183" s="14" t="b">
        <v>0</v>
      </c>
      <c r="M183" s="14" t="b">
        <v>0</v>
      </c>
      <c r="N183" s="14" t="b">
        <v>1</v>
      </c>
      <c r="O183" s="14" t="b">
        <v>1</v>
      </c>
      <c r="W183" s="3"/>
    </row>
    <row r="184" spans="1:23" x14ac:dyDescent="0.25">
      <c r="A184" s="4">
        <v>10576443000189</v>
      </c>
      <c r="B184" s="8" t="s">
        <v>178</v>
      </c>
      <c r="C184" s="8" t="s">
        <v>111</v>
      </c>
      <c r="D184" s="7" t="s">
        <v>21</v>
      </c>
      <c r="E184" s="7" t="s">
        <v>795</v>
      </c>
      <c r="F184" s="6">
        <v>2</v>
      </c>
      <c r="G184" s="8" t="s">
        <v>726</v>
      </c>
      <c r="H184" s="8" t="s">
        <v>727</v>
      </c>
      <c r="I184" s="7" t="s">
        <v>723</v>
      </c>
      <c r="J184" s="8" t="s">
        <v>787</v>
      </c>
      <c r="K184" s="14" t="b">
        <v>0</v>
      </c>
      <c r="L184" s="14" t="b">
        <v>1</v>
      </c>
      <c r="M184" s="14" t="b">
        <v>1</v>
      </c>
      <c r="N184" s="14" t="b">
        <v>0</v>
      </c>
      <c r="O184" s="14" t="b">
        <v>1</v>
      </c>
      <c r="W184" s="3"/>
    </row>
    <row r="185" spans="1:23" x14ac:dyDescent="0.25">
      <c r="A185" s="4">
        <v>10576443000189</v>
      </c>
      <c r="B185" s="8" t="s">
        <v>178</v>
      </c>
      <c r="C185" s="8" t="s">
        <v>111</v>
      </c>
      <c r="D185" s="7" t="s">
        <v>21</v>
      </c>
      <c r="E185" s="7" t="s">
        <v>795</v>
      </c>
      <c r="F185" s="6">
        <v>2</v>
      </c>
      <c r="G185" s="8" t="s">
        <v>728</v>
      </c>
      <c r="H185" s="8" t="s">
        <v>729</v>
      </c>
      <c r="I185" s="7" t="s">
        <v>730</v>
      </c>
      <c r="J185" s="8" t="s">
        <v>787</v>
      </c>
      <c r="K185" s="14" t="b">
        <v>1</v>
      </c>
      <c r="L185" s="14" t="b">
        <v>0</v>
      </c>
      <c r="M185" s="14" t="b">
        <v>0</v>
      </c>
      <c r="N185" s="14" t="b">
        <v>1</v>
      </c>
      <c r="O185" s="14" t="b">
        <v>1</v>
      </c>
      <c r="W185" s="3"/>
    </row>
    <row r="186" spans="1:23" x14ac:dyDescent="0.25">
      <c r="A186" s="4">
        <v>10868295000176</v>
      </c>
      <c r="B186" s="8" t="s">
        <v>179</v>
      </c>
      <c r="C186" s="8" t="s">
        <v>129</v>
      </c>
      <c r="D186" s="7" t="s">
        <v>21</v>
      </c>
      <c r="E186" s="7" t="s">
        <v>795</v>
      </c>
      <c r="F186" s="6">
        <v>2</v>
      </c>
      <c r="G186" s="8" t="s">
        <v>724</v>
      </c>
      <c r="H186" s="8" t="s">
        <v>725</v>
      </c>
      <c r="I186" s="7" t="s">
        <v>723</v>
      </c>
      <c r="J186" s="8" t="s">
        <v>787</v>
      </c>
      <c r="K186" s="14" t="b">
        <v>0</v>
      </c>
      <c r="L186" s="14" t="b">
        <v>1</v>
      </c>
      <c r="M186" s="14" t="b">
        <v>1</v>
      </c>
      <c r="N186" s="14" t="b">
        <v>0</v>
      </c>
      <c r="O186" s="14" t="b">
        <v>1</v>
      </c>
      <c r="W186" s="3"/>
    </row>
    <row r="187" spans="1:23" x14ac:dyDescent="0.25">
      <c r="A187" s="4">
        <v>10868295000176</v>
      </c>
      <c r="B187" s="8" t="s">
        <v>179</v>
      </c>
      <c r="C187" s="8" t="s">
        <v>129</v>
      </c>
      <c r="D187" s="7" t="s">
        <v>21</v>
      </c>
      <c r="E187" s="7" t="s">
        <v>795</v>
      </c>
      <c r="F187" s="6">
        <v>2</v>
      </c>
      <c r="G187" s="8" t="s">
        <v>770</v>
      </c>
      <c r="H187" s="8" t="s">
        <v>771</v>
      </c>
      <c r="I187" s="7" t="s">
        <v>730</v>
      </c>
      <c r="J187" s="8" t="s">
        <v>787</v>
      </c>
      <c r="K187" s="14" t="b">
        <v>1</v>
      </c>
      <c r="L187" s="14" t="b">
        <v>0</v>
      </c>
      <c r="M187" s="14" t="b">
        <v>0</v>
      </c>
      <c r="N187" s="14" t="b">
        <v>1</v>
      </c>
      <c r="O187" s="14" t="b">
        <v>1</v>
      </c>
      <c r="W187" s="3"/>
    </row>
    <row r="188" spans="1:23" x14ac:dyDescent="0.25">
      <c r="A188" s="4">
        <v>12474705000120</v>
      </c>
      <c r="B188" s="8" t="s">
        <v>196</v>
      </c>
      <c r="C188" s="8" t="s">
        <v>197</v>
      </c>
      <c r="D188" s="7" t="s">
        <v>21</v>
      </c>
      <c r="E188" s="7" t="s">
        <v>795</v>
      </c>
      <c r="F188" s="6">
        <v>2</v>
      </c>
      <c r="G188" s="8" t="s">
        <v>726</v>
      </c>
      <c r="H188" s="8" t="s">
        <v>727</v>
      </c>
      <c r="I188" s="7" t="s">
        <v>723</v>
      </c>
      <c r="J188" s="8" t="s">
        <v>787</v>
      </c>
      <c r="K188" s="14" t="b">
        <v>0</v>
      </c>
      <c r="L188" s="14" t="b">
        <v>1</v>
      </c>
      <c r="M188" s="14" t="b">
        <v>1</v>
      </c>
      <c r="N188" s="14" t="b">
        <v>0</v>
      </c>
      <c r="O188" s="14" t="b">
        <v>1</v>
      </c>
      <c r="W188" s="3"/>
    </row>
    <row r="189" spans="1:23" x14ac:dyDescent="0.25">
      <c r="A189" s="4">
        <v>12474705000120</v>
      </c>
      <c r="B189" s="8" t="s">
        <v>196</v>
      </c>
      <c r="C189" s="8" t="s">
        <v>197</v>
      </c>
      <c r="D189" s="7" t="s">
        <v>21</v>
      </c>
      <c r="E189" s="7" t="s">
        <v>795</v>
      </c>
      <c r="F189" s="6">
        <v>2</v>
      </c>
      <c r="G189" s="8" t="s">
        <v>728</v>
      </c>
      <c r="H189" s="8" t="s">
        <v>729</v>
      </c>
      <c r="I189" s="7" t="s">
        <v>730</v>
      </c>
      <c r="J189" s="8" t="s">
        <v>787</v>
      </c>
      <c r="K189" s="14" t="b">
        <v>1</v>
      </c>
      <c r="L189" s="14" t="b">
        <v>0</v>
      </c>
      <c r="M189" s="14" t="b">
        <v>0</v>
      </c>
      <c r="N189" s="14" t="b">
        <v>1</v>
      </c>
      <c r="O189" s="14" t="b">
        <v>1</v>
      </c>
      <c r="W189" s="3"/>
    </row>
    <row r="190" spans="1:23" x14ac:dyDescent="0.25">
      <c r="A190" s="4">
        <v>13718999001041</v>
      </c>
      <c r="B190" s="8" t="s">
        <v>124</v>
      </c>
      <c r="C190" s="8" t="s">
        <v>115</v>
      </c>
      <c r="D190" s="7" t="s">
        <v>21</v>
      </c>
      <c r="E190" s="7" t="s">
        <v>795</v>
      </c>
      <c r="F190" s="6">
        <v>2</v>
      </c>
      <c r="G190" s="8" t="s">
        <v>724</v>
      </c>
      <c r="H190" s="8" t="s">
        <v>725</v>
      </c>
      <c r="I190" s="7" t="s">
        <v>723</v>
      </c>
      <c r="J190" s="8" t="s">
        <v>787</v>
      </c>
      <c r="K190" s="14" t="b">
        <v>0</v>
      </c>
      <c r="L190" s="14" t="b">
        <v>1</v>
      </c>
      <c r="M190" s="14" t="b">
        <v>1</v>
      </c>
      <c r="N190" s="14" t="b">
        <v>0</v>
      </c>
      <c r="O190" s="14" t="b">
        <v>1</v>
      </c>
      <c r="W190" s="3"/>
    </row>
    <row r="191" spans="1:23" x14ac:dyDescent="0.25">
      <c r="A191" s="4">
        <v>13718999001041</v>
      </c>
      <c r="B191" s="8" t="s">
        <v>124</v>
      </c>
      <c r="C191" s="8" t="s">
        <v>115</v>
      </c>
      <c r="D191" s="7" t="s">
        <v>21</v>
      </c>
      <c r="E191" s="7" t="s">
        <v>795</v>
      </c>
      <c r="F191" s="6">
        <v>2</v>
      </c>
      <c r="G191" s="8" t="s">
        <v>770</v>
      </c>
      <c r="H191" s="8" t="s">
        <v>771</v>
      </c>
      <c r="I191" s="7" t="s">
        <v>730</v>
      </c>
      <c r="J191" s="8" t="s">
        <v>787</v>
      </c>
      <c r="K191" s="14" t="b">
        <v>1</v>
      </c>
      <c r="L191" s="14" t="b">
        <v>0</v>
      </c>
      <c r="M191" s="14" t="b">
        <v>0</v>
      </c>
      <c r="N191" s="14" t="b">
        <v>1</v>
      </c>
      <c r="O191" s="14" t="b">
        <v>1</v>
      </c>
      <c r="W191" s="3"/>
    </row>
    <row r="192" spans="1:23" x14ac:dyDescent="0.25">
      <c r="A192" s="4">
        <v>18290268000170</v>
      </c>
      <c r="B192" s="8" t="s">
        <v>180</v>
      </c>
      <c r="C192" s="8" t="s">
        <v>129</v>
      </c>
      <c r="D192" s="7" t="s">
        <v>21</v>
      </c>
      <c r="E192" s="7" t="s">
        <v>795</v>
      </c>
      <c r="F192" s="6">
        <v>2</v>
      </c>
      <c r="G192" s="8" t="s">
        <v>724</v>
      </c>
      <c r="H192" s="8" t="s">
        <v>725</v>
      </c>
      <c r="I192" s="7" t="s">
        <v>723</v>
      </c>
      <c r="J192" s="8" t="s">
        <v>787</v>
      </c>
      <c r="K192" s="14" t="b">
        <v>0</v>
      </c>
      <c r="L192" s="14" t="b">
        <v>1</v>
      </c>
      <c r="M192" s="14" t="b">
        <v>1</v>
      </c>
      <c r="N192" s="14" t="b">
        <v>0</v>
      </c>
      <c r="O192" s="14" t="b">
        <v>1</v>
      </c>
      <c r="W192" s="3"/>
    </row>
    <row r="193" spans="1:23" x14ac:dyDescent="0.25">
      <c r="A193" s="4">
        <v>18290268000170</v>
      </c>
      <c r="B193" s="8" t="s">
        <v>180</v>
      </c>
      <c r="C193" s="8" t="s">
        <v>129</v>
      </c>
      <c r="D193" s="7" t="s">
        <v>21</v>
      </c>
      <c r="E193" s="7" t="s">
        <v>795</v>
      </c>
      <c r="F193" s="6">
        <v>2</v>
      </c>
      <c r="G193" s="8" t="s">
        <v>770</v>
      </c>
      <c r="H193" s="8" t="s">
        <v>771</v>
      </c>
      <c r="I193" s="7" t="s">
        <v>730</v>
      </c>
      <c r="J193" s="8" t="s">
        <v>787</v>
      </c>
      <c r="K193" s="14" t="b">
        <v>1</v>
      </c>
      <c r="L193" s="14" t="b">
        <v>0</v>
      </c>
      <c r="M193" s="14" t="b">
        <v>0</v>
      </c>
      <c r="N193" s="14" t="b">
        <v>1</v>
      </c>
      <c r="O193" s="14" t="b">
        <v>1</v>
      </c>
      <c r="W193" s="3"/>
    </row>
    <row r="194" spans="1:23" x14ac:dyDescent="0.25">
      <c r="A194" s="4">
        <v>18321477000134</v>
      </c>
      <c r="B194" s="8" t="s">
        <v>125</v>
      </c>
      <c r="C194" s="8" t="s">
        <v>117</v>
      </c>
      <c r="D194" s="7" t="s">
        <v>21</v>
      </c>
      <c r="E194" s="7" t="s">
        <v>795</v>
      </c>
      <c r="F194" s="6">
        <v>2</v>
      </c>
      <c r="G194" s="8" t="s">
        <v>740</v>
      </c>
      <c r="H194" s="8" t="s">
        <v>741</v>
      </c>
      <c r="I194" s="7" t="s">
        <v>730</v>
      </c>
      <c r="J194" s="8" t="s">
        <v>787</v>
      </c>
      <c r="K194" s="14" t="b">
        <v>1</v>
      </c>
      <c r="L194" s="14" t="b">
        <v>0</v>
      </c>
      <c r="M194" s="14" t="b">
        <v>0</v>
      </c>
      <c r="N194" s="14" t="b">
        <v>1</v>
      </c>
      <c r="O194" s="14" t="b">
        <v>1</v>
      </c>
      <c r="W194" s="3"/>
    </row>
    <row r="195" spans="1:23" x14ac:dyDescent="0.25">
      <c r="A195" s="4">
        <v>18321477000134</v>
      </c>
      <c r="B195" s="8" t="s">
        <v>125</v>
      </c>
      <c r="C195" s="8" t="s">
        <v>117</v>
      </c>
      <c r="D195" s="7" t="s">
        <v>21</v>
      </c>
      <c r="E195" s="7" t="s">
        <v>795</v>
      </c>
      <c r="F195" s="6">
        <v>2</v>
      </c>
      <c r="G195" s="8" t="s">
        <v>762</v>
      </c>
      <c r="H195" s="8" t="s">
        <v>763</v>
      </c>
      <c r="I195" s="7" t="s">
        <v>723</v>
      </c>
      <c r="J195" s="8" t="s">
        <v>787</v>
      </c>
      <c r="K195" s="14" t="b">
        <v>0</v>
      </c>
      <c r="L195" s="14" t="b">
        <v>1</v>
      </c>
      <c r="M195" s="14" t="b">
        <v>1</v>
      </c>
      <c r="N195" s="14" t="b">
        <v>0</v>
      </c>
      <c r="O195" s="14" t="b">
        <v>1</v>
      </c>
      <c r="W195" s="3"/>
    </row>
    <row r="196" spans="1:23" x14ac:dyDescent="0.25">
      <c r="A196" s="4">
        <v>24082016000159</v>
      </c>
      <c r="B196" s="8" t="s">
        <v>181</v>
      </c>
      <c r="C196" s="8" t="s">
        <v>182</v>
      </c>
      <c r="D196" s="7" t="s">
        <v>21</v>
      </c>
      <c r="E196" s="7" t="s">
        <v>795</v>
      </c>
      <c r="F196" s="6">
        <v>2</v>
      </c>
      <c r="G196" s="8" t="s">
        <v>726</v>
      </c>
      <c r="H196" s="8" t="s">
        <v>727</v>
      </c>
      <c r="I196" s="7" t="s">
        <v>723</v>
      </c>
      <c r="J196" s="8" t="s">
        <v>787</v>
      </c>
      <c r="K196" s="14" t="b">
        <v>0</v>
      </c>
      <c r="L196" s="14" t="b">
        <v>1</v>
      </c>
      <c r="M196" s="14" t="b">
        <v>1</v>
      </c>
      <c r="N196" s="14" t="b">
        <v>0</v>
      </c>
      <c r="O196" s="14" t="b">
        <v>1</v>
      </c>
      <c r="W196" s="3"/>
    </row>
    <row r="197" spans="1:23" x14ac:dyDescent="0.25">
      <c r="A197" s="4">
        <v>24082016000159</v>
      </c>
      <c r="B197" s="8" t="s">
        <v>181</v>
      </c>
      <c r="C197" s="8" t="s">
        <v>182</v>
      </c>
      <c r="D197" s="7" t="s">
        <v>21</v>
      </c>
      <c r="E197" s="7" t="s">
        <v>795</v>
      </c>
      <c r="F197" s="6">
        <v>2</v>
      </c>
      <c r="G197" s="8" t="s">
        <v>728</v>
      </c>
      <c r="H197" s="8" t="s">
        <v>729</v>
      </c>
      <c r="I197" s="7" t="s">
        <v>730</v>
      </c>
      <c r="J197" s="8" t="s">
        <v>787</v>
      </c>
      <c r="K197" s="14" t="b">
        <v>1</v>
      </c>
      <c r="L197" s="14" t="b">
        <v>0</v>
      </c>
      <c r="M197" s="14" t="b">
        <v>0</v>
      </c>
      <c r="N197" s="14" t="b">
        <v>1</v>
      </c>
      <c r="O197" s="14" t="b">
        <v>1</v>
      </c>
      <c r="W197" s="3"/>
    </row>
    <row r="198" spans="1:23" x14ac:dyDescent="0.25">
      <c r="A198" s="4">
        <v>25026561000190</v>
      </c>
      <c r="B198" s="8" t="s">
        <v>126</v>
      </c>
      <c r="C198" s="8" t="s">
        <v>127</v>
      </c>
      <c r="D198" s="7" t="s">
        <v>21</v>
      </c>
      <c r="E198" s="7" t="s">
        <v>795</v>
      </c>
      <c r="F198" s="6">
        <v>2</v>
      </c>
      <c r="G198" s="8" t="s">
        <v>726</v>
      </c>
      <c r="H198" s="8" t="s">
        <v>727</v>
      </c>
      <c r="I198" s="7" t="s">
        <v>723</v>
      </c>
      <c r="J198" s="8" t="s">
        <v>787</v>
      </c>
      <c r="K198" s="14" t="b">
        <v>0</v>
      </c>
      <c r="L198" s="14" t="b">
        <v>1</v>
      </c>
      <c r="M198" s="14" t="b">
        <v>1</v>
      </c>
      <c r="N198" s="14" t="b">
        <v>0</v>
      </c>
      <c r="O198" s="14" t="b">
        <v>1</v>
      </c>
      <c r="W198" s="3"/>
    </row>
    <row r="199" spans="1:23" x14ac:dyDescent="0.25">
      <c r="A199" s="4">
        <v>25026561000190</v>
      </c>
      <c r="B199" s="8" t="s">
        <v>126</v>
      </c>
      <c r="C199" s="8" t="s">
        <v>127</v>
      </c>
      <c r="D199" s="7" t="s">
        <v>21</v>
      </c>
      <c r="E199" s="7" t="s">
        <v>795</v>
      </c>
      <c r="F199" s="6">
        <v>2</v>
      </c>
      <c r="G199" s="8" t="s">
        <v>728</v>
      </c>
      <c r="H199" s="8" t="s">
        <v>729</v>
      </c>
      <c r="I199" s="7" t="s">
        <v>730</v>
      </c>
      <c r="J199" s="8" t="s">
        <v>787</v>
      </c>
      <c r="K199" s="14" t="b">
        <v>1</v>
      </c>
      <c r="L199" s="14" t="b">
        <v>0</v>
      </c>
      <c r="M199" s="14" t="b">
        <v>0</v>
      </c>
      <c r="N199" s="14" t="b">
        <v>1</v>
      </c>
      <c r="O199" s="14" t="b">
        <v>1</v>
      </c>
      <c r="W199" s="3"/>
    </row>
    <row r="200" spans="1:23" x14ac:dyDescent="0.25">
      <c r="A200" s="4">
        <v>29435005008022</v>
      </c>
      <c r="B200" s="8" t="s">
        <v>128</v>
      </c>
      <c r="C200" s="8" t="s">
        <v>129</v>
      </c>
      <c r="D200" s="7" t="s">
        <v>21</v>
      </c>
      <c r="E200" s="7" t="s">
        <v>795</v>
      </c>
      <c r="F200" s="6">
        <v>2</v>
      </c>
      <c r="G200" s="8" t="s">
        <v>724</v>
      </c>
      <c r="H200" s="8" t="s">
        <v>725</v>
      </c>
      <c r="I200" s="7" t="s">
        <v>723</v>
      </c>
      <c r="J200" s="8" t="s">
        <v>787</v>
      </c>
      <c r="K200" s="14" t="b">
        <v>0</v>
      </c>
      <c r="L200" s="14" t="b">
        <v>1</v>
      </c>
      <c r="M200" s="14" t="b">
        <v>1</v>
      </c>
      <c r="N200" s="14" t="b">
        <v>0</v>
      </c>
      <c r="O200" s="14" t="b">
        <v>1</v>
      </c>
      <c r="W200" s="3"/>
    </row>
    <row r="201" spans="1:23" x14ac:dyDescent="0.25">
      <c r="A201" s="4">
        <v>29435005008022</v>
      </c>
      <c r="B201" s="8" t="s">
        <v>128</v>
      </c>
      <c r="C201" s="8" t="s">
        <v>129</v>
      </c>
      <c r="D201" s="7" t="s">
        <v>21</v>
      </c>
      <c r="E201" s="7" t="s">
        <v>795</v>
      </c>
      <c r="F201" s="6">
        <v>2</v>
      </c>
      <c r="G201" s="8" t="s">
        <v>770</v>
      </c>
      <c r="H201" s="8" t="s">
        <v>771</v>
      </c>
      <c r="I201" s="7" t="s">
        <v>730</v>
      </c>
      <c r="J201" s="8" t="s">
        <v>787</v>
      </c>
      <c r="K201" s="14" t="b">
        <v>1</v>
      </c>
      <c r="L201" s="14" t="b">
        <v>0</v>
      </c>
      <c r="M201" s="14" t="b">
        <v>0</v>
      </c>
      <c r="N201" s="14" t="b">
        <v>1</v>
      </c>
      <c r="O201" s="14" t="b">
        <v>1</v>
      </c>
      <c r="W201" s="3"/>
    </row>
    <row r="202" spans="1:23" x14ac:dyDescent="0.25">
      <c r="A202" s="4">
        <v>29435005008103</v>
      </c>
      <c r="B202" s="8" t="s">
        <v>198</v>
      </c>
      <c r="C202" s="8" t="s">
        <v>199</v>
      </c>
      <c r="D202" s="7" t="s">
        <v>21</v>
      </c>
      <c r="E202" s="7" t="s">
        <v>795</v>
      </c>
      <c r="F202" s="6">
        <v>2</v>
      </c>
      <c r="G202" s="8" t="s">
        <v>726</v>
      </c>
      <c r="H202" s="8" t="s">
        <v>727</v>
      </c>
      <c r="I202" s="7" t="s">
        <v>723</v>
      </c>
      <c r="J202" s="8" t="s">
        <v>787</v>
      </c>
      <c r="K202" s="14" t="b">
        <v>0</v>
      </c>
      <c r="L202" s="14" t="b">
        <v>1</v>
      </c>
      <c r="M202" s="14" t="b">
        <v>1</v>
      </c>
      <c r="N202" s="14" t="b">
        <v>0</v>
      </c>
      <c r="O202" s="14" t="b">
        <v>1</v>
      </c>
      <c r="W202" s="3"/>
    </row>
    <row r="203" spans="1:23" x14ac:dyDescent="0.25">
      <c r="A203" s="4">
        <v>29435005008103</v>
      </c>
      <c r="B203" s="8" t="s">
        <v>198</v>
      </c>
      <c r="C203" s="8" t="s">
        <v>199</v>
      </c>
      <c r="D203" s="7" t="s">
        <v>21</v>
      </c>
      <c r="E203" s="7" t="s">
        <v>795</v>
      </c>
      <c r="F203" s="6">
        <v>2</v>
      </c>
      <c r="G203" s="8" t="s">
        <v>728</v>
      </c>
      <c r="H203" s="8" t="s">
        <v>729</v>
      </c>
      <c r="I203" s="7" t="s">
        <v>730</v>
      </c>
      <c r="J203" s="8" t="s">
        <v>787</v>
      </c>
      <c r="K203" s="14" t="b">
        <v>1</v>
      </c>
      <c r="L203" s="14" t="b">
        <v>0</v>
      </c>
      <c r="M203" s="14" t="b">
        <v>0</v>
      </c>
      <c r="N203" s="14" t="b">
        <v>1</v>
      </c>
      <c r="O203" s="14" t="b">
        <v>1</v>
      </c>
      <c r="W203" s="3"/>
    </row>
    <row r="204" spans="1:23" x14ac:dyDescent="0.25">
      <c r="A204" s="4">
        <v>29435005008294</v>
      </c>
      <c r="B204" s="8" t="s">
        <v>130</v>
      </c>
      <c r="C204" s="8" t="s">
        <v>131</v>
      </c>
      <c r="D204" s="7" t="s">
        <v>21</v>
      </c>
      <c r="E204" s="7" t="s">
        <v>795</v>
      </c>
      <c r="F204" s="6">
        <v>2</v>
      </c>
      <c r="G204" s="8" t="s">
        <v>724</v>
      </c>
      <c r="H204" s="8" t="s">
        <v>725</v>
      </c>
      <c r="I204" s="7" t="s">
        <v>723</v>
      </c>
      <c r="J204" s="8" t="s">
        <v>787</v>
      </c>
      <c r="K204" s="14" t="b">
        <v>0</v>
      </c>
      <c r="L204" s="14" t="b">
        <v>1</v>
      </c>
      <c r="M204" s="14" t="b">
        <v>1</v>
      </c>
      <c r="N204" s="14" t="b">
        <v>0</v>
      </c>
      <c r="O204" s="14" t="b">
        <v>1</v>
      </c>
      <c r="W204" s="3"/>
    </row>
    <row r="205" spans="1:23" x14ac:dyDescent="0.25">
      <c r="A205" s="4">
        <v>29435005008294</v>
      </c>
      <c r="B205" s="8" t="s">
        <v>130</v>
      </c>
      <c r="C205" s="8" t="s">
        <v>131</v>
      </c>
      <c r="D205" s="7" t="s">
        <v>21</v>
      </c>
      <c r="E205" s="7" t="s">
        <v>795</v>
      </c>
      <c r="F205" s="6">
        <v>2</v>
      </c>
      <c r="G205" s="8" t="s">
        <v>740</v>
      </c>
      <c r="H205" s="8" t="s">
        <v>741</v>
      </c>
      <c r="I205" s="7" t="s">
        <v>730</v>
      </c>
      <c r="J205" s="8" t="s">
        <v>787</v>
      </c>
      <c r="K205" s="14" t="b">
        <v>1</v>
      </c>
      <c r="L205" s="14" t="b">
        <v>0</v>
      </c>
      <c r="M205" s="14" t="b">
        <v>0</v>
      </c>
      <c r="N205" s="14" t="b">
        <v>1</v>
      </c>
      <c r="O205" s="14" t="b">
        <v>1</v>
      </c>
      <c r="W205" s="3"/>
    </row>
    <row r="206" spans="1:23" x14ac:dyDescent="0.25">
      <c r="A206" s="4">
        <v>29435005008456</v>
      </c>
      <c r="B206" s="8" t="s">
        <v>132</v>
      </c>
      <c r="C206" s="8" t="s">
        <v>123</v>
      </c>
      <c r="D206" s="7" t="s">
        <v>21</v>
      </c>
      <c r="E206" s="7" t="s">
        <v>795</v>
      </c>
      <c r="F206" s="6">
        <v>2</v>
      </c>
      <c r="G206" s="8" t="s">
        <v>726</v>
      </c>
      <c r="H206" s="8" t="s">
        <v>727</v>
      </c>
      <c r="I206" s="7" t="s">
        <v>723</v>
      </c>
      <c r="J206" s="8" t="s">
        <v>787</v>
      </c>
      <c r="K206" s="14" t="b">
        <v>0</v>
      </c>
      <c r="L206" s="14" t="b">
        <v>1</v>
      </c>
      <c r="M206" s="14" t="b">
        <v>1</v>
      </c>
      <c r="N206" s="14" t="b">
        <v>0</v>
      </c>
      <c r="O206" s="14" t="b">
        <v>1</v>
      </c>
      <c r="W206" s="3"/>
    </row>
    <row r="207" spans="1:23" x14ac:dyDescent="0.25">
      <c r="A207" s="4">
        <v>29435005008456</v>
      </c>
      <c r="B207" s="8" t="s">
        <v>132</v>
      </c>
      <c r="C207" s="8" t="s">
        <v>123</v>
      </c>
      <c r="D207" s="7" t="s">
        <v>21</v>
      </c>
      <c r="E207" s="7" t="s">
        <v>795</v>
      </c>
      <c r="F207" s="6">
        <v>2</v>
      </c>
      <c r="G207" s="8" t="s">
        <v>728</v>
      </c>
      <c r="H207" s="8" t="s">
        <v>729</v>
      </c>
      <c r="I207" s="7" t="s">
        <v>730</v>
      </c>
      <c r="J207" s="8" t="s">
        <v>787</v>
      </c>
      <c r="K207" s="14" t="b">
        <v>1</v>
      </c>
      <c r="L207" s="14" t="b">
        <v>0</v>
      </c>
      <c r="M207" s="14" t="b">
        <v>0</v>
      </c>
      <c r="N207" s="14" t="b">
        <v>1</v>
      </c>
      <c r="O207" s="14" t="b">
        <v>1</v>
      </c>
      <c r="W207" s="3"/>
    </row>
    <row r="208" spans="1:23" x14ac:dyDescent="0.25">
      <c r="A208" s="4">
        <v>43293604002120</v>
      </c>
      <c r="B208" s="8" t="s">
        <v>133</v>
      </c>
      <c r="C208" s="8" t="s">
        <v>134</v>
      </c>
      <c r="D208" s="7" t="s">
        <v>21</v>
      </c>
      <c r="E208" s="7" t="s">
        <v>795</v>
      </c>
      <c r="F208" s="6">
        <v>2</v>
      </c>
      <c r="G208" s="8" t="s">
        <v>724</v>
      </c>
      <c r="H208" s="8" t="s">
        <v>725</v>
      </c>
      <c r="I208" s="7" t="s">
        <v>723</v>
      </c>
      <c r="J208" s="8" t="s">
        <v>787</v>
      </c>
      <c r="K208" s="14" t="b">
        <v>0</v>
      </c>
      <c r="L208" s="14" t="b">
        <v>1</v>
      </c>
      <c r="M208" s="14" t="b">
        <v>1</v>
      </c>
      <c r="N208" s="14" t="b">
        <v>0</v>
      </c>
      <c r="O208" s="14" t="b">
        <v>1</v>
      </c>
      <c r="W208" s="3"/>
    </row>
    <row r="209" spans="1:23" x14ac:dyDescent="0.25">
      <c r="A209" s="4">
        <v>43293604002120</v>
      </c>
      <c r="B209" s="8" t="s">
        <v>133</v>
      </c>
      <c r="C209" s="8" t="s">
        <v>134</v>
      </c>
      <c r="D209" s="7" t="s">
        <v>21</v>
      </c>
      <c r="E209" s="7" t="s">
        <v>795</v>
      </c>
      <c r="F209" s="6">
        <v>2</v>
      </c>
      <c r="G209" s="8" t="s">
        <v>770</v>
      </c>
      <c r="H209" s="8" t="s">
        <v>771</v>
      </c>
      <c r="I209" s="7" t="s">
        <v>730</v>
      </c>
      <c r="J209" s="8" t="s">
        <v>787</v>
      </c>
      <c r="K209" s="14" t="b">
        <v>1</v>
      </c>
      <c r="L209" s="14" t="b">
        <v>0</v>
      </c>
      <c r="M209" s="14" t="b">
        <v>0</v>
      </c>
      <c r="N209" s="14" t="b">
        <v>1</v>
      </c>
      <c r="O209" s="14" t="b">
        <v>1</v>
      </c>
      <c r="W209" s="3"/>
    </row>
    <row r="210" spans="1:23" x14ac:dyDescent="0.25">
      <c r="A210" s="4">
        <v>44456036000311</v>
      </c>
      <c r="B210" s="8" t="s">
        <v>135</v>
      </c>
      <c r="C210" s="8" t="s">
        <v>136</v>
      </c>
      <c r="D210" s="7" t="s">
        <v>21</v>
      </c>
      <c r="E210" s="7" t="s">
        <v>795</v>
      </c>
      <c r="F210" s="6">
        <v>2</v>
      </c>
      <c r="G210" s="8" t="s">
        <v>726</v>
      </c>
      <c r="H210" s="8" t="s">
        <v>727</v>
      </c>
      <c r="I210" s="7" t="s">
        <v>723</v>
      </c>
      <c r="J210" s="8" t="s">
        <v>787</v>
      </c>
      <c r="K210" s="14" t="b">
        <v>0</v>
      </c>
      <c r="L210" s="14" t="b">
        <v>1</v>
      </c>
      <c r="M210" s="14" t="b">
        <v>1</v>
      </c>
      <c r="N210" s="14" t="b">
        <v>0</v>
      </c>
      <c r="O210" s="14" t="b">
        <v>1</v>
      </c>
      <c r="W210" s="3"/>
    </row>
    <row r="211" spans="1:23" x14ac:dyDescent="0.25">
      <c r="A211" s="4">
        <v>44456036000311</v>
      </c>
      <c r="B211" s="8" t="s">
        <v>135</v>
      </c>
      <c r="C211" s="8" t="s">
        <v>136</v>
      </c>
      <c r="D211" s="7" t="s">
        <v>21</v>
      </c>
      <c r="E211" s="7" t="s">
        <v>795</v>
      </c>
      <c r="F211" s="6">
        <v>2</v>
      </c>
      <c r="G211" s="8" t="s">
        <v>728</v>
      </c>
      <c r="H211" s="8" t="s">
        <v>729</v>
      </c>
      <c r="I211" s="7" t="s">
        <v>730</v>
      </c>
      <c r="J211" s="8" t="s">
        <v>787</v>
      </c>
      <c r="K211" s="14" t="b">
        <v>1</v>
      </c>
      <c r="L211" s="14" t="b">
        <v>0</v>
      </c>
      <c r="M211" s="14" t="b">
        <v>0</v>
      </c>
      <c r="N211" s="14" t="b">
        <v>1</v>
      </c>
      <c r="O211" s="14" t="b">
        <v>1</v>
      </c>
      <c r="W211" s="3"/>
    </row>
    <row r="212" spans="1:23" x14ac:dyDescent="0.25">
      <c r="A212" s="4">
        <v>44531788000138</v>
      </c>
      <c r="B212" s="8" t="s">
        <v>137</v>
      </c>
      <c r="C212" s="8" t="s">
        <v>138</v>
      </c>
      <c r="D212" s="7" t="s">
        <v>21</v>
      </c>
      <c r="E212" s="7" t="s">
        <v>795</v>
      </c>
      <c r="F212" s="6">
        <v>2</v>
      </c>
      <c r="G212" s="8" t="s">
        <v>726</v>
      </c>
      <c r="H212" s="8" t="s">
        <v>727</v>
      </c>
      <c r="I212" s="7" t="s">
        <v>723</v>
      </c>
      <c r="J212" s="8" t="s">
        <v>787</v>
      </c>
      <c r="K212" s="14" t="b">
        <v>0</v>
      </c>
      <c r="L212" s="14" t="b">
        <v>1</v>
      </c>
      <c r="M212" s="14" t="b">
        <v>1</v>
      </c>
      <c r="N212" s="14" t="b">
        <v>0</v>
      </c>
      <c r="O212" s="14" t="b">
        <v>1</v>
      </c>
      <c r="W212" s="3"/>
    </row>
    <row r="213" spans="1:23" x14ac:dyDescent="0.25">
      <c r="A213" s="4">
        <v>44531788000138</v>
      </c>
      <c r="B213" s="8" t="s">
        <v>137</v>
      </c>
      <c r="C213" s="8" t="s">
        <v>138</v>
      </c>
      <c r="D213" s="7" t="s">
        <v>21</v>
      </c>
      <c r="E213" s="7" t="s">
        <v>795</v>
      </c>
      <c r="F213" s="6">
        <v>2</v>
      </c>
      <c r="G213" s="8" t="s">
        <v>728</v>
      </c>
      <c r="H213" s="8" t="s">
        <v>729</v>
      </c>
      <c r="I213" s="7" t="s">
        <v>730</v>
      </c>
      <c r="J213" s="8" t="s">
        <v>787</v>
      </c>
      <c r="K213" s="14" t="b">
        <v>1</v>
      </c>
      <c r="L213" s="14" t="b">
        <v>0</v>
      </c>
      <c r="M213" s="14" t="b">
        <v>0</v>
      </c>
      <c r="N213" s="14" t="b">
        <v>1</v>
      </c>
      <c r="O213" s="14" t="b">
        <v>1</v>
      </c>
      <c r="W213" s="3"/>
    </row>
    <row r="214" spans="1:23" x14ac:dyDescent="0.25">
      <c r="A214" s="4">
        <v>44649812001614</v>
      </c>
      <c r="B214" s="8" t="s">
        <v>200</v>
      </c>
      <c r="C214" s="8" t="s">
        <v>153</v>
      </c>
      <c r="D214" s="7" t="s">
        <v>21</v>
      </c>
      <c r="E214" s="7" t="s">
        <v>795</v>
      </c>
      <c r="F214" s="6">
        <v>2</v>
      </c>
      <c r="G214" s="8" t="s">
        <v>726</v>
      </c>
      <c r="H214" s="8" t="s">
        <v>727</v>
      </c>
      <c r="I214" s="7" t="s">
        <v>723</v>
      </c>
      <c r="J214" s="8" t="s">
        <v>787</v>
      </c>
      <c r="K214" s="14" t="b">
        <v>0</v>
      </c>
      <c r="L214" s="14" t="b">
        <v>1</v>
      </c>
      <c r="M214" s="14" t="b">
        <v>1</v>
      </c>
      <c r="N214" s="14" t="b">
        <v>0</v>
      </c>
      <c r="O214" s="14" t="b">
        <v>1</v>
      </c>
      <c r="W214" s="3"/>
    </row>
    <row r="215" spans="1:23" x14ac:dyDescent="0.25">
      <c r="A215" s="4">
        <v>44649812001614</v>
      </c>
      <c r="B215" s="8" t="s">
        <v>200</v>
      </c>
      <c r="C215" s="8" t="s">
        <v>153</v>
      </c>
      <c r="D215" s="7" t="s">
        <v>21</v>
      </c>
      <c r="E215" s="7" t="s">
        <v>795</v>
      </c>
      <c r="F215" s="6">
        <v>2</v>
      </c>
      <c r="G215" s="8" t="s">
        <v>728</v>
      </c>
      <c r="H215" s="8" t="s">
        <v>729</v>
      </c>
      <c r="I215" s="7" t="s">
        <v>730</v>
      </c>
      <c r="J215" s="8" t="s">
        <v>787</v>
      </c>
      <c r="K215" s="14" t="b">
        <v>1</v>
      </c>
      <c r="L215" s="14" t="b">
        <v>0</v>
      </c>
      <c r="M215" s="14" t="b">
        <v>0</v>
      </c>
      <c r="N215" s="14" t="b">
        <v>1</v>
      </c>
      <c r="O215" s="14" t="b">
        <v>1</v>
      </c>
      <c r="W215" s="3"/>
    </row>
    <row r="216" spans="1:23" x14ac:dyDescent="0.25">
      <c r="A216" s="4">
        <v>44649812019238</v>
      </c>
      <c r="B216" s="8" t="s">
        <v>139</v>
      </c>
      <c r="C216" s="8" t="s">
        <v>123</v>
      </c>
      <c r="D216" s="7" t="s">
        <v>21</v>
      </c>
      <c r="E216" s="7" t="s">
        <v>795</v>
      </c>
      <c r="F216" s="6">
        <v>2</v>
      </c>
      <c r="G216" s="8" t="s">
        <v>726</v>
      </c>
      <c r="H216" s="8" t="s">
        <v>727</v>
      </c>
      <c r="I216" s="7" t="s">
        <v>723</v>
      </c>
      <c r="J216" s="8" t="s">
        <v>787</v>
      </c>
      <c r="K216" s="14" t="b">
        <v>0</v>
      </c>
      <c r="L216" s="14" t="b">
        <v>1</v>
      </c>
      <c r="M216" s="14" t="b">
        <v>1</v>
      </c>
      <c r="N216" s="14" t="b">
        <v>0</v>
      </c>
      <c r="O216" s="14" t="b">
        <v>1</v>
      </c>
      <c r="W216" s="3"/>
    </row>
    <row r="217" spans="1:23" x14ac:dyDescent="0.25">
      <c r="A217" s="4">
        <v>44649812019238</v>
      </c>
      <c r="B217" s="8" t="s">
        <v>139</v>
      </c>
      <c r="C217" s="8" t="s">
        <v>123</v>
      </c>
      <c r="D217" s="7" t="s">
        <v>21</v>
      </c>
      <c r="E217" s="7" t="s">
        <v>795</v>
      </c>
      <c r="F217" s="6">
        <v>2</v>
      </c>
      <c r="G217" s="8" t="s">
        <v>728</v>
      </c>
      <c r="H217" s="8" t="s">
        <v>729</v>
      </c>
      <c r="I217" s="7" t="s">
        <v>730</v>
      </c>
      <c r="J217" s="8" t="s">
        <v>787</v>
      </c>
      <c r="K217" s="14" t="b">
        <v>1</v>
      </c>
      <c r="L217" s="14" t="b">
        <v>0</v>
      </c>
      <c r="M217" s="14" t="b">
        <v>0</v>
      </c>
      <c r="N217" s="14" t="b">
        <v>1</v>
      </c>
      <c r="O217" s="14" t="b">
        <v>1</v>
      </c>
      <c r="W217" s="3"/>
    </row>
    <row r="218" spans="1:23" x14ac:dyDescent="0.25">
      <c r="A218" s="4">
        <v>44663631000590</v>
      </c>
      <c r="B218" s="8" t="s">
        <v>140</v>
      </c>
      <c r="C218" s="8" t="s">
        <v>141</v>
      </c>
      <c r="D218" s="7" t="s">
        <v>21</v>
      </c>
      <c r="E218" s="7" t="s">
        <v>795</v>
      </c>
      <c r="F218" s="6">
        <v>2</v>
      </c>
      <c r="G218" s="8" t="s">
        <v>726</v>
      </c>
      <c r="H218" s="8" t="s">
        <v>727</v>
      </c>
      <c r="I218" s="7" t="s">
        <v>723</v>
      </c>
      <c r="J218" s="8" t="s">
        <v>787</v>
      </c>
      <c r="K218" s="14" t="b">
        <v>0</v>
      </c>
      <c r="L218" s="14" t="b">
        <v>1</v>
      </c>
      <c r="M218" s="14" t="b">
        <v>1</v>
      </c>
      <c r="N218" s="14" t="b">
        <v>0</v>
      </c>
      <c r="O218" s="14" t="b">
        <v>1</v>
      </c>
      <c r="W218" s="3"/>
    </row>
    <row r="219" spans="1:23" x14ac:dyDescent="0.25">
      <c r="A219" s="4">
        <v>44663631000590</v>
      </c>
      <c r="B219" s="8" t="s">
        <v>140</v>
      </c>
      <c r="C219" s="8" t="s">
        <v>141</v>
      </c>
      <c r="D219" s="7" t="s">
        <v>21</v>
      </c>
      <c r="E219" s="7" t="s">
        <v>795</v>
      </c>
      <c r="F219" s="6">
        <v>2</v>
      </c>
      <c r="G219" s="8" t="s">
        <v>728</v>
      </c>
      <c r="H219" s="8" t="s">
        <v>729</v>
      </c>
      <c r="I219" s="7" t="s">
        <v>730</v>
      </c>
      <c r="J219" s="8" t="s">
        <v>787</v>
      </c>
      <c r="K219" s="14" t="b">
        <v>1</v>
      </c>
      <c r="L219" s="14" t="b">
        <v>0</v>
      </c>
      <c r="M219" s="14" t="b">
        <v>0</v>
      </c>
      <c r="N219" s="14" t="b">
        <v>1</v>
      </c>
      <c r="O219" s="14" t="b">
        <v>1</v>
      </c>
      <c r="W219" s="3"/>
    </row>
    <row r="220" spans="1:23" x14ac:dyDescent="0.25">
      <c r="A220" s="4">
        <v>44803922000293</v>
      </c>
      <c r="B220" s="8" t="s">
        <v>142</v>
      </c>
      <c r="C220" s="8" t="s">
        <v>143</v>
      </c>
      <c r="D220" s="7" t="s">
        <v>21</v>
      </c>
      <c r="E220" s="7" t="s">
        <v>795</v>
      </c>
      <c r="F220" s="6">
        <v>2</v>
      </c>
      <c r="G220" s="8" t="s">
        <v>726</v>
      </c>
      <c r="H220" s="8" t="s">
        <v>727</v>
      </c>
      <c r="I220" s="7" t="s">
        <v>723</v>
      </c>
      <c r="J220" s="8" t="s">
        <v>787</v>
      </c>
      <c r="K220" s="14" t="b">
        <v>0</v>
      </c>
      <c r="L220" s="14" t="b">
        <v>1</v>
      </c>
      <c r="M220" s="14" t="b">
        <v>1</v>
      </c>
      <c r="N220" s="14" t="b">
        <v>0</v>
      </c>
      <c r="O220" s="14" t="b">
        <v>1</v>
      </c>
      <c r="W220" s="3"/>
    </row>
    <row r="221" spans="1:23" x14ac:dyDescent="0.25">
      <c r="A221" s="4">
        <v>44803922000293</v>
      </c>
      <c r="B221" s="8" t="s">
        <v>142</v>
      </c>
      <c r="C221" s="8" t="s">
        <v>143</v>
      </c>
      <c r="D221" s="7" t="s">
        <v>21</v>
      </c>
      <c r="E221" s="7" t="s">
        <v>795</v>
      </c>
      <c r="F221" s="6">
        <v>2</v>
      </c>
      <c r="G221" s="8" t="s">
        <v>728</v>
      </c>
      <c r="H221" s="8" t="s">
        <v>729</v>
      </c>
      <c r="I221" s="7" t="s">
        <v>730</v>
      </c>
      <c r="J221" s="8" t="s">
        <v>787</v>
      </c>
      <c r="K221" s="14" t="b">
        <v>1</v>
      </c>
      <c r="L221" s="14" t="b">
        <v>0</v>
      </c>
      <c r="M221" s="14" t="b">
        <v>0</v>
      </c>
      <c r="N221" s="14" t="b">
        <v>1</v>
      </c>
      <c r="O221" s="14" t="b">
        <v>1</v>
      </c>
      <c r="W221" s="3"/>
    </row>
    <row r="222" spans="1:23" x14ac:dyDescent="0.25">
      <c r="A222" s="4">
        <v>45118429001279</v>
      </c>
      <c r="B222" s="8" t="s">
        <v>144</v>
      </c>
      <c r="C222" s="8" t="s">
        <v>145</v>
      </c>
      <c r="D222" s="7" t="s">
        <v>21</v>
      </c>
      <c r="E222" s="7" t="s">
        <v>795</v>
      </c>
      <c r="F222" s="6">
        <v>2</v>
      </c>
      <c r="G222" s="8" t="s">
        <v>726</v>
      </c>
      <c r="H222" s="8" t="s">
        <v>727</v>
      </c>
      <c r="I222" s="7" t="s">
        <v>723</v>
      </c>
      <c r="J222" s="8" t="s">
        <v>787</v>
      </c>
      <c r="K222" s="14" t="b">
        <v>0</v>
      </c>
      <c r="L222" s="14" t="b">
        <v>1</v>
      </c>
      <c r="M222" s="14" t="b">
        <v>1</v>
      </c>
      <c r="N222" s="14" t="b">
        <v>0</v>
      </c>
      <c r="O222" s="14" t="b">
        <v>1</v>
      </c>
      <c r="W222" s="3"/>
    </row>
    <row r="223" spans="1:23" x14ac:dyDescent="0.25">
      <c r="A223" s="4">
        <v>45118429001279</v>
      </c>
      <c r="B223" s="8" t="s">
        <v>144</v>
      </c>
      <c r="C223" s="8" t="s">
        <v>145</v>
      </c>
      <c r="D223" s="7" t="s">
        <v>21</v>
      </c>
      <c r="E223" s="7" t="s">
        <v>795</v>
      </c>
      <c r="F223" s="6">
        <v>2</v>
      </c>
      <c r="G223" s="8" t="s">
        <v>728</v>
      </c>
      <c r="H223" s="8" t="s">
        <v>729</v>
      </c>
      <c r="I223" s="7" t="s">
        <v>730</v>
      </c>
      <c r="J223" s="8" t="s">
        <v>787</v>
      </c>
      <c r="K223" s="14" t="b">
        <v>1</v>
      </c>
      <c r="L223" s="14" t="b">
        <v>0</v>
      </c>
      <c r="M223" s="14" t="b">
        <v>0</v>
      </c>
      <c r="N223" s="14" t="b">
        <v>1</v>
      </c>
      <c r="O223" s="14" t="b">
        <v>1</v>
      </c>
      <c r="W223" s="3"/>
    </row>
    <row r="224" spans="1:23" x14ac:dyDescent="0.25">
      <c r="A224" s="4">
        <v>45184066000117</v>
      </c>
      <c r="B224" s="8" t="s">
        <v>146</v>
      </c>
      <c r="C224" s="8" t="s">
        <v>117</v>
      </c>
      <c r="D224" s="7" t="s">
        <v>21</v>
      </c>
      <c r="E224" s="7" t="s">
        <v>795</v>
      </c>
      <c r="F224" s="6">
        <v>2</v>
      </c>
      <c r="G224" s="8" t="s">
        <v>740</v>
      </c>
      <c r="H224" s="8" t="s">
        <v>741</v>
      </c>
      <c r="I224" s="7" t="s">
        <v>730</v>
      </c>
      <c r="J224" s="8" t="s">
        <v>787</v>
      </c>
      <c r="K224" s="14" t="b">
        <v>1</v>
      </c>
      <c r="L224" s="14" t="b">
        <v>0</v>
      </c>
      <c r="M224" s="14" t="b">
        <v>0</v>
      </c>
      <c r="N224" s="14" t="b">
        <v>1</v>
      </c>
      <c r="O224" s="14" t="b">
        <v>1</v>
      </c>
      <c r="W224" s="3"/>
    </row>
    <row r="225" spans="1:23" x14ac:dyDescent="0.25">
      <c r="A225" s="4">
        <v>45184066000117</v>
      </c>
      <c r="B225" s="8" t="s">
        <v>146</v>
      </c>
      <c r="C225" s="8" t="s">
        <v>117</v>
      </c>
      <c r="D225" s="7" t="s">
        <v>21</v>
      </c>
      <c r="E225" s="7" t="s">
        <v>795</v>
      </c>
      <c r="F225" s="6">
        <v>2</v>
      </c>
      <c r="G225" s="8" t="s">
        <v>762</v>
      </c>
      <c r="H225" s="8" t="s">
        <v>763</v>
      </c>
      <c r="I225" s="7" t="s">
        <v>723</v>
      </c>
      <c r="J225" s="8" t="s">
        <v>787</v>
      </c>
      <c r="K225" s="14" t="b">
        <v>0</v>
      </c>
      <c r="L225" s="14" t="b">
        <v>1</v>
      </c>
      <c r="M225" s="14" t="b">
        <v>1</v>
      </c>
      <c r="N225" s="14" t="b">
        <v>0</v>
      </c>
      <c r="O225" s="14" t="b">
        <v>1</v>
      </c>
      <c r="W225" s="3"/>
    </row>
    <row r="226" spans="1:23" x14ac:dyDescent="0.25">
      <c r="A226" s="4">
        <v>45232246000550</v>
      </c>
      <c r="B226" s="8" t="s">
        <v>147</v>
      </c>
      <c r="C226" s="8" t="s">
        <v>109</v>
      </c>
      <c r="D226" s="7" t="s">
        <v>21</v>
      </c>
      <c r="E226" s="7" t="s">
        <v>795</v>
      </c>
      <c r="F226" s="6">
        <v>2</v>
      </c>
      <c r="G226" s="8" t="s">
        <v>726</v>
      </c>
      <c r="H226" s="8" t="s">
        <v>727</v>
      </c>
      <c r="I226" s="7" t="s">
        <v>723</v>
      </c>
      <c r="J226" s="8" t="s">
        <v>787</v>
      </c>
      <c r="K226" s="14" t="b">
        <v>0</v>
      </c>
      <c r="L226" s="14" t="b">
        <v>1</v>
      </c>
      <c r="M226" s="14" t="b">
        <v>1</v>
      </c>
      <c r="N226" s="14" t="b">
        <v>0</v>
      </c>
      <c r="O226" s="14" t="b">
        <v>1</v>
      </c>
      <c r="W226" s="3"/>
    </row>
    <row r="227" spans="1:23" x14ac:dyDescent="0.25">
      <c r="A227" s="4">
        <v>45232246000550</v>
      </c>
      <c r="B227" s="8" t="s">
        <v>147</v>
      </c>
      <c r="C227" s="8" t="s">
        <v>109</v>
      </c>
      <c r="D227" s="7" t="s">
        <v>21</v>
      </c>
      <c r="E227" s="7" t="s">
        <v>795</v>
      </c>
      <c r="F227" s="6">
        <v>2</v>
      </c>
      <c r="G227" s="8" t="s">
        <v>728</v>
      </c>
      <c r="H227" s="8" t="s">
        <v>729</v>
      </c>
      <c r="I227" s="7" t="s">
        <v>730</v>
      </c>
      <c r="J227" s="8" t="s">
        <v>787</v>
      </c>
      <c r="K227" s="14" t="b">
        <v>1</v>
      </c>
      <c r="L227" s="14" t="b">
        <v>0</v>
      </c>
      <c r="M227" s="14" t="b">
        <v>0</v>
      </c>
      <c r="N227" s="14" t="b">
        <v>1</v>
      </c>
      <c r="O227" s="14" t="b">
        <v>1</v>
      </c>
      <c r="W227" s="3"/>
    </row>
    <row r="228" spans="1:23" x14ac:dyDescent="0.25">
      <c r="A228" s="4">
        <v>45359213000576</v>
      </c>
      <c r="B228" s="8" t="s">
        <v>148</v>
      </c>
      <c r="C228" s="8" t="s">
        <v>149</v>
      </c>
      <c r="D228" s="7" t="s">
        <v>21</v>
      </c>
      <c r="E228" s="7" t="s">
        <v>795</v>
      </c>
      <c r="F228" s="6">
        <v>2</v>
      </c>
      <c r="G228" s="8" t="s">
        <v>726</v>
      </c>
      <c r="H228" s="8" t="s">
        <v>727</v>
      </c>
      <c r="I228" s="7" t="s">
        <v>723</v>
      </c>
      <c r="J228" s="8" t="s">
        <v>787</v>
      </c>
      <c r="K228" s="14" t="b">
        <v>0</v>
      </c>
      <c r="L228" s="14" t="b">
        <v>1</v>
      </c>
      <c r="M228" s="14" t="b">
        <v>1</v>
      </c>
      <c r="N228" s="14" t="b">
        <v>0</v>
      </c>
      <c r="O228" s="14" t="b">
        <v>1</v>
      </c>
      <c r="W228" s="3"/>
    </row>
    <row r="229" spans="1:23" x14ac:dyDescent="0.25">
      <c r="A229" s="4">
        <v>45359213000576</v>
      </c>
      <c r="B229" s="8" t="s">
        <v>148</v>
      </c>
      <c r="C229" s="8" t="s">
        <v>149</v>
      </c>
      <c r="D229" s="7" t="s">
        <v>21</v>
      </c>
      <c r="E229" s="7" t="s">
        <v>795</v>
      </c>
      <c r="F229" s="6">
        <v>2</v>
      </c>
      <c r="G229" s="8" t="s">
        <v>728</v>
      </c>
      <c r="H229" s="8" t="s">
        <v>729</v>
      </c>
      <c r="I229" s="7" t="s">
        <v>730</v>
      </c>
      <c r="J229" s="8" t="s">
        <v>787</v>
      </c>
      <c r="K229" s="14" t="b">
        <v>1</v>
      </c>
      <c r="L229" s="14" t="b">
        <v>0</v>
      </c>
      <c r="M229" s="14" t="b">
        <v>0</v>
      </c>
      <c r="N229" s="14" t="b">
        <v>1</v>
      </c>
      <c r="O229" s="14" t="b">
        <v>1</v>
      </c>
      <c r="W229" s="3"/>
    </row>
    <row r="230" spans="1:23" x14ac:dyDescent="0.25">
      <c r="A230" s="4">
        <v>45399961000230</v>
      </c>
      <c r="B230" s="8" t="s">
        <v>150</v>
      </c>
      <c r="C230" s="8" t="s">
        <v>151</v>
      </c>
      <c r="D230" s="7" t="s">
        <v>21</v>
      </c>
      <c r="E230" s="7" t="s">
        <v>795</v>
      </c>
      <c r="F230" s="6">
        <v>2</v>
      </c>
      <c r="G230" s="8" t="s">
        <v>762</v>
      </c>
      <c r="H230" s="8" t="s">
        <v>763</v>
      </c>
      <c r="I230" s="7" t="s">
        <v>723</v>
      </c>
      <c r="J230" s="8" t="s">
        <v>787</v>
      </c>
      <c r="K230" s="14" t="b">
        <v>0</v>
      </c>
      <c r="L230" s="14" t="b">
        <v>1</v>
      </c>
      <c r="M230" s="14" t="b">
        <v>1</v>
      </c>
      <c r="N230" s="14" t="b">
        <v>0</v>
      </c>
      <c r="O230" s="14" t="b">
        <v>1</v>
      </c>
      <c r="W230" s="3"/>
    </row>
    <row r="231" spans="1:23" x14ac:dyDescent="0.25">
      <c r="A231" s="4">
        <v>45399961000230</v>
      </c>
      <c r="B231" s="8" t="s">
        <v>150</v>
      </c>
      <c r="C231" s="8" t="s">
        <v>151</v>
      </c>
      <c r="D231" s="7" t="s">
        <v>21</v>
      </c>
      <c r="E231" s="7" t="s">
        <v>795</v>
      </c>
      <c r="F231" s="6">
        <v>2</v>
      </c>
      <c r="G231" s="8" t="s">
        <v>770</v>
      </c>
      <c r="H231" s="8" t="s">
        <v>771</v>
      </c>
      <c r="I231" s="7" t="s">
        <v>730</v>
      </c>
      <c r="J231" s="8" t="s">
        <v>787</v>
      </c>
      <c r="K231" s="14" t="b">
        <v>1</v>
      </c>
      <c r="L231" s="14" t="b">
        <v>0</v>
      </c>
      <c r="M231" s="14" t="b">
        <v>0</v>
      </c>
      <c r="N231" s="14" t="b">
        <v>1</v>
      </c>
      <c r="O231" s="14" t="b">
        <v>1</v>
      </c>
      <c r="W231" s="3"/>
    </row>
    <row r="232" spans="1:23" x14ac:dyDescent="0.25">
      <c r="A232" s="4">
        <v>45780103000150</v>
      </c>
      <c r="B232" s="8" t="s">
        <v>152</v>
      </c>
      <c r="C232" s="8" t="s">
        <v>153</v>
      </c>
      <c r="D232" s="7" t="s">
        <v>21</v>
      </c>
      <c r="E232" s="7" t="s">
        <v>795</v>
      </c>
      <c r="F232" s="6">
        <v>2</v>
      </c>
      <c r="G232" s="8" t="s">
        <v>726</v>
      </c>
      <c r="H232" s="8" t="s">
        <v>727</v>
      </c>
      <c r="I232" s="7" t="s">
        <v>723</v>
      </c>
      <c r="J232" s="8" t="s">
        <v>787</v>
      </c>
      <c r="K232" s="14" t="b">
        <v>0</v>
      </c>
      <c r="L232" s="14" t="b">
        <v>1</v>
      </c>
      <c r="M232" s="14" t="b">
        <v>1</v>
      </c>
      <c r="N232" s="14" t="b">
        <v>0</v>
      </c>
      <c r="O232" s="14" t="b">
        <v>1</v>
      </c>
      <c r="W232" s="3"/>
    </row>
    <row r="233" spans="1:23" x14ac:dyDescent="0.25">
      <c r="A233" s="4">
        <v>45780103000150</v>
      </c>
      <c r="B233" s="8" t="s">
        <v>152</v>
      </c>
      <c r="C233" s="8" t="s">
        <v>153</v>
      </c>
      <c r="D233" s="7" t="s">
        <v>21</v>
      </c>
      <c r="E233" s="7" t="s">
        <v>795</v>
      </c>
      <c r="F233" s="6">
        <v>2</v>
      </c>
      <c r="G233" s="8" t="s">
        <v>728</v>
      </c>
      <c r="H233" s="8" t="s">
        <v>729</v>
      </c>
      <c r="I233" s="7" t="s">
        <v>730</v>
      </c>
      <c r="J233" s="8" t="s">
        <v>787</v>
      </c>
      <c r="K233" s="14" t="b">
        <v>1</v>
      </c>
      <c r="L233" s="14" t="b">
        <v>0</v>
      </c>
      <c r="M233" s="14" t="b">
        <v>0</v>
      </c>
      <c r="N233" s="14" t="b">
        <v>1</v>
      </c>
      <c r="O233" s="14" t="b">
        <v>1</v>
      </c>
      <c r="W233" s="3"/>
    </row>
    <row r="234" spans="1:23" x14ac:dyDescent="0.25">
      <c r="A234" s="4">
        <v>46009718000140</v>
      </c>
      <c r="B234" s="8" t="s">
        <v>154</v>
      </c>
      <c r="C234" s="8" t="s">
        <v>123</v>
      </c>
      <c r="D234" s="7" t="s">
        <v>21</v>
      </c>
      <c r="E234" s="7" t="s">
        <v>795</v>
      </c>
      <c r="F234" s="6">
        <v>2</v>
      </c>
      <c r="G234" s="8" t="s">
        <v>726</v>
      </c>
      <c r="H234" s="8" t="s">
        <v>727</v>
      </c>
      <c r="I234" s="7" t="s">
        <v>723</v>
      </c>
      <c r="J234" s="8" t="s">
        <v>787</v>
      </c>
      <c r="K234" s="14" t="b">
        <v>0</v>
      </c>
      <c r="L234" s="14" t="b">
        <v>1</v>
      </c>
      <c r="M234" s="14" t="b">
        <v>1</v>
      </c>
      <c r="N234" s="14" t="b">
        <v>0</v>
      </c>
      <c r="O234" s="14" t="b">
        <v>1</v>
      </c>
      <c r="W234" s="3"/>
    </row>
    <row r="235" spans="1:23" x14ac:dyDescent="0.25">
      <c r="A235" s="4">
        <v>46009718000140</v>
      </c>
      <c r="B235" s="8" t="s">
        <v>154</v>
      </c>
      <c r="C235" s="8" t="s">
        <v>123</v>
      </c>
      <c r="D235" s="7" t="s">
        <v>21</v>
      </c>
      <c r="E235" s="7" t="s">
        <v>795</v>
      </c>
      <c r="F235" s="6">
        <v>2</v>
      </c>
      <c r="G235" s="8" t="s">
        <v>728</v>
      </c>
      <c r="H235" s="8" t="s">
        <v>729</v>
      </c>
      <c r="I235" s="7" t="s">
        <v>730</v>
      </c>
      <c r="J235" s="8" t="s">
        <v>787</v>
      </c>
      <c r="K235" s="14" t="b">
        <v>1</v>
      </c>
      <c r="L235" s="14" t="b">
        <v>0</v>
      </c>
      <c r="M235" s="14" t="b">
        <v>0</v>
      </c>
      <c r="N235" s="14" t="b">
        <v>1</v>
      </c>
      <c r="O235" s="14" t="b">
        <v>1</v>
      </c>
      <c r="W235" s="3"/>
    </row>
    <row r="236" spans="1:23" x14ac:dyDescent="0.25">
      <c r="A236" s="4">
        <v>46020301000269</v>
      </c>
      <c r="B236" s="8" t="s">
        <v>155</v>
      </c>
      <c r="C236" s="8" t="s">
        <v>123</v>
      </c>
      <c r="D236" s="7" t="s">
        <v>21</v>
      </c>
      <c r="E236" s="7" t="s">
        <v>795</v>
      </c>
      <c r="F236" s="6">
        <v>2</v>
      </c>
      <c r="G236" s="8" t="s">
        <v>726</v>
      </c>
      <c r="H236" s="8" t="s">
        <v>727</v>
      </c>
      <c r="I236" s="7" t="s">
        <v>723</v>
      </c>
      <c r="J236" s="8" t="s">
        <v>787</v>
      </c>
      <c r="K236" s="14" t="b">
        <v>0</v>
      </c>
      <c r="L236" s="14" t="b">
        <v>1</v>
      </c>
      <c r="M236" s="14" t="b">
        <v>1</v>
      </c>
      <c r="N236" s="14" t="b">
        <v>0</v>
      </c>
      <c r="O236" s="14" t="b">
        <v>1</v>
      </c>
      <c r="W236" s="3"/>
    </row>
    <row r="237" spans="1:23" x14ac:dyDescent="0.25">
      <c r="A237" s="4">
        <v>46020301000269</v>
      </c>
      <c r="B237" s="8" t="s">
        <v>155</v>
      </c>
      <c r="C237" s="8" t="s">
        <v>123</v>
      </c>
      <c r="D237" s="7" t="s">
        <v>21</v>
      </c>
      <c r="E237" s="7" t="s">
        <v>795</v>
      </c>
      <c r="F237" s="6">
        <v>2</v>
      </c>
      <c r="G237" s="8" t="s">
        <v>728</v>
      </c>
      <c r="H237" s="8" t="s">
        <v>729</v>
      </c>
      <c r="I237" s="7" t="s">
        <v>730</v>
      </c>
      <c r="J237" s="8" t="s">
        <v>787</v>
      </c>
      <c r="K237" s="14" t="b">
        <v>1</v>
      </c>
      <c r="L237" s="14" t="b">
        <v>0</v>
      </c>
      <c r="M237" s="14" t="b">
        <v>0</v>
      </c>
      <c r="N237" s="14" t="b">
        <v>1</v>
      </c>
      <c r="O237" s="14" t="b">
        <v>1</v>
      </c>
      <c r="W237" s="3"/>
    </row>
    <row r="238" spans="1:23" x14ac:dyDescent="0.25">
      <c r="A238" s="4">
        <v>46068425000133</v>
      </c>
      <c r="B238" s="8" t="s">
        <v>183</v>
      </c>
      <c r="C238" s="8" t="s">
        <v>123</v>
      </c>
      <c r="D238" s="7" t="s">
        <v>21</v>
      </c>
      <c r="E238" s="7" t="s">
        <v>795</v>
      </c>
      <c r="F238" s="6">
        <v>2</v>
      </c>
      <c r="G238" s="8" t="s">
        <v>726</v>
      </c>
      <c r="H238" s="8" t="s">
        <v>727</v>
      </c>
      <c r="I238" s="7" t="s">
        <v>723</v>
      </c>
      <c r="J238" s="8" t="s">
        <v>787</v>
      </c>
      <c r="K238" s="14" t="b">
        <v>0</v>
      </c>
      <c r="L238" s="14" t="b">
        <v>1</v>
      </c>
      <c r="M238" s="14" t="b">
        <v>1</v>
      </c>
      <c r="N238" s="14" t="b">
        <v>0</v>
      </c>
      <c r="O238" s="14" t="b">
        <v>1</v>
      </c>
      <c r="W238" s="3"/>
    </row>
    <row r="239" spans="1:23" x14ac:dyDescent="0.25">
      <c r="A239" s="4">
        <v>46068425000133</v>
      </c>
      <c r="B239" s="8" t="s">
        <v>183</v>
      </c>
      <c r="C239" s="8" t="s">
        <v>123</v>
      </c>
      <c r="D239" s="7" t="s">
        <v>21</v>
      </c>
      <c r="E239" s="7" t="s">
        <v>795</v>
      </c>
      <c r="F239" s="6">
        <v>2</v>
      </c>
      <c r="G239" s="8" t="s">
        <v>728</v>
      </c>
      <c r="H239" s="8" t="s">
        <v>729</v>
      </c>
      <c r="I239" s="7" t="s">
        <v>730</v>
      </c>
      <c r="J239" s="8" t="s">
        <v>787</v>
      </c>
      <c r="K239" s="14" t="b">
        <v>1</v>
      </c>
      <c r="L239" s="14" t="b">
        <v>0</v>
      </c>
      <c r="M239" s="14" t="b">
        <v>0</v>
      </c>
      <c r="N239" s="14" t="b">
        <v>1</v>
      </c>
      <c r="O239" s="14" t="b">
        <v>1</v>
      </c>
      <c r="W239" s="3"/>
    </row>
    <row r="240" spans="1:23" x14ac:dyDescent="0.25">
      <c r="A240" s="4">
        <v>46124624000111</v>
      </c>
      <c r="B240" s="8" t="s">
        <v>156</v>
      </c>
      <c r="C240" s="8" t="s">
        <v>123</v>
      </c>
      <c r="D240" s="7" t="s">
        <v>21</v>
      </c>
      <c r="E240" s="7" t="s">
        <v>795</v>
      </c>
      <c r="F240" s="6">
        <v>2</v>
      </c>
      <c r="G240" s="8" t="s">
        <v>726</v>
      </c>
      <c r="H240" s="8" t="s">
        <v>727</v>
      </c>
      <c r="I240" s="7" t="s">
        <v>723</v>
      </c>
      <c r="J240" s="8" t="s">
        <v>787</v>
      </c>
      <c r="K240" s="14" t="b">
        <v>0</v>
      </c>
      <c r="L240" s="14" t="b">
        <v>1</v>
      </c>
      <c r="M240" s="14" t="b">
        <v>1</v>
      </c>
      <c r="N240" s="14" t="b">
        <v>0</v>
      </c>
      <c r="O240" s="14" t="b">
        <v>1</v>
      </c>
      <c r="W240" s="3"/>
    </row>
    <row r="241" spans="1:23" x14ac:dyDescent="0.25">
      <c r="A241" s="4">
        <v>46124624000111</v>
      </c>
      <c r="B241" s="8" t="s">
        <v>156</v>
      </c>
      <c r="C241" s="8" t="s">
        <v>123</v>
      </c>
      <c r="D241" s="7" t="s">
        <v>21</v>
      </c>
      <c r="E241" s="7" t="s">
        <v>795</v>
      </c>
      <c r="F241" s="6">
        <v>2</v>
      </c>
      <c r="G241" s="8" t="s">
        <v>728</v>
      </c>
      <c r="H241" s="8" t="s">
        <v>729</v>
      </c>
      <c r="I241" s="7" t="s">
        <v>730</v>
      </c>
      <c r="J241" s="8" t="s">
        <v>787</v>
      </c>
      <c r="K241" s="14" t="b">
        <v>1</v>
      </c>
      <c r="L241" s="14" t="b">
        <v>0</v>
      </c>
      <c r="M241" s="14" t="b">
        <v>0</v>
      </c>
      <c r="N241" s="14" t="b">
        <v>1</v>
      </c>
      <c r="O241" s="14" t="b">
        <v>1</v>
      </c>
      <c r="W241" s="3"/>
    </row>
    <row r="242" spans="1:23" x14ac:dyDescent="0.25">
      <c r="A242" s="4">
        <v>46124624002599</v>
      </c>
      <c r="B242" s="8" t="s">
        <v>157</v>
      </c>
      <c r="C242" s="8" t="s">
        <v>158</v>
      </c>
      <c r="D242" s="7" t="s">
        <v>21</v>
      </c>
      <c r="E242" s="7" t="s">
        <v>795</v>
      </c>
      <c r="F242" s="6">
        <v>2</v>
      </c>
      <c r="G242" s="8" t="s">
        <v>726</v>
      </c>
      <c r="H242" s="8" t="s">
        <v>727</v>
      </c>
      <c r="I242" s="7" t="s">
        <v>723</v>
      </c>
      <c r="J242" s="8" t="s">
        <v>787</v>
      </c>
      <c r="K242" s="14" t="b">
        <v>0</v>
      </c>
      <c r="L242" s="14" t="b">
        <v>1</v>
      </c>
      <c r="M242" s="14" t="b">
        <v>1</v>
      </c>
      <c r="N242" s="14" t="b">
        <v>0</v>
      </c>
      <c r="O242" s="14" t="b">
        <v>1</v>
      </c>
      <c r="W242" s="3"/>
    </row>
    <row r="243" spans="1:23" x14ac:dyDescent="0.25">
      <c r="A243" s="4">
        <v>46124624002599</v>
      </c>
      <c r="B243" s="8" t="s">
        <v>157</v>
      </c>
      <c r="C243" s="8" t="s">
        <v>158</v>
      </c>
      <c r="D243" s="7" t="s">
        <v>21</v>
      </c>
      <c r="E243" s="7" t="s">
        <v>795</v>
      </c>
      <c r="F243" s="6">
        <v>2</v>
      </c>
      <c r="G243" s="8" t="s">
        <v>728</v>
      </c>
      <c r="H243" s="8" t="s">
        <v>729</v>
      </c>
      <c r="I243" s="7" t="s">
        <v>730</v>
      </c>
      <c r="J243" s="8" t="s">
        <v>787</v>
      </c>
      <c r="K243" s="14" t="b">
        <v>1</v>
      </c>
      <c r="L243" s="14" t="b">
        <v>0</v>
      </c>
      <c r="M243" s="14" t="b">
        <v>0</v>
      </c>
      <c r="N243" s="14" t="b">
        <v>1</v>
      </c>
      <c r="O243" s="14" t="b">
        <v>1</v>
      </c>
      <c r="W243" s="3"/>
    </row>
    <row r="244" spans="1:23" x14ac:dyDescent="0.25">
      <c r="A244" s="4">
        <v>46374500003533</v>
      </c>
      <c r="B244" s="8" t="s">
        <v>159</v>
      </c>
      <c r="C244" s="8" t="s">
        <v>109</v>
      </c>
      <c r="D244" s="7" t="s">
        <v>21</v>
      </c>
      <c r="E244" s="7" t="s">
        <v>795</v>
      </c>
      <c r="F244" s="6">
        <v>2</v>
      </c>
      <c r="G244" s="8" t="s">
        <v>726</v>
      </c>
      <c r="H244" s="8" t="s">
        <v>727</v>
      </c>
      <c r="I244" s="7" t="s">
        <v>723</v>
      </c>
      <c r="J244" s="8" t="s">
        <v>787</v>
      </c>
      <c r="K244" s="14" t="b">
        <v>0</v>
      </c>
      <c r="L244" s="14" t="b">
        <v>1</v>
      </c>
      <c r="M244" s="14" t="b">
        <v>1</v>
      </c>
      <c r="N244" s="14" t="b">
        <v>0</v>
      </c>
      <c r="O244" s="14" t="b">
        <v>1</v>
      </c>
      <c r="W244" s="3"/>
    </row>
    <row r="245" spans="1:23" x14ac:dyDescent="0.25">
      <c r="A245" s="4">
        <v>46374500003533</v>
      </c>
      <c r="B245" s="8" t="s">
        <v>159</v>
      </c>
      <c r="C245" s="8" t="s">
        <v>109</v>
      </c>
      <c r="D245" s="7" t="s">
        <v>21</v>
      </c>
      <c r="E245" s="7" t="s">
        <v>795</v>
      </c>
      <c r="F245" s="6">
        <v>2</v>
      </c>
      <c r="G245" s="8" t="s">
        <v>728</v>
      </c>
      <c r="H245" s="8" t="s">
        <v>729</v>
      </c>
      <c r="I245" s="7" t="s">
        <v>730</v>
      </c>
      <c r="J245" s="8" t="s">
        <v>787</v>
      </c>
      <c r="K245" s="14" t="b">
        <v>1</v>
      </c>
      <c r="L245" s="14" t="b">
        <v>0</v>
      </c>
      <c r="M245" s="14" t="b">
        <v>0</v>
      </c>
      <c r="N245" s="14" t="b">
        <v>1</v>
      </c>
      <c r="O245" s="14" t="b">
        <v>1</v>
      </c>
      <c r="W245" s="3"/>
    </row>
    <row r="246" spans="1:23" x14ac:dyDescent="0.25">
      <c r="A246" s="4">
        <v>46374500003886</v>
      </c>
      <c r="B246" s="8" t="s">
        <v>184</v>
      </c>
      <c r="C246" s="8" t="s">
        <v>185</v>
      </c>
      <c r="D246" s="7" t="s">
        <v>21</v>
      </c>
      <c r="E246" s="7" t="s">
        <v>795</v>
      </c>
      <c r="F246" s="6">
        <v>2</v>
      </c>
      <c r="G246" s="8" t="s">
        <v>726</v>
      </c>
      <c r="H246" s="8" t="s">
        <v>727</v>
      </c>
      <c r="I246" s="7" t="s">
        <v>723</v>
      </c>
      <c r="J246" s="8" t="s">
        <v>787</v>
      </c>
      <c r="K246" s="14" t="b">
        <v>0</v>
      </c>
      <c r="L246" s="14" t="b">
        <v>1</v>
      </c>
      <c r="M246" s="14" t="b">
        <v>1</v>
      </c>
      <c r="N246" s="14" t="b">
        <v>0</v>
      </c>
      <c r="O246" s="14" t="b">
        <v>1</v>
      </c>
      <c r="W246" s="3"/>
    </row>
    <row r="247" spans="1:23" x14ac:dyDescent="0.25">
      <c r="A247" s="4">
        <v>46374500003886</v>
      </c>
      <c r="B247" s="8" t="s">
        <v>184</v>
      </c>
      <c r="C247" s="8" t="s">
        <v>185</v>
      </c>
      <c r="D247" s="7" t="s">
        <v>21</v>
      </c>
      <c r="E247" s="7" t="s">
        <v>795</v>
      </c>
      <c r="F247" s="6">
        <v>2</v>
      </c>
      <c r="G247" s="8" t="s">
        <v>728</v>
      </c>
      <c r="H247" s="8" t="s">
        <v>729</v>
      </c>
      <c r="I247" s="7" t="s">
        <v>730</v>
      </c>
      <c r="J247" s="8" t="s">
        <v>787</v>
      </c>
      <c r="K247" s="14" t="b">
        <v>1</v>
      </c>
      <c r="L247" s="14" t="b">
        <v>0</v>
      </c>
      <c r="M247" s="14" t="b">
        <v>0</v>
      </c>
      <c r="N247" s="14" t="b">
        <v>1</v>
      </c>
      <c r="O247" s="14" t="b">
        <v>1</v>
      </c>
      <c r="W247" s="3"/>
    </row>
    <row r="248" spans="1:23" x14ac:dyDescent="0.25">
      <c r="A248" s="4">
        <v>46374500009060</v>
      </c>
      <c r="B248" s="8" t="s">
        <v>186</v>
      </c>
      <c r="C248" s="8" t="s">
        <v>143</v>
      </c>
      <c r="D248" s="7" t="s">
        <v>21</v>
      </c>
      <c r="E248" s="7" t="s">
        <v>795</v>
      </c>
      <c r="F248" s="6">
        <v>2</v>
      </c>
      <c r="G248" s="8" t="s">
        <v>726</v>
      </c>
      <c r="H248" s="8" t="s">
        <v>727</v>
      </c>
      <c r="I248" s="7" t="s">
        <v>723</v>
      </c>
      <c r="J248" s="8" t="s">
        <v>787</v>
      </c>
      <c r="K248" s="14" t="b">
        <v>0</v>
      </c>
      <c r="L248" s="14" t="b">
        <v>1</v>
      </c>
      <c r="M248" s="14" t="b">
        <v>1</v>
      </c>
      <c r="N248" s="14" t="b">
        <v>0</v>
      </c>
      <c r="O248" s="14" t="b">
        <v>1</v>
      </c>
      <c r="W248" s="3"/>
    </row>
    <row r="249" spans="1:23" x14ac:dyDescent="0.25">
      <c r="A249" s="4">
        <v>46374500009060</v>
      </c>
      <c r="B249" s="8" t="s">
        <v>186</v>
      </c>
      <c r="C249" s="8" t="s">
        <v>143</v>
      </c>
      <c r="D249" s="7" t="s">
        <v>21</v>
      </c>
      <c r="E249" s="7" t="s">
        <v>795</v>
      </c>
      <c r="F249" s="6">
        <v>2</v>
      </c>
      <c r="G249" s="8" t="s">
        <v>728</v>
      </c>
      <c r="H249" s="8" t="s">
        <v>729</v>
      </c>
      <c r="I249" s="7" t="s">
        <v>730</v>
      </c>
      <c r="J249" s="8" t="s">
        <v>787</v>
      </c>
      <c r="K249" s="14" t="b">
        <v>1</v>
      </c>
      <c r="L249" s="14" t="b">
        <v>0</v>
      </c>
      <c r="M249" s="14" t="b">
        <v>0</v>
      </c>
      <c r="N249" s="14" t="b">
        <v>1</v>
      </c>
      <c r="O249" s="14" t="b">
        <v>1</v>
      </c>
      <c r="W249" s="3"/>
    </row>
    <row r="250" spans="1:23" x14ac:dyDescent="0.25">
      <c r="A250" s="4">
        <v>46374500009221</v>
      </c>
      <c r="B250" s="8" t="s">
        <v>201</v>
      </c>
      <c r="C250" s="8" t="s">
        <v>202</v>
      </c>
      <c r="D250" s="7" t="s">
        <v>21</v>
      </c>
      <c r="E250" s="7" t="s">
        <v>795</v>
      </c>
      <c r="F250" s="6">
        <v>2</v>
      </c>
      <c r="G250" s="8" t="s">
        <v>726</v>
      </c>
      <c r="H250" s="8" t="s">
        <v>727</v>
      </c>
      <c r="I250" s="7" t="s">
        <v>723</v>
      </c>
      <c r="J250" s="8" t="s">
        <v>787</v>
      </c>
      <c r="K250" s="14" t="b">
        <v>0</v>
      </c>
      <c r="L250" s="14" t="b">
        <v>1</v>
      </c>
      <c r="M250" s="14" t="b">
        <v>1</v>
      </c>
      <c r="N250" s="14" t="b">
        <v>0</v>
      </c>
      <c r="O250" s="14" t="b">
        <v>1</v>
      </c>
      <c r="W250" s="3"/>
    </row>
    <row r="251" spans="1:23" x14ac:dyDescent="0.25">
      <c r="A251" s="4">
        <v>46374500009221</v>
      </c>
      <c r="B251" s="8" t="s">
        <v>201</v>
      </c>
      <c r="C251" s="8" t="s">
        <v>202</v>
      </c>
      <c r="D251" s="7" t="s">
        <v>21</v>
      </c>
      <c r="E251" s="7" t="s">
        <v>795</v>
      </c>
      <c r="F251" s="6">
        <v>2</v>
      </c>
      <c r="G251" s="8" t="s">
        <v>728</v>
      </c>
      <c r="H251" s="8" t="s">
        <v>729</v>
      </c>
      <c r="I251" s="7" t="s">
        <v>730</v>
      </c>
      <c r="J251" s="8" t="s">
        <v>787</v>
      </c>
      <c r="K251" s="14" t="b">
        <v>1</v>
      </c>
      <c r="L251" s="14" t="b">
        <v>0</v>
      </c>
      <c r="M251" s="14" t="b">
        <v>0</v>
      </c>
      <c r="N251" s="14" t="b">
        <v>1</v>
      </c>
      <c r="O251" s="14" t="b">
        <v>1</v>
      </c>
      <c r="W251" s="3"/>
    </row>
    <row r="252" spans="1:23" x14ac:dyDescent="0.25">
      <c r="A252" s="4">
        <v>46643466000106</v>
      </c>
      <c r="B252" s="8" t="s">
        <v>203</v>
      </c>
      <c r="C252" s="8" t="s">
        <v>117</v>
      </c>
      <c r="D252" s="7" t="s">
        <v>21</v>
      </c>
      <c r="E252" s="7" t="s">
        <v>795</v>
      </c>
      <c r="F252" s="6">
        <v>2</v>
      </c>
      <c r="G252" s="8" t="s">
        <v>740</v>
      </c>
      <c r="H252" s="8" t="s">
        <v>741</v>
      </c>
      <c r="I252" s="7" t="s">
        <v>730</v>
      </c>
      <c r="J252" s="8" t="s">
        <v>787</v>
      </c>
      <c r="K252" s="14" t="b">
        <v>1</v>
      </c>
      <c r="L252" s="14" t="b">
        <v>0</v>
      </c>
      <c r="M252" s="14" t="b">
        <v>0</v>
      </c>
      <c r="N252" s="14" t="b">
        <v>1</v>
      </c>
      <c r="O252" s="14" t="b">
        <v>1</v>
      </c>
      <c r="W252" s="3"/>
    </row>
    <row r="253" spans="1:23" x14ac:dyDescent="0.25">
      <c r="A253" s="4">
        <v>46643466000106</v>
      </c>
      <c r="B253" s="8" t="s">
        <v>203</v>
      </c>
      <c r="C253" s="8" t="s">
        <v>117</v>
      </c>
      <c r="D253" s="7" t="s">
        <v>21</v>
      </c>
      <c r="E253" s="7" t="s">
        <v>795</v>
      </c>
      <c r="F253" s="6">
        <v>2</v>
      </c>
      <c r="G253" s="8" t="s">
        <v>762</v>
      </c>
      <c r="H253" s="8" t="s">
        <v>763</v>
      </c>
      <c r="I253" s="7" t="s">
        <v>723</v>
      </c>
      <c r="J253" s="8" t="s">
        <v>787</v>
      </c>
      <c r="K253" s="14" t="b">
        <v>0</v>
      </c>
      <c r="L253" s="14" t="b">
        <v>1</v>
      </c>
      <c r="M253" s="14" t="b">
        <v>1</v>
      </c>
      <c r="N253" s="14" t="b">
        <v>0</v>
      </c>
      <c r="O253" s="14" t="b">
        <v>1</v>
      </c>
      <c r="W253" s="3"/>
    </row>
    <row r="254" spans="1:23" x14ac:dyDescent="0.25">
      <c r="A254" s="4">
        <v>47074851000819</v>
      </c>
      <c r="B254" s="8" t="s">
        <v>160</v>
      </c>
      <c r="C254" s="8" t="s">
        <v>145</v>
      </c>
      <c r="D254" s="7" t="s">
        <v>21</v>
      </c>
      <c r="E254" s="7" t="s">
        <v>795</v>
      </c>
      <c r="F254" s="6">
        <v>2</v>
      </c>
      <c r="G254" s="8" t="s">
        <v>726</v>
      </c>
      <c r="H254" s="8" t="s">
        <v>727</v>
      </c>
      <c r="I254" s="7" t="s">
        <v>723</v>
      </c>
      <c r="J254" s="8" t="s">
        <v>787</v>
      </c>
      <c r="K254" s="14" t="b">
        <v>0</v>
      </c>
      <c r="L254" s="14" t="b">
        <v>1</v>
      </c>
      <c r="M254" s="14" t="b">
        <v>1</v>
      </c>
      <c r="N254" s="14" t="b">
        <v>0</v>
      </c>
      <c r="O254" s="14" t="b">
        <v>1</v>
      </c>
      <c r="W254" s="3"/>
    </row>
    <row r="255" spans="1:23" x14ac:dyDescent="0.25">
      <c r="A255" s="4">
        <v>47074851000819</v>
      </c>
      <c r="B255" s="8" t="s">
        <v>160</v>
      </c>
      <c r="C255" s="8" t="s">
        <v>145</v>
      </c>
      <c r="D255" s="7" t="s">
        <v>21</v>
      </c>
      <c r="E255" s="7" t="s">
        <v>795</v>
      </c>
      <c r="F255" s="6">
        <v>2</v>
      </c>
      <c r="G255" s="8" t="s">
        <v>728</v>
      </c>
      <c r="H255" s="8" t="s">
        <v>729</v>
      </c>
      <c r="I255" s="7" t="s">
        <v>730</v>
      </c>
      <c r="J255" s="8" t="s">
        <v>787</v>
      </c>
      <c r="K255" s="14" t="b">
        <v>1</v>
      </c>
      <c r="L255" s="14" t="b">
        <v>0</v>
      </c>
      <c r="M255" s="14" t="b">
        <v>0</v>
      </c>
      <c r="N255" s="14" t="b">
        <v>1</v>
      </c>
      <c r="O255" s="14" t="b">
        <v>1</v>
      </c>
      <c r="W255" s="3"/>
    </row>
    <row r="256" spans="1:23" x14ac:dyDescent="0.25">
      <c r="A256" s="4">
        <v>47565155000996</v>
      </c>
      <c r="B256" s="8" t="s">
        <v>204</v>
      </c>
      <c r="C256" s="8" t="s">
        <v>205</v>
      </c>
      <c r="D256" s="7" t="s">
        <v>21</v>
      </c>
      <c r="E256" s="7" t="s">
        <v>795</v>
      </c>
      <c r="F256" s="6">
        <v>2</v>
      </c>
      <c r="G256" s="8" t="s">
        <v>726</v>
      </c>
      <c r="H256" s="8" t="s">
        <v>727</v>
      </c>
      <c r="I256" s="7" t="s">
        <v>723</v>
      </c>
      <c r="J256" s="8" t="s">
        <v>787</v>
      </c>
      <c r="K256" s="14" t="b">
        <v>0</v>
      </c>
      <c r="L256" s="14" t="b">
        <v>1</v>
      </c>
      <c r="M256" s="14" t="b">
        <v>1</v>
      </c>
      <c r="N256" s="14" t="b">
        <v>0</v>
      </c>
      <c r="O256" s="14" t="b">
        <v>1</v>
      </c>
      <c r="W256" s="3"/>
    </row>
    <row r="257" spans="1:23" x14ac:dyDescent="0.25">
      <c r="A257" s="4">
        <v>47565155000996</v>
      </c>
      <c r="B257" s="8" t="s">
        <v>204</v>
      </c>
      <c r="C257" s="8" t="s">
        <v>205</v>
      </c>
      <c r="D257" s="7" t="s">
        <v>21</v>
      </c>
      <c r="E257" s="7" t="s">
        <v>795</v>
      </c>
      <c r="F257" s="6">
        <v>2</v>
      </c>
      <c r="G257" s="8" t="s">
        <v>728</v>
      </c>
      <c r="H257" s="8" t="s">
        <v>729</v>
      </c>
      <c r="I257" s="7" t="s">
        <v>730</v>
      </c>
      <c r="J257" s="8" t="s">
        <v>787</v>
      </c>
      <c r="K257" s="14" t="b">
        <v>1</v>
      </c>
      <c r="L257" s="14" t="b">
        <v>0</v>
      </c>
      <c r="M257" s="14" t="b">
        <v>0</v>
      </c>
      <c r="N257" s="14" t="b">
        <v>1</v>
      </c>
      <c r="O257" s="14" t="b">
        <v>1</v>
      </c>
      <c r="W257" s="3"/>
    </row>
    <row r="258" spans="1:23" x14ac:dyDescent="0.25">
      <c r="A258" s="4">
        <v>48310098000100</v>
      </c>
      <c r="B258" s="8" t="s">
        <v>187</v>
      </c>
      <c r="C258" s="8" t="s">
        <v>111</v>
      </c>
      <c r="D258" s="7" t="s">
        <v>21</v>
      </c>
      <c r="E258" s="7" t="s">
        <v>795</v>
      </c>
      <c r="F258" s="6">
        <v>2</v>
      </c>
      <c r="G258" s="8" t="s">
        <v>726</v>
      </c>
      <c r="H258" s="8" t="s">
        <v>727</v>
      </c>
      <c r="I258" s="7" t="s">
        <v>723</v>
      </c>
      <c r="J258" s="8" t="s">
        <v>787</v>
      </c>
      <c r="K258" s="14" t="b">
        <v>0</v>
      </c>
      <c r="L258" s="14" t="b">
        <v>1</v>
      </c>
      <c r="M258" s="14" t="b">
        <v>1</v>
      </c>
      <c r="N258" s="14" t="b">
        <v>0</v>
      </c>
      <c r="O258" s="14" t="b">
        <v>1</v>
      </c>
      <c r="W258" s="3"/>
    </row>
    <row r="259" spans="1:23" x14ac:dyDescent="0.25">
      <c r="A259" s="4">
        <v>48310098000100</v>
      </c>
      <c r="B259" s="8" t="s">
        <v>187</v>
      </c>
      <c r="C259" s="8" t="s">
        <v>111</v>
      </c>
      <c r="D259" s="7" t="s">
        <v>21</v>
      </c>
      <c r="E259" s="7" t="s">
        <v>795</v>
      </c>
      <c r="F259" s="6">
        <v>2</v>
      </c>
      <c r="G259" s="8" t="s">
        <v>728</v>
      </c>
      <c r="H259" s="8" t="s">
        <v>729</v>
      </c>
      <c r="I259" s="7" t="s">
        <v>730</v>
      </c>
      <c r="J259" s="8" t="s">
        <v>787</v>
      </c>
      <c r="K259" s="14" t="b">
        <v>1</v>
      </c>
      <c r="L259" s="14" t="b">
        <v>0</v>
      </c>
      <c r="M259" s="14" t="b">
        <v>0</v>
      </c>
      <c r="N259" s="14" t="b">
        <v>1</v>
      </c>
      <c r="O259" s="14" t="b">
        <v>1</v>
      </c>
      <c r="W259" s="3"/>
    </row>
    <row r="260" spans="1:23" x14ac:dyDescent="0.25">
      <c r="A260" s="4">
        <v>48468284000171</v>
      </c>
      <c r="B260" s="8" t="s">
        <v>161</v>
      </c>
      <c r="C260" s="8" t="s">
        <v>162</v>
      </c>
      <c r="D260" s="7" t="s">
        <v>21</v>
      </c>
      <c r="E260" s="7" t="s">
        <v>795</v>
      </c>
      <c r="F260" s="6">
        <v>2</v>
      </c>
      <c r="G260" s="8" t="s">
        <v>726</v>
      </c>
      <c r="H260" s="8" t="s">
        <v>727</v>
      </c>
      <c r="I260" s="7" t="s">
        <v>723</v>
      </c>
      <c r="J260" s="8" t="s">
        <v>787</v>
      </c>
      <c r="K260" s="14" t="b">
        <v>0</v>
      </c>
      <c r="L260" s="14" t="b">
        <v>1</v>
      </c>
      <c r="M260" s="14" t="b">
        <v>1</v>
      </c>
      <c r="N260" s="14" t="b">
        <v>0</v>
      </c>
      <c r="O260" s="14" t="b">
        <v>1</v>
      </c>
      <c r="W260" s="3"/>
    </row>
    <row r="261" spans="1:23" x14ac:dyDescent="0.25">
      <c r="A261" s="4">
        <v>48468284000171</v>
      </c>
      <c r="B261" s="8" t="s">
        <v>161</v>
      </c>
      <c r="C261" s="8" t="s">
        <v>162</v>
      </c>
      <c r="D261" s="7" t="s">
        <v>21</v>
      </c>
      <c r="E261" s="7" t="s">
        <v>795</v>
      </c>
      <c r="F261" s="6">
        <v>2</v>
      </c>
      <c r="G261" s="8" t="s">
        <v>728</v>
      </c>
      <c r="H261" s="8" t="s">
        <v>729</v>
      </c>
      <c r="I261" s="7" t="s">
        <v>730</v>
      </c>
      <c r="J261" s="8" t="s">
        <v>787</v>
      </c>
      <c r="K261" s="14" t="b">
        <v>1</v>
      </c>
      <c r="L261" s="14" t="b">
        <v>0</v>
      </c>
      <c r="M261" s="14" t="b">
        <v>0</v>
      </c>
      <c r="N261" s="14" t="b">
        <v>1</v>
      </c>
      <c r="O261" s="14" t="b">
        <v>1</v>
      </c>
      <c r="W261" s="3"/>
    </row>
    <row r="262" spans="1:23" x14ac:dyDescent="0.25">
      <c r="A262" s="4">
        <v>50486026000160</v>
      </c>
      <c r="B262" s="8" t="s">
        <v>163</v>
      </c>
      <c r="C262" s="8" t="s">
        <v>164</v>
      </c>
      <c r="D262" s="7" t="s">
        <v>21</v>
      </c>
      <c r="E262" s="7" t="s">
        <v>795</v>
      </c>
      <c r="F262" s="6">
        <v>2</v>
      </c>
      <c r="G262" s="8" t="s">
        <v>726</v>
      </c>
      <c r="H262" s="8" t="s">
        <v>727</v>
      </c>
      <c r="I262" s="7" t="s">
        <v>723</v>
      </c>
      <c r="J262" s="8" t="s">
        <v>787</v>
      </c>
      <c r="K262" s="14" t="b">
        <v>0</v>
      </c>
      <c r="L262" s="14" t="b">
        <v>1</v>
      </c>
      <c r="M262" s="14" t="b">
        <v>1</v>
      </c>
      <c r="N262" s="14" t="b">
        <v>0</v>
      </c>
      <c r="O262" s="14" t="b">
        <v>1</v>
      </c>
      <c r="W262" s="3"/>
    </row>
    <row r="263" spans="1:23" x14ac:dyDescent="0.25">
      <c r="A263" s="4">
        <v>50486026000160</v>
      </c>
      <c r="B263" s="8" t="s">
        <v>163</v>
      </c>
      <c r="C263" s="8" t="s">
        <v>164</v>
      </c>
      <c r="D263" s="7" t="s">
        <v>21</v>
      </c>
      <c r="E263" s="7" t="s">
        <v>795</v>
      </c>
      <c r="F263" s="6">
        <v>2</v>
      </c>
      <c r="G263" s="8" t="s">
        <v>728</v>
      </c>
      <c r="H263" s="8" t="s">
        <v>729</v>
      </c>
      <c r="I263" s="7" t="s">
        <v>730</v>
      </c>
      <c r="J263" s="8" t="s">
        <v>787</v>
      </c>
      <c r="K263" s="14" t="b">
        <v>1</v>
      </c>
      <c r="L263" s="14" t="b">
        <v>0</v>
      </c>
      <c r="M263" s="14" t="b">
        <v>0</v>
      </c>
      <c r="N263" s="14" t="b">
        <v>1</v>
      </c>
      <c r="O263" s="14" t="b">
        <v>1</v>
      </c>
      <c r="W263" s="3"/>
    </row>
    <row r="264" spans="1:23" x14ac:dyDescent="0.25">
      <c r="A264" s="4">
        <v>50944198000130</v>
      </c>
      <c r="B264" s="8" t="s">
        <v>206</v>
      </c>
      <c r="C264" s="8" t="s">
        <v>153</v>
      </c>
      <c r="D264" s="7" t="s">
        <v>21</v>
      </c>
      <c r="E264" s="7" t="s">
        <v>795</v>
      </c>
      <c r="F264" s="6">
        <v>2</v>
      </c>
      <c r="G264" s="8" t="s">
        <v>726</v>
      </c>
      <c r="H264" s="8" t="s">
        <v>727</v>
      </c>
      <c r="I264" s="7" t="s">
        <v>723</v>
      </c>
      <c r="J264" s="8" t="s">
        <v>787</v>
      </c>
      <c r="K264" s="14" t="b">
        <v>0</v>
      </c>
      <c r="L264" s="14" t="b">
        <v>1</v>
      </c>
      <c r="M264" s="14" t="b">
        <v>1</v>
      </c>
      <c r="N264" s="14" t="b">
        <v>0</v>
      </c>
      <c r="O264" s="14" t="b">
        <v>1</v>
      </c>
      <c r="W264" s="3"/>
    </row>
    <row r="265" spans="1:23" x14ac:dyDescent="0.25">
      <c r="A265" s="4">
        <v>50944198000130</v>
      </c>
      <c r="B265" s="8" t="s">
        <v>206</v>
      </c>
      <c r="C265" s="8" t="s">
        <v>153</v>
      </c>
      <c r="D265" s="7" t="s">
        <v>21</v>
      </c>
      <c r="E265" s="7" t="s">
        <v>795</v>
      </c>
      <c r="F265" s="6">
        <v>2</v>
      </c>
      <c r="G265" s="8" t="s">
        <v>728</v>
      </c>
      <c r="H265" s="8" t="s">
        <v>729</v>
      </c>
      <c r="I265" s="7" t="s">
        <v>730</v>
      </c>
      <c r="J265" s="8" t="s">
        <v>787</v>
      </c>
      <c r="K265" s="14" t="b">
        <v>1</v>
      </c>
      <c r="L265" s="14" t="b">
        <v>0</v>
      </c>
      <c r="M265" s="14" t="b">
        <v>0</v>
      </c>
      <c r="N265" s="14" t="b">
        <v>1</v>
      </c>
      <c r="O265" s="14" t="b">
        <v>1</v>
      </c>
      <c r="W265" s="3"/>
    </row>
    <row r="266" spans="1:23" x14ac:dyDescent="0.25">
      <c r="A266" s="4">
        <v>51093193000456</v>
      </c>
      <c r="B266" s="8" t="s">
        <v>207</v>
      </c>
      <c r="C266" s="8" t="s">
        <v>185</v>
      </c>
      <c r="D266" s="7" t="s">
        <v>21</v>
      </c>
      <c r="E266" s="7" t="s">
        <v>795</v>
      </c>
      <c r="F266" s="6">
        <v>2</v>
      </c>
      <c r="G266" s="8" t="s">
        <v>726</v>
      </c>
      <c r="H266" s="8" t="s">
        <v>727</v>
      </c>
      <c r="I266" s="7" t="s">
        <v>723</v>
      </c>
      <c r="J266" s="8" t="s">
        <v>787</v>
      </c>
      <c r="K266" s="14" t="b">
        <v>0</v>
      </c>
      <c r="L266" s="14" t="b">
        <v>1</v>
      </c>
      <c r="M266" s="14" t="b">
        <v>1</v>
      </c>
      <c r="N266" s="14" t="b">
        <v>0</v>
      </c>
      <c r="O266" s="14" t="b">
        <v>1</v>
      </c>
      <c r="W266" s="3"/>
    </row>
    <row r="267" spans="1:23" x14ac:dyDescent="0.25">
      <c r="A267" s="4">
        <v>51093193000456</v>
      </c>
      <c r="B267" s="8" t="s">
        <v>207</v>
      </c>
      <c r="C267" s="8" t="s">
        <v>185</v>
      </c>
      <c r="D267" s="7" t="s">
        <v>21</v>
      </c>
      <c r="E267" s="7" t="s">
        <v>795</v>
      </c>
      <c r="F267" s="6">
        <v>2</v>
      </c>
      <c r="G267" s="8" t="s">
        <v>728</v>
      </c>
      <c r="H267" s="8" t="s">
        <v>729</v>
      </c>
      <c r="I267" s="7" t="s">
        <v>730</v>
      </c>
      <c r="J267" s="8" t="s">
        <v>787</v>
      </c>
      <c r="K267" s="14" t="b">
        <v>1</v>
      </c>
      <c r="L267" s="14" t="b">
        <v>0</v>
      </c>
      <c r="M267" s="14" t="b">
        <v>0</v>
      </c>
      <c r="N267" s="14" t="b">
        <v>1</v>
      </c>
      <c r="O267" s="14" t="b">
        <v>1</v>
      </c>
      <c r="W267" s="3"/>
    </row>
    <row r="268" spans="1:23" x14ac:dyDescent="0.25">
      <c r="A268" s="4">
        <v>51722957014302</v>
      </c>
      <c r="B268" s="8" t="s">
        <v>215</v>
      </c>
      <c r="C268" s="8" t="s">
        <v>216</v>
      </c>
      <c r="D268" s="7" t="s">
        <v>21</v>
      </c>
      <c r="E268" s="7" t="s">
        <v>795</v>
      </c>
      <c r="F268" s="6">
        <v>2</v>
      </c>
      <c r="G268" s="8" t="s">
        <v>726</v>
      </c>
      <c r="H268" s="8" t="s">
        <v>727</v>
      </c>
      <c r="I268" s="7" t="s">
        <v>723</v>
      </c>
      <c r="J268" s="8" t="s">
        <v>787</v>
      </c>
      <c r="K268" s="14" t="b">
        <v>0</v>
      </c>
      <c r="L268" s="14" t="b">
        <v>1</v>
      </c>
      <c r="M268" s="14" t="b">
        <v>1</v>
      </c>
      <c r="N268" s="14" t="b">
        <v>0</v>
      </c>
      <c r="O268" s="14" t="b">
        <v>1</v>
      </c>
      <c r="W268" s="3"/>
    </row>
    <row r="269" spans="1:23" x14ac:dyDescent="0.25">
      <c r="A269" s="4">
        <v>51722957014302</v>
      </c>
      <c r="B269" s="8" t="s">
        <v>215</v>
      </c>
      <c r="C269" s="8" t="s">
        <v>216</v>
      </c>
      <c r="D269" s="7" t="s">
        <v>21</v>
      </c>
      <c r="E269" s="7" t="s">
        <v>795</v>
      </c>
      <c r="F269" s="6">
        <v>2</v>
      </c>
      <c r="G269" s="8" t="s">
        <v>728</v>
      </c>
      <c r="H269" s="8" t="s">
        <v>729</v>
      </c>
      <c r="I269" s="7" t="s">
        <v>730</v>
      </c>
      <c r="J269" s="8" t="s">
        <v>787</v>
      </c>
      <c r="K269" s="14" t="b">
        <v>1</v>
      </c>
      <c r="L269" s="14" t="b">
        <v>0</v>
      </c>
      <c r="M269" s="14" t="b">
        <v>0</v>
      </c>
      <c r="N269" s="14" t="b">
        <v>1</v>
      </c>
      <c r="O269" s="14" t="b">
        <v>1</v>
      </c>
      <c r="W269" s="3"/>
    </row>
    <row r="270" spans="1:23" x14ac:dyDescent="0.25">
      <c r="A270" s="4">
        <v>51877926000109</v>
      </c>
      <c r="B270" s="8" t="s">
        <v>165</v>
      </c>
      <c r="C270" s="8" t="s">
        <v>123</v>
      </c>
      <c r="D270" s="7" t="s">
        <v>21</v>
      </c>
      <c r="E270" s="7" t="s">
        <v>795</v>
      </c>
      <c r="F270" s="6">
        <v>2</v>
      </c>
      <c r="G270" s="8" t="s">
        <v>726</v>
      </c>
      <c r="H270" s="8" t="s">
        <v>727</v>
      </c>
      <c r="I270" s="7" t="s">
        <v>723</v>
      </c>
      <c r="J270" s="8" t="s">
        <v>787</v>
      </c>
      <c r="K270" s="14" t="b">
        <v>0</v>
      </c>
      <c r="L270" s="14" t="b">
        <v>1</v>
      </c>
      <c r="M270" s="14" t="b">
        <v>1</v>
      </c>
      <c r="N270" s="14" t="b">
        <v>0</v>
      </c>
      <c r="O270" s="14" t="b">
        <v>1</v>
      </c>
      <c r="W270" s="3"/>
    </row>
    <row r="271" spans="1:23" x14ac:dyDescent="0.25">
      <c r="A271" s="4">
        <v>51877926000109</v>
      </c>
      <c r="B271" s="8" t="s">
        <v>165</v>
      </c>
      <c r="C271" s="8" t="s">
        <v>123</v>
      </c>
      <c r="D271" s="7" t="s">
        <v>21</v>
      </c>
      <c r="E271" s="7" t="s">
        <v>795</v>
      </c>
      <c r="F271" s="6">
        <v>2</v>
      </c>
      <c r="G271" s="8" t="s">
        <v>728</v>
      </c>
      <c r="H271" s="8" t="s">
        <v>729</v>
      </c>
      <c r="I271" s="7" t="s">
        <v>730</v>
      </c>
      <c r="J271" s="8" t="s">
        <v>787</v>
      </c>
      <c r="K271" s="14" t="b">
        <v>1</v>
      </c>
      <c r="L271" s="14" t="b">
        <v>0</v>
      </c>
      <c r="M271" s="14" t="b">
        <v>0</v>
      </c>
      <c r="N271" s="14" t="b">
        <v>1</v>
      </c>
      <c r="O271" s="14" t="b">
        <v>1</v>
      </c>
      <c r="W271" s="3"/>
    </row>
    <row r="272" spans="1:23" x14ac:dyDescent="0.25">
      <c r="A272" s="4">
        <v>51885242000140</v>
      </c>
      <c r="B272" s="8" t="s">
        <v>166</v>
      </c>
      <c r="C272" s="8" t="s">
        <v>123</v>
      </c>
      <c r="D272" s="7" t="s">
        <v>21</v>
      </c>
      <c r="E272" s="7" t="s">
        <v>795</v>
      </c>
      <c r="F272" s="6">
        <v>2</v>
      </c>
      <c r="G272" s="8" t="s">
        <v>726</v>
      </c>
      <c r="H272" s="8" t="s">
        <v>727</v>
      </c>
      <c r="I272" s="7" t="s">
        <v>723</v>
      </c>
      <c r="J272" s="8" t="s">
        <v>787</v>
      </c>
      <c r="K272" s="14" t="b">
        <v>0</v>
      </c>
      <c r="L272" s="14" t="b">
        <v>1</v>
      </c>
      <c r="M272" s="14" t="b">
        <v>1</v>
      </c>
      <c r="N272" s="14" t="b">
        <v>0</v>
      </c>
      <c r="O272" s="14" t="b">
        <v>1</v>
      </c>
      <c r="W272" s="3"/>
    </row>
    <row r="273" spans="1:23" x14ac:dyDescent="0.25">
      <c r="A273" s="4">
        <v>51885242000140</v>
      </c>
      <c r="B273" s="8" t="s">
        <v>166</v>
      </c>
      <c r="C273" s="8" t="s">
        <v>123</v>
      </c>
      <c r="D273" s="7" t="s">
        <v>21</v>
      </c>
      <c r="E273" s="7" t="s">
        <v>795</v>
      </c>
      <c r="F273" s="6">
        <v>2</v>
      </c>
      <c r="G273" s="8" t="s">
        <v>728</v>
      </c>
      <c r="H273" s="8" t="s">
        <v>729</v>
      </c>
      <c r="I273" s="7" t="s">
        <v>730</v>
      </c>
      <c r="J273" s="8" t="s">
        <v>787</v>
      </c>
      <c r="K273" s="14" t="b">
        <v>1</v>
      </c>
      <c r="L273" s="14" t="b">
        <v>0</v>
      </c>
      <c r="M273" s="14" t="b">
        <v>0</v>
      </c>
      <c r="N273" s="14" t="b">
        <v>1</v>
      </c>
      <c r="O273" s="14" t="b">
        <v>1</v>
      </c>
      <c r="W273" s="3"/>
    </row>
    <row r="274" spans="1:23" x14ac:dyDescent="0.25">
      <c r="A274" s="4">
        <v>52852100000140</v>
      </c>
      <c r="B274" s="8" t="s">
        <v>208</v>
      </c>
      <c r="C274" s="8" t="s">
        <v>209</v>
      </c>
      <c r="D274" s="7" t="s">
        <v>21</v>
      </c>
      <c r="E274" s="7" t="s">
        <v>795</v>
      </c>
      <c r="F274" s="6">
        <v>2</v>
      </c>
      <c r="G274" s="8" t="s">
        <v>726</v>
      </c>
      <c r="H274" s="8" t="s">
        <v>727</v>
      </c>
      <c r="I274" s="7" t="s">
        <v>723</v>
      </c>
      <c r="J274" s="8" t="s">
        <v>787</v>
      </c>
      <c r="K274" s="14" t="b">
        <v>0</v>
      </c>
      <c r="L274" s="14" t="b">
        <v>1</v>
      </c>
      <c r="M274" s="14" t="b">
        <v>1</v>
      </c>
      <c r="N274" s="14" t="b">
        <v>0</v>
      </c>
      <c r="O274" s="14" t="b">
        <v>1</v>
      </c>
      <c r="W274" s="3"/>
    </row>
    <row r="275" spans="1:23" x14ac:dyDescent="0.25">
      <c r="A275" s="4">
        <v>52852100000140</v>
      </c>
      <c r="B275" s="8" t="s">
        <v>208</v>
      </c>
      <c r="C275" s="8" t="s">
        <v>209</v>
      </c>
      <c r="D275" s="7" t="s">
        <v>21</v>
      </c>
      <c r="E275" s="7" t="s">
        <v>795</v>
      </c>
      <c r="F275" s="6">
        <v>2</v>
      </c>
      <c r="G275" s="8" t="s">
        <v>728</v>
      </c>
      <c r="H275" s="8" t="s">
        <v>729</v>
      </c>
      <c r="I275" s="7" t="s">
        <v>730</v>
      </c>
      <c r="J275" s="8" t="s">
        <v>787</v>
      </c>
      <c r="K275" s="14" t="b">
        <v>1</v>
      </c>
      <c r="L275" s="14" t="b">
        <v>0</v>
      </c>
      <c r="M275" s="14" t="b">
        <v>0</v>
      </c>
      <c r="N275" s="14" t="b">
        <v>1</v>
      </c>
      <c r="O275" s="14" t="b">
        <v>1</v>
      </c>
      <c r="W275" s="3"/>
    </row>
    <row r="276" spans="1:23" x14ac:dyDescent="0.25">
      <c r="A276" s="4">
        <v>53311999000156</v>
      </c>
      <c r="B276" s="8" t="s">
        <v>210</v>
      </c>
      <c r="C276" s="8" t="s">
        <v>211</v>
      </c>
      <c r="D276" s="7" t="s">
        <v>21</v>
      </c>
      <c r="E276" s="7" t="s">
        <v>795</v>
      </c>
      <c r="F276" s="6">
        <v>2</v>
      </c>
      <c r="G276" s="8" t="s">
        <v>726</v>
      </c>
      <c r="H276" s="8" t="s">
        <v>727</v>
      </c>
      <c r="I276" s="7" t="s">
        <v>723</v>
      </c>
      <c r="J276" s="8" t="s">
        <v>787</v>
      </c>
      <c r="K276" s="14" t="b">
        <v>0</v>
      </c>
      <c r="L276" s="14" t="b">
        <v>1</v>
      </c>
      <c r="M276" s="14" t="b">
        <v>1</v>
      </c>
      <c r="N276" s="14" t="b">
        <v>0</v>
      </c>
      <c r="O276" s="14" t="b">
        <v>1</v>
      </c>
      <c r="W276" s="3"/>
    </row>
    <row r="277" spans="1:23" x14ac:dyDescent="0.25">
      <c r="A277" s="4">
        <v>53311999000156</v>
      </c>
      <c r="B277" s="8" t="s">
        <v>210</v>
      </c>
      <c r="C277" s="8" t="s">
        <v>211</v>
      </c>
      <c r="D277" s="7" t="s">
        <v>21</v>
      </c>
      <c r="E277" s="7" t="s">
        <v>795</v>
      </c>
      <c r="F277" s="6">
        <v>2</v>
      </c>
      <c r="G277" s="8" t="s">
        <v>728</v>
      </c>
      <c r="H277" s="8" t="s">
        <v>729</v>
      </c>
      <c r="I277" s="7" t="s">
        <v>730</v>
      </c>
      <c r="J277" s="8" t="s">
        <v>787</v>
      </c>
      <c r="K277" s="14" t="b">
        <v>1</v>
      </c>
      <c r="L277" s="14" t="b">
        <v>0</v>
      </c>
      <c r="M277" s="14" t="b">
        <v>0</v>
      </c>
      <c r="N277" s="14" t="b">
        <v>1</v>
      </c>
      <c r="O277" s="14" t="b">
        <v>1</v>
      </c>
      <c r="W277" s="3"/>
    </row>
    <row r="278" spans="1:23" x14ac:dyDescent="0.25">
      <c r="A278" s="4">
        <v>54012406000385</v>
      </c>
      <c r="B278" s="8" t="s">
        <v>167</v>
      </c>
      <c r="C278" s="8" t="s">
        <v>168</v>
      </c>
      <c r="D278" s="7" t="s">
        <v>21</v>
      </c>
      <c r="E278" s="7" t="s">
        <v>795</v>
      </c>
      <c r="F278" s="6">
        <v>2</v>
      </c>
      <c r="G278" s="8" t="s">
        <v>726</v>
      </c>
      <c r="H278" s="8" t="s">
        <v>727</v>
      </c>
      <c r="I278" s="7" t="s">
        <v>723</v>
      </c>
      <c r="J278" s="8" t="s">
        <v>787</v>
      </c>
      <c r="K278" s="14" t="b">
        <v>0</v>
      </c>
      <c r="L278" s="14" t="b">
        <v>1</v>
      </c>
      <c r="M278" s="14" t="b">
        <v>1</v>
      </c>
      <c r="N278" s="14" t="b">
        <v>0</v>
      </c>
      <c r="O278" s="14" t="b">
        <v>1</v>
      </c>
      <c r="W278" s="3"/>
    </row>
    <row r="279" spans="1:23" x14ac:dyDescent="0.25">
      <c r="A279" s="4">
        <v>54012406000385</v>
      </c>
      <c r="B279" s="8" t="s">
        <v>167</v>
      </c>
      <c r="C279" s="8" t="s">
        <v>168</v>
      </c>
      <c r="D279" s="7" t="s">
        <v>21</v>
      </c>
      <c r="E279" s="7" t="s">
        <v>795</v>
      </c>
      <c r="F279" s="6">
        <v>2</v>
      </c>
      <c r="G279" s="8" t="s">
        <v>728</v>
      </c>
      <c r="H279" s="8" t="s">
        <v>729</v>
      </c>
      <c r="I279" s="7" t="s">
        <v>730</v>
      </c>
      <c r="J279" s="8" t="s">
        <v>787</v>
      </c>
      <c r="K279" s="14" t="b">
        <v>1</v>
      </c>
      <c r="L279" s="14" t="b">
        <v>0</v>
      </c>
      <c r="M279" s="14" t="b">
        <v>0</v>
      </c>
      <c r="N279" s="14" t="b">
        <v>1</v>
      </c>
      <c r="O279" s="14" t="b">
        <v>1</v>
      </c>
      <c r="W279" s="3"/>
    </row>
    <row r="280" spans="1:23" x14ac:dyDescent="0.25">
      <c r="A280" s="4">
        <v>55980148000121</v>
      </c>
      <c r="B280" s="8" t="s">
        <v>169</v>
      </c>
      <c r="C280" s="8" t="s">
        <v>109</v>
      </c>
      <c r="D280" s="7" t="s">
        <v>21</v>
      </c>
      <c r="E280" s="7" t="s">
        <v>795</v>
      </c>
      <c r="F280" s="6">
        <v>2</v>
      </c>
      <c r="G280" s="8" t="s">
        <v>726</v>
      </c>
      <c r="H280" s="8" t="s">
        <v>727</v>
      </c>
      <c r="I280" s="7" t="s">
        <v>723</v>
      </c>
      <c r="J280" s="8" t="s">
        <v>787</v>
      </c>
      <c r="K280" s="14" t="b">
        <v>0</v>
      </c>
      <c r="L280" s="14" t="b">
        <v>1</v>
      </c>
      <c r="M280" s="14" t="b">
        <v>1</v>
      </c>
      <c r="N280" s="14" t="b">
        <v>0</v>
      </c>
      <c r="O280" s="14" t="b">
        <v>1</v>
      </c>
      <c r="W280" s="3"/>
    </row>
    <row r="281" spans="1:23" x14ac:dyDescent="0.25">
      <c r="A281" s="4">
        <v>55980148000121</v>
      </c>
      <c r="B281" s="8" t="s">
        <v>169</v>
      </c>
      <c r="C281" s="8" t="s">
        <v>109</v>
      </c>
      <c r="D281" s="7" t="s">
        <v>21</v>
      </c>
      <c r="E281" s="7" t="s">
        <v>795</v>
      </c>
      <c r="F281" s="6">
        <v>2</v>
      </c>
      <c r="G281" s="8" t="s">
        <v>728</v>
      </c>
      <c r="H281" s="8" t="s">
        <v>729</v>
      </c>
      <c r="I281" s="7" t="s">
        <v>730</v>
      </c>
      <c r="J281" s="8" t="s">
        <v>787</v>
      </c>
      <c r="K281" s="14" t="b">
        <v>1</v>
      </c>
      <c r="L281" s="14" t="b">
        <v>0</v>
      </c>
      <c r="M281" s="14" t="b">
        <v>0</v>
      </c>
      <c r="N281" s="14" t="b">
        <v>1</v>
      </c>
      <c r="O281" s="14" t="b">
        <v>1</v>
      </c>
      <c r="W281" s="3"/>
    </row>
    <row r="282" spans="1:23" x14ac:dyDescent="0.25">
      <c r="A282" s="4">
        <v>57722118000140</v>
      </c>
      <c r="B282" s="8" t="s">
        <v>188</v>
      </c>
      <c r="C282" s="8" t="s">
        <v>109</v>
      </c>
      <c r="D282" s="7" t="s">
        <v>21</v>
      </c>
      <c r="E282" s="7" t="s">
        <v>795</v>
      </c>
      <c r="F282" s="6">
        <v>2</v>
      </c>
      <c r="G282" s="8" t="s">
        <v>726</v>
      </c>
      <c r="H282" s="8" t="s">
        <v>727</v>
      </c>
      <c r="I282" s="7" t="s">
        <v>723</v>
      </c>
      <c r="J282" s="8" t="s">
        <v>787</v>
      </c>
      <c r="K282" s="14" t="b">
        <v>0</v>
      </c>
      <c r="L282" s="14" t="b">
        <v>1</v>
      </c>
      <c r="M282" s="14" t="b">
        <v>1</v>
      </c>
      <c r="N282" s="14" t="b">
        <v>0</v>
      </c>
      <c r="O282" s="14" t="b">
        <v>1</v>
      </c>
      <c r="W282" s="3"/>
    </row>
    <row r="283" spans="1:23" x14ac:dyDescent="0.25">
      <c r="A283" s="4">
        <v>57722118000140</v>
      </c>
      <c r="B283" s="8" t="s">
        <v>188</v>
      </c>
      <c r="C283" s="8" t="s">
        <v>109</v>
      </c>
      <c r="D283" s="7" t="s">
        <v>21</v>
      </c>
      <c r="E283" s="7" t="s">
        <v>795</v>
      </c>
      <c r="F283" s="6">
        <v>2</v>
      </c>
      <c r="G283" s="8" t="s">
        <v>728</v>
      </c>
      <c r="H283" s="8" t="s">
        <v>729</v>
      </c>
      <c r="I283" s="7" t="s">
        <v>730</v>
      </c>
      <c r="J283" s="8" t="s">
        <v>787</v>
      </c>
      <c r="K283" s="14" t="b">
        <v>1</v>
      </c>
      <c r="L283" s="14" t="b">
        <v>0</v>
      </c>
      <c r="M283" s="14" t="b">
        <v>0</v>
      </c>
      <c r="N283" s="14" t="b">
        <v>1</v>
      </c>
      <c r="O283" s="14" t="b">
        <v>1</v>
      </c>
      <c r="W283" s="3"/>
    </row>
    <row r="284" spans="1:23" x14ac:dyDescent="0.25">
      <c r="A284" s="4">
        <v>57722118000302</v>
      </c>
      <c r="B284" s="8" t="s">
        <v>170</v>
      </c>
      <c r="C284" s="8" t="s">
        <v>109</v>
      </c>
      <c r="D284" s="7" t="s">
        <v>21</v>
      </c>
      <c r="E284" s="7" t="s">
        <v>795</v>
      </c>
      <c r="F284" s="6">
        <v>2</v>
      </c>
      <c r="G284" s="8" t="s">
        <v>726</v>
      </c>
      <c r="H284" s="8" t="s">
        <v>727</v>
      </c>
      <c r="I284" s="7" t="s">
        <v>723</v>
      </c>
      <c r="J284" s="8" t="s">
        <v>787</v>
      </c>
      <c r="K284" s="14" t="b">
        <v>0</v>
      </c>
      <c r="L284" s="14" t="b">
        <v>1</v>
      </c>
      <c r="M284" s="14" t="b">
        <v>1</v>
      </c>
      <c r="N284" s="14" t="b">
        <v>0</v>
      </c>
      <c r="O284" s="14" t="b">
        <v>1</v>
      </c>
      <c r="W284" s="3"/>
    </row>
    <row r="285" spans="1:23" x14ac:dyDescent="0.25">
      <c r="A285" s="4">
        <v>57722118000302</v>
      </c>
      <c r="B285" s="8" t="s">
        <v>170</v>
      </c>
      <c r="C285" s="8" t="s">
        <v>109</v>
      </c>
      <c r="D285" s="7" t="s">
        <v>21</v>
      </c>
      <c r="E285" s="7" t="s">
        <v>795</v>
      </c>
      <c r="F285" s="6">
        <v>2</v>
      </c>
      <c r="G285" s="8" t="s">
        <v>728</v>
      </c>
      <c r="H285" s="8" t="s">
        <v>729</v>
      </c>
      <c r="I285" s="7" t="s">
        <v>730</v>
      </c>
      <c r="J285" s="8" t="s">
        <v>787</v>
      </c>
      <c r="K285" s="14" t="b">
        <v>1</v>
      </c>
      <c r="L285" s="14" t="b">
        <v>0</v>
      </c>
      <c r="M285" s="14" t="b">
        <v>0</v>
      </c>
      <c r="N285" s="14" t="b">
        <v>1</v>
      </c>
      <c r="O285" s="14" t="b">
        <v>1</v>
      </c>
      <c r="W285" s="3"/>
    </row>
    <row r="286" spans="1:23" x14ac:dyDescent="0.25">
      <c r="A286" s="4">
        <v>57723280000183</v>
      </c>
      <c r="B286" s="8" t="s">
        <v>217</v>
      </c>
      <c r="C286" s="8" t="s">
        <v>109</v>
      </c>
      <c r="D286" s="7" t="s">
        <v>21</v>
      </c>
      <c r="E286" s="7" t="s">
        <v>795</v>
      </c>
      <c r="F286" s="6">
        <v>2</v>
      </c>
      <c r="G286" s="8" t="s">
        <v>726</v>
      </c>
      <c r="H286" s="8" t="s">
        <v>727</v>
      </c>
      <c r="I286" s="7" t="s">
        <v>723</v>
      </c>
      <c r="J286" s="8" t="s">
        <v>787</v>
      </c>
      <c r="K286" s="14" t="b">
        <v>0</v>
      </c>
      <c r="L286" s="14" t="b">
        <v>1</v>
      </c>
      <c r="M286" s="14" t="b">
        <v>1</v>
      </c>
      <c r="N286" s="14" t="b">
        <v>0</v>
      </c>
      <c r="O286" s="14" t="b">
        <v>1</v>
      </c>
      <c r="W286" s="3"/>
    </row>
    <row r="287" spans="1:23" x14ac:dyDescent="0.25">
      <c r="A287" s="4">
        <v>57723280000183</v>
      </c>
      <c r="B287" s="8" t="s">
        <v>217</v>
      </c>
      <c r="C287" s="8" t="s">
        <v>109</v>
      </c>
      <c r="D287" s="7" t="s">
        <v>21</v>
      </c>
      <c r="E287" s="7" t="s">
        <v>795</v>
      </c>
      <c r="F287" s="6">
        <v>2</v>
      </c>
      <c r="G287" s="8" t="s">
        <v>728</v>
      </c>
      <c r="H287" s="8" t="s">
        <v>729</v>
      </c>
      <c r="I287" s="7" t="s">
        <v>730</v>
      </c>
      <c r="J287" s="8" t="s">
        <v>787</v>
      </c>
      <c r="K287" s="14" t="b">
        <v>1</v>
      </c>
      <c r="L287" s="14" t="b">
        <v>0</v>
      </c>
      <c r="M287" s="14" t="b">
        <v>0</v>
      </c>
      <c r="N287" s="14" t="b">
        <v>1</v>
      </c>
      <c r="O287" s="14" t="b">
        <v>1</v>
      </c>
      <c r="W287" s="3"/>
    </row>
    <row r="288" spans="1:23" x14ac:dyDescent="0.25">
      <c r="A288" s="4">
        <v>58229691001070</v>
      </c>
      <c r="B288" s="8" t="s">
        <v>171</v>
      </c>
      <c r="C288" s="8" t="s">
        <v>129</v>
      </c>
      <c r="D288" s="7" t="s">
        <v>21</v>
      </c>
      <c r="E288" s="7" t="s">
        <v>795</v>
      </c>
      <c r="F288" s="6">
        <v>2</v>
      </c>
      <c r="G288" s="8" t="s">
        <v>724</v>
      </c>
      <c r="H288" s="8" t="s">
        <v>725</v>
      </c>
      <c r="I288" s="7" t="s">
        <v>723</v>
      </c>
      <c r="J288" s="8" t="s">
        <v>787</v>
      </c>
      <c r="K288" s="14" t="b">
        <v>0</v>
      </c>
      <c r="L288" s="14" t="b">
        <v>1</v>
      </c>
      <c r="M288" s="14" t="b">
        <v>1</v>
      </c>
      <c r="N288" s="14" t="b">
        <v>0</v>
      </c>
      <c r="O288" s="14" t="b">
        <v>1</v>
      </c>
      <c r="W288" s="3"/>
    </row>
    <row r="289" spans="1:23" x14ac:dyDescent="0.25">
      <c r="A289" s="4">
        <v>58229691001070</v>
      </c>
      <c r="B289" s="8" t="s">
        <v>171</v>
      </c>
      <c r="C289" s="8" t="s">
        <v>129</v>
      </c>
      <c r="D289" s="7" t="s">
        <v>21</v>
      </c>
      <c r="E289" s="7" t="s">
        <v>795</v>
      </c>
      <c r="F289" s="6">
        <v>2</v>
      </c>
      <c r="G289" s="8" t="s">
        <v>770</v>
      </c>
      <c r="H289" s="8" t="s">
        <v>771</v>
      </c>
      <c r="I289" s="7" t="s">
        <v>730</v>
      </c>
      <c r="J289" s="8" t="s">
        <v>787</v>
      </c>
      <c r="K289" s="14" t="b">
        <v>1</v>
      </c>
      <c r="L289" s="14" t="b">
        <v>0</v>
      </c>
      <c r="M289" s="14" t="b">
        <v>0</v>
      </c>
      <c r="N289" s="14" t="b">
        <v>1</v>
      </c>
      <c r="O289" s="14" t="b">
        <v>1</v>
      </c>
      <c r="W289" s="3"/>
    </row>
    <row r="290" spans="1:23" x14ac:dyDescent="0.25">
      <c r="A290" s="4">
        <v>59970947000178</v>
      </c>
      <c r="B290" s="8" t="s">
        <v>172</v>
      </c>
      <c r="C290" s="8" t="s">
        <v>111</v>
      </c>
      <c r="D290" s="7" t="s">
        <v>21</v>
      </c>
      <c r="E290" s="7" t="s">
        <v>795</v>
      </c>
      <c r="F290" s="6">
        <v>2</v>
      </c>
      <c r="G290" s="8" t="s">
        <v>726</v>
      </c>
      <c r="H290" s="8" t="s">
        <v>727</v>
      </c>
      <c r="I290" s="7" t="s">
        <v>723</v>
      </c>
      <c r="J290" s="8" t="s">
        <v>787</v>
      </c>
      <c r="K290" s="14" t="b">
        <v>0</v>
      </c>
      <c r="L290" s="14" t="b">
        <v>1</v>
      </c>
      <c r="M290" s="14" t="b">
        <v>1</v>
      </c>
      <c r="N290" s="14" t="b">
        <v>0</v>
      </c>
      <c r="O290" s="14" t="b">
        <v>1</v>
      </c>
      <c r="W290" s="3"/>
    </row>
    <row r="291" spans="1:23" x14ac:dyDescent="0.25">
      <c r="A291" s="4">
        <v>59970947000178</v>
      </c>
      <c r="B291" s="8" t="s">
        <v>172</v>
      </c>
      <c r="C291" s="8" t="s">
        <v>111</v>
      </c>
      <c r="D291" s="7" t="s">
        <v>21</v>
      </c>
      <c r="E291" s="7" t="s">
        <v>795</v>
      </c>
      <c r="F291" s="6">
        <v>2</v>
      </c>
      <c r="G291" s="8" t="s">
        <v>728</v>
      </c>
      <c r="H291" s="8" t="s">
        <v>729</v>
      </c>
      <c r="I291" s="7" t="s">
        <v>730</v>
      </c>
      <c r="J291" s="8" t="s">
        <v>787</v>
      </c>
      <c r="K291" s="14" t="b">
        <v>1</v>
      </c>
      <c r="L291" s="14" t="b">
        <v>0</v>
      </c>
      <c r="M291" s="14" t="b">
        <v>0</v>
      </c>
      <c r="N291" s="14" t="b">
        <v>1</v>
      </c>
      <c r="O291" s="14" t="b">
        <v>1</v>
      </c>
      <c r="W291" s="3"/>
    </row>
    <row r="292" spans="1:23" x14ac:dyDescent="0.25">
      <c r="A292" s="4">
        <v>59972307000105</v>
      </c>
      <c r="B292" s="8" t="s">
        <v>173</v>
      </c>
      <c r="C292" s="8" t="s">
        <v>111</v>
      </c>
      <c r="D292" s="7" t="s">
        <v>21</v>
      </c>
      <c r="E292" s="7" t="s">
        <v>795</v>
      </c>
      <c r="F292" s="6">
        <v>2</v>
      </c>
      <c r="G292" s="8" t="s">
        <v>726</v>
      </c>
      <c r="H292" s="8" t="s">
        <v>727</v>
      </c>
      <c r="I292" s="7" t="s">
        <v>723</v>
      </c>
      <c r="J292" s="8" t="s">
        <v>787</v>
      </c>
      <c r="K292" s="14" t="b">
        <v>0</v>
      </c>
      <c r="L292" s="14" t="b">
        <v>1</v>
      </c>
      <c r="M292" s="14" t="b">
        <v>1</v>
      </c>
      <c r="N292" s="14" t="b">
        <v>0</v>
      </c>
      <c r="O292" s="14" t="b">
        <v>1</v>
      </c>
      <c r="W292" s="3"/>
    </row>
    <row r="293" spans="1:23" x14ac:dyDescent="0.25">
      <c r="A293" s="4">
        <v>59972307000105</v>
      </c>
      <c r="B293" s="8" t="s">
        <v>173</v>
      </c>
      <c r="C293" s="8" t="s">
        <v>111</v>
      </c>
      <c r="D293" s="7" t="s">
        <v>21</v>
      </c>
      <c r="E293" s="7" t="s">
        <v>795</v>
      </c>
      <c r="F293" s="6">
        <v>2</v>
      </c>
      <c r="G293" s="8" t="s">
        <v>728</v>
      </c>
      <c r="H293" s="8" t="s">
        <v>729</v>
      </c>
      <c r="I293" s="7" t="s">
        <v>730</v>
      </c>
      <c r="J293" s="8" t="s">
        <v>787</v>
      </c>
      <c r="K293" s="14" t="b">
        <v>1</v>
      </c>
      <c r="L293" s="14" t="b">
        <v>0</v>
      </c>
      <c r="M293" s="14" t="b">
        <v>0</v>
      </c>
      <c r="N293" s="14" t="b">
        <v>1</v>
      </c>
      <c r="O293" s="14" t="b">
        <v>1</v>
      </c>
      <c r="W293" s="3"/>
    </row>
    <row r="294" spans="1:23" x14ac:dyDescent="0.25">
      <c r="A294" s="4">
        <v>60003761000129</v>
      </c>
      <c r="B294" s="8" t="s">
        <v>174</v>
      </c>
      <c r="C294" s="8" t="s">
        <v>111</v>
      </c>
      <c r="D294" s="7" t="s">
        <v>21</v>
      </c>
      <c r="E294" s="7" t="s">
        <v>795</v>
      </c>
      <c r="F294" s="6">
        <v>2</v>
      </c>
      <c r="G294" s="8" t="s">
        <v>726</v>
      </c>
      <c r="H294" s="8" t="s">
        <v>727</v>
      </c>
      <c r="I294" s="7" t="s">
        <v>723</v>
      </c>
      <c r="J294" s="8" t="s">
        <v>787</v>
      </c>
      <c r="K294" s="14" t="b">
        <v>0</v>
      </c>
      <c r="L294" s="14" t="b">
        <v>1</v>
      </c>
      <c r="M294" s="14" t="b">
        <v>1</v>
      </c>
      <c r="N294" s="14" t="b">
        <v>0</v>
      </c>
      <c r="O294" s="14" t="b">
        <v>1</v>
      </c>
      <c r="W294" s="3"/>
    </row>
    <row r="295" spans="1:23" x14ac:dyDescent="0.25">
      <c r="A295" s="4">
        <v>60003761000129</v>
      </c>
      <c r="B295" s="8" t="s">
        <v>174</v>
      </c>
      <c r="C295" s="8" t="s">
        <v>111</v>
      </c>
      <c r="D295" s="7" t="s">
        <v>21</v>
      </c>
      <c r="E295" s="7" t="s">
        <v>795</v>
      </c>
      <c r="F295" s="6">
        <v>2</v>
      </c>
      <c r="G295" s="8" t="s">
        <v>728</v>
      </c>
      <c r="H295" s="8" t="s">
        <v>729</v>
      </c>
      <c r="I295" s="7" t="s">
        <v>730</v>
      </c>
      <c r="J295" s="8" t="s">
        <v>787</v>
      </c>
      <c r="K295" s="14" t="b">
        <v>1</v>
      </c>
      <c r="L295" s="14" t="b">
        <v>0</v>
      </c>
      <c r="M295" s="14" t="b">
        <v>0</v>
      </c>
      <c r="N295" s="14" t="b">
        <v>1</v>
      </c>
      <c r="O295" s="14" t="b">
        <v>1</v>
      </c>
      <c r="W295" s="3"/>
    </row>
    <row r="296" spans="1:23" x14ac:dyDescent="0.25">
      <c r="A296" s="4">
        <v>60214517000962</v>
      </c>
      <c r="B296" s="8" t="s">
        <v>175</v>
      </c>
      <c r="C296" s="8" t="s">
        <v>117</v>
      </c>
      <c r="D296" s="7" t="s">
        <v>21</v>
      </c>
      <c r="E296" s="7" t="s">
        <v>795</v>
      </c>
      <c r="F296" s="6">
        <v>2</v>
      </c>
      <c r="G296" s="8" t="s">
        <v>740</v>
      </c>
      <c r="H296" s="8" t="s">
        <v>741</v>
      </c>
      <c r="I296" s="7" t="s">
        <v>730</v>
      </c>
      <c r="J296" s="8" t="s">
        <v>787</v>
      </c>
      <c r="K296" s="14" t="b">
        <v>1</v>
      </c>
      <c r="L296" s="14" t="b">
        <v>0</v>
      </c>
      <c r="M296" s="14" t="b">
        <v>0</v>
      </c>
      <c r="N296" s="14" t="b">
        <v>1</v>
      </c>
      <c r="O296" s="14" t="b">
        <v>1</v>
      </c>
      <c r="W296" s="3"/>
    </row>
    <row r="297" spans="1:23" x14ac:dyDescent="0.25">
      <c r="A297" s="4">
        <v>60214517000962</v>
      </c>
      <c r="B297" s="8" t="s">
        <v>175</v>
      </c>
      <c r="C297" s="8" t="s">
        <v>117</v>
      </c>
      <c r="D297" s="7" t="s">
        <v>21</v>
      </c>
      <c r="E297" s="7" t="s">
        <v>795</v>
      </c>
      <c r="F297" s="6">
        <v>2</v>
      </c>
      <c r="G297" s="8" t="s">
        <v>762</v>
      </c>
      <c r="H297" s="8" t="s">
        <v>763</v>
      </c>
      <c r="I297" s="7" t="s">
        <v>723</v>
      </c>
      <c r="J297" s="8" t="s">
        <v>787</v>
      </c>
      <c r="K297" s="14" t="b">
        <v>0</v>
      </c>
      <c r="L297" s="14" t="b">
        <v>1</v>
      </c>
      <c r="M297" s="14" t="b">
        <v>1</v>
      </c>
      <c r="N297" s="14" t="b">
        <v>0</v>
      </c>
      <c r="O297" s="14" t="b">
        <v>1</v>
      </c>
      <c r="W297" s="3"/>
    </row>
    <row r="298" spans="1:23" x14ac:dyDescent="0.25">
      <c r="A298" s="4">
        <v>60214517001187</v>
      </c>
      <c r="B298" s="8" t="s">
        <v>212</v>
      </c>
      <c r="C298" s="8" t="s">
        <v>213</v>
      </c>
      <c r="D298" s="7" t="s">
        <v>21</v>
      </c>
      <c r="E298" s="7" t="s">
        <v>795</v>
      </c>
      <c r="F298" s="6">
        <v>2</v>
      </c>
      <c r="G298" s="8" t="s">
        <v>740</v>
      </c>
      <c r="H298" s="8" t="s">
        <v>741</v>
      </c>
      <c r="I298" s="7" t="s">
        <v>730</v>
      </c>
      <c r="J298" s="8" t="s">
        <v>787</v>
      </c>
      <c r="K298" s="14" t="b">
        <v>1</v>
      </c>
      <c r="L298" s="14" t="b">
        <v>0</v>
      </c>
      <c r="M298" s="14" t="b">
        <v>0</v>
      </c>
      <c r="N298" s="14" t="b">
        <v>1</v>
      </c>
      <c r="O298" s="14" t="b">
        <v>1</v>
      </c>
      <c r="W298" s="3"/>
    </row>
    <row r="299" spans="1:23" x14ac:dyDescent="0.25">
      <c r="A299" s="4">
        <v>60214517001187</v>
      </c>
      <c r="B299" s="8" t="s">
        <v>212</v>
      </c>
      <c r="C299" s="8" t="s">
        <v>213</v>
      </c>
      <c r="D299" s="7" t="s">
        <v>21</v>
      </c>
      <c r="E299" s="7" t="s">
        <v>795</v>
      </c>
      <c r="F299" s="6">
        <v>2</v>
      </c>
      <c r="G299" s="8" t="s">
        <v>762</v>
      </c>
      <c r="H299" s="8" t="s">
        <v>763</v>
      </c>
      <c r="I299" s="7" t="s">
        <v>723</v>
      </c>
      <c r="J299" s="8" t="s">
        <v>787</v>
      </c>
      <c r="K299" s="14" t="b">
        <v>0</v>
      </c>
      <c r="L299" s="14" t="b">
        <v>1</v>
      </c>
      <c r="M299" s="14" t="b">
        <v>1</v>
      </c>
      <c r="N299" s="14" t="b">
        <v>0</v>
      </c>
      <c r="O299" s="14" t="b">
        <v>1</v>
      </c>
      <c r="W299" s="3"/>
    </row>
    <row r="300" spans="1:23" x14ac:dyDescent="0.25">
      <c r="A300" s="4">
        <v>60214517001691</v>
      </c>
      <c r="B300" s="8" t="s">
        <v>176</v>
      </c>
      <c r="C300" s="8" t="s">
        <v>117</v>
      </c>
      <c r="D300" s="7" t="s">
        <v>21</v>
      </c>
      <c r="E300" s="7" t="s">
        <v>795</v>
      </c>
      <c r="F300" s="6">
        <v>2</v>
      </c>
      <c r="G300" s="8" t="s">
        <v>740</v>
      </c>
      <c r="H300" s="8" t="s">
        <v>741</v>
      </c>
      <c r="I300" s="7" t="s">
        <v>730</v>
      </c>
      <c r="J300" s="8" t="s">
        <v>787</v>
      </c>
      <c r="K300" s="14" t="b">
        <v>1</v>
      </c>
      <c r="L300" s="14" t="b">
        <v>0</v>
      </c>
      <c r="M300" s="14" t="b">
        <v>0</v>
      </c>
      <c r="N300" s="14" t="b">
        <v>1</v>
      </c>
      <c r="O300" s="14" t="b">
        <v>1</v>
      </c>
      <c r="W300" s="3"/>
    </row>
    <row r="301" spans="1:23" x14ac:dyDescent="0.25">
      <c r="A301" s="4">
        <v>60214517001691</v>
      </c>
      <c r="B301" s="8" t="s">
        <v>176</v>
      </c>
      <c r="C301" s="8" t="s">
        <v>117</v>
      </c>
      <c r="D301" s="7" t="s">
        <v>21</v>
      </c>
      <c r="E301" s="7" t="s">
        <v>795</v>
      </c>
      <c r="F301" s="6">
        <v>2</v>
      </c>
      <c r="G301" s="8" t="s">
        <v>762</v>
      </c>
      <c r="H301" s="8" t="s">
        <v>763</v>
      </c>
      <c r="I301" s="7" t="s">
        <v>723</v>
      </c>
      <c r="J301" s="8" t="s">
        <v>787</v>
      </c>
      <c r="K301" s="14" t="b">
        <v>0</v>
      </c>
      <c r="L301" s="14" t="b">
        <v>1</v>
      </c>
      <c r="M301" s="14" t="b">
        <v>1</v>
      </c>
      <c r="N301" s="14" t="b">
        <v>0</v>
      </c>
      <c r="O301" s="14" t="b">
        <v>1</v>
      </c>
      <c r="W301" s="3"/>
    </row>
    <row r="302" spans="1:23" x14ac:dyDescent="0.25">
      <c r="A302" s="4">
        <v>63025530008270</v>
      </c>
      <c r="B302" s="8" t="s">
        <v>189</v>
      </c>
      <c r="C302" s="8" t="s">
        <v>136</v>
      </c>
      <c r="D302" s="7" t="s">
        <v>21</v>
      </c>
      <c r="E302" s="7" t="s">
        <v>795</v>
      </c>
      <c r="F302" s="6">
        <v>2</v>
      </c>
      <c r="G302" s="8" t="s">
        <v>726</v>
      </c>
      <c r="H302" s="8" t="s">
        <v>727</v>
      </c>
      <c r="I302" s="7" t="s">
        <v>723</v>
      </c>
      <c r="J302" s="8" t="s">
        <v>787</v>
      </c>
      <c r="K302" s="14" t="b">
        <v>0</v>
      </c>
      <c r="L302" s="14" t="b">
        <v>1</v>
      </c>
      <c r="M302" s="14" t="b">
        <v>1</v>
      </c>
      <c r="N302" s="14" t="b">
        <v>0</v>
      </c>
      <c r="O302" s="14" t="b">
        <v>1</v>
      </c>
      <c r="W302" s="3"/>
    </row>
    <row r="303" spans="1:23" x14ac:dyDescent="0.25">
      <c r="A303" s="4">
        <v>63025530008270</v>
      </c>
      <c r="B303" s="8" t="s">
        <v>189</v>
      </c>
      <c r="C303" s="8" t="s">
        <v>136</v>
      </c>
      <c r="D303" s="7" t="s">
        <v>21</v>
      </c>
      <c r="E303" s="7" t="s">
        <v>795</v>
      </c>
      <c r="F303" s="6">
        <v>2</v>
      </c>
      <c r="G303" s="8" t="s">
        <v>728</v>
      </c>
      <c r="H303" s="8" t="s">
        <v>729</v>
      </c>
      <c r="I303" s="7" t="s">
        <v>730</v>
      </c>
      <c r="J303" s="8" t="s">
        <v>787</v>
      </c>
      <c r="K303" s="14" t="b">
        <v>1</v>
      </c>
      <c r="L303" s="14" t="b">
        <v>0</v>
      </c>
      <c r="M303" s="14" t="b">
        <v>0</v>
      </c>
      <c r="N303" s="14" t="b">
        <v>1</v>
      </c>
      <c r="O303" s="14" t="b">
        <v>1</v>
      </c>
      <c r="W303" s="3"/>
    </row>
    <row r="304" spans="1:23" x14ac:dyDescent="0.25">
      <c r="A304" s="4">
        <v>68204486000113</v>
      </c>
      <c r="B304" s="8" t="s">
        <v>190</v>
      </c>
      <c r="C304" s="8" t="s">
        <v>191</v>
      </c>
      <c r="D304" s="7" t="s">
        <v>21</v>
      </c>
      <c r="E304" s="7" t="s">
        <v>795</v>
      </c>
      <c r="F304" s="6">
        <v>2</v>
      </c>
      <c r="G304" s="8" t="s">
        <v>726</v>
      </c>
      <c r="H304" s="8" t="s">
        <v>727</v>
      </c>
      <c r="I304" s="7" t="s">
        <v>723</v>
      </c>
      <c r="J304" s="8" t="s">
        <v>787</v>
      </c>
      <c r="K304" s="14" t="b">
        <v>0</v>
      </c>
      <c r="L304" s="14" t="b">
        <v>1</v>
      </c>
      <c r="M304" s="14" t="b">
        <v>1</v>
      </c>
      <c r="N304" s="14" t="b">
        <v>0</v>
      </c>
      <c r="O304" s="14" t="b">
        <v>1</v>
      </c>
      <c r="W304" s="3"/>
    </row>
    <row r="305" spans="1:23" x14ac:dyDescent="0.25">
      <c r="A305" s="4">
        <v>68204486000113</v>
      </c>
      <c r="B305" s="8" t="s">
        <v>190</v>
      </c>
      <c r="C305" s="8" t="s">
        <v>191</v>
      </c>
      <c r="D305" s="7" t="s">
        <v>21</v>
      </c>
      <c r="E305" s="7" t="s">
        <v>795</v>
      </c>
      <c r="F305" s="6">
        <v>2</v>
      </c>
      <c r="G305" s="8" t="s">
        <v>728</v>
      </c>
      <c r="H305" s="8" t="s">
        <v>729</v>
      </c>
      <c r="I305" s="7" t="s">
        <v>730</v>
      </c>
      <c r="J305" s="8" t="s">
        <v>787</v>
      </c>
      <c r="K305" s="14" t="b">
        <v>1</v>
      </c>
      <c r="L305" s="14" t="b">
        <v>0</v>
      </c>
      <c r="M305" s="14" t="b">
        <v>0</v>
      </c>
      <c r="N305" s="14" t="b">
        <v>1</v>
      </c>
      <c r="O305" s="14" t="b">
        <v>1</v>
      </c>
      <c r="W305" s="3"/>
    </row>
    <row r="306" spans="1:23" x14ac:dyDescent="0.25">
      <c r="A306" s="4">
        <v>48063983904</v>
      </c>
      <c r="B306" s="8" t="s">
        <v>469</v>
      </c>
      <c r="C306" s="8" t="s">
        <v>388</v>
      </c>
      <c r="D306" s="7" t="s">
        <v>259</v>
      </c>
      <c r="E306" s="7" t="s">
        <v>795</v>
      </c>
      <c r="F306" s="6">
        <v>2</v>
      </c>
      <c r="G306" s="8" t="s">
        <v>735</v>
      </c>
      <c r="H306" s="8" t="s">
        <v>736</v>
      </c>
      <c r="I306" s="7" t="s">
        <v>723</v>
      </c>
      <c r="J306" s="8" t="s">
        <v>785</v>
      </c>
      <c r="K306" s="14" t="b">
        <v>0</v>
      </c>
      <c r="L306" s="14" t="b">
        <v>1</v>
      </c>
      <c r="M306" s="14" t="b">
        <v>1</v>
      </c>
      <c r="N306" s="14" t="b">
        <v>0</v>
      </c>
      <c r="O306" s="14" t="b">
        <v>1</v>
      </c>
      <c r="W306" s="3"/>
    </row>
    <row r="307" spans="1:23" x14ac:dyDescent="0.25">
      <c r="A307" s="4">
        <v>82854246004</v>
      </c>
      <c r="B307" s="8" t="s">
        <v>411</v>
      </c>
      <c r="C307" s="8" t="s">
        <v>305</v>
      </c>
      <c r="D307" s="7" t="s">
        <v>253</v>
      </c>
      <c r="E307" s="7" t="s">
        <v>795</v>
      </c>
      <c r="F307" s="6">
        <v>2</v>
      </c>
      <c r="G307" s="8" t="s">
        <v>720</v>
      </c>
      <c r="H307" s="8" t="s">
        <v>721</v>
      </c>
      <c r="I307" s="7" t="s">
        <v>723</v>
      </c>
      <c r="J307" s="8" t="s">
        <v>785</v>
      </c>
      <c r="K307" s="14" t="b">
        <v>0</v>
      </c>
      <c r="L307" s="14" t="b">
        <v>1</v>
      </c>
      <c r="M307" s="14" t="b">
        <v>1</v>
      </c>
      <c r="N307" s="14" t="b">
        <v>0</v>
      </c>
      <c r="O307" s="14" t="b">
        <v>1</v>
      </c>
      <c r="W307" s="3"/>
    </row>
    <row r="308" spans="1:23" x14ac:dyDescent="0.25">
      <c r="A308" s="4">
        <v>304148000110</v>
      </c>
      <c r="B308" s="8" t="s">
        <v>231</v>
      </c>
      <c r="C308" s="8" t="s">
        <v>232</v>
      </c>
      <c r="D308" s="7" t="s">
        <v>233</v>
      </c>
      <c r="E308" s="7" t="s">
        <v>795</v>
      </c>
      <c r="F308" s="6">
        <v>2</v>
      </c>
      <c r="G308" s="8" t="s">
        <v>735</v>
      </c>
      <c r="H308" s="8" t="s">
        <v>736</v>
      </c>
      <c r="I308" s="7" t="s">
        <v>723</v>
      </c>
      <c r="J308" s="8" t="s">
        <v>785</v>
      </c>
      <c r="K308" s="14" t="b">
        <v>0</v>
      </c>
      <c r="L308" s="14" t="b">
        <v>1</v>
      </c>
      <c r="M308" s="14" t="b">
        <v>1</v>
      </c>
      <c r="N308" s="14" t="b">
        <v>0</v>
      </c>
      <c r="O308" s="14" t="b">
        <v>1</v>
      </c>
      <c r="W308" s="3"/>
    </row>
    <row r="309" spans="1:23" x14ac:dyDescent="0.25">
      <c r="A309" s="4">
        <v>437007000175</v>
      </c>
      <c r="B309" s="8" t="s">
        <v>239</v>
      </c>
      <c r="C309" s="8" t="s">
        <v>240</v>
      </c>
      <c r="D309" s="7" t="s">
        <v>241</v>
      </c>
      <c r="E309" s="7" t="s">
        <v>795</v>
      </c>
      <c r="F309" s="6">
        <v>2</v>
      </c>
      <c r="G309" s="8" t="s">
        <v>733</v>
      </c>
      <c r="H309" s="8" t="s">
        <v>734</v>
      </c>
      <c r="I309" s="7" t="s">
        <v>730</v>
      </c>
      <c r="J309" s="8" t="s">
        <v>785</v>
      </c>
      <c r="K309" s="14" t="b">
        <v>1</v>
      </c>
      <c r="L309" s="14" t="b">
        <v>0</v>
      </c>
      <c r="M309" s="14" t="b">
        <v>0</v>
      </c>
      <c r="N309" s="14" t="b">
        <v>1</v>
      </c>
      <c r="O309" s="14" t="b">
        <v>1</v>
      </c>
      <c r="W309" s="3"/>
    </row>
    <row r="310" spans="1:23" x14ac:dyDescent="0.25">
      <c r="A310" s="4">
        <v>437007000175</v>
      </c>
      <c r="B310" s="8" t="s">
        <v>239</v>
      </c>
      <c r="C310" s="8" t="s">
        <v>240</v>
      </c>
      <c r="D310" s="7" t="s">
        <v>241</v>
      </c>
      <c r="E310" s="7" t="s">
        <v>795</v>
      </c>
      <c r="F310" s="6">
        <v>2</v>
      </c>
      <c r="G310" s="8" t="s">
        <v>760</v>
      </c>
      <c r="H310" s="8" t="s">
        <v>761</v>
      </c>
      <c r="I310" s="7" t="s">
        <v>723</v>
      </c>
      <c r="J310" s="8" t="s">
        <v>785</v>
      </c>
      <c r="K310" s="14" t="b">
        <v>0</v>
      </c>
      <c r="L310" s="14" t="b">
        <v>1</v>
      </c>
      <c r="M310" s="14" t="b">
        <v>1</v>
      </c>
      <c r="N310" s="14" t="b">
        <v>0</v>
      </c>
      <c r="O310" s="14" t="b">
        <v>1</v>
      </c>
      <c r="W310" s="3"/>
    </row>
    <row r="311" spans="1:23" x14ac:dyDescent="0.25">
      <c r="A311" s="4">
        <v>521197000104</v>
      </c>
      <c r="B311" s="8" t="s">
        <v>526</v>
      </c>
      <c r="C311" s="8" t="s">
        <v>240</v>
      </c>
      <c r="D311" s="7" t="s">
        <v>241</v>
      </c>
      <c r="E311" s="7" t="s">
        <v>795</v>
      </c>
      <c r="F311" s="6">
        <v>2</v>
      </c>
      <c r="G311" s="8" t="s">
        <v>733</v>
      </c>
      <c r="H311" s="8" t="s">
        <v>734</v>
      </c>
      <c r="I311" s="7" t="s">
        <v>730</v>
      </c>
      <c r="J311" s="8" t="s">
        <v>785</v>
      </c>
      <c r="K311" s="14" t="b">
        <v>1</v>
      </c>
      <c r="L311" s="14" t="b">
        <v>0</v>
      </c>
      <c r="M311" s="14" t="b">
        <v>0</v>
      </c>
      <c r="N311" s="14" t="b">
        <v>1</v>
      </c>
      <c r="O311" s="14" t="b">
        <v>1</v>
      </c>
      <c r="W311" s="3"/>
    </row>
    <row r="312" spans="1:23" x14ac:dyDescent="0.25">
      <c r="A312" s="4">
        <v>521197000104</v>
      </c>
      <c r="B312" s="8" t="s">
        <v>526</v>
      </c>
      <c r="C312" s="8" t="s">
        <v>240</v>
      </c>
      <c r="D312" s="7" t="s">
        <v>241</v>
      </c>
      <c r="E312" s="7" t="s">
        <v>795</v>
      </c>
      <c r="F312" s="6">
        <v>2</v>
      </c>
      <c r="G312" s="8" t="s">
        <v>752</v>
      </c>
      <c r="H312" s="8" t="s">
        <v>753</v>
      </c>
      <c r="I312" s="7" t="s">
        <v>723</v>
      </c>
      <c r="J312" s="8" t="s">
        <v>785</v>
      </c>
      <c r="K312" s="14" t="b">
        <v>0</v>
      </c>
      <c r="L312" s="14" t="b">
        <v>1</v>
      </c>
      <c r="M312" s="14" t="b">
        <v>1</v>
      </c>
      <c r="N312" s="14" t="b">
        <v>0</v>
      </c>
      <c r="O312" s="14" t="b">
        <v>1</v>
      </c>
      <c r="W312" s="3"/>
    </row>
    <row r="313" spans="1:23" x14ac:dyDescent="0.25">
      <c r="A313" s="4">
        <v>942063000167</v>
      </c>
      <c r="B313" s="8" t="s">
        <v>527</v>
      </c>
      <c r="C313" s="8" t="s">
        <v>385</v>
      </c>
      <c r="D313" s="7" t="s">
        <v>233</v>
      </c>
      <c r="E313" s="7" t="s">
        <v>795</v>
      </c>
      <c r="F313" s="6">
        <v>2</v>
      </c>
      <c r="G313" s="8" t="s">
        <v>735</v>
      </c>
      <c r="H313" s="8" t="s">
        <v>736</v>
      </c>
      <c r="I313" s="7" t="s">
        <v>723</v>
      </c>
      <c r="J313" s="8" t="s">
        <v>785</v>
      </c>
      <c r="K313" s="14" t="b">
        <v>0</v>
      </c>
      <c r="L313" s="14" t="b">
        <v>1</v>
      </c>
      <c r="M313" s="14" t="b">
        <v>1</v>
      </c>
      <c r="N313" s="14" t="b">
        <v>0</v>
      </c>
      <c r="O313" s="14" t="b">
        <v>1</v>
      </c>
      <c r="W313" s="3"/>
    </row>
    <row r="314" spans="1:23" x14ac:dyDescent="0.25">
      <c r="A314" s="4">
        <v>1125832000105</v>
      </c>
      <c r="B314" s="8" t="s">
        <v>529</v>
      </c>
      <c r="C314" s="8" t="s">
        <v>388</v>
      </c>
      <c r="D314" s="7" t="s">
        <v>259</v>
      </c>
      <c r="E314" s="7" t="s">
        <v>795</v>
      </c>
      <c r="F314" s="6">
        <v>2</v>
      </c>
      <c r="G314" s="8" t="s">
        <v>735</v>
      </c>
      <c r="H314" s="8" t="s">
        <v>736</v>
      </c>
      <c r="I314" s="7" t="s">
        <v>723</v>
      </c>
      <c r="J314" s="8" t="s">
        <v>785</v>
      </c>
      <c r="K314" s="14" t="b">
        <v>0</v>
      </c>
      <c r="L314" s="14" t="b">
        <v>1</v>
      </c>
      <c r="M314" s="14" t="b">
        <v>1</v>
      </c>
      <c r="N314" s="14" t="b">
        <v>0</v>
      </c>
      <c r="O314" s="14" t="b">
        <v>1</v>
      </c>
      <c r="W314" s="3"/>
    </row>
    <row r="315" spans="1:23" x14ac:dyDescent="0.25">
      <c r="A315" s="4">
        <v>1140803000104</v>
      </c>
      <c r="B315" s="8" t="s">
        <v>251</v>
      </c>
      <c r="C315" s="8" t="s">
        <v>252</v>
      </c>
      <c r="D315" s="7" t="s">
        <v>253</v>
      </c>
      <c r="E315" s="7" t="s">
        <v>795</v>
      </c>
      <c r="F315" s="6">
        <v>2</v>
      </c>
      <c r="G315" s="8" t="s">
        <v>720</v>
      </c>
      <c r="H315" s="8" t="s">
        <v>721</v>
      </c>
      <c r="I315" s="7" t="s">
        <v>723</v>
      </c>
      <c r="J315" s="8" t="s">
        <v>785</v>
      </c>
      <c r="K315" s="14" t="b">
        <v>0</v>
      </c>
      <c r="L315" s="14" t="b">
        <v>1</v>
      </c>
      <c r="M315" s="14" t="b">
        <v>1</v>
      </c>
      <c r="N315" s="14" t="b">
        <v>0</v>
      </c>
      <c r="O315" s="14" t="b">
        <v>1</v>
      </c>
      <c r="W315" s="3"/>
    </row>
    <row r="316" spans="1:23" x14ac:dyDescent="0.25">
      <c r="A316" s="4">
        <v>1517626000132</v>
      </c>
      <c r="B316" s="8" t="s">
        <v>257</v>
      </c>
      <c r="C316" s="8" t="s">
        <v>258</v>
      </c>
      <c r="D316" s="7" t="s">
        <v>259</v>
      </c>
      <c r="E316" s="7" t="s">
        <v>795</v>
      </c>
      <c r="F316" s="6">
        <v>2</v>
      </c>
      <c r="G316" s="8" t="s">
        <v>735</v>
      </c>
      <c r="H316" s="8" t="s">
        <v>736</v>
      </c>
      <c r="I316" s="7" t="s">
        <v>723</v>
      </c>
      <c r="J316" s="8" t="s">
        <v>785</v>
      </c>
      <c r="K316" s="14" t="b">
        <v>0</v>
      </c>
      <c r="L316" s="14" t="b">
        <v>1</v>
      </c>
      <c r="M316" s="14" t="b">
        <v>1</v>
      </c>
      <c r="N316" s="14" t="b">
        <v>0</v>
      </c>
      <c r="O316" s="14" t="b">
        <v>1</v>
      </c>
      <c r="W316" s="3"/>
    </row>
    <row r="317" spans="1:23" x14ac:dyDescent="0.25">
      <c r="A317" s="4">
        <v>1554266000149</v>
      </c>
      <c r="B317" s="8" t="s">
        <v>511</v>
      </c>
      <c r="C317" s="8" t="s">
        <v>512</v>
      </c>
      <c r="D317" s="7" t="s">
        <v>259</v>
      </c>
      <c r="E317" s="7" t="s">
        <v>795</v>
      </c>
      <c r="F317" s="6">
        <v>2</v>
      </c>
      <c r="G317" s="8" t="s">
        <v>735</v>
      </c>
      <c r="H317" s="8" t="s">
        <v>736</v>
      </c>
      <c r="I317" s="7" t="s">
        <v>723</v>
      </c>
      <c r="J317" s="8" t="s">
        <v>785</v>
      </c>
      <c r="K317" s="14" t="b">
        <v>0</v>
      </c>
      <c r="L317" s="14" t="b">
        <v>1</v>
      </c>
      <c r="M317" s="14" t="b">
        <v>1</v>
      </c>
      <c r="N317" s="14" t="b">
        <v>0</v>
      </c>
      <c r="O317" s="14" t="b">
        <v>1</v>
      </c>
      <c r="W317" s="3"/>
    </row>
    <row r="318" spans="1:23" x14ac:dyDescent="0.25">
      <c r="A318" s="4">
        <v>1554266000300</v>
      </c>
      <c r="B318" s="8" t="s">
        <v>534</v>
      </c>
      <c r="C318" s="8" t="s">
        <v>512</v>
      </c>
      <c r="D318" s="7" t="s">
        <v>259</v>
      </c>
      <c r="E318" s="7" t="s">
        <v>795</v>
      </c>
      <c r="F318" s="6">
        <v>2</v>
      </c>
      <c r="G318" s="8" t="s">
        <v>735</v>
      </c>
      <c r="H318" s="8" t="s">
        <v>736</v>
      </c>
      <c r="I318" s="7" t="s">
        <v>723</v>
      </c>
      <c r="J318" s="8" t="s">
        <v>785</v>
      </c>
      <c r="K318" s="14" t="b">
        <v>0</v>
      </c>
      <c r="L318" s="14" t="b">
        <v>1</v>
      </c>
      <c r="M318" s="14" t="b">
        <v>1</v>
      </c>
      <c r="N318" s="14" t="b">
        <v>0</v>
      </c>
      <c r="O318" s="14" t="b">
        <v>1</v>
      </c>
      <c r="W318" s="3"/>
    </row>
    <row r="319" spans="1:23" x14ac:dyDescent="0.25">
      <c r="A319" s="4">
        <v>1880344000103</v>
      </c>
      <c r="B319" s="8" t="s">
        <v>513</v>
      </c>
      <c r="C319" s="8" t="s">
        <v>380</v>
      </c>
      <c r="D319" s="7" t="s">
        <v>259</v>
      </c>
      <c r="E319" s="7" t="s">
        <v>795</v>
      </c>
      <c r="F319" s="6">
        <v>2</v>
      </c>
      <c r="G319" s="8" t="s">
        <v>735</v>
      </c>
      <c r="H319" s="8" t="s">
        <v>736</v>
      </c>
      <c r="I319" s="7" t="s">
        <v>723</v>
      </c>
      <c r="J319" s="8" t="s">
        <v>785</v>
      </c>
      <c r="K319" s="14" t="b">
        <v>0</v>
      </c>
      <c r="L319" s="14" t="b">
        <v>1</v>
      </c>
      <c r="M319" s="14" t="b">
        <v>1</v>
      </c>
      <c r="N319" s="14" t="b">
        <v>0</v>
      </c>
      <c r="O319" s="14" t="b">
        <v>1</v>
      </c>
      <c r="W319" s="3"/>
    </row>
    <row r="320" spans="1:23" x14ac:dyDescent="0.25">
      <c r="A320" s="4">
        <v>2862447000286</v>
      </c>
      <c r="B320" s="8" t="s">
        <v>539</v>
      </c>
      <c r="C320" s="8" t="s">
        <v>385</v>
      </c>
      <c r="D320" s="7" t="s">
        <v>233</v>
      </c>
      <c r="E320" s="7" t="s">
        <v>795</v>
      </c>
      <c r="F320" s="6">
        <v>2</v>
      </c>
      <c r="G320" s="8" t="s">
        <v>735</v>
      </c>
      <c r="H320" s="8" t="s">
        <v>736</v>
      </c>
      <c r="I320" s="7" t="s">
        <v>723</v>
      </c>
      <c r="J320" s="8" t="s">
        <v>785</v>
      </c>
      <c r="K320" s="14" t="b">
        <v>0</v>
      </c>
      <c r="L320" s="14" t="b">
        <v>1</v>
      </c>
      <c r="M320" s="14" t="b">
        <v>1</v>
      </c>
      <c r="N320" s="14" t="b">
        <v>0</v>
      </c>
      <c r="O320" s="14" t="b">
        <v>1</v>
      </c>
      <c r="W320" s="3"/>
    </row>
    <row r="321" spans="1:23" x14ac:dyDescent="0.25">
      <c r="A321" s="4">
        <v>3824198000116</v>
      </c>
      <c r="B321" s="8" t="s">
        <v>541</v>
      </c>
      <c r="C321" s="8" t="s">
        <v>385</v>
      </c>
      <c r="D321" s="7" t="s">
        <v>233</v>
      </c>
      <c r="E321" s="7" t="s">
        <v>795</v>
      </c>
      <c r="F321" s="6">
        <v>2</v>
      </c>
      <c r="G321" s="8" t="s">
        <v>735</v>
      </c>
      <c r="H321" s="8" t="s">
        <v>736</v>
      </c>
      <c r="I321" s="7" t="s">
        <v>723</v>
      </c>
      <c r="J321" s="8" t="s">
        <v>785</v>
      </c>
      <c r="K321" s="14" t="b">
        <v>0</v>
      </c>
      <c r="L321" s="14" t="b">
        <v>1</v>
      </c>
      <c r="M321" s="14" t="b">
        <v>1</v>
      </c>
      <c r="N321" s="14" t="b">
        <v>0</v>
      </c>
      <c r="O321" s="14" t="b">
        <v>1</v>
      </c>
      <c r="W321" s="3"/>
    </row>
    <row r="322" spans="1:23" x14ac:dyDescent="0.25">
      <c r="A322" s="4">
        <v>3850913000195</v>
      </c>
      <c r="B322" s="8" t="s">
        <v>542</v>
      </c>
      <c r="C322" s="8" t="s">
        <v>385</v>
      </c>
      <c r="D322" s="7" t="s">
        <v>233</v>
      </c>
      <c r="E322" s="7" t="s">
        <v>795</v>
      </c>
      <c r="F322" s="6">
        <v>2</v>
      </c>
      <c r="G322" s="8" t="s">
        <v>735</v>
      </c>
      <c r="H322" s="8" t="s">
        <v>736</v>
      </c>
      <c r="I322" s="7" t="s">
        <v>723</v>
      </c>
      <c r="J322" s="8" t="s">
        <v>785</v>
      </c>
      <c r="K322" s="14" t="b">
        <v>0</v>
      </c>
      <c r="L322" s="14" t="b">
        <v>1</v>
      </c>
      <c r="M322" s="14" t="b">
        <v>1</v>
      </c>
      <c r="N322" s="14" t="b">
        <v>0</v>
      </c>
      <c r="O322" s="14" t="b">
        <v>1</v>
      </c>
      <c r="W322" s="3"/>
    </row>
    <row r="323" spans="1:23" x14ac:dyDescent="0.25">
      <c r="A323" s="4">
        <v>4670913000176</v>
      </c>
      <c r="B323" s="8" t="s">
        <v>515</v>
      </c>
      <c r="C323" s="8" t="s">
        <v>388</v>
      </c>
      <c r="D323" s="7" t="s">
        <v>259</v>
      </c>
      <c r="E323" s="7" t="s">
        <v>795</v>
      </c>
      <c r="F323" s="6">
        <v>2</v>
      </c>
      <c r="G323" s="8" t="s">
        <v>735</v>
      </c>
      <c r="H323" s="8" t="s">
        <v>736</v>
      </c>
      <c r="I323" s="7" t="s">
        <v>723</v>
      </c>
      <c r="J323" s="8" t="s">
        <v>785</v>
      </c>
      <c r="K323" s="14" t="b">
        <v>0</v>
      </c>
      <c r="L323" s="14" t="b">
        <v>1</v>
      </c>
      <c r="M323" s="14" t="b">
        <v>1</v>
      </c>
      <c r="N323" s="14" t="b">
        <v>0</v>
      </c>
      <c r="O323" s="14" t="b">
        <v>1</v>
      </c>
      <c r="W323" s="3"/>
    </row>
    <row r="324" spans="1:23" x14ac:dyDescent="0.25">
      <c r="A324" s="4">
        <v>4762301000103</v>
      </c>
      <c r="B324" s="8" t="s">
        <v>600</v>
      </c>
      <c r="C324" s="8" t="s">
        <v>583</v>
      </c>
      <c r="D324" s="7" t="s">
        <v>233</v>
      </c>
      <c r="E324" s="7" t="s">
        <v>795</v>
      </c>
      <c r="F324" s="6">
        <v>2</v>
      </c>
      <c r="G324" s="8" t="s">
        <v>735</v>
      </c>
      <c r="H324" s="8" t="s">
        <v>736</v>
      </c>
      <c r="I324" s="7" t="s">
        <v>723</v>
      </c>
      <c r="J324" s="8" t="s">
        <v>785</v>
      </c>
      <c r="K324" s="14" t="b">
        <v>0</v>
      </c>
      <c r="L324" s="14" t="b">
        <v>1</v>
      </c>
      <c r="M324" s="14" t="b">
        <v>1</v>
      </c>
      <c r="N324" s="14" t="b">
        <v>0</v>
      </c>
      <c r="O324" s="14" t="b">
        <v>1</v>
      </c>
      <c r="W324" s="3"/>
    </row>
    <row r="325" spans="1:23" x14ac:dyDescent="0.25">
      <c r="A325" s="4">
        <v>6047087001372</v>
      </c>
      <c r="B325" s="8" t="s">
        <v>285</v>
      </c>
      <c r="C325" s="8" t="s">
        <v>286</v>
      </c>
      <c r="D325" s="7" t="s">
        <v>241</v>
      </c>
      <c r="E325" s="7" t="s">
        <v>795</v>
      </c>
      <c r="F325" s="6">
        <v>2</v>
      </c>
      <c r="G325" s="8" t="s">
        <v>733</v>
      </c>
      <c r="H325" s="8" t="s">
        <v>734</v>
      </c>
      <c r="I325" s="7" t="s">
        <v>730</v>
      </c>
      <c r="J325" s="8" t="s">
        <v>785</v>
      </c>
      <c r="K325" s="14" t="b">
        <v>1</v>
      </c>
      <c r="L325" s="14" t="b">
        <v>0</v>
      </c>
      <c r="M325" s="14" t="b">
        <v>0</v>
      </c>
      <c r="N325" s="14" t="b">
        <v>1</v>
      </c>
      <c r="O325" s="14" t="b">
        <v>1</v>
      </c>
      <c r="W325" s="3"/>
    </row>
    <row r="326" spans="1:23" x14ac:dyDescent="0.25">
      <c r="A326" s="4">
        <v>6047087001372</v>
      </c>
      <c r="B326" s="8" t="s">
        <v>285</v>
      </c>
      <c r="C326" s="8" t="s">
        <v>286</v>
      </c>
      <c r="D326" s="7" t="s">
        <v>241</v>
      </c>
      <c r="E326" s="7" t="s">
        <v>795</v>
      </c>
      <c r="F326" s="6">
        <v>2</v>
      </c>
      <c r="G326" s="8" t="s">
        <v>760</v>
      </c>
      <c r="H326" s="8" t="s">
        <v>761</v>
      </c>
      <c r="I326" s="7" t="s">
        <v>723</v>
      </c>
      <c r="J326" s="8" t="s">
        <v>785</v>
      </c>
      <c r="K326" s="14" t="b">
        <v>0</v>
      </c>
      <c r="L326" s="14" t="b">
        <v>1</v>
      </c>
      <c r="M326" s="14" t="b">
        <v>1</v>
      </c>
      <c r="N326" s="14" t="b">
        <v>0</v>
      </c>
      <c r="O326" s="14" t="b">
        <v>1</v>
      </c>
      <c r="W326" s="3"/>
    </row>
    <row r="327" spans="1:23" x14ac:dyDescent="0.25">
      <c r="A327" s="4">
        <v>7088017000191</v>
      </c>
      <c r="B327" s="8" t="s">
        <v>549</v>
      </c>
      <c r="C327" s="8" t="s">
        <v>550</v>
      </c>
      <c r="D327" s="7" t="s">
        <v>233</v>
      </c>
      <c r="E327" s="7" t="s">
        <v>795</v>
      </c>
      <c r="F327" s="6">
        <v>2</v>
      </c>
      <c r="G327" s="8" t="s">
        <v>735</v>
      </c>
      <c r="H327" s="8" t="s">
        <v>736</v>
      </c>
      <c r="I327" s="7" t="s">
        <v>723</v>
      </c>
      <c r="J327" s="8" t="s">
        <v>785</v>
      </c>
      <c r="K327" s="14" t="b">
        <v>0</v>
      </c>
      <c r="L327" s="14" t="b">
        <v>1</v>
      </c>
      <c r="M327" s="14" t="b">
        <v>1</v>
      </c>
      <c r="N327" s="14" t="b">
        <v>0</v>
      </c>
      <c r="O327" s="14" t="b">
        <v>1</v>
      </c>
      <c r="W327" s="3"/>
    </row>
    <row r="328" spans="1:23" x14ac:dyDescent="0.25">
      <c r="A328" s="4">
        <v>7404052000172</v>
      </c>
      <c r="B328" s="8" t="s">
        <v>516</v>
      </c>
      <c r="C328" s="8" t="s">
        <v>385</v>
      </c>
      <c r="D328" s="7" t="s">
        <v>233</v>
      </c>
      <c r="E328" s="7" t="s">
        <v>795</v>
      </c>
      <c r="F328" s="6">
        <v>2</v>
      </c>
      <c r="G328" s="8" t="s">
        <v>735</v>
      </c>
      <c r="H328" s="8" t="s">
        <v>736</v>
      </c>
      <c r="I328" s="7" t="s">
        <v>723</v>
      </c>
      <c r="J328" s="8" t="s">
        <v>785</v>
      </c>
      <c r="K328" s="14" t="b">
        <v>0</v>
      </c>
      <c r="L328" s="14" t="b">
        <v>1</v>
      </c>
      <c r="M328" s="14" t="b">
        <v>1</v>
      </c>
      <c r="N328" s="14" t="b">
        <v>0</v>
      </c>
      <c r="O328" s="14" t="b">
        <v>1</v>
      </c>
      <c r="W328" s="3"/>
    </row>
    <row r="329" spans="1:23" x14ac:dyDescent="0.25">
      <c r="A329" s="4">
        <v>7734165000136</v>
      </c>
      <c r="B329" s="8" t="s">
        <v>425</v>
      </c>
      <c r="C329" s="8" t="s">
        <v>385</v>
      </c>
      <c r="D329" s="7" t="s">
        <v>233</v>
      </c>
      <c r="E329" s="7" t="s">
        <v>795</v>
      </c>
      <c r="F329" s="6">
        <v>2</v>
      </c>
      <c r="G329" s="8" t="s">
        <v>735</v>
      </c>
      <c r="H329" s="8" t="s">
        <v>736</v>
      </c>
      <c r="I329" s="7" t="s">
        <v>723</v>
      </c>
      <c r="J329" s="8" t="s">
        <v>785</v>
      </c>
      <c r="K329" s="14" t="b">
        <v>0</v>
      </c>
      <c r="L329" s="14" t="b">
        <v>1</v>
      </c>
      <c r="M329" s="14" t="b">
        <v>1</v>
      </c>
      <c r="N329" s="14" t="b">
        <v>0</v>
      </c>
      <c r="O329" s="14" t="b">
        <v>1</v>
      </c>
      <c r="W329" s="3"/>
    </row>
    <row r="330" spans="1:23" x14ac:dyDescent="0.25">
      <c r="A330" s="4">
        <v>7794623001528</v>
      </c>
      <c r="B330" s="8" t="s">
        <v>298</v>
      </c>
      <c r="C330" s="8" t="s">
        <v>299</v>
      </c>
      <c r="D330" s="7" t="s">
        <v>241</v>
      </c>
      <c r="E330" s="7" t="s">
        <v>795</v>
      </c>
      <c r="F330" s="6">
        <v>2</v>
      </c>
      <c r="G330" s="8" t="s">
        <v>733</v>
      </c>
      <c r="H330" s="8" t="s">
        <v>734</v>
      </c>
      <c r="I330" s="7" t="s">
        <v>730</v>
      </c>
      <c r="J330" s="8" t="s">
        <v>785</v>
      </c>
      <c r="K330" s="14" t="b">
        <v>1</v>
      </c>
      <c r="L330" s="14" t="b">
        <v>0</v>
      </c>
      <c r="M330" s="14" t="b">
        <v>0</v>
      </c>
      <c r="N330" s="14" t="b">
        <v>1</v>
      </c>
      <c r="O330" s="14" t="b">
        <v>1</v>
      </c>
      <c r="W330" s="3"/>
    </row>
    <row r="331" spans="1:23" x14ac:dyDescent="0.25">
      <c r="A331" s="4">
        <v>7794623001528</v>
      </c>
      <c r="B331" s="8" t="s">
        <v>298</v>
      </c>
      <c r="C331" s="8" t="s">
        <v>299</v>
      </c>
      <c r="D331" s="7" t="s">
        <v>241</v>
      </c>
      <c r="E331" s="7" t="s">
        <v>795</v>
      </c>
      <c r="F331" s="6">
        <v>2</v>
      </c>
      <c r="G331" s="8" t="s">
        <v>760</v>
      </c>
      <c r="H331" s="8" t="s">
        <v>761</v>
      </c>
      <c r="I331" s="7" t="s">
        <v>723</v>
      </c>
      <c r="J331" s="8" t="s">
        <v>785</v>
      </c>
      <c r="K331" s="14" t="b">
        <v>0</v>
      </c>
      <c r="L331" s="14" t="b">
        <v>1</v>
      </c>
      <c r="M331" s="14" t="b">
        <v>1</v>
      </c>
      <c r="N331" s="14" t="b">
        <v>0</v>
      </c>
      <c r="O331" s="14" t="b">
        <v>1</v>
      </c>
      <c r="W331" s="3"/>
    </row>
    <row r="332" spans="1:23" x14ac:dyDescent="0.25">
      <c r="A332" s="4">
        <v>7794623002257</v>
      </c>
      <c r="B332" s="8" t="s">
        <v>552</v>
      </c>
      <c r="C332" s="8" t="s">
        <v>553</v>
      </c>
      <c r="D332" s="7" t="s">
        <v>233</v>
      </c>
      <c r="E332" s="7" t="s">
        <v>795</v>
      </c>
      <c r="F332" s="6">
        <v>2</v>
      </c>
      <c r="G332" s="8" t="s">
        <v>735</v>
      </c>
      <c r="H332" s="8" t="s">
        <v>736</v>
      </c>
      <c r="I332" s="7" t="s">
        <v>723</v>
      </c>
      <c r="J332" s="8" t="s">
        <v>785</v>
      </c>
      <c r="K332" s="14" t="b">
        <v>0</v>
      </c>
      <c r="L332" s="14" t="b">
        <v>1</v>
      </c>
      <c r="M332" s="14" t="b">
        <v>1</v>
      </c>
      <c r="N332" s="14" t="b">
        <v>0</v>
      </c>
      <c r="O332" s="14" t="b">
        <v>1</v>
      </c>
      <c r="W332" s="3"/>
    </row>
    <row r="333" spans="1:23" x14ac:dyDescent="0.25">
      <c r="A333" s="4">
        <v>8562523000133</v>
      </c>
      <c r="B333" s="8" t="s">
        <v>427</v>
      </c>
      <c r="C333" s="8" t="s">
        <v>286</v>
      </c>
      <c r="D333" s="7" t="s">
        <v>241</v>
      </c>
      <c r="E333" s="7" t="s">
        <v>795</v>
      </c>
      <c r="F333" s="6">
        <v>2</v>
      </c>
      <c r="G333" s="8" t="s">
        <v>733</v>
      </c>
      <c r="H333" s="8" t="s">
        <v>734</v>
      </c>
      <c r="I333" s="7" t="s">
        <v>730</v>
      </c>
      <c r="J333" s="8" t="s">
        <v>785</v>
      </c>
      <c r="K333" s="14" t="b">
        <v>1</v>
      </c>
      <c r="L333" s="14" t="b">
        <v>0</v>
      </c>
      <c r="M333" s="14" t="b">
        <v>0</v>
      </c>
      <c r="N333" s="14" t="b">
        <v>1</v>
      </c>
      <c r="O333" s="14" t="b">
        <v>1</v>
      </c>
      <c r="W333" s="3"/>
    </row>
    <row r="334" spans="1:23" x14ac:dyDescent="0.25">
      <c r="A334" s="4">
        <v>8562523000133</v>
      </c>
      <c r="B334" s="8" t="s">
        <v>427</v>
      </c>
      <c r="C334" s="8" t="s">
        <v>286</v>
      </c>
      <c r="D334" s="7" t="s">
        <v>241</v>
      </c>
      <c r="E334" s="7" t="s">
        <v>795</v>
      </c>
      <c r="F334" s="6">
        <v>2</v>
      </c>
      <c r="G334" s="8" t="s">
        <v>752</v>
      </c>
      <c r="H334" s="8" t="s">
        <v>753</v>
      </c>
      <c r="I334" s="7" t="s">
        <v>723</v>
      </c>
      <c r="J334" s="8" t="s">
        <v>785</v>
      </c>
      <c r="K334" s="14" t="b">
        <v>0</v>
      </c>
      <c r="L334" s="14" t="b">
        <v>1</v>
      </c>
      <c r="M334" s="14" t="b">
        <v>1</v>
      </c>
      <c r="N334" s="14" t="b">
        <v>0</v>
      </c>
      <c r="O334" s="14" t="b">
        <v>1</v>
      </c>
      <c r="W334" s="3"/>
    </row>
    <row r="335" spans="1:23" x14ac:dyDescent="0.25">
      <c r="A335" s="4">
        <v>8597121000174</v>
      </c>
      <c r="B335" s="8" t="s">
        <v>428</v>
      </c>
      <c r="C335" s="8" t="s">
        <v>385</v>
      </c>
      <c r="D335" s="7" t="s">
        <v>233</v>
      </c>
      <c r="E335" s="7" t="s">
        <v>795</v>
      </c>
      <c r="F335" s="6">
        <v>2</v>
      </c>
      <c r="G335" s="8" t="s">
        <v>735</v>
      </c>
      <c r="H335" s="8" t="s">
        <v>736</v>
      </c>
      <c r="I335" s="7" t="s">
        <v>723</v>
      </c>
      <c r="J335" s="8" t="s">
        <v>785</v>
      </c>
      <c r="K335" s="14" t="b">
        <v>0</v>
      </c>
      <c r="L335" s="14" t="b">
        <v>1</v>
      </c>
      <c r="M335" s="14" t="b">
        <v>1</v>
      </c>
      <c r="N335" s="14" t="b">
        <v>0</v>
      </c>
      <c r="O335" s="14" t="b">
        <v>1</v>
      </c>
      <c r="W335" s="3"/>
    </row>
    <row r="336" spans="1:23" x14ac:dyDescent="0.25">
      <c r="A336" s="4">
        <v>9087150000230</v>
      </c>
      <c r="B336" s="8" t="s">
        <v>304</v>
      </c>
      <c r="C336" s="8" t="s">
        <v>305</v>
      </c>
      <c r="D336" s="7" t="s">
        <v>253</v>
      </c>
      <c r="E336" s="7" t="s">
        <v>795</v>
      </c>
      <c r="F336" s="6">
        <v>2</v>
      </c>
      <c r="G336" s="8" t="s">
        <v>720</v>
      </c>
      <c r="H336" s="8" t="s">
        <v>721</v>
      </c>
      <c r="I336" s="7" t="s">
        <v>723</v>
      </c>
      <c r="J336" s="8" t="s">
        <v>785</v>
      </c>
      <c r="K336" s="14" t="b">
        <v>0</v>
      </c>
      <c r="L336" s="14" t="b">
        <v>1</v>
      </c>
      <c r="M336" s="14" t="b">
        <v>1</v>
      </c>
      <c r="N336" s="14" t="b">
        <v>0</v>
      </c>
      <c r="O336" s="14" t="b">
        <v>1</v>
      </c>
      <c r="W336" s="3"/>
    </row>
    <row r="337" spans="1:23" x14ac:dyDescent="0.25">
      <c r="A337" s="4">
        <v>9549061000268</v>
      </c>
      <c r="B337" s="8" t="s">
        <v>431</v>
      </c>
      <c r="C337" s="8" t="s">
        <v>432</v>
      </c>
      <c r="D337" s="7" t="s">
        <v>253</v>
      </c>
      <c r="E337" s="7" t="s">
        <v>795</v>
      </c>
      <c r="F337" s="6">
        <v>2</v>
      </c>
      <c r="G337" s="8" t="s">
        <v>720</v>
      </c>
      <c r="H337" s="8" t="s">
        <v>721</v>
      </c>
      <c r="I337" s="7" t="s">
        <v>723</v>
      </c>
      <c r="J337" s="8" t="s">
        <v>785</v>
      </c>
      <c r="K337" s="14" t="b">
        <v>0</v>
      </c>
      <c r="L337" s="14" t="b">
        <v>1</v>
      </c>
      <c r="M337" s="14" t="b">
        <v>1</v>
      </c>
      <c r="N337" s="14" t="b">
        <v>0</v>
      </c>
      <c r="O337" s="14" t="b">
        <v>1</v>
      </c>
      <c r="W337" s="3"/>
    </row>
    <row r="338" spans="1:23" x14ac:dyDescent="0.25">
      <c r="A338" s="4">
        <v>9572216000287</v>
      </c>
      <c r="B338" s="8" t="s">
        <v>557</v>
      </c>
      <c r="C338" s="8" t="s">
        <v>558</v>
      </c>
      <c r="D338" s="7" t="s">
        <v>253</v>
      </c>
      <c r="E338" s="7" t="s">
        <v>795</v>
      </c>
      <c r="F338" s="6">
        <v>2</v>
      </c>
      <c r="G338" s="8" t="s">
        <v>720</v>
      </c>
      <c r="H338" s="8" t="s">
        <v>721</v>
      </c>
      <c r="I338" s="7" t="s">
        <v>723</v>
      </c>
      <c r="J338" s="8" t="s">
        <v>785</v>
      </c>
      <c r="K338" s="14" t="b">
        <v>0</v>
      </c>
      <c r="L338" s="14" t="b">
        <v>1</v>
      </c>
      <c r="M338" s="14" t="b">
        <v>1</v>
      </c>
      <c r="N338" s="14" t="b">
        <v>0</v>
      </c>
      <c r="O338" s="14" t="b">
        <v>1</v>
      </c>
      <c r="W338" s="3"/>
    </row>
    <row r="339" spans="1:23" x14ac:dyDescent="0.25">
      <c r="A339" s="4">
        <v>9579964000291</v>
      </c>
      <c r="B339" s="8" t="s">
        <v>604</v>
      </c>
      <c r="C339" s="8" t="s">
        <v>385</v>
      </c>
      <c r="D339" s="7" t="s">
        <v>233</v>
      </c>
      <c r="E339" s="7" t="s">
        <v>795</v>
      </c>
      <c r="F339" s="6">
        <v>2</v>
      </c>
      <c r="G339" s="8" t="s">
        <v>735</v>
      </c>
      <c r="H339" s="8" t="s">
        <v>736</v>
      </c>
      <c r="I339" s="7" t="s">
        <v>723</v>
      </c>
      <c r="J339" s="8" t="s">
        <v>785</v>
      </c>
      <c r="K339" s="14" t="b">
        <v>0</v>
      </c>
      <c r="L339" s="14" t="b">
        <v>1</v>
      </c>
      <c r="M339" s="14" t="b">
        <v>1</v>
      </c>
      <c r="N339" s="14" t="b">
        <v>0</v>
      </c>
      <c r="O339" s="14" t="b">
        <v>1</v>
      </c>
      <c r="W339" s="3"/>
    </row>
    <row r="340" spans="1:23" x14ac:dyDescent="0.25">
      <c r="A340" s="4">
        <v>9605231000284</v>
      </c>
      <c r="B340" s="8" t="s">
        <v>559</v>
      </c>
      <c r="C340" s="8" t="s">
        <v>331</v>
      </c>
      <c r="D340" s="7" t="s">
        <v>253</v>
      </c>
      <c r="E340" s="7" t="s">
        <v>795</v>
      </c>
      <c r="F340" s="6">
        <v>2</v>
      </c>
      <c r="G340" s="8" t="s">
        <v>720</v>
      </c>
      <c r="H340" s="8" t="s">
        <v>721</v>
      </c>
      <c r="I340" s="7" t="s">
        <v>723</v>
      </c>
      <c r="J340" s="8" t="s">
        <v>785</v>
      </c>
      <c r="K340" s="14" t="b">
        <v>0</v>
      </c>
      <c r="L340" s="14" t="b">
        <v>1</v>
      </c>
      <c r="M340" s="14" t="b">
        <v>1</v>
      </c>
      <c r="N340" s="14" t="b">
        <v>0</v>
      </c>
      <c r="O340" s="14" t="b">
        <v>1</v>
      </c>
      <c r="W340" s="3"/>
    </row>
    <row r="341" spans="1:23" x14ac:dyDescent="0.25">
      <c r="A341" s="4">
        <v>10558548000105</v>
      </c>
      <c r="B341" s="8" t="s">
        <v>481</v>
      </c>
      <c r="C341" s="8" t="s">
        <v>482</v>
      </c>
      <c r="D341" s="7" t="s">
        <v>241</v>
      </c>
      <c r="E341" s="7" t="s">
        <v>795</v>
      </c>
      <c r="F341" s="6">
        <v>2</v>
      </c>
      <c r="G341" s="8" t="s">
        <v>733</v>
      </c>
      <c r="H341" s="8" t="s">
        <v>734</v>
      </c>
      <c r="I341" s="7" t="s">
        <v>730</v>
      </c>
      <c r="J341" s="8" t="s">
        <v>785</v>
      </c>
      <c r="K341" s="14" t="b">
        <v>1</v>
      </c>
      <c r="L341" s="14" t="b">
        <v>0</v>
      </c>
      <c r="M341" s="14" t="b">
        <v>0</v>
      </c>
      <c r="N341" s="14" t="b">
        <v>1</v>
      </c>
      <c r="O341" s="14" t="b">
        <v>1</v>
      </c>
      <c r="W341" s="3"/>
    </row>
    <row r="342" spans="1:23" x14ac:dyDescent="0.25">
      <c r="A342" s="4">
        <v>10558548000105</v>
      </c>
      <c r="B342" s="8" t="s">
        <v>481</v>
      </c>
      <c r="C342" s="8" t="s">
        <v>482</v>
      </c>
      <c r="D342" s="7" t="s">
        <v>241</v>
      </c>
      <c r="E342" s="7" t="s">
        <v>795</v>
      </c>
      <c r="F342" s="6">
        <v>2</v>
      </c>
      <c r="G342" s="8" t="s">
        <v>752</v>
      </c>
      <c r="H342" s="8" t="s">
        <v>753</v>
      </c>
      <c r="I342" s="7" t="s">
        <v>723</v>
      </c>
      <c r="J342" s="8" t="s">
        <v>785</v>
      </c>
      <c r="K342" s="14" t="b">
        <v>0</v>
      </c>
      <c r="L342" s="14" t="b">
        <v>1</v>
      </c>
      <c r="M342" s="14" t="b">
        <v>1</v>
      </c>
      <c r="N342" s="14" t="b">
        <v>0</v>
      </c>
      <c r="O342" s="14" t="b">
        <v>1</v>
      </c>
      <c r="W342" s="3"/>
    </row>
    <row r="343" spans="1:23" x14ac:dyDescent="0.25">
      <c r="A343" s="4">
        <v>10562003000172</v>
      </c>
      <c r="B343" s="8" t="s">
        <v>642</v>
      </c>
      <c r="C343" s="8" t="s">
        <v>458</v>
      </c>
      <c r="D343" s="7" t="s">
        <v>241</v>
      </c>
      <c r="E343" s="7" t="s">
        <v>795</v>
      </c>
      <c r="F343" s="6">
        <v>2</v>
      </c>
      <c r="G343" s="8" t="s">
        <v>733</v>
      </c>
      <c r="H343" s="8" t="s">
        <v>734</v>
      </c>
      <c r="I343" s="7" t="s">
        <v>730</v>
      </c>
      <c r="J343" s="8" t="s">
        <v>785</v>
      </c>
      <c r="K343" s="14" t="b">
        <v>1</v>
      </c>
      <c r="L343" s="14" t="b">
        <v>0</v>
      </c>
      <c r="M343" s="14" t="b">
        <v>0</v>
      </c>
      <c r="N343" s="14" t="b">
        <v>1</v>
      </c>
      <c r="O343" s="14" t="b">
        <v>1</v>
      </c>
      <c r="W343" s="3"/>
    </row>
    <row r="344" spans="1:23" x14ac:dyDescent="0.25">
      <c r="A344" s="4">
        <v>10562003000172</v>
      </c>
      <c r="B344" s="8" t="s">
        <v>642</v>
      </c>
      <c r="C344" s="8" t="s">
        <v>458</v>
      </c>
      <c r="D344" s="7" t="s">
        <v>241</v>
      </c>
      <c r="E344" s="7" t="s">
        <v>795</v>
      </c>
      <c r="F344" s="6">
        <v>2</v>
      </c>
      <c r="G344" s="8" t="s">
        <v>752</v>
      </c>
      <c r="H344" s="8" t="s">
        <v>753</v>
      </c>
      <c r="I344" s="7" t="s">
        <v>723</v>
      </c>
      <c r="J344" s="8" t="s">
        <v>785</v>
      </c>
      <c r="K344" s="14" t="b">
        <v>0</v>
      </c>
      <c r="L344" s="14" t="b">
        <v>1</v>
      </c>
      <c r="M344" s="14" t="b">
        <v>1</v>
      </c>
      <c r="N344" s="14" t="b">
        <v>0</v>
      </c>
      <c r="O344" s="14" t="b">
        <v>1</v>
      </c>
      <c r="W344" s="3"/>
    </row>
    <row r="345" spans="1:23" x14ac:dyDescent="0.25">
      <c r="A345" s="4">
        <v>11055682000156</v>
      </c>
      <c r="B345" s="8" t="s">
        <v>605</v>
      </c>
      <c r="C345" s="8" t="s">
        <v>606</v>
      </c>
      <c r="D345" s="7" t="s">
        <v>253</v>
      </c>
      <c r="E345" s="7" t="s">
        <v>795</v>
      </c>
      <c r="F345" s="6">
        <v>2</v>
      </c>
      <c r="G345" s="8" t="s">
        <v>720</v>
      </c>
      <c r="H345" s="8" t="s">
        <v>721</v>
      </c>
      <c r="I345" s="7" t="s">
        <v>723</v>
      </c>
      <c r="J345" s="8" t="s">
        <v>785</v>
      </c>
      <c r="K345" s="14" t="b">
        <v>0</v>
      </c>
      <c r="L345" s="14" t="b">
        <v>1</v>
      </c>
      <c r="M345" s="14" t="b">
        <v>1</v>
      </c>
      <c r="N345" s="14" t="b">
        <v>0</v>
      </c>
      <c r="O345" s="14" t="b">
        <v>1</v>
      </c>
      <c r="W345" s="3"/>
    </row>
    <row r="346" spans="1:23" x14ac:dyDescent="0.25">
      <c r="A346" s="4">
        <v>12361267004261</v>
      </c>
      <c r="B346" s="8" t="s">
        <v>609</v>
      </c>
      <c r="C346" s="8" t="s">
        <v>610</v>
      </c>
      <c r="D346" s="7" t="s">
        <v>259</v>
      </c>
      <c r="E346" s="7" t="s">
        <v>795</v>
      </c>
      <c r="F346" s="6">
        <v>2</v>
      </c>
      <c r="G346" s="8" t="s">
        <v>735</v>
      </c>
      <c r="H346" s="8" t="s">
        <v>736</v>
      </c>
      <c r="I346" s="7" t="s">
        <v>723</v>
      </c>
      <c r="J346" s="8" t="s">
        <v>785</v>
      </c>
      <c r="K346" s="14" t="b">
        <v>0</v>
      </c>
      <c r="L346" s="14" t="b">
        <v>1</v>
      </c>
      <c r="M346" s="14" t="b">
        <v>1</v>
      </c>
      <c r="N346" s="14" t="b">
        <v>0</v>
      </c>
      <c r="O346" s="14" t="b">
        <v>1</v>
      </c>
      <c r="W346" s="3"/>
    </row>
    <row r="347" spans="1:23" x14ac:dyDescent="0.25">
      <c r="A347" s="4">
        <v>12508728000108</v>
      </c>
      <c r="B347" s="8" t="s">
        <v>517</v>
      </c>
      <c r="C347" s="8" t="s">
        <v>331</v>
      </c>
      <c r="D347" s="7" t="s">
        <v>253</v>
      </c>
      <c r="E347" s="7" t="s">
        <v>795</v>
      </c>
      <c r="F347" s="6">
        <v>2</v>
      </c>
      <c r="G347" s="8" t="s">
        <v>720</v>
      </c>
      <c r="H347" s="8" t="s">
        <v>721</v>
      </c>
      <c r="I347" s="7" t="s">
        <v>723</v>
      </c>
      <c r="J347" s="8" t="s">
        <v>785</v>
      </c>
      <c r="K347" s="14" t="b">
        <v>0</v>
      </c>
      <c r="L347" s="14" t="b">
        <v>1</v>
      </c>
      <c r="M347" s="14" t="b">
        <v>1</v>
      </c>
      <c r="N347" s="14" t="b">
        <v>0</v>
      </c>
      <c r="O347" s="14" t="b">
        <v>1</v>
      </c>
      <c r="W347" s="3"/>
    </row>
    <row r="348" spans="1:23" x14ac:dyDescent="0.25">
      <c r="A348" s="4">
        <v>15126437001972</v>
      </c>
      <c r="B348" s="8" t="s">
        <v>330</v>
      </c>
      <c r="C348" s="8" t="s">
        <v>331</v>
      </c>
      <c r="D348" s="7" t="s">
        <v>253</v>
      </c>
      <c r="E348" s="7" t="s">
        <v>795</v>
      </c>
      <c r="F348" s="6">
        <v>2</v>
      </c>
      <c r="G348" s="8" t="s">
        <v>720</v>
      </c>
      <c r="H348" s="8" t="s">
        <v>721</v>
      </c>
      <c r="I348" s="7" t="s">
        <v>723</v>
      </c>
      <c r="J348" s="8" t="s">
        <v>785</v>
      </c>
      <c r="K348" s="14" t="b">
        <v>0</v>
      </c>
      <c r="L348" s="14" t="b">
        <v>1</v>
      </c>
      <c r="M348" s="14" t="b">
        <v>1</v>
      </c>
      <c r="N348" s="14" t="b">
        <v>0</v>
      </c>
      <c r="O348" s="14" t="b">
        <v>1</v>
      </c>
      <c r="W348" s="3"/>
    </row>
    <row r="349" spans="1:23" x14ac:dyDescent="0.25">
      <c r="A349" s="4">
        <v>17034086000176</v>
      </c>
      <c r="B349" s="8" t="s">
        <v>343</v>
      </c>
      <c r="C349" s="8" t="s">
        <v>344</v>
      </c>
      <c r="D349" s="7" t="s">
        <v>259</v>
      </c>
      <c r="E349" s="7" t="s">
        <v>795</v>
      </c>
      <c r="F349" s="6">
        <v>2</v>
      </c>
      <c r="G349" s="8" t="s">
        <v>735</v>
      </c>
      <c r="H349" s="8" t="s">
        <v>736</v>
      </c>
      <c r="I349" s="7" t="s">
        <v>723</v>
      </c>
      <c r="J349" s="8" t="s">
        <v>785</v>
      </c>
      <c r="K349" s="14" t="b">
        <v>0</v>
      </c>
      <c r="L349" s="14" t="b">
        <v>1</v>
      </c>
      <c r="M349" s="14" t="b">
        <v>1</v>
      </c>
      <c r="N349" s="14" t="b">
        <v>0</v>
      </c>
      <c r="O349" s="14" t="b">
        <v>1</v>
      </c>
      <c r="W349" s="3"/>
    </row>
    <row r="350" spans="1:23" x14ac:dyDescent="0.25">
      <c r="A350" s="4">
        <v>21998635000108</v>
      </c>
      <c r="B350" s="8" t="s">
        <v>568</v>
      </c>
      <c r="C350" s="8" t="s">
        <v>508</v>
      </c>
      <c r="D350" s="7" t="s">
        <v>233</v>
      </c>
      <c r="E350" s="7" t="s">
        <v>795</v>
      </c>
      <c r="F350" s="6">
        <v>2</v>
      </c>
      <c r="G350" s="16" t="s">
        <v>735</v>
      </c>
      <c r="H350" s="8" t="s">
        <v>736</v>
      </c>
      <c r="I350" s="7" t="s">
        <v>723</v>
      </c>
      <c r="J350" s="8" t="s">
        <v>785</v>
      </c>
      <c r="K350" s="14" t="b">
        <v>0</v>
      </c>
      <c r="L350" s="14" t="b">
        <v>1</v>
      </c>
      <c r="M350" s="14" t="b">
        <v>1</v>
      </c>
      <c r="N350" s="14" t="b">
        <v>0</v>
      </c>
      <c r="O350" s="14" t="b">
        <v>1</v>
      </c>
      <c r="W350" s="3"/>
    </row>
    <row r="351" spans="1:23" x14ac:dyDescent="0.25">
      <c r="A351" s="4">
        <v>25308058000128</v>
      </c>
      <c r="B351" s="8" t="s">
        <v>501</v>
      </c>
      <c r="C351" s="8" t="s">
        <v>502</v>
      </c>
      <c r="D351" s="7" t="s">
        <v>241</v>
      </c>
      <c r="E351" s="7" t="s">
        <v>795</v>
      </c>
      <c r="F351" s="6">
        <v>2</v>
      </c>
      <c r="G351" s="16" t="s">
        <v>733</v>
      </c>
      <c r="H351" s="8" t="s">
        <v>734</v>
      </c>
      <c r="I351" s="7" t="s">
        <v>730</v>
      </c>
      <c r="J351" s="8" t="s">
        <v>785</v>
      </c>
      <c r="K351" s="14" t="b">
        <v>1</v>
      </c>
      <c r="L351" s="14" t="b">
        <v>0</v>
      </c>
      <c r="M351" s="14" t="b">
        <v>0</v>
      </c>
      <c r="N351" s="14" t="b">
        <v>1</v>
      </c>
      <c r="O351" s="14" t="b">
        <v>1</v>
      </c>
      <c r="W351" s="3"/>
    </row>
    <row r="352" spans="1:23" x14ac:dyDescent="0.25">
      <c r="A352" s="4">
        <v>25308058000128</v>
      </c>
      <c r="B352" s="8" t="s">
        <v>501</v>
      </c>
      <c r="C352" s="8" t="s">
        <v>502</v>
      </c>
      <c r="D352" s="7" t="s">
        <v>241</v>
      </c>
      <c r="E352" s="7" t="s">
        <v>795</v>
      </c>
      <c r="F352" s="6">
        <v>2</v>
      </c>
      <c r="G352" s="8" t="s">
        <v>752</v>
      </c>
      <c r="H352" s="8" t="s">
        <v>753</v>
      </c>
      <c r="I352" s="7" t="s">
        <v>723</v>
      </c>
      <c r="J352" s="8" t="s">
        <v>785</v>
      </c>
      <c r="K352" s="14" t="b">
        <v>0</v>
      </c>
      <c r="L352" s="14" t="b">
        <v>1</v>
      </c>
      <c r="M352" s="14" t="b">
        <v>1</v>
      </c>
      <c r="N352" s="14" t="b">
        <v>0</v>
      </c>
      <c r="O352" s="14" t="b">
        <v>1</v>
      </c>
      <c r="W352" s="3"/>
    </row>
    <row r="353" spans="1:23" x14ac:dyDescent="0.25">
      <c r="A353" s="4">
        <v>26947257000149</v>
      </c>
      <c r="B353" s="8" t="s">
        <v>363</v>
      </c>
      <c r="C353" s="8" t="s">
        <v>305</v>
      </c>
      <c r="D353" s="7" t="s">
        <v>253</v>
      </c>
      <c r="E353" s="7" t="s">
        <v>795</v>
      </c>
      <c r="F353" s="6">
        <v>2</v>
      </c>
      <c r="G353" s="8" t="s">
        <v>720</v>
      </c>
      <c r="H353" s="8" t="s">
        <v>721</v>
      </c>
      <c r="I353" s="7" t="s">
        <v>723</v>
      </c>
      <c r="J353" s="8" t="s">
        <v>785</v>
      </c>
      <c r="K353" s="14" t="b">
        <v>0</v>
      </c>
      <c r="L353" s="14" t="b">
        <v>1</v>
      </c>
      <c r="M353" s="14" t="b">
        <v>1</v>
      </c>
      <c r="N353" s="14" t="b">
        <v>0</v>
      </c>
      <c r="O353" s="14" t="b">
        <v>1</v>
      </c>
      <c r="W353" s="3"/>
    </row>
    <row r="354" spans="1:23" x14ac:dyDescent="0.25">
      <c r="A354" s="4">
        <v>28523215000378</v>
      </c>
      <c r="B354" s="8" t="s">
        <v>646</v>
      </c>
      <c r="C354" s="8" t="s">
        <v>240</v>
      </c>
      <c r="D354" s="7" t="s">
        <v>241</v>
      </c>
      <c r="E354" s="7" t="s">
        <v>795</v>
      </c>
      <c r="F354" s="6">
        <v>2</v>
      </c>
      <c r="G354" s="8" t="s">
        <v>733</v>
      </c>
      <c r="H354" s="8" t="s">
        <v>734</v>
      </c>
      <c r="I354" s="7" t="s">
        <v>730</v>
      </c>
      <c r="J354" s="8" t="s">
        <v>785</v>
      </c>
      <c r="K354" s="14" t="b">
        <v>1</v>
      </c>
      <c r="L354" s="14" t="b">
        <v>0</v>
      </c>
      <c r="M354" s="14" t="b">
        <v>0</v>
      </c>
      <c r="N354" s="14" t="b">
        <v>1</v>
      </c>
      <c r="O354" s="14" t="b">
        <v>1</v>
      </c>
      <c r="W354" s="3"/>
    </row>
    <row r="355" spans="1:23" x14ac:dyDescent="0.25">
      <c r="A355" s="4">
        <v>28523215000378</v>
      </c>
      <c r="B355" s="8" t="s">
        <v>646</v>
      </c>
      <c r="C355" s="8" t="s">
        <v>240</v>
      </c>
      <c r="D355" s="7" t="s">
        <v>241</v>
      </c>
      <c r="E355" s="7" t="s">
        <v>795</v>
      </c>
      <c r="F355" s="6">
        <v>2</v>
      </c>
      <c r="G355" s="8" t="s">
        <v>760</v>
      </c>
      <c r="H355" s="8" t="s">
        <v>761</v>
      </c>
      <c r="I355" s="7" t="s">
        <v>723</v>
      </c>
      <c r="J355" s="8" t="s">
        <v>785</v>
      </c>
      <c r="K355" s="14" t="b">
        <v>0</v>
      </c>
      <c r="L355" s="14" t="b">
        <v>1</v>
      </c>
      <c r="M355" s="14" t="b">
        <v>1</v>
      </c>
      <c r="N355" s="14" t="b">
        <v>0</v>
      </c>
      <c r="O355" s="14" t="b">
        <v>1</v>
      </c>
      <c r="W355" s="3"/>
    </row>
    <row r="356" spans="1:23" x14ac:dyDescent="0.25">
      <c r="A356" s="4">
        <v>28806545000532</v>
      </c>
      <c r="B356" s="8" t="s">
        <v>366</v>
      </c>
      <c r="C356" s="8" t="s">
        <v>367</v>
      </c>
      <c r="D356" s="7" t="s">
        <v>241</v>
      </c>
      <c r="E356" s="7" t="s">
        <v>795</v>
      </c>
      <c r="F356" s="6">
        <v>2</v>
      </c>
      <c r="G356" s="8" t="s">
        <v>733</v>
      </c>
      <c r="H356" s="8" t="s">
        <v>734</v>
      </c>
      <c r="I356" s="7" t="s">
        <v>730</v>
      </c>
      <c r="J356" s="8" t="s">
        <v>785</v>
      </c>
      <c r="K356" s="14" t="b">
        <v>1</v>
      </c>
      <c r="L356" s="14" t="b">
        <v>0</v>
      </c>
      <c r="M356" s="14" t="b">
        <v>0</v>
      </c>
      <c r="N356" s="14" t="b">
        <v>1</v>
      </c>
      <c r="O356" s="14" t="b">
        <v>1</v>
      </c>
      <c r="W356" s="3"/>
    </row>
    <row r="357" spans="1:23" x14ac:dyDescent="0.25">
      <c r="A357" s="4">
        <v>28806545000532</v>
      </c>
      <c r="B357" s="8" t="s">
        <v>366</v>
      </c>
      <c r="C357" s="8" t="s">
        <v>367</v>
      </c>
      <c r="D357" s="7" t="s">
        <v>241</v>
      </c>
      <c r="E357" s="7" t="s">
        <v>795</v>
      </c>
      <c r="F357" s="6">
        <v>2</v>
      </c>
      <c r="G357" s="8" t="s">
        <v>752</v>
      </c>
      <c r="H357" s="8" t="s">
        <v>753</v>
      </c>
      <c r="I357" s="7" t="s">
        <v>723</v>
      </c>
      <c r="J357" s="8" t="s">
        <v>785</v>
      </c>
      <c r="K357" s="14" t="b">
        <v>0</v>
      </c>
      <c r="L357" s="14" t="b">
        <v>1</v>
      </c>
      <c r="M357" s="14" t="b">
        <v>1</v>
      </c>
      <c r="N357" s="14" t="b">
        <v>0</v>
      </c>
      <c r="O357" s="14" t="b">
        <v>1</v>
      </c>
      <c r="W357" s="3"/>
    </row>
    <row r="358" spans="1:23" x14ac:dyDescent="0.25">
      <c r="A358" s="4">
        <v>29072642000188</v>
      </c>
      <c r="B358" s="8" t="s">
        <v>368</v>
      </c>
      <c r="C358" s="8" t="s">
        <v>369</v>
      </c>
      <c r="D358" s="7" t="s">
        <v>241</v>
      </c>
      <c r="E358" s="7" t="s">
        <v>795</v>
      </c>
      <c r="F358" s="6">
        <v>2</v>
      </c>
      <c r="G358" s="8" t="s">
        <v>733</v>
      </c>
      <c r="H358" s="8" t="s">
        <v>734</v>
      </c>
      <c r="I358" s="7" t="s">
        <v>730</v>
      </c>
      <c r="J358" s="8" t="s">
        <v>785</v>
      </c>
      <c r="K358" s="14" t="b">
        <v>1</v>
      </c>
      <c r="L358" s="14" t="b">
        <v>0</v>
      </c>
      <c r="M358" s="14" t="b">
        <v>0</v>
      </c>
      <c r="N358" s="14" t="b">
        <v>1</v>
      </c>
      <c r="O358" s="14" t="b">
        <v>1</v>
      </c>
      <c r="W358" s="3"/>
    </row>
    <row r="359" spans="1:23" x14ac:dyDescent="0.25">
      <c r="A359" s="4">
        <v>29072642000188</v>
      </c>
      <c r="B359" s="8" t="s">
        <v>368</v>
      </c>
      <c r="C359" s="8" t="s">
        <v>369</v>
      </c>
      <c r="D359" s="7" t="s">
        <v>241</v>
      </c>
      <c r="E359" s="7" t="s">
        <v>795</v>
      </c>
      <c r="F359" s="6">
        <v>2</v>
      </c>
      <c r="G359" s="8" t="s">
        <v>752</v>
      </c>
      <c r="H359" s="8" t="s">
        <v>753</v>
      </c>
      <c r="I359" s="7" t="s">
        <v>723</v>
      </c>
      <c r="J359" s="8" t="s">
        <v>785</v>
      </c>
      <c r="K359" s="14" t="b">
        <v>0</v>
      </c>
      <c r="L359" s="14" t="b">
        <v>1</v>
      </c>
      <c r="M359" s="14" t="b">
        <v>1</v>
      </c>
      <c r="N359" s="14" t="b">
        <v>0</v>
      </c>
      <c r="O359" s="14" t="b">
        <v>1</v>
      </c>
      <c r="W359" s="3"/>
    </row>
    <row r="360" spans="1:23" x14ac:dyDescent="0.25">
      <c r="A360" s="4">
        <v>29135795000208</v>
      </c>
      <c r="B360" s="8" t="s">
        <v>576</v>
      </c>
      <c r="C360" s="8" t="s">
        <v>577</v>
      </c>
      <c r="D360" s="7" t="s">
        <v>241</v>
      </c>
      <c r="E360" s="7" t="s">
        <v>795</v>
      </c>
      <c r="F360" s="6">
        <v>2</v>
      </c>
      <c r="G360" s="8" t="s">
        <v>733</v>
      </c>
      <c r="H360" s="8" t="s">
        <v>734</v>
      </c>
      <c r="I360" s="7" t="s">
        <v>730</v>
      </c>
      <c r="J360" s="8" t="s">
        <v>785</v>
      </c>
      <c r="K360" s="14" t="b">
        <v>1</v>
      </c>
      <c r="L360" s="14" t="b">
        <v>0</v>
      </c>
      <c r="M360" s="14" t="b">
        <v>0</v>
      </c>
      <c r="N360" s="14" t="b">
        <v>1</v>
      </c>
      <c r="O360" s="14" t="b">
        <v>1</v>
      </c>
      <c r="W360" s="3"/>
    </row>
    <row r="361" spans="1:23" x14ac:dyDescent="0.25">
      <c r="A361" s="4">
        <v>29135795000208</v>
      </c>
      <c r="B361" s="8" t="s">
        <v>576</v>
      </c>
      <c r="C361" s="8" t="s">
        <v>577</v>
      </c>
      <c r="D361" s="7" t="s">
        <v>241</v>
      </c>
      <c r="E361" s="7" t="s">
        <v>795</v>
      </c>
      <c r="F361" s="6">
        <v>2</v>
      </c>
      <c r="G361" s="8" t="s">
        <v>752</v>
      </c>
      <c r="H361" s="8" t="s">
        <v>753</v>
      </c>
      <c r="I361" s="7" t="s">
        <v>723</v>
      </c>
      <c r="J361" s="8" t="s">
        <v>785</v>
      </c>
      <c r="K361" s="14" t="b">
        <v>0</v>
      </c>
      <c r="L361" s="14" t="b">
        <v>1</v>
      </c>
      <c r="M361" s="14" t="b">
        <v>1</v>
      </c>
      <c r="N361" s="14" t="b">
        <v>0</v>
      </c>
      <c r="O361" s="14" t="b">
        <v>1</v>
      </c>
      <c r="W361" s="3"/>
    </row>
    <row r="362" spans="1:23" x14ac:dyDescent="0.25">
      <c r="A362" s="4">
        <v>29435005003497</v>
      </c>
      <c r="B362" s="8" t="s">
        <v>622</v>
      </c>
      <c r="C362" s="8" t="s">
        <v>286</v>
      </c>
      <c r="D362" s="7" t="s">
        <v>241</v>
      </c>
      <c r="E362" s="7" t="s">
        <v>795</v>
      </c>
      <c r="F362" s="6">
        <v>2</v>
      </c>
      <c r="G362" s="8" t="s">
        <v>733</v>
      </c>
      <c r="H362" s="8" t="s">
        <v>734</v>
      </c>
      <c r="I362" s="7" t="s">
        <v>730</v>
      </c>
      <c r="J362" s="8" t="s">
        <v>785</v>
      </c>
      <c r="K362" s="14" t="b">
        <v>1</v>
      </c>
      <c r="L362" s="14" t="b">
        <v>0</v>
      </c>
      <c r="M362" s="14" t="b">
        <v>0</v>
      </c>
      <c r="N362" s="14" t="b">
        <v>1</v>
      </c>
      <c r="O362" s="14" t="b">
        <v>1</v>
      </c>
      <c r="W362" s="3"/>
    </row>
    <row r="363" spans="1:23" x14ac:dyDescent="0.25">
      <c r="A363" s="4">
        <v>29435005003497</v>
      </c>
      <c r="B363" s="8" t="s">
        <v>622</v>
      </c>
      <c r="C363" s="8" t="s">
        <v>286</v>
      </c>
      <c r="D363" s="7" t="s">
        <v>241</v>
      </c>
      <c r="E363" s="7" t="s">
        <v>795</v>
      </c>
      <c r="F363" s="6">
        <v>2</v>
      </c>
      <c r="G363" s="8" t="s">
        <v>752</v>
      </c>
      <c r="H363" s="8" t="s">
        <v>753</v>
      </c>
      <c r="I363" s="7" t="s">
        <v>723</v>
      </c>
      <c r="J363" s="8" t="s">
        <v>785</v>
      </c>
      <c r="K363" s="14" t="b">
        <v>0</v>
      </c>
      <c r="L363" s="14" t="b">
        <v>1</v>
      </c>
      <c r="M363" s="14" t="b">
        <v>1</v>
      </c>
      <c r="N363" s="14" t="b">
        <v>0</v>
      </c>
      <c r="O363" s="14" t="b">
        <v>1</v>
      </c>
      <c r="W363" s="3"/>
    </row>
    <row r="364" spans="1:23" x14ac:dyDescent="0.25">
      <c r="A364" s="4">
        <v>29435005005600</v>
      </c>
      <c r="B364" s="8" t="s">
        <v>518</v>
      </c>
      <c r="C364" s="8" t="s">
        <v>385</v>
      </c>
      <c r="D364" s="7" t="s">
        <v>233</v>
      </c>
      <c r="E364" s="7" t="s">
        <v>795</v>
      </c>
      <c r="F364" s="6">
        <v>2</v>
      </c>
      <c r="G364" s="8" t="s">
        <v>735</v>
      </c>
      <c r="H364" s="8" t="s">
        <v>736</v>
      </c>
      <c r="I364" s="7" t="s">
        <v>723</v>
      </c>
      <c r="J364" s="8" t="s">
        <v>785</v>
      </c>
      <c r="K364" s="14" t="b">
        <v>0</v>
      </c>
      <c r="L364" s="14" t="b">
        <v>1</v>
      </c>
      <c r="M364" s="14" t="b">
        <v>1</v>
      </c>
      <c r="N364" s="14" t="b">
        <v>0</v>
      </c>
      <c r="O364" s="14" t="b">
        <v>1</v>
      </c>
      <c r="W364" s="3"/>
    </row>
    <row r="365" spans="1:23" x14ac:dyDescent="0.25">
      <c r="A365" s="4">
        <v>29640612000120</v>
      </c>
      <c r="B365" s="8" t="s">
        <v>452</v>
      </c>
      <c r="C365" s="8" t="s">
        <v>453</v>
      </c>
      <c r="D365" s="7" t="s">
        <v>241</v>
      </c>
      <c r="E365" s="7" t="s">
        <v>795</v>
      </c>
      <c r="F365" s="6">
        <v>2</v>
      </c>
      <c r="G365" s="8" t="s">
        <v>733</v>
      </c>
      <c r="H365" s="8" t="s">
        <v>734</v>
      </c>
      <c r="I365" s="7" t="s">
        <v>730</v>
      </c>
      <c r="J365" s="8" t="s">
        <v>785</v>
      </c>
      <c r="K365" s="14" t="b">
        <v>1</v>
      </c>
      <c r="L365" s="14" t="b">
        <v>0</v>
      </c>
      <c r="M365" s="14" t="b">
        <v>0</v>
      </c>
      <c r="N365" s="14" t="b">
        <v>1</v>
      </c>
      <c r="O365" s="14" t="b">
        <v>1</v>
      </c>
      <c r="W365" s="3"/>
    </row>
    <row r="366" spans="1:23" x14ac:dyDescent="0.25">
      <c r="A366" s="4">
        <v>29640612000120</v>
      </c>
      <c r="B366" s="8" t="s">
        <v>452</v>
      </c>
      <c r="C366" s="8" t="s">
        <v>453</v>
      </c>
      <c r="D366" s="7" t="s">
        <v>241</v>
      </c>
      <c r="E366" s="7" t="s">
        <v>795</v>
      </c>
      <c r="F366" s="6">
        <v>2</v>
      </c>
      <c r="G366" s="8" t="s">
        <v>752</v>
      </c>
      <c r="H366" s="8" t="s">
        <v>753</v>
      </c>
      <c r="I366" s="7" t="s">
        <v>723</v>
      </c>
      <c r="J366" s="8" t="s">
        <v>785</v>
      </c>
      <c r="K366" s="14" t="b">
        <v>0</v>
      </c>
      <c r="L366" s="14" t="b">
        <v>1</v>
      </c>
      <c r="M366" s="14" t="b">
        <v>1</v>
      </c>
      <c r="N366" s="14" t="b">
        <v>0</v>
      </c>
      <c r="O366" s="14" t="b">
        <v>1</v>
      </c>
      <c r="W366" s="3"/>
    </row>
    <row r="367" spans="1:23" x14ac:dyDescent="0.25">
      <c r="A367" s="4">
        <v>29908956000178</v>
      </c>
      <c r="B367" s="8" t="s">
        <v>454</v>
      </c>
      <c r="C367" s="8" t="s">
        <v>455</v>
      </c>
      <c r="D367" s="7" t="s">
        <v>253</v>
      </c>
      <c r="E367" s="7" t="s">
        <v>795</v>
      </c>
      <c r="F367" s="6">
        <v>2</v>
      </c>
      <c r="G367" s="8" t="s">
        <v>720</v>
      </c>
      <c r="H367" s="8" t="s">
        <v>721</v>
      </c>
      <c r="I367" s="7" t="s">
        <v>723</v>
      </c>
      <c r="J367" s="8" t="s">
        <v>785</v>
      </c>
      <c r="K367" s="14" t="b">
        <v>0</v>
      </c>
      <c r="L367" s="14" t="b">
        <v>1</v>
      </c>
      <c r="M367" s="14" t="b">
        <v>1</v>
      </c>
      <c r="N367" s="14" t="b">
        <v>0</v>
      </c>
      <c r="O367" s="14" t="b">
        <v>1</v>
      </c>
      <c r="W367" s="3"/>
    </row>
    <row r="368" spans="1:23" x14ac:dyDescent="0.25">
      <c r="A368" s="4">
        <v>30079461000162</v>
      </c>
      <c r="B368" s="8" t="s">
        <v>456</v>
      </c>
      <c r="C368" s="8" t="s">
        <v>240</v>
      </c>
      <c r="D368" s="7" t="s">
        <v>241</v>
      </c>
      <c r="E368" s="7" t="s">
        <v>795</v>
      </c>
      <c r="F368" s="6">
        <v>2</v>
      </c>
      <c r="G368" s="8" t="s">
        <v>733</v>
      </c>
      <c r="H368" s="8" t="s">
        <v>734</v>
      </c>
      <c r="I368" s="7" t="s">
        <v>730</v>
      </c>
      <c r="J368" s="8" t="s">
        <v>785</v>
      </c>
      <c r="K368" s="14" t="b">
        <v>1</v>
      </c>
      <c r="L368" s="14" t="b">
        <v>0</v>
      </c>
      <c r="M368" s="14" t="b">
        <v>0</v>
      </c>
      <c r="N368" s="14" t="b">
        <v>1</v>
      </c>
      <c r="O368" s="14" t="b">
        <v>1</v>
      </c>
      <c r="W368" s="3"/>
    </row>
    <row r="369" spans="1:23" x14ac:dyDescent="0.25">
      <c r="A369" s="4">
        <v>30079461000162</v>
      </c>
      <c r="B369" s="8" t="s">
        <v>456</v>
      </c>
      <c r="C369" s="8" t="s">
        <v>240</v>
      </c>
      <c r="D369" s="7" t="s">
        <v>241</v>
      </c>
      <c r="E369" s="7" t="s">
        <v>795</v>
      </c>
      <c r="F369" s="6">
        <v>2</v>
      </c>
      <c r="G369" s="8" t="s">
        <v>760</v>
      </c>
      <c r="H369" s="8" t="s">
        <v>761</v>
      </c>
      <c r="I369" s="7" t="s">
        <v>723</v>
      </c>
      <c r="J369" s="8" t="s">
        <v>785</v>
      </c>
      <c r="K369" s="14" t="b">
        <v>0</v>
      </c>
      <c r="L369" s="14" t="b">
        <v>1</v>
      </c>
      <c r="M369" s="14" t="b">
        <v>1</v>
      </c>
      <c r="N369" s="14" t="b">
        <v>0</v>
      </c>
      <c r="O369" s="14" t="b">
        <v>1</v>
      </c>
      <c r="W369" s="3"/>
    </row>
    <row r="370" spans="1:23" x14ac:dyDescent="0.25">
      <c r="A370" s="4">
        <v>30117769000155</v>
      </c>
      <c r="B370" s="8" t="s">
        <v>578</v>
      </c>
      <c r="C370" s="8" t="s">
        <v>385</v>
      </c>
      <c r="D370" s="7" t="s">
        <v>233</v>
      </c>
      <c r="E370" s="7" t="s">
        <v>795</v>
      </c>
      <c r="F370" s="6">
        <v>2</v>
      </c>
      <c r="G370" s="8" t="s">
        <v>735</v>
      </c>
      <c r="H370" s="8" t="s">
        <v>736</v>
      </c>
      <c r="I370" s="7" t="s">
        <v>723</v>
      </c>
      <c r="J370" s="8" t="s">
        <v>785</v>
      </c>
      <c r="K370" s="14" t="b">
        <v>0</v>
      </c>
      <c r="L370" s="14" t="b">
        <v>1</v>
      </c>
      <c r="M370" s="14" t="b">
        <v>1</v>
      </c>
      <c r="N370" s="14" t="b">
        <v>0</v>
      </c>
      <c r="O370" s="14" t="b">
        <v>1</v>
      </c>
      <c r="W370" s="3"/>
    </row>
    <row r="371" spans="1:23" x14ac:dyDescent="0.25">
      <c r="A371" s="4">
        <v>30537740000122</v>
      </c>
      <c r="B371" s="8" t="s">
        <v>624</v>
      </c>
      <c r="C371" s="8" t="s">
        <v>577</v>
      </c>
      <c r="D371" s="7" t="s">
        <v>241</v>
      </c>
      <c r="E371" s="7" t="s">
        <v>795</v>
      </c>
      <c r="F371" s="6">
        <v>2</v>
      </c>
      <c r="G371" s="8" t="s">
        <v>733</v>
      </c>
      <c r="H371" s="8" t="s">
        <v>734</v>
      </c>
      <c r="I371" s="7" t="s">
        <v>730</v>
      </c>
      <c r="J371" s="8" t="s">
        <v>785</v>
      </c>
      <c r="K371" s="14" t="b">
        <v>1</v>
      </c>
      <c r="L371" s="14" t="b">
        <v>0</v>
      </c>
      <c r="M371" s="14" t="b">
        <v>0</v>
      </c>
      <c r="N371" s="14" t="b">
        <v>1</v>
      </c>
      <c r="O371" s="14" t="b">
        <v>1</v>
      </c>
      <c r="W371" s="3"/>
    </row>
    <row r="372" spans="1:23" x14ac:dyDescent="0.25">
      <c r="A372" s="4">
        <v>30537740000122</v>
      </c>
      <c r="B372" s="8" t="s">
        <v>624</v>
      </c>
      <c r="C372" s="8" t="s">
        <v>577</v>
      </c>
      <c r="D372" s="7" t="s">
        <v>241</v>
      </c>
      <c r="E372" s="7" t="s">
        <v>795</v>
      </c>
      <c r="F372" s="6">
        <v>2</v>
      </c>
      <c r="G372" s="8" t="s">
        <v>752</v>
      </c>
      <c r="H372" s="8" t="s">
        <v>753</v>
      </c>
      <c r="I372" s="7" t="s">
        <v>723</v>
      </c>
      <c r="J372" s="8" t="s">
        <v>785</v>
      </c>
      <c r="K372" s="14" t="b">
        <v>0</v>
      </c>
      <c r="L372" s="14" t="b">
        <v>1</v>
      </c>
      <c r="M372" s="14" t="b">
        <v>1</v>
      </c>
      <c r="N372" s="14" t="b">
        <v>0</v>
      </c>
      <c r="O372" s="14" t="b">
        <v>1</v>
      </c>
      <c r="W372" s="3"/>
    </row>
    <row r="373" spans="1:23" x14ac:dyDescent="0.25">
      <c r="A373" s="4">
        <v>30638381000108</v>
      </c>
      <c r="B373" s="8" t="s">
        <v>647</v>
      </c>
      <c r="C373" s="8" t="s">
        <v>367</v>
      </c>
      <c r="D373" s="7" t="s">
        <v>241</v>
      </c>
      <c r="E373" s="7" t="s">
        <v>795</v>
      </c>
      <c r="F373" s="6">
        <v>2</v>
      </c>
      <c r="G373" s="8" t="s">
        <v>733</v>
      </c>
      <c r="H373" s="8" t="s">
        <v>734</v>
      </c>
      <c r="I373" s="7" t="s">
        <v>730</v>
      </c>
      <c r="J373" s="8" t="s">
        <v>785</v>
      </c>
      <c r="K373" s="14" t="b">
        <v>1</v>
      </c>
      <c r="L373" s="14" t="b">
        <v>0</v>
      </c>
      <c r="M373" s="14" t="b">
        <v>0</v>
      </c>
      <c r="N373" s="14" t="b">
        <v>1</v>
      </c>
      <c r="O373" s="14" t="b">
        <v>1</v>
      </c>
      <c r="W373" s="3"/>
    </row>
    <row r="374" spans="1:23" x14ac:dyDescent="0.25">
      <c r="A374" s="4">
        <v>30638381000108</v>
      </c>
      <c r="B374" s="8" t="s">
        <v>647</v>
      </c>
      <c r="C374" s="8" t="s">
        <v>367</v>
      </c>
      <c r="D374" s="7" t="s">
        <v>241</v>
      </c>
      <c r="E374" s="7" t="s">
        <v>795</v>
      </c>
      <c r="F374" s="6">
        <v>2</v>
      </c>
      <c r="G374" s="8" t="s">
        <v>752</v>
      </c>
      <c r="H374" s="8" t="s">
        <v>753</v>
      </c>
      <c r="I374" s="7" t="s">
        <v>723</v>
      </c>
      <c r="J374" s="8" t="s">
        <v>785</v>
      </c>
      <c r="K374" s="14" t="b">
        <v>0</v>
      </c>
      <c r="L374" s="14" t="b">
        <v>1</v>
      </c>
      <c r="M374" s="14" t="b">
        <v>1</v>
      </c>
      <c r="N374" s="14" t="b">
        <v>0</v>
      </c>
      <c r="O374" s="14" t="b">
        <v>1</v>
      </c>
      <c r="W374" s="3"/>
    </row>
    <row r="375" spans="1:23" x14ac:dyDescent="0.25">
      <c r="A375" s="4">
        <v>35830868000446</v>
      </c>
      <c r="B375" s="8" t="s">
        <v>373</v>
      </c>
      <c r="C375" s="8" t="s">
        <v>374</v>
      </c>
      <c r="D375" s="7" t="s">
        <v>241</v>
      </c>
      <c r="E375" s="7" t="s">
        <v>795</v>
      </c>
      <c r="F375" s="6">
        <v>2</v>
      </c>
      <c r="G375" s="8" t="s">
        <v>733</v>
      </c>
      <c r="H375" s="8" t="s">
        <v>734</v>
      </c>
      <c r="I375" s="7" t="s">
        <v>730</v>
      </c>
      <c r="J375" s="8" t="s">
        <v>785</v>
      </c>
      <c r="K375" s="14" t="b">
        <v>1</v>
      </c>
      <c r="L375" s="14" t="b">
        <v>0</v>
      </c>
      <c r="M375" s="14" t="b">
        <v>0</v>
      </c>
      <c r="N375" s="14" t="b">
        <v>1</v>
      </c>
      <c r="O375" s="14" t="b">
        <v>1</v>
      </c>
      <c r="W375" s="3"/>
    </row>
    <row r="376" spans="1:23" x14ac:dyDescent="0.25">
      <c r="A376" s="4">
        <v>35830868000446</v>
      </c>
      <c r="B376" s="8" t="s">
        <v>373</v>
      </c>
      <c r="C376" s="8" t="s">
        <v>374</v>
      </c>
      <c r="D376" s="7" t="s">
        <v>241</v>
      </c>
      <c r="E376" s="7" t="s">
        <v>795</v>
      </c>
      <c r="F376" s="6">
        <v>2</v>
      </c>
      <c r="G376" s="8" t="s">
        <v>752</v>
      </c>
      <c r="H376" s="8" t="s">
        <v>753</v>
      </c>
      <c r="I376" s="7" t="s">
        <v>723</v>
      </c>
      <c r="J376" s="8" t="s">
        <v>785</v>
      </c>
      <c r="K376" s="14" t="b">
        <v>0</v>
      </c>
      <c r="L376" s="14" t="b">
        <v>1</v>
      </c>
      <c r="M376" s="14" t="b">
        <v>1</v>
      </c>
      <c r="N376" s="14" t="b">
        <v>0</v>
      </c>
      <c r="O376" s="14" t="b">
        <v>1</v>
      </c>
      <c r="W376" s="3"/>
    </row>
    <row r="377" spans="1:23" x14ac:dyDescent="0.25">
      <c r="A377" s="4">
        <v>35917970000726</v>
      </c>
      <c r="B377" s="8" t="s">
        <v>457</v>
      </c>
      <c r="C377" s="8" t="s">
        <v>458</v>
      </c>
      <c r="D377" s="7" t="s">
        <v>241</v>
      </c>
      <c r="E377" s="7" t="s">
        <v>795</v>
      </c>
      <c r="F377" s="6">
        <v>2</v>
      </c>
      <c r="G377" s="8" t="s">
        <v>733</v>
      </c>
      <c r="H377" s="8" t="s">
        <v>734</v>
      </c>
      <c r="I377" s="7" t="s">
        <v>730</v>
      </c>
      <c r="J377" s="8" t="s">
        <v>785</v>
      </c>
      <c r="K377" s="14" t="b">
        <v>1</v>
      </c>
      <c r="L377" s="14" t="b">
        <v>0</v>
      </c>
      <c r="M377" s="14" t="b">
        <v>0</v>
      </c>
      <c r="N377" s="14" t="b">
        <v>1</v>
      </c>
      <c r="O377" s="14" t="b">
        <v>1</v>
      </c>
      <c r="W377" s="3"/>
    </row>
    <row r="378" spans="1:23" x14ac:dyDescent="0.25">
      <c r="A378" s="4">
        <v>35917970000726</v>
      </c>
      <c r="B378" s="8" t="s">
        <v>457</v>
      </c>
      <c r="C378" s="8" t="s">
        <v>458</v>
      </c>
      <c r="D378" s="7" t="s">
        <v>241</v>
      </c>
      <c r="E378" s="7" t="s">
        <v>795</v>
      </c>
      <c r="F378" s="6">
        <v>2</v>
      </c>
      <c r="G378" s="8" t="s">
        <v>752</v>
      </c>
      <c r="H378" s="8" t="s">
        <v>753</v>
      </c>
      <c r="I378" s="7" t="s">
        <v>723</v>
      </c>
      <c r="J378" s="8" t="s">
        <v>785</v>
      </c>
      <c r="K378" s="14" t="b">
        <v>0</v>
      </c>
      <c r="L378" s="14" t="b">
        <v>1</v>
      </c>
      <c r="M378" s="14" t="b">
        <v>1</v>
      </c>
      <c r="N378" s="14" t="b">
        <v>0</v>
      </c>
      <c r="O378" s="14" t="b">
        <v>1</v>
      </c>
      <c r="W378" s="3"/>
    </row>
    <row r="379" spans="1:23" x14ac:dyDescent="0.25">
      <c r="A379" s="4">
        <v>36238913000198</v>
      </c>
      <c r="B379" s="8" t="s">
        <v>503</v>
      </c>
      <c r="C379" s="8" t="s">
        <v>504</v>
      </c>
      <c r="D379" s="7" t="s">
        <v>241</v>
      </c>
      <c r="E379" s="7" t="s">
        <v>795</v>
      </c>
      <c r="F379" s="6">
        <v>2</v>
      </c>
      <c r="G379" s="8" t="s">
        <v>733</v>
      </c>
      <c r="H379" s="8" t="s">
        <v>734</v>
      </c>
      <c r="I379" s="7" t="s">
        <v>730</v>
      </c>
      <c r="J379" s="8" t="s">
        <v>785</v>
      </c>
      <c r="K379" s="14" t="b">
        <v>1</v>
      </c>
      <c r="L379" s="14" t="b">
        <v>0</v>
      </c>
      <c r="M379" s="14" t="b">
        <v>0</v>
      </c>
      <c r="N379" s="14" t="b">
        <v>1</v>
      </c>
      <c r="O379" s="14" t="b">
        <v>1</v>
      </c>
      <c r="W379" s="3"/>
    </row>
    <row r="380" spans="1:23" x14ac:dyDescent="0.25">
      <c r="A380" s="4">
        <v>36238913000198</v>
      </c>
      <c r="B380" s="8" t="s">
        <v>503</v>
      </c>
      <c r="C380" s="8" t="s">
        <v>504</v>
      </c>
      <c r="D380" s="7" t="s">
        <v>241</v>
      </c>
      <c r="E380" s="7" t="s">
        <v>795</v>
      </c>
      <c r="F380" s="6">
        <v>2</v>
      </c>
      <c r="G380" s="8" t="s">
        <v>752</v>
      </c>
      <c r="H380" s="8" t="s">
        <v>753</v>
      </c>
      <c r="I380" s="7" t="s">
        <v>723</v>
      </c>
      <c r="J380" s="8" t="s">
        <v>785</v>
      </c>
      <c r="K380" s="14" t="b">
        <v>0</v>
      </c>
      <c r="L380" s="14" t="b">
        <v>1</v>
      </c>
      <c r="M380" s="14" t="b">
        <v>1</v>
      </c>
      <c r="N380" s="14" t="b">
        <v>0</v>
      </c>
      <c r="O380" s="14" t="b">
        <v>1</v>
      </c>
      <c r="W380" s="3"/>
    </row>
    <row r="381" spans="1:23" x14ac:dyDescent="0.25">
      <c r="A381" s="4">
        <v>60884855001207</v>
      </c>
      <c r="B381" s="8" t="s">
        <v>377</v>
      </c>
      <c r="C381" s="8" t="s">
        <v>240</v>
      </c>
      <c r="D381" s="7" t="s">
        <v>241</v>
      </c>
      <c r="E381" s="7" t="s">
        <v>795</v>
      </c>
      <c r="F381" s="6">
        <v>2</v>
      </c>
      <c r="G381" s="8" t="s">
        <v>733</v>
      </c>
      <c r="H381" s="8" t="s">
        <v>734</v>
      </c>
      <c r="I381" s="7" t="s">
        <v>730</v>
      </c>
      <c r="J381" s="8" t="s">
        <v>785</v>
      </c>
      <c r="K381" s="14" t="b">
        <v>1</v>
      </c>
      <c r="L381" s="14" t="b">
        <v>0</v>
      </c>
      <c r="M381" s="14" t="b">
        <v>0</v>
      </c>
      <c r="N381" s="14" t="b">
        <v>1</v>
      </c>
      <c r="O381" s="14" t="b">
        <v>1</v>
      </c>
      <c r="W381" s="3"/>
    </row>
    <row r="382" spans="1:23" x14ac:dyDescent="0.25">
      <c r="A382" s="4">
        <v>60884855001207</v>
      </c>
      <c r="B382" s="8" t="s">
        <v>377</v>
      </c>
      <c r="C382" s="8" t="s">
        <v>240</v>
      </c>
      <c r="D382" s="7" t="s">
        <v>241</v>
      </c>
      <c r="E382" s="7" t="s">
        <v>795</v>
      </c>
      <c r="F382" s="6">
        <v>2</v>
      </c>
      <c r="G382" s="8" t="s">
        <v>760</v>
      </c>
      <c r="H382" s="8" t="s">
        <v>761</v>
      </c>
      <c r="I382" s="7" t="s">
        <v>723</v>
      </c>
      <c r="J382" s="8" t="s">
        <v>785</v>
      </c>
      <c r="K382" s="14" t="b">
        <v>0</v>
      </c>
      <c r="L382" s="14" t="b">
        <v>1</v>
      </c>
      <c r="M382" s="14" t="b">
        <v>1</v>
      </c>
      <c r="N382" s="14" t="b">
        <v>0</v>
      </c>
      <c r="O382" s="14" t="b">
        <v>1</v>
      </c>
      <c r="W382" s="3"/>
    </row>
    <row r="383" spans="1:23" x14ac:dyDescent="0.25">
      <c r="A383" s="4">
        <v>60922168005226</v>
      </c>
      <c r="B383" s="8" t="s">
        <v>379</v>
      </c>
      <c r="C383" s="8" t="s">
        <v>380</v>
      </c>
      <c r="D383" s="7" t="s">
        <v>259</v>
      </c>
      <c r="E383" s="7" t="s">
        <v>795</v>
      </c>
      <c r="F383" s="6">
        <v>2</v>
      </c>
      <c r="G383" s="8" t="s">
        <v>735</v>
      </c>
      <c r="H383" s="8" t="s">
        <v>736</v>
      </c>
      <c r="I383" s="7" t="s">
        <v>723</v>
      </c>
      <c r="J383" s="8" t="s">
        <v>785</v>
      </c>
      <c r="K383" s="14" t="b">
        <v>0</v>
      </c>
      <c r="L383" s="14" t="b">
        <v>1</v>
      </c>
      <c r="M383" s="14" t="b">
        <v>1</v>
      </c>
      <c r="N383" s="14" t="b">
        <v>0</v>
      </c>
      <c r="O383" s="14" t="b">
        <v>1</v>
      </c>
      <c r="W383" s="3"/>
    </row>
    <row r="384" spans="1:23" x14ac:dyDescent="0.25">
      <c r="A384" s="4">
        <v>68709211000212</v>
      </c>
      <c r="B384" s="8" t="s">
        <v>459</v>
      </c>
      <c r="C384" s="8" t="s">
        <v>369</v>
      </c>
      <c r="D384" s="7" t="s">
        <v>241</v>
      </c>
      <c r="E384" s="7" t="s">
        <v>795</v>
      </c>
      <c r="F384" s="6">
        <v>2</v>
      </c>
      <c r="G384" s="8" t="s">
        <v>733</v>
      </c>
      <c r="H384" s="8" t="s">
        <v>734</v>
      </c>
      <c r="I384" s="7" t="s">
        <v>730</v>
      </c>
      <c r="J384" s="8" t="s">
        <v>785</v>
      </c>
      <c r="K384" s="14" t="b">
        <v>1</v>
      </c>
      <c r="L384" s="14" t="b">
        <v>0</v>
      </c>
      <c r="M384" s="14" t="b">
        <v>0</v>
      </c>
      <c r="N384" s="14" t="b">
        <v>1</v>
      </c>
      <c r="O384" s="14" t="b">
        <v>1</v>
      </c>
      <c r="W384" s="3"/>
    </row>
    <row r="385" spans="1:23" x14ac:dyDescent="0.25">
      <c r="A385" s="4">
        <v>68709211000212</v>
      </c>
      <c r="B385" s="8" t="s">
        <v>459</v>
      </c>
      <c r="C385" s="8" t="s">
        <v>369</v>
      </c>
      <c r="D385" s="7" t="s">
        <v>241</v>
      </c>
      <c r="E385" s="7" t="s">
        <v>795</v>
      </c>
      <c r="F385" s="6">
        <v>2</v>
      </c>
      <c r="G385" s="8" t="s">
        <v>752</v>
      </c>
      <c r="H385" s="8" t="s">
        <v>753</v>
      </c>
      <c r="I385" s="7" t="s">
        <v>723</v>
      </c>
      <c r="J385" s="8" t="s">
        <v>785</v>
      </c>
      <c r="K385" s="14" t="b">
        <v>0</v>
      </c>
      <c r="L385" s="14" t="b">
        <v>1</v>
      </c>
      <c r="M385" s="14" t="b">
        <v>1</v>
      </c>
      <c r="N385" s="14" t="b">
        <v>0</v>
      </c>
      <c r="O385" s="14" t="b">
        <v>1</v>
      </c>
      <c r="W385" s="3"/>
    </row>
    <row r="386" spans="1:23" x14ac:dyDescent="0.25">
      <c r="A386" s="4">
        <v>73863342000109</v>
      </c>
      <c r="B386" s="8" t="s">
        <v>582</v>
      </c>
      <c r="C386" s="8" t="s">
        <v>583</v>
      </c>
      <c r="D386" s="7" t="s">
        <v>233</v>
      </c>
      <c r="E386" s="7" t="s">
        <v>795</v>
      </c>
      <c r="F386" s="6">
        <v>2</v>
      </c>
      <c r="G386" s="8" t="s">
        <v>735</v>
      </c>
      <c r="H386" s="8" t="s">
        <v>736</v>
      </c>
      <c r="I386" s="7" t="s">
        <v>723</v>
      </c>
      <c r="J386" s="8" t="s">
        <v>785</v>
      </c>
      <c r="K386" s="14" t="b">
        <v>0</v>
      </c>
      <c r="L386" s="14" t="b">
        <v>1</v>
      </c>
      <c r="M386" s="14" t="b">
        <v>1</v>
      </c>
      <c r="N386" s="14" t="b">
        <v>0</v>
      </c>
      <c r="O386" s="14" t="b">
        <v>1</v>
      </c>
      <c r="W386" s="3"/>
    </row>
    <row r="387" spans="1:23" x14ac:dyDescent="0.25">
      <c r="A387" s="4">
        <v>75095679000220</v>
      </c>
      <c r="B387" s="8" t="s">
        <v>792</v>
      </c>
      <c r="C387" s="8" t="s">
        <v>385</v>
      </c>
      <c r="D387" s="7" t="s">
        <v>233</v>
      </c>
      <c r="E387" s="7" t="s">
        <v>795</v>
      </c>
      <c r="F387" s="6">
        <v>2</v>
      </c>
      <c r="G387" s="8" t="s">
        <v>735</v>
      </c>
      <c r="H387" s="8" t="s">
        <v>736</v>
      </c>
      <c r="I387" s="7" t="s">
        <v>723</v>
      </c>
      <c r="J387" s="8" t="s">
        <v>785</v>
      </c>
      <c r="K387" s="14" t="b">
        <v>0</v>
      </c>
      <c r="L387" s="14" t="b">
        <v>1</v>
      </c>
      <c r="M387" s="14" t="b">
        <v>1</v>
      </c>
      <c r="N387" s="14" t="b">
        <v>0</v>
      </c>
      <c r="O387" s="14" t="b">
        <v>1</v>
      </c>
      <c r="W387" s="3"/>
    </row>
    <row r="388" spans="1:23" x14ac:dyDescent="0.25">
      <c r="A388" s="4">
        <v>75222224001895</v>
      </c>
      <c r="B388" s="8" t="s">
        <v>584</v>
      </c>
      <c r="C388" s="8" t="s">
        <v>583</v>
      </c>
      <c r="D388" s="7" t="s">
        <v>233</v>
      </c>
      <c r="E388" s="7" t="s">
        <v>795</v>
      </c>
      <c r="F388" s="6">
        <v>2</v>
      </c>
      <c r="G388" s="8" t="s">
        <v>735</v>
      </c>
      <c r="H388" s="8" t="s">
        <v>736</v>
      </c>
      <c r="I388" s="7" t="s">
        <v>723</v>
      </c>
      <c r="J388" s="8" t="s">
        <v>785</v>
      </c>
      <c r="K388" s="14" t="b">
        <v>0</v>
      </c>
      <c r="L388" s="14" t="b">
        <v>1</v>
      </c>
      <c r="M388" s="14" t="b">
        <v>1</v>
      </c>
      <c r="N388" s="14" t="b">
        <v>0</v>
      </c>
      <c r="O388" s="14" t="b">
        <v>1</v>
      </c>
      <c r="W388" s="3"/>
    </row>
    <row r="389" spans="1:23" x14ac:dyDescent="0.25">
      <c r="A389" s="4">
        <v>76498013000102</v>
      </c>
      <c r="B389" s="8" t="s">
        <v>627</v>
      </c>
      <c r="C389" s="8" t="s">
        <v>385</v>
      </c>
      <c r="D389" s="7" t="s">
        <v>233</v>
      </c>
      <c r="E389" s="7" t="s">
        <v>795</v>
      </c>
      <c r="F389" s="6">
        <v>2</v>
      </c>
      <c r="G389" s="8" t="s">
        <v>735</v>
      </c>
      <c r="H389" s="8" t="s">
        <v>736</v>
      </c>
      <c r="I389" s="7" t="s">
        <v>723</v>
      </c>
      <c r="J389" s="8" t="s">
        <v>785</v>
      </c>
      <c r="K389" s="14" t="b">
        <v>0</v>
      </c>
      <c r="L389" s="14" t="b">
        <v>1</v>
      </c>
      <c r="M389" s="14" t="b">
        <v>1</v>
      </c>
      <c r="N389" s="14" t="b">
        <v>0</v>
      </c>
      <c r="O389" s="14" t="b">
        <v>1</v>
      </c>
      <c r="W389" s="3"/>
    </row>
    <row r="390" spans="1:23" x14ac:dyDescent="0.25">
      <c r="A390" s="4">
        <v>76555069000143</v>
      </c>
      <c r="B390" s="8" t="s">
        <v>384</v>
      </c>
      <c r="C390" s="8" t="s">
        <v>385</v>
      </c>
      <c r="D390" s="7" t="s">
        <v>233</v>
      </c>
      <c r="E390" s="7" t="s">
        <v>795</v>
      </c>
      <c r="F390" s="6">
        <v>2</v>
      </c>
      <c r="G390" s="8" t="s">
        <v>735</v>
      </c>
      <c r="H390" s="8" t="s">
        <v>736</v>
      </c>
      <c r="I390" s="7" t="s">
        <v>723</v>
      </c>
      <c r="J390" s="8" t="s">
        <v>785</v>
      </c>
      <c r="K390" s="14" t="b">
        <v>0</v>
      </c>
      <c r="L390" s="14" t="b">
        <v>1</v>
      </c>
      <c r="M390" s="14" t="b">
        <v>1</v>
      </c>
      <c r="N390" s="14" t="b">
        <v>0</v>
      </c>
      <c r="O390" s="14" t="b">
        <v>1</v>
      </c>
      <c r="W390" s="3"/>
    </row>
    <row r="391" spans="1:23" x14ac:dyDescent="0.25">
      <c r="A391" s="4">
        <v>76562198000169</v>
      </c>
      <c r="B391" s="8" t="s">
        <v>585</v>
      </c>
      <c r="C391" s="8" t="s">
        <v>385</v>
      </c>
      <c r="D391" s="7" t="s">
        <v>233</v>
      </c>
      <c r="E391" s="7" t="s">
        <v>795</v>
      </c>
      <c r="F391" s="6">
        <v>2</v>
      </c>
      <c r="G391" s="8" t="s">
        <v>735</v>
      </c>
      <c r="H391" s="8" t="s">
        <v>736</v>
      </c>
      <c r="I391" s="7" t="s">
        <v>723</v>
      </c>
      <c r="J391" s="8" t="s">
        <v>785</v>
      </c>
      <c r="K391" s="14" t="b">
        <v>0</v>
      </c>
      <c r="L391" s="14" t="b">
        <v>1</v>
      </c>
      <c r="M391" s="14" t="b">
        <v>1</v>
      </c>
      <c r="N391" s="14" t="b">
        <v>0</v>
      </c>
      <c r="O391" s="14" t="b">
        <v>1</v>
      </c>
      <c r="W391" s="3"/>
    </row>
    <row r="392" spans="1:23" x14ac:dyDescent="0.25">
      <c r="A392" s="4">
        <v>76591569000130</v>
      </c>
      <c r="B392" s="8" t="s">
        <v>386</v>
      </c>
      <c r="C392" s="8" t="s">
        <v>385</v>
      </c>
      <c r="D392" s="7" t="s">
        <v>233</v>
      </c>
      <c r="E392" s="7" t="s">
        <v>795</v>
      </c>
      <c r="F392" s="6">
        <v>2</v>
      </c>
      <c r="G392" s="8" t="s">
        <v>735</v>
      </c>
      <c r="H392" s="8" t="s">
        <v>736</v>
      </c>
      <c r="I392" s="7" t="s">
        <v>723</v>
      </c>
      <c r="J392" s="8" t="s">
        <v>785</v>
      </c>
      <c r="K392" s="14" t="b">
        <v>0</v>
      </c>
      <c r="L392" s="14" t="b">
        <v>1</v>
      </c>
      <c r="M392" s="14" t="b">
        <v>1</v>
      </c>
      <c r="N392" s="14" t="b">
        <v>0</v>
      </c>
      <c r="O392" s="14" t="b">
        <v>1</v>
      </c>
      <c r="W392" s="3"/>
    </row>
    <row r="393" spans="1:23" x14ac:dyDescent="0.25">
      <c r="A393" s="4">
        <v>76659820002367</v>
      </c>
      <c r="B393" s="8" t="s">
        <v>586</v>
      </c>
      <c r="C393" s="8" t="s">
        <v>385</v>
      </c>
      <c r="D393" s="7" t="s">
        <v>233</v>
      </c>
      <c r="E393" s="7" t="s">
        <v>795</v>
      </c>
      <c r="F393" s="6">
        <v>2</v>
      </c>
      <c r="G393" s="8" t="s">
        <v>735</v>
      </c>
      <c r="H393" s="8" t="s">
        <v>736</v>
      </c>
      <c r="I393" s="7" t="s">
        <v>723</v>
      </c>
      <c r="J393" s="8" t="s">
        <v>785</v>
      </c>
      <c r="K393" s="14" t="b">
        <v>0</v>
      </c>
      <c r="L393" s="14" t="b">
        <v>1</v>
      </c>
      <c r="M393" s="14" t="b">
        <v>1</v>
      </c>
      <c r="N393" s="14" t="b">
        <v>0</v>
      </c>
      <c r="O393" s="14" t="b">
        <v>1</v>
      </c>
      <c r="W393" s="3"/>
    </row>
    <row r="394" spans="1:23" x14ac:dyDescent="0.25">
      <c r="A394" s="4">
        <v>77265361000194</v>
      </c>
      <c r="B394" s="8" t="s">
        <v>587</v>
      </c>
      <c r="C394" s="8" t="s">
        <v>522</v>
      </c>
      <c r="D394" s="7" t="s">
        <v>233</v>
      </c>
      <c r="E394" s="7" t="s">
        <v>795</v>
      </c>
      <c r="F394" s="6">
        <v>2</v>
      </c>
      <c r="G394" s="8" t="s">
        <v>735</v>
      </c>
      <c r="H394" s="8" t="s">
        <v>736</v>
      </c>
      <c r="I394" s="7" t="s">
        <v>723</v>
      </c>
      <c r="J394" s="8" t="s">
        <v>785</v>
      </c>
      <c r="K394" s="14" t="b">
        <v>0</v>
      </c>
      <c r="L394" s="14" t="b">
        <v>1</v>
      </c>
      <c r="M394" s="14" t="b">
        <v>1</v>
      </c>
      <c r="N394" s="14" t="b">
        <v>0</v>
      </c>
      <c r="O394" s="14" t="b">
        <v>1</v>
      </c>
      <c r="W394" s="3"/>
    </row>
    <row r="395" spans="1:23" x14ac:dyDescent="0.25">
      <c r="A395" s="4">
        <v>77858611001414</v>
      </c>
      <c r="B395" s="8" t="s">
        <v>460</v>
      </c>
      <c r="C395" s="8" t="s">
        <v>344</v>
      </c>
      <c r="D395" s="7" t="s">
        <v>259</v>
      </c>
      <c r="E395" s="7" t="s">
        <v>795</v>
      </c>
      <c r="F395" s="6">
        <v>2</v>
      </c>
      <c r="G395" s="8" t="s">
        <v>735</v>
      </c>
      <c r="H395" s="8" t="s">
        <v>736</v>
      </c>
      <c r="I395" s="7" t="s">
        <v>723</v>
      </c>
      <c r="J395" s="8" t="s">
        <v>785</v>
      </c>
      <c r="K395" s="14" t="b">
        <v>0</v>
      </c>
      <c r="L395" s="14" t="b">
        <v>1</v>
      </c>
      <c r="M395" s="14" t="b">
        <v>1</v>
      </c>
      <c r="N395" s="14" t="b">
        <v>0</v>
      </c>
      <c r="O395" s="14" t="b">
        <v>1</v>
      </c>
      <c r="W395" s="3"/>
    </row>
    <row r="396" spans="1:23" x14ac:dyDescent="0.25">
      <c r="A396" s="4">
        <v>78633088000176</v>
      </c>
      <c r="B396" s="8" t="s">
        <v>628</v>
      </c>
      <c r="C396" s="8" t="s">
        <v>583</v>
      </c>
      <c r="D396" s="7" t="s">
        <v>233</v>
      </c>
      <c r="E396" s="7" t="s">
        <v>795</v>
      </c>
      <c r="F396" s="6">
        <v>2</v>
      </c>
      <c r="G396" s="8" t="s">
        <v>735</v>
      </c>
      <c r="H396" s="8" t="s">
        <v>736</v>
      </c>
      <c r="I396" s="7" t="s">
        <v>723</v>
      </c>
      <c r="J396" s="8" t="s">
        <v>785</v>
      </c>
      <c r="K396" s="14" t="b">
        <v>0</v>
      </c>
      <c r="L396" s="14" t="b">
        <v>1</v>
      </c>
      <c r="M396" s="14" t="b">
        <v>1</v>
      </c>
      <c r="N396" s="14" t="b">
        <v>0</v>
      </c>
      <c r="O396" s="14" t="b">
        <v>1</v>
      </c>
      <c r="W396" s="3"/>
    </row>
    <row r="397" spans="1:23" x14ac:dyDescent="0.25">
      <c r="A397" s="4">
        <v>79115762000193</v>
      </c>
      <c r="B397" s="8" t="s">
        <v>521</v>
      </c>
      <c r="C397" s="8" t="s">
        <v>522</v>
      </c>
      <c r="D397" s="7" t="s">
        <v>233</v>
      </c>
      <c r="E397" s="7" t="s">
        <v>795</v>
      </c>
      <c r="F397" s="6">
        <v>2</v>
      </c>
      <c r="G397" s="8" t="s">
        <v>735</v>
      </c>
      <c r="H397" s="8" t="s">
        <v>736</v>
      </c>
      <c r="I397" s="7" t="s">
        <v>723</v>
      </c>
      <c r="J397" s="8" t="s">
        <v>785</v>
      </c>
      <c r="K397" s="14" t="b">
        <v>0</v>
      </c>
      <c r="L397" s="14" t="b">
        <v>1</v>
      </c>
      <c r="M397" s="14" t="b">
        <v>1</v>
      </c>
      <c r="N397" s="14" t="b">
        <v>0</v>
      </c>
      <c r="O397" s="14" t="b">
        <v>1</v>
      </c>
      <c r="W397" s="3"/>
    </row>
    <row r="398" spans="1:23" x14ac:dyDescent="0.25">
      <c r="A398" s="4">
        <v>80490618000116</v>
      </c>
      <c r="B398" s="8" t="s">
        <v>588</v>
      </c>
      <c r="C398" s="8" t="s">
        <v>524</v>
      </c>
      <c r="D398" s="7" t="s">
        <v>259</v>
      </c>
      <c r="E398" s="7" t="s">
        <v>795</v>
      </c>
      <c r="F398" s="6">
        <v>2</v>
      </c>
      <c r="G398" s="8" t="s">
        <v>735</v>
      </c>
      <c r="H398" s="8" t="s">
        <v>736</v>
      </c>
      <c r="I398" s="7" t="s">
        <v>723</v>
      </c>
      <c r="J398" s="8" t="s">
        <v>785</v>
      </c>
      <c r="K398" s="14" t="b">
        <v>0</v>
      </c>
      <c r="L398" s="14" t="b">
        <v>1</v>
      </c>
      <c r="M398" s="14" t="b">
        <v>1</v>
      </c>
      <c r="N398" s="14" t="b">
        <v>0</v>
      </c>
      <c r="O398" s="14" t="b">
        <v>1</v>
      </c>
      <c r="W398" s="3"/>
    </row>
    <row r="399" spans="1:23" x14ac:dyDescent="0.25">
      <c r="A399" s="4">
        <v>80673411000187</v>
      </c>
      <c r="B399" s="8" t="s">
        <v>387</v>
      </c>
      <c r="C399" s="8" t="s">
        <v>388</v>
      </c>
      <c r="D399" s="7" t="s">
        <v>259</v>
      </c>
      <c r="E399" s="7" t="s">
        <v>795</v>
      </c>
      <c r="F399" s="6">
        <v>2</v>
      </c>
      <c r="G399" s="8" t="s">
        <v>735</v>
      </c>
      <c r="H399" s="8" t="s">
        <v>736</v>
      </c>
      <c r="I399" s="7" t="s">
        <v>723</v>
      </c>
      <c r="J399" s="8" t="s">
        <v>785</v>
      </c>
      <c r="K399" s="14" t="b">
        <v>0</v>
      </c>
      <c r="L399" s="14" t="b">
        <v>1</v>
      </c>
      <c r="M399" s="14" t="b">
        <v>1</v>
      </c>
      <c r="N399" s="14" t="b">
        <v>0</v>
      </c>
      <c r="O399" s="14" t="b">
        <v>1</v>
      </c>
      <c r="W399" s="3"/>
    </row>
    <row r="400" spans="1:23" x14ac:dyDescent="0.25">
      <c r="A400" s="4">
        <v>81270548000153</v>
      </c>
      <c r="B400" s="8" t="s">
        <v>507</v>
      </c>
      <c r="C400" s="8" t="s">
        <v>508</v>
      </c>
      <c r="D400" s="7" t="s">
        <v>233</v>
      </c>
      <c r="E400" s="7" t="s">
        <v>795</v>
      </c>
      <c r="F400" s="6">
        <v>2</v>
      </c>
      <c r="G400" s="8" t="s">
        <v>735</v>
      </c>
      <c r="H400" s="8" t="s">
        <v>736</v>
      </c>
      <c r="I400" s="7" t="s">
        <v>723</v>
      </c>
      <c r="J400" s="8" t="s">
        <v>785</v>
      </c>
      <c r="K400" s="14" t="b">
        <v>0</v>
      </c>
      <c r="L400" s="14" t="b">
        <v>1</v>
      </c>
      <c r="M400" s="14" t="b">
        <v>1</v>
      </c>
      <c r="N400" s="14" t="b">
        <v>0</v>
      </c>
      <c r="O400" s="14" t="b">
        <v>1</v>
      </c>
      <c r="W400" s="3"/>
    </row>
    <row r="401" spans="1:23" x14ac:dyDescent="0.25">
      <c r="A401" s="4">
        <v>81715716000410</v>
      </c>
      <c r="B401" s="8" t="s">
        <v>648</v>
      </c>
      <c r="C401" s="8" t="s">
        <v>649</v>
      </c>
      <c r="D401" s="7" t="s">
        <v>233</v>
      </c>
      <c r="E401" s="7" t="s">
        <v>795</v>
      </c>
      <c r="F401" s="6">
        <v>2</v>
      </c>
      <c r="G401" s="8" t="s">
        <v>735</v>
      </c>
      <c r="H401" s="8" t="s">
        <v>736</v>
      </c>
      <c r="I401" s="7" t="s">
        <v>723</v>
      </c>
      <c r="J401" s="8" t="s">
        <v>785</v>
      </c>
      <c r="K401" s="14" t="b">
        <v>0</v>
      </c>
      <c r="L401" s="14" t="b">
        <v>1</v>
      </c>
      <c r="M401" s="14" t="b">
        <v>1</v>
      </c>
      <c r="N401" s="14" t="b">
        <v>0</v>
      </c>
      <c r="O401" s="14" t="b">
        <v>1</v>
      </c>
      <c r="W401" s="3"/>
    </row>
    <row r="402" spans="1:23" x14ac:dyDescent="0.25">
      <c r="A402" s="4">
        <v>82624776000651</v>
      </c>
      <c r="B402" s="8" t="s">
        <v>589</v>
      </c>
      <c r="C402" s="8" t="s">
        <v>380</v>
      </c>
      <c r="D402" s="7" t="s">
        <v>259</v>
      </c>
      <c r="E402" s="7" t="s">
        <v>795</v>
      </c>
      <c r="F402" s="6">
        <v>2</v>
      </c>
      <c r="G402" s="8" t="s">
        <v>735</v>
      </c>
      <c r="H402" s="8" t="s">
        <v>736</v>
      </c>
      <c r="I402" s="7" t="s">
        <v>723</v>
      </c>
      <c r="J402" s="8" t="s">
        <v>785</v>
      </c>
      <c r="K402" s="14" t="b">
        <v>0</v>
      </c>
      <c r="L402" s="14" t="b">
        <v>1</v>
      </c>
      <c r="M402" s="14" t="b">
        <v>1</v>
      </c>
      <c r="N402" s="14" t="b">
        <v>0</v>
      </c>
      <c r="O402" s="14" t="b">
        <v>1</v>
      </c>
      <c r="W402" s="3"/>
    </row>
    <row r="403" spans="1:23" x14ac:dyDescent="0.25">
      <c r="A403" s="4">
        <v>82654088000120</v>
      </c>
      <c r="B403" s="8" t="s">
        <v>650</v>
      </c>
      <c r="C403" s="8" t="s">
        <v>380</v>
      </c>
      <c r="D403" s="7" t="s">
        <v>259</v>
      </c>
      <c r="E403" s="7" t="s">
        <v>795</v>
      </c>
      <c r="F403" s="6">
        <v>2</v>
      </c>
      <c r="G403" s="8" t="s">
        <v>735</v>
      </c>
      <c r="H403" s="8" t="s">
        <v>736</v>
      </c>
      <c r="I403" s="7" t="s">
        <v>723</v>
      </c>
      <c r="J403" s="8" t="s">
        <v>785</v>
      </c>
      <c r="K403" s="14" t="b">
        <v>0</v>
      </c>
      <c r="L403" s="14" t="b">
        <v>1</v>
      </c>
      <c r="M403" s="14" t="b">
        <v>1</v>
      </c>
      <c r="N403" s="14" t="b">
        <v>0</v>
      </c>
      <c r="O403" s="14" t="b">
        <v>1</v>
      </c>
      <c r="W403" s="3"/>
    </row>
    <row r="404" spans="1:23" x14ac:dyDescent="0.25">
      <c r="A404" s="4">
        <v>83884999000106</v>
      </c>
      <c r="B404" s="8" t="s">
        <v>591</v>
      </c>
      <c r="C404" s="8" t="s">
        <v>388</v>
      </c>
      <c r="D404" s="7" t="s">
        <v>259</v>
      </c>
      <c r="E404" s="7" t="s">
        <v>795</v>
      </c>
      <c r="F404" s="6">
        <v>2</v>
      </c>
      <c r="G404" s="8" t="s">
        <v>735</v>
      </c>
      <c r="H404" s="8" t="s">
        <v>736</v>
      </c>
      <c r="I404" s="7" t="s">
        <v>723</v>
      </c>
      <c r="J404" s="8" t="s">
        <v>785</v>
      </c>
      <c r="K404" s="14" t="b">
        <v>0</v>
      </c>
      <c r="L404" s="14" t="b">
        <v>1</v>
      </c>
      <c r="M404" s="14" t="b">
        <v>1</v>
      </c>
      <c r="N404" s="14" t="b">
        <v>0</v>
      </c>
      <c r="O404" s="14" t="b">
        <v>1</v>
      </c>
      <c r="W404" s="3"/>
    </row>
    <row r="405" spans="1:23" x14ac:dyDescent="0.25">
      <c r="A405" s="4">
        <v>83899526000425</v>
      </c>
      <c r="B405" s="8" t="s">
        <v>389</v>
      </c>
      <c r="C405" s="8" t="s">
        <v>388</v>
      </c>
      <c r="D405" s="7" t="s">
        <v>259</v>
      </c>
      <c r="E405" s="7" t="s">
        <v>795</v>
      </c>
      <c r="F405" s="6">
        <v>2</v>
      </c>
      <c r="G405" s="8" t="s">
        <v>735</v>
      </c>
      <c r="H405" s="8" t="s">
        <v>736</v>
      </c>
      <c r="I405" s="7" t="s">
        <v>723</v>
      </c>
      <c r="J405" s="8" t="s">
        <v>785</v>
      </c>
      <c r="K405" s="14" t="b">
        <v>0</v>
      </c>
      <c r="L405" s="14" t="b">
        <v>1</v>
      </c>
      <c r="M405" s="14" t="b">
        <v>1</v>
      </c>
      <c r="N405" s="14" t="b">
        <v>0</v>
      </c>
      <c r="O405" s="14" t="b">
        <v>1</v>
      </c>
      <c r="W405" s="3"/>
    </row>
    <row r="406" spans="1:23" x14ac:dyDescent="0.25">
      <c r="A406" s="4">
        <v>85241339000809</v>
      </c>
      <c r="B406" s="8" t="s">
        <v>523</v>
      </c>
      <c r="C406" s="8" t="s">
        <v>524</v>
      </c>
      <c r="D406" s="7" t="s">
        <v>259</v>
      </c>
      <c r="E406" s="7" t="s">
        <v>795</v>
      </c>
      <c r="F406" s="6">
        <v>2</v>
      </c>
      <c r="G406" s="8" t="s">
        <v>735</v>
      </c>
      <c r="H406" s="8" t="s">
        <v>736</v>
      </c>
      <c r="I406" s="7" t="s">
        <v>723</v>
      </c>
      <c r="J406" s="8" t="s">
        <v>785</v>
      </c>
      <c r="K406" s="14" t="b">
        <v>0</v>
      </c>
      <c r="L406" s="14" t="b">
        <v>1</v>
      </c>
      <c r="M406" s="14" t="b">
        <v>1</v>
      </c>
      <c r="N406" s="14" t="b">
        <v>0</v>
      </c>
      <c r="O406" s="14" t="b">
        <v>1</v>
      </c>
      <c r="W406" s="3"/>
    </row>
    <row r="407" spans="1:23" x14ac:dyDescent="0.25">
      <c r="A407" s="4">
        <v>85377174000392</v>
      </c>
      <c r="B407" s="8" t="s">
        <v>390</v>
      </c>
      <c r="C407" s="8" t="s">
        <v>258</v>
      </c>
      <c r="D407" s="7" t="s">
        <v>259</v>
      </c>
      <c r="E407" s="7" t="s">
        <v>795</v>
      </c>
      <c r="F407" s="6">
        <v>2</v>
      </c>
      <c r="G407" s="8" t="s">
        <v>735</v>
      </c>
      <c r="H407" s="8" t="s">
        <v>736</v>
      </c>
      <c r="I407" s="7" t="s">
        <v>723</v>
      </c>
      <c r="J407" s="8" t="s">
        <v>785</v>
      </c>
      <c r="K407" s="14" t="b">
        <v>0</v>
      </c>
      <c r="L407" s="14" t="b">
        <v>1</v>
      </c>
      <c r="M407" s="14" t="b">
        <v>1</v>
      </c>
      <c r="N407" s="14" t="b">
        <v>0</v>
      </c>
      <c r="O407" s="14" t="b">
        <v>1</v>
      </c>
      <c r="W407" s="3"/>
    </row>
    <row r="408" spans="1:23" x14ac:dyDescent="0.25">
      <c r="A408" s="4">
        <v>87020517000120</v>
      </c>
      <c r="B408" s="8" t="s">
        <v>391</v>
      </c>
      <c r="C408" s="8" t="s">
        <v>305</v>
      </c>
      <c r="D408" s="7" t="s">
        <v>253</v>
      </c>
      <c r="E408" s="7" t="s">
        <v>795</v>
      </c>
      <c r="F408" s="6">
        <v>2</v>
      </c>
      <c r="G408" s="8" t="s">
        <v>720</v>
      </c>
      <c r="H408" s="8" t="s">
        <v>721</v>
      </c>
      <c r="I408" s="7" t="s">
        <v>723</v>
      </c>
      <c r="J408" s="8" t="s">
        <v>785</v>
      </c>
      <c r="K408" s="14" t="b">
        <v>0</v>
      </c>
      <c r="L408" s="14" t="b">
        <v>1</v>
      </c>
      <c r="M408" s="14" t="b">
        <v>1</v>
      </c>
      <c r="N408" s="14" t="b">
        <v>0</v>
      </c>
      <c r="O408" s="14" t="b">
        <v>1</v>
      </c>
      <c r="W408" s="3"/>
    </row>
    <row r="409" spans="1:23" x14ac:dyDescent="0.25">
      <c r="A409" s="4">
        <v>87096616003101</v>
      </c>
      <c r="B409" s="8" t="s">
        <v>629</v>
      </c>
      <c r="C409" s="8" t="s">
        <v>305</v>
      </c>
      <c r="D409" s="7" t="s">
        <v>253</v>
      </c>
      <c r="E409" s="7" t="s">
        <v>795</v>
      </c>
      <c r="F409" s="6">
        <v>2</v>
      </c>
      <c r="G409" s="8" t="s">
        <v>720</v>
      </c>
      <c r="H409" s="8" t="s">
        <v>721</v>
      </c>
      <c r="I409" s="7" t="s">
        <v>723</v>
      </c>
      <c r="J409" s="8" t="s">
        <v>785</v>
      </c>
      <c r="K409" s="14" t="b">
        <v>0</v>
      </c>
      <c r="L409" s="14" t="b">
        <v>1</v>
      </c>
      <c r="M409" s="14" t="b">
        <v>1</v>
      </c>
      <c r="N409" s="14" t="b">
        <v>0</v>
      </c>
      <c r="O409" s="14" t="b">
        <v>1</v>
      </c>
      <c r="W409" s="3"/>
    </row>
    <row r="410" spans="1:23" x14ac:dyDescent="0.25">
      <c r="A410" s="4">
        <v>87317764001084</v>
      </c>
      <c r="B410" s="8" t="s">
        <v>461</v>
      </c>
      <c r="C410" s="8" t="s">
        <v>305</v>
      </c>
      <c r="D410" s="7" t="s">
        <v>253</v>
      </c>
      <c r="E410" s="7" t="s">
        <v>795</v>
      </c>
      <c r="F410" s="6">
        <v>2</v>
      </c>
      <c r="G410" s="8" t="s">
        <v>720</v>
      </c>
      <c r="H410" s="8" t="s">
        <v>721</v>
      </c>
      <c r="I410" s="7" t="s">
        <v>723</v>
      </c>
      <c r="J410" s="8" t="s">
        <v>785</v>
      </c>
      <c r="K410" s="14" t="b">
        <v>0</v>
      </c>
      <c r="L410" s="14" t="b">
        <v>1</v>
      </c>
      <c r="M410" s="14" t="b">
        <v>1</v>
      </c>
      <c r="N410" s="14" t="b">
        <v>0</v>
      </c>
      <c r="O410" s="14" t="b">
        <v>1</v>
      </c>
      <c r="W410" s="3"/>
    </row>
    <row r="411" spans="1:23" x14ac:dyDescent="0.25">
      <c r="A411" s="4">
        <v>87547444000120</v>
      </c>
      <c r="B411" s="8" t="s">
        <v>392</v>
      </c>
      <c r="C411" s="8" t="s">
        <v>393</v>
      </c>
      <c r="D411" s="7" t="s">
        <v>253</v>
      </c>
      <c r="E411" s="7" t="s">
        <v>795</v>
      </c>
      <c r="F411" s="6">
        <v>2</v>
      </c>
      <c r="G411" s="8" t="s">
        <v>720</v>
      </c>
      <c r="H411" s="8" t="s">
        <v>721</v>
      </c>
      <c r="I411" s="7" t="s">
        <v>723</v>
      </c>
      <c r="J411" s="8" t="s">
        <v>785</v>
      </c>
      <c r="K411" s="14" t="b">
        <v>0</v>
      </c>
      <c r="L411" s="14" t="b">
        <v>1</v>
      </c>
      <c r="M411" s="14" t="b">
        <v>1</v>
      </c>
      <c r="N411" s="14" t="b">
        <v>0</v>
      </c>
      <c r="O411" s="14" t="b">
        <v>1</v>
      </c>
      <c r="W411" s="3"/>
    </row>
    <row r="412" spans="1:23" x14ac:dyDescent="0.25">
      <c r="A412" s="4">
        <v>87607149000626</v>
      </c>
      <c r="B412" s="8" t="s">
        <v>592</v>
      </c>
      <c r="C412" s="8" t="s">
        <v>399</v>
      </c>
      <c r="D412" s="7" t="s">
        <v>253</v>
      </c>
      <c r="E412" s="7" t="s">
        <v>795</v>
      </c>
      <c r="F412" s="6">
        <v>2</v>
      </c>
      <c r="G412" s="8" t="s">
        <v>720</v>
      </c>
      <c r="H412" s="8" t="s">
        <v>721</v>
      </c>
      <c r="I412" s="7" t="s">
        <v>723</v>
      </c>
      <c r="J412" s="8" t="s">
        <v>785</v>
      </c>
      <c r="K412" s="14" t="b">
        <v>0</v>
      </c>
      <c r="L412" s="14" t="b">
        <v>1</v>
      </c>
      <c r="M412" s="14" t="b">
        <v>1</v>
      </c>
      <c r="N412" s="14" t="b">
        <v>0</v>
      </c>
      <c r="O412" s="14" t="b">
        <v>1</v>
      </c>
      <c r="W412" s="3"/>
    </row>
    <row r="413" spans="1:23" x14ac:dyDescent="0.25">
      <c r="A413" s="4">
        <v>87638334000505</v>
      </c>
      <c r="B413" s="8" t="s">
        <v>630</v>
      </c>
      <c r="C413" s="8" t="s">
        <v>631</v>
      </c>
      <c r="D413" s="7" t="s">
        <v>253</v>
      </c>
      <c r="E413" s="7" t="s">
        <v>795</v>
      </c>
      <c r="F413" s="6">
        <v>2</v>
      </c>
      <c r="G413" s="8" t="s">
        <v>720</v>
      </c>
      <c r="H413" s="8" t="s">
        <v>721</v>
      </c>
      <c r="I413" s="7" t="s">
        <v>723</v>
      </c>
      <c r="J413" s="8" t="s">
        <v>785</v>
      </c>
      <c r="K413" s="14" t="b">
        <v>0</v>
      </c>
      <c r="L413" s="14" t="b">
        <v>1</v>
      </c>
      <c r="M413" s="14" t="b">
        <v>1</v>
      </c>
      <c r="N413" s="14" t="b">
        <v>0</v>
      </c>
      <c r="O413" s="14" t="b">
        <v>1</v>
      </c>
      <c r="W413" s="3"/>
    </row>
    <row r="414" spans="1:23" x14ac:dyDescent="0.25">
      <c r="A414" s="4">
        <v>87827689002405</v>
      </c>
      <c r="B414" s="8" t="s">
        <v>394</v>
      </c>
      <c r="C414" s="8" t="s">
        <v>252</v>
      </c>
      <c r="D414" s="7" t="s">
        <v>253</v>
      </c>
      <c r="E414" s="7" t="s">
        <v>795</v>
      </c>
      <c r="F414" s="6">
        <v>2</v>
      </c>
      <c r="G414" s="8" t="s">
        <v>720</v>
      </c>
      <c r="H414" s="8" t="s">
        <v>721</v>
      </c>
      <c r="I414" s="7" t="s">
        <v>723</v>
      </c>
      <c r="J414" s="8" t="s">
        <v>785</v>
      </c>
      <c r="K414" s="14" t="b">
        <v>0</v>
      </c>
      <c r="L414" s="14" t="b">
        <v>1</v>
      </c>
      <c r="M414" s="14" t="b">
        <v>1</v>
      </c>
      <c r="N414" s="14" t="b">
        <v>0</v>
      </c>
      <c r="O414" s="14" t="b">
        <v>1</v>
      </c>
      <c r="W414" s="3"/>
    </row>
    <row r="415" spans="1:23" x14ac:dyDescent="0.25">
      <c r="A415" s="4">
        <v>87958625000149</v>
      </c>
      <c r="B415" s="8" t="s">
        <v>395</v>
      </c>
      <c r="C415" s="8" t="s">
        <v>305</v>
      </c>
      <c r="D415" s="7" t="s">
        <v>253</v>
      </c>
      <c r="E415" s="7" t="s">
        <v>795</v>
      </c>
      <c r="F415" s="6">
        <v>2</v>
      </c>
      <c r="G415" s="8" t="s">
        <v>720</v>
      </c>
      <c r="H415" s="8" t="s">
        <v>721</v>
      </c>
      <c r="I415" s="7" t="s">
        <v>723</v>
      </c>
      <c r="J415" s="8" t="s">
        <v>785</v>
      </c>
      <c r="K415" s="14" t="b">
        <v>0</v>
      </c>
      <c r="L415" s="14" t="b">
        <v>1</v>
      </c>
      <c r="M415" s="14" t="b">
        <v>1</v>
      </c>
      <c r="N415" s="14" t="b">
        <v>0</v>
      </c>
      <c r="O415" s="14" t="b">
        <v>1</v>
      </c>
      <c r="W415" s="3"/>
    </row>
    <row r="416" spans="1:23" x14ac:dyDescent="0.25">
      <c r="A416" s="4">
        <v>88625686002443</v>
      </c>
      <c r="B416" s="8" t="s">
        <v>396</v>
      </c>
      <c r="C416" s="8" t="s">
        <v>305</v>
      </c>
      <c r="D416" s="7" t="s">
        <v>253</v>
      </c>
      <c r="E416" s="7" t="s">
        <v>795</v>
      </c>
      <c r="F416" s="6">
        <v>2</v>
      </c>
      <c r="G416" s="8" t="s">
        <v>720</v>
      </c>
      <c r="H416" s="8" t="s">
        <v>721</v>
      </c>
      <c r="I416" s="7" t="s">
        <v>723</v>
      </c>
      <c r="J416" s="8" t="s">
        <v>785</v>
      </c>
      <c r="K416" s="14" t="b">
        <v>0</v>
      </c>
      <c r="L416" s="14" t="b">
        <v>1</v>
      </c>
      <c r="M416" s="14" t="b">
        <v>1</v>
      </c>
      <c r="N416" s="14" t="b">
        <v>0</v>
      </c>
      <c r="O416" s="14" t="b">
        <v>1</v>
      </c>
      <c r="W416" s="3"/>
    </row>
    <row r="417" spans="1:23" x14ac:dyDescent="0.25">
      <c r="A417" s="4">
        <v>88630413000796</v>
      </c>
      <c r="B417" s="8" t="s">
        <v>397</v>
      </c>
      <c r="C417" s="8" t="s">
        <v>305</v>
      </c>
      <c r="D417" s="7" t="s">
        <v>253</v>
      </c>
      <c r="E417" s="7" t="s">
        <v>795</v>
      </c>
      <c r="F417" s="6">
        <v>2</v>
      </c>
      <c r="G417" s="8" t="s">
        <v>720</v>
      </c>
      <c r="H417" s="8" t="s">
        <v>721</v>
      </c>
      <c r="I417" s="7" t="s">
        <v>723</v>
      </c>
      <c r="J417" s="8" t="s">
        <v>785</v>
      </c>
      <c r="K417" s="14" t="b">
        <v>0</v>
      </c>
      <c r="L417" s="14" t="b">
        <v>1</v>
      </c>
      <c r="M417" s="14" t="b">
        <v>1</v>
      </c>
      <c r="N417" s="14" t="b">
        <v>0</v>
      </c>
      <c r="O417" s="14" t="b">
        <v>1</v>
      </c>
      <c r="W417" s="3"/>
    </row>
    <row r="418" spans="1:23" x14ac:dyDescent="0.25">
      <c r="A418" s="4">
        <v>88645403001372</v>
      </c>
      <c r="B418" s="8" t="s">
        <v>462</v>
      </c>
      <c r="C418" s="8" t="s">
        <v>252</v>
      </c>
      <c r="D418" s="7" t="s">
        <v>253</v>
      </c>
      <c r="E418" s="7" t="s">
        <v>795</v>
      </c>
      <c r="F418" s="6">
        <v>2</v>
      </c>
      <c r="G418" s="8" t="s">
        <v>720</v>
      </c>
      <c r="H418" s="8" t="s">
        <v>721</v>
      </c>
      <c r="I418" s="7" t="s">
        <v>723</v>
      </c>
      <c r="J418" s="8" t="s">
        <v>785</v>
      </c>
      <c r="K418" s="14" t="b">
        <v>0</v>
      </c>
      <c r="L418" s="14" t="b">
        <v>1</v>
      </c>
      <c r="M418" s="14" t="b">
        <v>1</v>
      </c>
      <c r="N418" s="14" t="b">
        <v>0</v>
      </c>
      <c r="O418" s="14" t="b">
        <v>1</v>
      </c>
      <c r="W418" s="3"/>
    </row>
    <row r="419" spans="1:23" x14ac:dyDescent="0.25">
      <c r="A419" s="4">
        <v>88830609000139</v>
      </c>
      <c r="B419" s="8" t="s">
        <v>632</v>
      </c>
      <c r="C419" s="8" t="s">
        <v>252</v>
      </c>
      <c r="D419" s="7" t="s">
        <v>253</v>
      </c>
      <c r="E419" s="7" t="s">
        <v>795</v>
      </c>
      <c r="F419" s="6">
        <v>2</v>
      </c>
      <c r="G419" s="8" t="s">
        <v>720</v>
      </c>
      <c r="H419" s="8" t="s">
        <v>721</v>
      </c>
      <c r="I419" s="7" t="s">
        <v>723</v>
      </c>
      <c r="J419" s="8" t="s">
        <v>785</v>
      </c>
      <c r="K419" s="14" t="b">
        <v>0</v>
      </c>
      <c r="L419" s="14" t="b">
        <v>1</v>
      </c>
      <c r="M419" s="14" t="b">
        <v>1</v>
      </c>
      <c r="N419" s="14" t="b">
        <v>0</v>
      </c>
      <c r="O419" s="14" t="b">
        <v>1</v>
      </c>
      <c r="W419" s="3"/>
    </row>
    <row r="420" spans="1:23" x14ac:dyDescent="0.25">
      <c r="A420" s="4">
        <v>92021062000360</v>
      </c>
      <c r="B420" s="8" t="s">
        <v>398</v>
      </c>
      <c r="C420" s="8" t="s">
        <v>399</v>
      </c>
      <c r="D420" s="7" t="s">
        <v>253</v>
      </c>
      <c r="E420" s="7" t="s">
        <v>795</v>
      </c>
      <c r="F420" s="6">
        <v>2</v>
      </c>
      <c r="G420" s="8" t="s">
        <v>720</v>
      </c>
      <c r="H420" s="8" t="s">
        <v>721</v>
      </c>
      <c r="I420" s="7" t="s">
        <v>723</v>
      </c>
      <c r="J420" s="8" t="s">
        <v>785</v>
      </c>
      <c r="K420" s="14" t="b">
        <v>0</v>
      </c>
      <c r="L420" s="14" t="b">
        <v>1</v>
      </c>
      <c r="M420" s="14" t="b">
        <v>1</v>
      </c>
      <c r="N420" s="14" t="b">
        <v>0</v>
      </c>
      <c r="O420" s="14" t="b">
        <v>1</v>
      </c>
      <c r="W420" s="3"/>
    </row>
    <row r="421" spans="1:23" x14ac:dyDescent="0.25">
      <c r="A421" s="4">
        <v>92404789000164</v>
      </c>
      <c r="B421" s="8" t="s">
        <v>463</v>
      </c>
      <c r="C421" s="8" t="s">
        <v>464</v>
      </c>
      <c r="D421" s="7" t="s">
        <v>253</v>
      </c>
      <c r="E421" s="7" t="s">
        <v>795</v>
      </c>
      <c r="F421" s="6">
        <v>2</v>
      </c>
      <c r="G421" s="8" t="s">
        <v>720</v>
      </c>
      <c r="H421" s="8" t="s">
        <v>721</v>
      </c>
      <c r="I421" s="7" t="s">
        <v>723</v>
      </c>
      <c r="J421" s="8" t="s">
        <v>785</v>
      </c>
      <c r="K421" s="14" t="b">
        <v>0</v>
      </c>
      <c r="L421" s="14" t="b">
        <v>1</v>
      </c>
      <c r="M421" s="14" t="b">
        <v>1</v>
      </c>
      <c r="N421" s="14" t="b">
        <v>0</v>
      </c>
      <c r="O421" s="14" t="b">
        <v>1</v>
      </c>
      <c r="W421" s="3"/>
    </row>
    <row r="422" spans="1:23" x14ac:dyDescent="0.25">
      <c r="A422" s="4">
        <v>92685833000151</v>
      </c>
      <c r="B422" s="8" t="s">
        <v>400</v>
      </c>
      <c r="C422" s="8" t="s">
        <v>305</v>
      </c>
      <c r="D422" s="7" t="s">
        <v>253</v>
      </c>
      <c r="E422" s="7" t="s">
        <v>795</v>
      </c>
      <c r="F422" s="6">
        <v>2</v>
      </c>
      <c r="G422" s="8" t="s">
        <v>720</v>
      </c>
      <c r="H422" s="8" t="s">
        <v>721</v>
      </c>
      <c r="I422" s="7" t="s">
        <v>723</v>
      </c>
      <c r="J422" s="8" t="s">
        <v>785</v>
      </c>
      <c r="K422" s="14" t="b">
        <v>0</v>
      </c>
      <c r="L422" s="14" t="b">
        <v>1</v>
      </c>
      <c r="M422" s="14" t="b">
        <v>1</v>
      </c>
      <c r="N422" s="14" t="b">
        <v>0</v>
      </c>
      <c r="O422" s="14" t="b">
        <v>1</v>
      </c>
      <c r="W422" s="3"/>
    </row>
    <row r="423" spans="1:23" x14ac:dyDescent="0.25">
      <c r="A423" s="4">
        <v>92741016000254</v>
      </c>
      <c r="B423" s="8" t="s">
        <v>401</v>
      </c>
      <c r="C423" s="8" t="s">
        <v>305</v>
      </c>
      <c r="D423" s="7" t="s">
        <v>253</v>
      </c>
      <c r="E423" s="7" t="s">
        <v>795</v>
      </c>
      <c r="F423" s="6">
        <v>2</v>
      </c>
      <c r="G423" s="8" t="s">
        <v>720</v>
      </c>
      <c r="H423" s="8" t="s">
        <v>721</v>
      </c>
      <c r="I423" s="7" t="s">
        <v>723</v>
      </c>
      <c r="J423" s="8" t="s">
        <v>785</v>
      </c>
      <c r="K423" s="14" t="b">
        <v>0</v>
      </c>
      <c r="L423" s="14" t="b">
        <v>1</v>
      </c>
      <c r="M423" s="14" t="b">
        <v>1</v>
      </c>
      <c r="N423" s="14" t="b">
        <v>0</v>
      </c>
      <c r="O423" s="14" t="b">
        <v>1</v>
      </c>
      <c r="W423" s="3"/>
    </row>
    <row r="424" spans="1:23" x14ac:dyDescent="0.25">
      <c r="A424" s="4">
        <v>92787118000391</v>
      </c>
      <c r="B424" s="8" t="s">
        <v>402</v>
      </c>
      <c r="C424" s="8" t="s">
        <v>305</v>
      </c>
      <c r="D424" s="7" t="s">
        <v>253</v>
      </c>
      <c r="E424" s="7" t="s">
        <v>795</v>
      </c>
      <c r="F424" s="6">
        <v>2</v>
      </c>
      <c r="G424" s="8" t="s">
        <v>720</v>
      </c>
      <c r="H424" s="8" t="s">
        <v>721</v>
      </c>
      <c r="I424" s="7" t="s">
        <v>723</v>
      </c>
      <c r="J424" s="8" t="s">
        <v>785</v>
      </c>
      <c r="K424" s="14" t="b">
        <v>0</v>
      </c>
      <c r="L424" s="14" t="b">
        <v>1</v>
      </c>
      <c r="M424" s="14" t="b">
        <v>1</v>
      </c>
      <c r="N424" s="14" t="b">
        <v>0</v>
      </c>
      <c r="O424" s="14" t="b">
        <v>1</v>
      </c>
      <c r="W424" s="3"/>
    </row>
    <row r="425" spans="1:23" x14ac:dyDescent="0.25">
      <c r="A425" s="4">
        <v>92815000000168</v>
      </c>
      <c r="B425" s="8" t="s">
        <v>403</v>
      </c>
      <c r="C425" s="8" t="s">
        <v>305</v>
      </c>
      <c r="D425" s="7" t="s">
        <v>253</v>
      </c>
      <c r="E425" s="7" t="s">
        <v>795</v>
      </c>
      <c r="F425" s="6">
        <v>2</v>
      </c>
      <c r="G425" s="8" t="s">
        <v>720</v>
      </c>
      <c r="H425" s="8" t="s">
        <v>721</v>
      </c>
      <c r="I425" s="7" t="s">
        <v>723</v>
      </c>
      <c r="J425" s="8" t="s">
        <v>785</v>
      </c>
      <c r="K425" s="14" t="b">
        <v>0</v>
      </c>
      <c r="L425" s="14" t="b">
        <v>1</v>
      </c>
      <c r="M425" s="14" t="b">
        <v>1</v>
      </c>
      <c r="N425" s="14" t="b">
        <v>0</v>
      </c>
      <c r="O425" s="14" t="b">
        <v>1</v>
      </c>
      <c r="W425" s="3"/>
    </row>
    <row r="426" spans="1:23" x14ac:dyDescent="0.25">
      <c r="A426" s="4">
        <v>92898550000198</v>
      </c>
      <c r="B426" s="8" t="s">
        <v>404</v>
      </c>
      <c r="C426" s="8" t="s">
        <v>305</v>
      </c>
      <c r="D426" s="7" t="s">
        <v>253</v>
      </c>
      <c r="E426" s="7" t="s">
        <v>795</v>
      </c>
      <c r="F426" s="6">
        <v>2</v>
      </c>
      <c r="G426" s="8" t="s">
        <v>720</v>
      </c>
      <c r="H426" s="8" t="s">
        <v>721</v>
      </c>
      <c r="I426" s="7" t="s">
        <v>723</v>
      </c>
      <c r="J426" s="8" t="s">
        <v>785</v>
      </c>
      <c r="K426" s="14" t="b">
        <v>0</v>
      </c>
      <c r="L426" s="14" t="b">
        <v>1</v>
      </c>
      <c r="M426" s="14" t="b">
        <v>1</v>
      </c>
      <c r="N426" s="14" t="b">
        <v>0</v>
      </c>
      <c r="O426" s="14" t="b">
        <v>1</v>
      </c>
      <c r="W426" s="3"/>
    </row>
    <row r="427" spans="1:23" x14ac:dyDescent="0.25">
      <c r="A427" s="4">
        <v>92963560000160</v>
      </c>
      <c r="B427" s="8" t="s">
        <v>465</v>
      </c>
      <c r="C427" s="8" t="s">
        <v>305</v>
      </c>
      <c r="D427" s="7" t="s">
        <v>253</v>
      </c>
      <c r="E427" s="7" t="s">
        <v>795</v>
      </c>
      <c r="F427" s="6">
        <v>2</v>
      </c>
      <c r="G427" s="8" t="s">
        <v>720</v>
      </c>
      <c r="H427" s="8" t="s">
        <v>721</v>
      </c>
      <c r="I427" s="7" t="s">
        <v>723</v>
      </c>
      <c r="J427" s="8" t="s">
        <v>785</v>
      </c>
      <c r="K427" s="14" t="b">
        <v>0</v>
      </c>
      <c r="L427" s="14" t="b">
        <v>1</v>
      </c>
      <c r="M427" s="14" t="b">
        <v>1</v>
      </c>
      <c r="N427" s="14" t="b">
        <v>0</v>
      </c>
      <c r="O427" s="14" t="b">
        <v>1</v>
      </c>
      <c r="W427" s="3"/>
    </row>
    <row r="428" spans="1:23" x14ac:dyDescent="0.25">
      <c r="A428" s="4">
        <v>94831294000147</v>
      </c>
      <c r="B428" s="8" t="s">
        <v>593</v>
      </c>
      <c r="C428" s="8" t="s">
        <v>305</v>
      </c>
      <c r="D428" s="7" t="s">
        <v>253</v>
      </c>
      <c r="E428" s="7" t="s">
        <v>795</v>
      </c>
      <c r="F428" s="6">
        <v>2</v>
      </c>
      <c r="G428" s="8" t="s">
        <v>720</v>
      </c>
      <c r="H428" s="8" t="s">
        <v>721</v>
      </c>
      <c r="I428" s="7" t="s">
        <v>723</v>
      </c>
      <c r="J428" s="8" t="s">
        <v>785</v>
      </c>
      <c r="K428" s="14" t="b">
        <v>0</v>
      </c>
      <c r="L428" s="14" t="b">
        <v>1</v>
      </c>
      <c r="M428" s="14" t="b">
        <v>1</v>
      </c>
      <c r="N428" s="14" t="b">
        <v>0</v>
      </c>
      <c r="O428" s="14" t="b">
        <v>1</v>
      </c>
      <c r="W428" s="3"/>
    </row>
    <row r="429" spans="1:23" x14ac:dyDescent="0.25">
      <c r="A429" s="4">
        <v>95610887000146</v>
      </c>
      <c r="B429" s="8" t="s">
        <v>406</v>
      </c>
      <c r="C429" s="8" t="s">
        <v>331</v>
      </c>
      <c r="D429" s="7" t="s">
        <v>253</v>
      </c>
      <c r="E429" s="7" t="s">
        <v>795</v>
      </c>
      <c r="F429" s="6">
        <v>2</v>
      </c>
      <c r="G429" s="8" t="s">
        <v>720</v>
      </c>
      <c r="H429" s="8" t="s">
        <v>721</v>
      </c>
      <c r="I429" s="7" t="s">
        <v>723</v>
      </c>
      <c r="J429" s="8" t="s">
        <v>785</v>
      </c>
      <c r="K429" s="14" t="b">
        <v>0</v>
      </c>
      <c r="L429" s="14" t="b">
        <v>1</v>
      </c>
      <c r="M429" s="14" t="b">
        <v>1</v>
      </c>
      <c r="N429" s="14" t="b">
        <v>0</v>
      </c>
      <c r="O429" s="14" t="b">
        <v>1</v>
      </c>
      <c r="W429" s="3"/>
    </row>
    <row r="430" spans="1:23" x14ac:dyDescent="0.25">
      <c r="A430" s="4">
        <v>48063983904</v>
      </c>
      <c r="B430" s="8" t="s">
        <v>469</v>
      </c>
      <c r="C430" s="8" t="s">
        <v>388</v>
      </c>
      <c r="D430" s="7" t="s">
        <v>259</v>
      </c>
      <c r="E430" s="7" t="s">
        <v>795</v>
      </c>
      <c r="F430" s="6">
        <v>2</v>
      </c>
      <c r="G430" s="8" t="s">
        <v>754</v>
      </c>
      <c r="H430" s="8" t="s">
        <v>755</v>
      </c>
      <c r="I430" s="7" t="s">
        <v>730</v>
      </c>
      <c r="J430" s="8" t="s">
        <v>785</v>
      </c>
      <c r="K430" s="14" t="b">
        <v>1</v>
      </c>
      <c r="L430" s="14" t="b">
        <v>0</v>
      </c>
      <c r="M430" s="14" t="b">
        <v>0</v>
      </c>
      <c r="N430" s="14" t="b">
        <v>1</v>
      </c>
      <c r="O430" s="14" t="b">
        <v>1</v>
      </c>
      <c r="W430" s="3"/>
    </row>
    <row r="431" spans="1:23" x14ac:dyDescent="0.25">
      <c r="A431" s="4">
        <v>82854246004</v>
      </c>
      <c r="B431" s="8" t="s">
        <v>411</v>
      </c>
      <c r="C431" s="8" t="s">
        <v>305</v>
      </c>
      <c r="D431" s="7" t="s">
        <v>253</v>
      </c>
      <c r="E431" s="7" t="s">
        <v>795</v>
      </c>
      <c r="F431" s="6">
        <v>2</v>
      </c>
      <c r="G431" s="8" t="s">
        <v>754</v>
      </c>
      <c r="H431" s="8" t="s">
        <v>755</v>
      </c>
      <c r="I431" s="7" t="s">
        <v>730</v>
      </c>
      <c r="J431" s="8" t="s">
        <v>785</v>
      </c>
      <c r="K431" s="14" t="b">
        <v>1</v>
      </c>
      <c r="L431" s="14" t="b">
        <v>0</v>
      </c>
      <c r="M431" s="14" t="b">
        <v>0</v>
      </c>
      <c r="N431" s="14" t="b">
        <v>1</v>
      </c>
      <c r="O431" s="14" t="b">
        <v>1</v>
      </c>
      <c r="W431" s="3"/>
    </row>
    <row r="432" spans="1:23" x14ac:dyDescent="0.25">
      <c r="A432" s="4">
        <v>304148000110</v>
      </c>
      <c r="B432" s="8" t="s">
        <v>231</v>
      </c>
      <c r="C432" s="8" t="s">
        <v>232</v>
      </c>
      <c r="D432" s="7" t="s">
        <v>233</v>
      </c>
      <c r="E432" s="7" t="s">
        <v>795</v>
      </c>
      <c r="F432" s="6">
        <v>2</v>
      </c>
      <c r="G432" s="8" t="s">
        <v>754</v>
      </c>
      <c r="H432" s="8" t="s">
        <v>755</v>
      </c>
      <c r="I432" s="7" t="s">
        <v>730</v>
      </c>
      <c r="J432" s="8" t="s">
        <v>785</v>
      </c>
      <c r="K432" s="14" t="b">
        <v>1</v>
      </c>
      <c r="L432" s="14" t="b">
        <v>0</v>
      </c>
      <c r="M432" s="14" t="b">
        <v>0</v>
      </c>
      <c r="N432" s="14" t="b">
        <v>1</v>
      </c>
      <c r="O432" s="14" t="b">
        <v>1</v>
      </c>
      <c r="W432" s="3"/>
    </row>
    <row r="433" spans="1:23" x14ac:dyDescent="0.25">
      <c r="A433" s="4">
        <v>942063000167</v>
      </c>
      <c r="B433" s="8" t="s">
        <v>527</v>
      </c>
      <c r="C433" s="8" t="s">
        <v>385</v>
      </c>
      <c r="D433" s="7" t="s">
        <v>233</v>
      </c>
      <c r="E433" s="7" t="s">
        <v>795</v>
      </c>
      <c r="F433" s="6">
        <v>2</v>
      </c>
      <c r="G433" s="8" t="s">
        <v>754</v>
      </c>
      <c r="H433" s="8" t="s">
        <v>755</v>
      </c>
      <c r="I433" s="7" t="s">
        <v>730</v>
      </c>
      <c r="J433" s="8" t="s">
        <v>785</v>
      </c>
      <c r="K433" s="14" t="b">
        <v>1</v>
      </c>
      <c r="L433" s="14" t="b">
        <v>0</v>
      </c>
      <c r="M433" s="14" t="b">
        <v>0</v>
      </c>
      <c r="N433" s="14" t="b">
        <v>1</v>
      </c>
      <c r="O433" s="14" t="b">
        <v>1</v>
      </c>
      <c r="W433" s="3"/>
    </row>
    <row r="434" spans="1:23" x14ac:dyDescent="0.25">
      <c r="A434" s="4">
        <v>1125832000105</v>
      </c>
      <c r="B434" s="8" t="s">
        <v>529</v>
      </c>
      <c r="C434" s="8" t="s">
        <v>388</v>
      </c>
      <c r="D434" s="7" t="s">
        <v>259</v>
      </c>
      <c r="E434" s="7" t="s">
        <v>795</v>
      </c>
      <c r="F434" s="6">
        <v>2</v>
      </c>
      <c r="G434" s="8" t="s">
        <v>754</v>
      </c>
      <c r="H434" s="8" t="s">
        <v>755</v>
      </c>
      <c r="I434" s="7" t="s">
        <v>730</v>
      </c>
      <c r="J434" s="8" t="s">
        <v>785</v>
      </c>
      <c r="K434" s="14" t="b">
        <v>1</v>
      </c>
      <c r="L434" s="14" t="b">
        <v>0</v>
      </c>
      <c r="M434" s="14" t="b">
        <v>0</v>
      </c>
      <c r="N434" s="14" t="b">
        <v>1</v>
      </c>
      <c r="O434" s="14" t="b">
        <v>1</v>
      </c>
      <c r="W434" s="3"/>
    </row>
    <row r="435" spans="1:23" x14ac:dyDescent="0.25">
      <c r="A435" s="4">
        <v>1140803000104</v>
      </c>
      <c r="B435" s="8" t="s">
        <v>251</v>
      </c>
      <c r="C435" s="8" t="s">
        <v>252</v>
      </c>
      <c r="D435" s="7" t="s">
        <v>253</v>
      </c>
      <c r="E435" s="7" t="s">
        <v>795</v>
      </c>
      <c r="F435" s="6">
        <v>2</v>
      </c>
      <c r="G435" s="8" t="s">
        <v>754</v>
      </c>
      <c r="H435" s="8" t="s">
        <v>755</v>
      </c>
      <c r="I435" s="7" t="s">
        <v>730</v>
      </c>
      <c r="J435" s="8" t="s">
        <v>785</v>
      </c>
      <c r="K435" s="14" t="b">
        <v>1</v>
      </c>
      <c r="L435" s="14" t="b">
        <v>0</v>
      </c>
      <c r="M435" s="14" t="b">
        <v>0</v>
      </c>
      <c r="N435" s="14" t="b">
        <v>1</v>
      </c>
      <c r="O435" s="14" t="b">
        <v>1</v>
      </c>
      <c r="W435" s="3"/>
    </row>
    <row r="436" spans="1:23" x14ac:dyDescent="0.25">
      <c r="A436" s="4">
        <v>1517626000132</v>
      </c>
      <c r="B436" s="8" t="s">
        <v>257</v>
      </c>
      <c r="C436" s="8" t="s">
        <v>258</v>
      </c>
      <c r="D436" s="7" t="s">
        <v>259</v>
      </c>
      <c r="E436" s="7" t="s">
        <v>795</v>
      </c>
      <c r="F436" s="6">
        <v>2</v>
      </c>
      <c r="G436" s="8" t="s">
        <v>754</v>
      </c>
      <c r="H436" s="8" t="s">
        <v>755</v>
      </c>
      <c r="I436" s="7" t="s">
        <v>730</v>
      </c>
      <c r="J436" s="8" t="s">
        <v>785</v>
      </c>
      <c r="K436" s="14" t="b">
        <v>1</v>
      </c>
      <c r="L436" s="14" t="b">
        <v>0</v>
      </c>
      <c r="M436" s="14" t="b">
        <v>0</v>
      </c>
      <c r="N436" s="14" t="b">
        <v>1</v>
      </c>
      <c r="O436" s="14" t="b">
        <v>1</v>
      </c>
      <c r="W436" s="3"/>
    </row>
    <row r="437" spans="1:23" x14ac:dyDescent="0.25">
      <c r="A437" s="4">
        <v>1554266000149</v>
      </c>
      <c r="B437" s="8" t="s">
        <v>511</v>
      </c>
      <c r="C437" s="8" t="s">
        <v>512</v>
      </c>
      <c r="D437" s="7" t="s">
        <v>259</v>
      </c>
      <c r="E437" s="7" t="s">
        <v>795</v>
      </c>
      <c r="F437" s="6">
        <v>2</v>
      </c>
      <c r="G437" s="8" t="s">
        <v>754</v>
      </c>
      <c r="H437" s="8" t="s">
        <v>755</v>
      </c>
      <c r="I437" s="7" t="s">
        <v>730</v>
      </c>
      <c r="J437" s="8" t="s">
        <v>785</v>
      </c>
      <c r="K437" s="14" t="b">
        <v>1</v>
      </c>
      <c r="L437" s="14" t="b">
        <v>0</v>
      </c>
      <c r="M437" s="14" t="b">
        <v>0</v>
      </c>
      <c r="N437" s="14" t="b">
        <v>1</v>
      </c>
      <c r="O437" s="14" t="b">
        <v>1</v>
      </c>
      <c r="W437" s="3"/>
    </row>
    <row r="438" spans="1:23" x14ac:dyDescent="0.25">
      <c r="A438" s="4">
        <v>1554266000300</v>
      </c>
      <c r="B438" s="8" t="s">
        <v>534</v>
      </c>
      <c r="C438" s="8" t="s">
        <v>512</v>
      </c>
      <c r="D438" s="7" t="s">
        <v>259</v>
      </c>
      <c r="E438" s="7" t="s">
        <v>795</v>
      </c>
      <c r="F438" s="6">
        <v>2</v>
      </c>
      <c r="G438" s="8" t="s">
        <v>754</v>
      </c>
      <c r="H438" s="8" t="s">
        <v>755</v>
      </c>
      <c r="I438" s="7" t="s">
        <v>730</v>
      </c>
      <c r="J438" s="8" t="s">
        <v>785</v>
      </c>
      <c r="K438" s="14" t="b">
        <v>1</v>
      </c>
      <c r="L438" s="14" t="b">
        <v>0</v>
      </c>
      <c r="M438" s="14" t="b">
        <v>0</v>
      </c>
      <c r="N438" s="14" t="b">
        <v>1</v>
      </c>
      <c r="O438" s="14" t="b">
        <v>1</v>
      </c>
      <c r="W438" s="3"/>
    </row>
    <row r="439" spans="1:23" x14ac:dyDescent="0.25">
      <c r="A439" s="4">
        <v>1880344000103</v>
      </c>
      <c r="B439" s="8" t="s">
        <v>513</v>
      </c>
      <c r="C439" s="8" t="s">
        <v>380</v>
      </c>
      <c r="D439" s="7" t="s">
        <v>259</v>
      </c>
      <c r="E439" s="7" t="s">
        <v>795</v>
      </c>
      <c r="F439" s="6">
        <v>2</v>
      </c>
      <c r="G439" s="8" t="s">
        <v>754</v>
      </c>
      <c r="H439" s="8" t="s">
        <v>755</v>
      </c>
      <c r="I439" s="7" t="s">
        <v>730</v>
      </c>
      <c r="J439" s="8" t="s">
        <v>785</v>
      </c>
      <c r="K439" s="14" t="b">
        <v>1</v>
      </c>
      <c r="L439" s="14" t="b">
        <v>0</v>
      </c>
      <c r="M439" s="14" t="b">
        <v>0</v>
      </c>
      <c r="N439" s="14" t="b">
        <v>1</v>
      </c>
      <c r="O439" s="14" t="b">
        <v>1</v>
      </c>
      <c r="W439" s="3"/>
    </row>
    <row r="440" spans="1:23" x14ac:dyDescent="0.25">
      <c r="A440" s="4">
        <v>2862447000286</v>
      </c>
      <c r="B440" s="8" t="s">
        <v>539</v>
      </c>
      <c r="C440" s="8" t="s">
        <v>385</v>
      </c>
      <c r="D440" s="7" t="s">
        <v>233</v>
      </c>
      <c r="E440" s="7" t="s">
        <v>795</v>
      </c>
      <c r="F440" s="6">
        <v>2</v>
      </c>
      <c r="G440" s="8" t="s">
        <v>754</v>
      </c>
      <c r="H440" s="8" t="s">
        <v>755</v>
      </c>
      <c r="I440" s="7" t="s">
        <v>730</v>
      </c>
      <c r="J440" s="8" t="s">
        <v>785</v>
      </c>
      <c r="K440" s="14" t="b">
        <v>1</v>
      </c>
      <c r="L440" s="14" t="b">
        <v>0</v>
      </c>
      <c r="M440" s="14" t="b">
        <v>0</v>
      </c>
      <c r="N440" s="14" t="b">
        <v>1</v>
      </c>
      <c r="O440" s="14" t="b">
        <v>1</v>
      </c>
      <c r="W440" s="3"/>
    </row>
    <row r="441" spans="1:23" x14ac:dyDescent="0.25">
      <c r="A441" s="4">
        <v>3824198000116</v>
      </c>
      <c r="B441" s="8" t="s">
        <v>541</v>
      </c>
      <c r="C441" s="8" t="s">
        <v>385</v>
      </c>
      <c r="D441" s="7" t="s">
        <v>233</v>
      </c>
      <c r="E441" s="7" t="s">
        <v>795</v>
      </c>
      <c r="F441" s="6">
        <v>2</v>
      </c>
      <c r="G441" s="8" t="s">
        <v>754</v>
      </c>
      <c r="H441" s="8" t="s">
        <v>755</v>
      </c>
      <c r="I441" s="7" t="s">
        <v>730</v>
      </c>
      <c r="J441" s="8" t="s">
        <v>785</v>
      </c>
      <c r="K441" s="14" t="b">
        <v>1</v>
      </c>
      <c r="L441" s="14" t="b">
        <v>0</v>
      </c>
      <c r="M441" s="14" t="b">
        <v>0</v>
      </c>
      <c r="N441" s="14" t="b">
        <v>1</v>
      </c>
      <c r="O441" s="14" t="b">
        <v>1</v>
      </c>
      <c r="W441" s="3"/>
    </row>
    <row r="442" spans="1:23" x14ac:dyDescent="0.25">
      <c r="A442" s="4">
        <v>3850913000195</v>
      </c>
      <c r="B442" s="8" t="s">
        <v>542</v>
      </c>
      <c r="C442" s="8" t="s">
        <v>385</v>
      </c>
      <c r="D442" s="7" t="s">
        <v>233</v>
      </c>
      <c r="E442" s="7" t="s">
        <v>795</v>
      </c>
      <c r="F442" s="6">
        <v>2</v>
      </c>
      <c r="G442" s="8" t="s">
        <v>754</v>
      </c>
      <c r="H442" s="8" t="s">
        <v>755</v>
      </c>
      <c r="I442" s="7" t="s">
        <v>730</v>
      </c>
      <c r="J442" s="8" t="s">
        <v>785</v>
      </c>
      <c r="K442" s="14" t="b">
        <v>1</v>
      </c>
      <c r="L442" s="14" t="b">
        <v>0</v>
      </c>
      <c r="M442" s="14" t="b">
        <v>0</v>
      </c>
      <c r="N442" s="14" t="b">
        <v>1</v>
      </c>
      <c r="O442" s="14" t="b">
        <v>1</v>
      </c>
      <c r="W442" s="3"/>
    </row>
    <row r="443" spans="1:23" x14ac:dyDescent="0.25">
      <c r="A443" s="4">
        <v>4670913000176</v>
      </c>
      <c r="B443" s="8" t="s">
        <v>515</v>
      </c>
      <c r="C443" s="8" t="s">
        <v>388</v>
      </c>
      <c r="D443" s="7" t="s">
        <v>259</v>
      </c>
      <c r="E443" s="7" t="s">
        <v>795</v>
      </c>
      <c r="F443" s="6">
        <v>2</v>
      </c>
      <c r="G443" s="8" t="s">
        <v>754</v>
      </c>
      <c r="H443" s="8" t="s">
        <v>755</v>
      </c>
      <c r="I443" s="7" t="s">
        <v>730</v>
      </c>
      <c r="J443" s="8" t="s">
        <v>785</v>
      </c>
      <c r="K443" s="14" t="b">
        <v>1</v>
      </c>
      <c r="L443" s="14" t="b">
        <v>0</v>
      </c>
      <c r="M443" s="14" t="b">
        <v>0</v>
      </c>
      <c r="N443" s="14" t="b">
        <v>1</v>
      </c>
      <c r="O443" s="14" t="b">
        <v>1</v>
      </c>
      <c r="W443" s="3"/>
    </row>
    <row r="444" spans="1:23" x14ac:dyDescent="0.25">
      <c r="A444" s="4">
        <v>4762301000103</v>
      </c>
      <c r="B444" s="8" t="s">
        <v>600</v>
      </c>
      <c r="C444" s="8" t="s">
        <v>583</v>
      </c>
      <c r="D444" s="7" t="s">
        <v>233</v>
      </c>
      <c r="E444" s="7" t="s">
        <v>795</v>
      </c>
      <c r="F444" s="6">
        <v>2</v>
      </c>
      <c r="G444" s="8" t="s">
        <v>754</v>
      </c>
      <c r="H444" s="8" t="s">
        <v>755</v>
      </c>
      <c r="I444" s="7" t="s">
        <v>730</v>
      </c>
      <c r="J444" s="8" t="s">
        <v>785</v>
      </c>
      <c r="K444" s="14" t="b">
        <v>1</v>
      </c>
      <c r="L444" s="14" t="b">
        <v>0</v>
      </c>
      <c r="M444" s="14" t="b">
        <v>0</v>
      </c>
      <c r="N444" s="14" t="b">
        <v>1</v>
      </c>
      <c r="O444" s="14" t="b">
        <v>1</v>
      </c>
      <c r="W444" s="3"/>
    </row>
    <row r="445" spans="1:23" x14ac:dyDescent="0.25">
      <c r="A445" s="4">
        <v>7088017000191</v>
      </c>
      <c r="B445" s="8" t="s">
        <v>549</v>
      </c>
      <c r="C445" s="8" t="s">
        <v>550</v>
      </c>
      <c r="D445" s="7" t="s">
        <v>233</v>
      </c>
      <c r="E445" s="7" t="s">
        <v>795</v>
      </c>
      <c r="F445" s="6">
        <v>2</v>
      </c>
      <c r="G445" s="8" t="s">
        <v>754</v>
      </c>
      <c r="H445" s="8" t="s">
        <v>755</v>
      </c>
      <c r="I445" s="7" t="s">
        <v>730</v>
      </c>
      <c r="J445" s="8" t="s">
        <v>785</v>
      </c>
      <c r="K445" s="14" t="b">
        <v>1</v>
      </c>
      <c r="L445" s="14" t="b">
        <v>0</v>
      </c>
      <c r="M445" s="14" t="b">
        <v>0</v>
      </c>
      <c r="N445" s="14" t="b">
        <v>1</v>
      </c>
      <c r="O445" s="14" t="b">
        <v>1</v>
      </c>
      <c r="W445" s="3"/>
    </row>
    <row r="446" spans="1:23" x14ac:dyDescent="0.25">
      <c r="A446" s="4">
        <v>7404052000172</v>
      </c>
      <c r="B446" s="8" t="s">
        <v>516</v>
      </c>
      <c r="C446" s="8" t="s">
        <v>385</v>
      </c>
      <c r="D446" s="7" t="s">
        <v>233</v>
      </c>
      <c r="E446" s="7" t="s">
        <v>795</v>
      </c>
      <c r="F446" s="6">
        <v>2</v>
      </c>
      <c r="G446" s="8" t="s">
        <v>754</v>
      </c>
      <c r="H446" s="8" t="s">
        <v>755</v>
      </c>
      <c r="I446" s="7" t="s">
        <v>730</v>
      </c>
      <c r="J446" s="8" t="s">
        <v>785</v>
      </c>
      <c r="K446" s="14" t="b">
        <v>1</v>
      </c>
      <c r="L446" s="14" t="b">
        <v>0</v>
      </c>
      <c r="M446" s="14" t="b">
        <v>0</v>
      </c>
      <c r="N446" s="14" t="b">
        <v>1</v>
      </c>
      <c r="O446" s="14" t="b">
        <v>1</v>
      </c>
      <c r="W446" s="3"/>
    </row>
    <row r="447" spans="1:23" x14ac:dyDescent="0.25">
      <c r="A447" s="4">
        <v>7734165000136</v>
      </c>
      <c r="B447" s="8" t="s">
        <v>425</v>
      </c>
      <c r="C447" s="8" t="s">
        <v>385</v>
      </c>
      <c r="D447" s="7" t="s">
        <v>233</v>
      </c>
      <c r="E447" s="7" t="s">
        <v>795</v>
      </c>
      <c r="F447" s="6">
        <v>2</v>
      </c>
      <c r="G447" s="8" t="s">
        <v>754</v>
      </c>
      <c r="H447" s="8" t="s">
        <v>755</v>
      </c>
      <c r="I447" s="7" t="s">
        <v>730</v>
      </c>
      <c r="J447" s="8" t="s">
        <v>785</v>
      </c>
      <c r="K447" s="14" t="b">
        <v>1</v>
      </c>
      <c r="L447" s="14" t="b">
        <v>0</v>
      </c>
      <c r="M447" s="14" t="b">
        <v>0</v>
      </c>
      <c r="N447" s="14" t="b">
        <v>1</v>
      </c>
      <c r="O447" s="14" t="b">
        <v>1</v>
      </c>
      <c r="W447" s="3"/>
    </row>
    <row r="448" spans="1:23" x14ac:dyDescent="0.25">
      <c r="A448" s="4">
        <v>7794623002257</v>
      </c>
      <c r="B448" s="8" t="s">
        <v>552</v>
      </c>
      <c r="C448" s="8" t="s">
        <v>553</v>
      </c>
      <c r="D448" s="7" t="s">
        <v>233</v>
      </c>
      <c r="E448" s="7" t="s">
        <v>795</v>
      </c>
      <c r="F448" s="6">
        <v>2</v>
      </c>
      <c r="G448" s="8" t="s">
        <v>754</v>
      </c>
      <c r="H448" s="8" t="s">
        <v>755</v>
      </c>
      <c r="I448" s="7" t="s">
        <v>730</v>
      </c>
      <c r="J448" s="8" t="s">
        <v>785</v>
      </c>
      <c r="K448" s="14" t="b">
        <v>1</v>
      </c>
      <c r="L448" s="14" t="b">
        <v>0</v>
      </c>
      <c r="M448" s="14" t="b">
        <v>0</v>
      </c>
      <c r="N448" s="14" t="b">
        <v>1</v>
      </c>
      <c r="O448" s="14" t="b">
        <v>1</v>
      </c>
      <c r="W448" s="3"/>
    </row>
    <row r="449" spans="1:23" x14ac:dyDescent="0.25">
      <c r="A449" s="4">
        <v>8597121000174</v>
      </c>
      <c r="B449" s="8" t="s">
        <v>428</v>
      </c>
      <c r="C449" s="8" t="s">
        <v>385</v>
      </c>
      <c r="D449" s="7" t="s">
        <v>233</v>
      </c>
      <c r="E449" s="7" t="s">
        <v>795</v>
      </c>
      <c r="F449" s="6">
        <v>2</v>
      </c>
      <c r="G449" s="8" t="s">
        <v>754</v>
      </c>
      <c r="H449" s="8" t="s">
        <v>755</v>
      </c>
      <c r="I449" s="7" t="s">
        <v>730</v>
      </c>
      <c r="J449" s="8" t="s">
        <v>785</v>
      </c>
      <c r="K449" s="14" t="b">
        <v>1</v>
      </c>
      <c r="L449" s="14" t="b">
        <v>0</v>
      </c>
      <c r="M449" s="14" t="b">
        <v>0</v>
      </c>
      <c r="N449" s="14" t="b">
        <v>1</v>
      </c>
      <c r="O449" s="14" t="b">
        <v>1</v>
      </c>
      <c r="W449" s="3"/>
    </row>
    <row r="450" spans="1:23" x14ac:dyDescent="0.25">
      <c r="A450" s="4">
        <v>9087150000230</v>
      </c>
      <c r="B450" s="8" t="s">
        <v>304</v>
      </c>
      <c r="C450" s="8" t="s">
        <v>305</v>
      </c>
      <c r="D450" s="7" t="s">
        <v>253</v>
      </c>
      <c r="E450" s="7" t="s">
        <v>795</v>
      </c>
      <c r="F450" s="6">
        <v>2</v>
      </c>
      <c r="G450" s="8" t="s">
        <v>754</v>
      </c>
      <c r="H450" s="8" t="s">
        <v>755</v>
      </c>
      <c r="I450" s="7" t="s">
        <v>730</v>
      </c>
      <c r="J450" s="8" t="s">
        <v>785</v>
      </c>
      <c r="K450" s="14" t="b">
        <v>1</v>
      </c>
      <c r="L450" s="14" t="b">
        <v>0</v>
      </c>
      <c r="M450" s="14" t="b">
        <v>0</v>
      </c>
      <c r="N450" s="14" t="b">
        <v>1</v>
      </c>
      <c r="O450" s="14" t="b">
        <v>1</v>
      </c>
      <c r="W450" s="3"/>
    </row>
    <row r="451" spans="1:23" x14ac:dyDescent="0.25">
      <c r="A451" s="4">
        <v>9549061000268</v>
      </c>
      <c r="B451" s="8" t="s">
        <v>431</v>
      </c>
      <c r="C451" s="8" t="s">
        <v>432</v>
      </c>
      <c r="D451" s="7" t="s">
        <v>253</v>
      </c>
      <c r="E451" s="7" t="s">
        <v>795</v>
      </c>
      <c r="F451" s="6">
        <v>2</v>
      </c>
      <c r="G451" s="8" t="s">
        <v>754</v>
      </c>
      <c r="H451" s="8" t="s">
        <v>755</v>
      </c>
      <c r="I451" s="7" t="s">
        <v>730</v>
      </c>
      <c r="J451" s="8" t="s">
        <v>785</v>
      </c>
      <c r="K451" s="14" t="b">
        <v>1</v>
      </c>
      <c r="L451" s="14" t="b">
        <v>0</v>
      </c>
      <c r="M451" s="14" t="b">
        <v>0</v>
      </c>
      <c r="N451" s="14" t="b">
        <v>1</v>
      </c>
      <c r="O451" s="14" t="b">
        <v>1</v>
      </c>
      <c r="W451" s="3"/>
    </row>
    <row r="452" spans="1:23" x14ac:dyDescent="0.25">
      <c r="A452" s="4">
        <v>9572216000287</v>
      </c>
      <c r="B452" s="8" t="s">
        <v>557</v>
      </c>
      <c r="C452" s="8" t="s">
        <v>558</v>
      </c>
      <c r="D452" s="7" t="s">
        <v>253</v>
      </c>
      <c r="E452" s="7" t="s">
        <v>795</v>
      </c>
      <c r="F452" s="6">
        <v>2</v>
      </c>
      <c r="G452" s="8" t="s">
        <v>754</v>
      </c>
      <c r="H452" s="8" t="s">
        <v>755</v>
      </c>
      <c r="I452" s="7" t="s">
        <v>730</v>
      </c>
      <c r="J452" s="8" t="s">
        <v>785</v>
      </c>
      <c r="K452" s="14" t="b">
        <v>1</v>
      </c>
      <c r="L452" s="14" t="b">
        <v>0</v>
      </c>
      <c r="M452" s="14" t="b">
        <v>0</v>
      </c>
      <c r="N452" s="14" t="b">
        <v>1</v>
      </c>
      <c r="O452" s="14" t="b">
        <v>1</v>
      </c>
      <c r="W452" s="3"/>
    </row>
    <row r="453" spans="1:23" x14ac:dyDescent="0.25">
      <c r="A453" s="4">
        <v>9579964000291</v>
      </c>
      <c r="B453" s="8" t="s">
        <v>604</v>
      </c>
      <c r="C453" s="8" t="s">
        <v>385</v>
      </c>
      <c r="D453" s="7" t="s">
        <v>233</v>
      </c>
      <c r="E453" s="7" t="s">
        <v>795</v>
      </c>
      <c r="F453" s="6">
        <v>2</v>
      </c>
      <c r="G453" s="8" t="s">
        <v>754</v>
      </c>
      <c r="H453" s="8" t="s">
        <v>755</v>
      </c>
      <c r="I453" s="7" t="s">
        <v>730</v>
      </c>
      <c r="J453" s="8" t="s">
        <v>785</v>
      </c>
      <c r="K453" s="14" t="b">
        <v>1</v>
      </c>
      <c r="L453" s="14" t="b">
        <v>0</v>
      </c>
      <c r="M453" s="14" t="b">
        <v>0</v>
      </c>
      <c r="N453" s="14" t="b">
        <v>1</v>
      </c>
      <c r="O453" s="14" t="b">
        <v>1</v>
      </c>
      <c r="W453" s="3"/>
    </row>
    <row r="454" spans="1:23" x14ac:dyDescent="0.25">
      <c r="A454" s="4">
        <v>9605231000284</v>
      </c>
      <c r="B454" s="8" t="s">
        <v>559</v>
      </c>
      <c r="C454" s="8" t="s">
        <v>331</v>
      </c>
      <c r="D454" s="7" t="s">
        <v>253</v>
      </c>
      <c r="E454" s="7" t="s">
        <v>795</v>
      </c>
      <c r="F454" s="6">
        <v>2</v>
      </c>
      <c r="G454" s="8" t="s">
        <v>754</v>
      </c>
      <c r="H454" s="8" t="s">
        <v>755</v>
      </c>
      <c r="I454" s="7" t="s">
        <v>730</v>
      </c>
      <c r="J454" s="8" t="s">
        <v>785</v>
      </c>
      <c r="K454" s="14" t="b">
        <v>1</v>
      </c>
      <c r="L454" s="14" t="b">
        <v>0</v>
      </c>
      <c r="M454" s="14" t="b">
        <v>0</v>
      </c>
      <c r="N454" s="14" t="b">
        <v>1</v>
      </c>
      <c r="O454" s="14" t="b">
        <v>1</v>
      </c>
      <c r="W454" s="3"/>
    </row>
    <row r="455" spans="1:23" x14ac:dyDescent="0.25">
      <c r="A455" s="4">
        <v>11055682000156</v>
      </c>
      <c r="B455" s="8" t="s">
        <v>605</v>
      </c>
      <c r="C455" s="8" t="s">
        <v>606</v>
      </c>
      <c r="D455" s="7" t="s">
        <v>253</v>
      </c>
      <c r="E455" s="7" t="s">
        <v>795</v>
      </c>
      <c r="F455" s="6">
        <v>2</v>
      </c>
      <c r="G455" s="8" t="s">
        <v>754</v>
      </c>
      <c r="H455" s="8" t="s">
        <v>755</v>
      </c>
      <c r="I455" s="7" t="s">
        <v>730</v>
      </c>
      <c r="J455" s="8" t="s">
        <v>785</v>
      </c>
      <c r="K455" s="14" t="b">
        <v>1</v>
      </c>
      <c r="L455" s="14" t="b">
        <v>0</v>
      </c>
      <c r="M455" s="14" t="b">
        <v>0</v>
      </c>
      <c r="N455" s="14" t="b">
        <v>1</v>
      </c>
      <c r="O455" s="14" t="b">
        <v>1</v>
      </c>
      <c r="W455" s="3"/>
    </row>
    <row r="456" spans="1:23" x14ac:dyDescent="0.25">
      <c r="A456" s="4">
        <v>12361267004261</v>
      </c>
      <c r="B456" s="8" t="s">
        <v>609</v>
      </c>
      <c r="C456" s="8" t="s">
        <v>610</v>
      </c>
      <c r="D456" s="7" t="s">
        <v>259</v>
      </c>
      <c r="E456" s="7" t="s">
        <v>795</v>
      </c>
      <c r="F456" s="6">
        <v>2</v>
      </c>
      <c r="G456" s="8" t="s">
        <v>754</v>
      </c>
      <c r="H456" s="8" t="s">
        <v>755</v>
      </c>
      <c r="I456" s="7" t="s">
        <v>730</v>
      </c>
      <c r="J456" s="8" t="s">
        <v>785</v>
      </c>
      <c r="K456" s="14" t="b">
        <v>1</v>
      </c>
      <c r="L456" s="14" t="b">
        <v>0</v>
      </c>
      <c r="M456" s="14" t="b">
        <v>0</v>
      </c>
      <c r="N456" s="14" t="b">
        <v>1</v>
      </c>
      <c r="O456" s="14" t="b">
        <v>1</v>
      </c>
      <c r="W456" s="3"/>
    </row>
    <row r="457" spans="1:23" x14ac:dyDescent="0.25">
      <c r="A457" s="4">
        <v>12508728000108</v>
      </c>
      <c r="B457" s="8" t="s">
        <v>517</v>
      </c>
      <c r="C457" s="8" t="s">
        <v>331</v>
      </c>
      <c r="D457" s="7" t="s">
        <v>253</v>
      </c>
      <c r="E457" s="7" t="s">
        <v>795</v>
      </c>
      <c r="F457" s="6">
        <v>2</v>
      </c>
      <c r="G457" s="8" t="s">
        <v>754</v>
      </c>
      <c r="H457" s="8" t="s">
        <v>755</v>
      </c>
      <c r="I457" s="7" t="s">
        <v>730</v>
      </c>
      <c r="J457" s="8" t="s">
        <v>785</v>
      </c>
      <c r="K457" s="14" t="b">
        <v>1</v>
      </c>
      <c r="L457" s="14" t="b">
        <v>0</v>
      </c>
      <c r="M457" s="14" t="b">
        <v>0</v>
      </c>
      <c r="N457" s="14" t="b">
        <v>1</v>
      </c>
      <c r="O457" s="14" t="b">
        <v>1</v>
      </c>
      <c r="W457" s="3"/>
    </row>
    <row r="458" spans="1:23" x14ac:dyDescent="0.25">
      <c r="A458" s="4">
        <v>15126437001972</v>
      </c>
      <c r="B458" s="8" t="s">
        <v>330</v>
      </c>
      <c r="C458" s="8" t="s">
        <v>331</v>
      </c>
      <c r="D458" s="7" t="s">
        <v>253</v>
      </c>
      <c r="E458" s="7" t="s">
        <v>795</v>
      </c>
      <c r="F458" s="6">
        <v>2</v>
      </c>
      <c r="G458" s="8" t="s">
        <v>754</v>
      </c>
      <c r="H458" s="8" t="s">
        <v>755</v>
      </c>
      <c r="I458" s="7" t="s">
        <v>730</v>
      </c>
      <c r="J458" s="8" t="s">
        <v>785</v>
      </c>
      <c r="K458" s="14" t="b">
        <v>1</v>
      </c>
      <c r="L458" s="14" t="b">
        <v>0</v>
      </c>
      <c r="M458" s="14" t="b">
        <v>0</v>
      </c>
      <c r="N458" s="14" t="b">
        <v>1</v>
      </c>
      <c r="O458" s="14" t="b">
        <v>1</v>
      </c>
      <c r="W458" s="3"/>
    </row>
    <row r="459" spans="1:23" x14ac:dyDescent="0.25">
      <c r="A459" s="4">
        <v>17034086000176</v>
      </c>
      <c r="B459" s="8" t="s">
        <v>343</v>
      </c>
      <c r="C459" s="8" t="s">
        <v>344</v>
      </c>
      <c r="D459" s="7" t="s">
        <v>259</v>
      </c>
      <c r="E459" s="7" t="s">
        <v>795</v>
      </c>
      <c r="F459" s="6">
        <v>2</v>
      </c>
      <c r="G459" s="8" t="s">
        <v>754</v>
      </c>
      <c r="H459" s="8" t="s">
        <v>755</v>
      </c>
      <c r="I459" s="7" t="s">
        <v>730</v>
      </c>
      <c r="J459" s="8" t="s">
        <v>785</v>
      </c>
      <c r="K459" s="14" t="b">
        <v>1</v>
      </c>
      <c r="L459" s="14" t="b">
        <v>0</v>
      </c>
      <c r="M459" s="14" t="b">
        <v>0</v>
      </c>
      <c r="N459" s="14" t="b">
        <v>1</v>
      </c>
      <c r="O459" s="14" t="b">
        <v>1</v>
      </c>
      <c r="W459" s="3"/>
    </row>
    <row r="460" spans="1:23" x14ac:dyDescent="0.25">
      <c r="A460" s="4">
        <v>21998635000108</v>
      </c>
      <c r="B460" s="8" t="s">
        <v>568</v>
      </c>
      <c r="C460" s="8" t="s">
        <v>508</v>
      </c>
      <c r="D460" s="7" t="s">
        <v>233</v>
      </c>
      <c r="E460" s="7" t="s">
        <v>795</v>
      </c>
      <c r="F460" s="6">
        <v>2</v>
      </c>
      <c r="G460" s="8" t="s">
        <v>754</v>
      </c>
      <c r="H460" s="8" t="s">
        <v>755</v>
      </c>
      <c r="I460" s="7" t="s">
        <v>730</v>
      </c>
      <c r="J460" s="8" t="s">
        <v>785</v>
      </c>
      <c r="K460" s="14" t="b">
        <v>1</v>
      </c>
      <c r="L460" s="14" t="b">
        <v>0</v>
      </c>
      <c r="M460" s="14" t="b">
        <v>0</v>
      </c>
      <c r="N460" s="14" t="b">
        <v>1</v>
      </c>
      <c r="O460" s="14" t="b">
        <v>1</v>
      </c>
      <c r="W460" s="3"/>
    </row>
    <row r="461" spans="1:23" x14ac:dyDescent="0.25">
      <c r="A461" s="4">
        <v>26947257000149</v>
      </c>
      <c r="B461" s="8" t="s">
        <v>363</v>
      </c>
      <c r="C461" s="8" t="s">
        <v>305</v>
      </c>
      <c r="D461" s="7" t="s">
        <v>253</v>
      </c>
      <c r="E461" s="7" t="s">
        <v>795</v>
      </c>
      <c r="F461" s="6">
        <v>2</v>
      </c>
      <c r="G461" s="8" t="s">
        <v>754</v>
      </c>
      <c r="H461" s="8" t="s">
        <v>755</v>
      </c>
      <c r="I461" s="7" t="s">
        <v>730</v>
      </c>
      <c r="J461" s="8" t="s">
        <v>785</v>
      </c>
      <c r="K461" s="14" t="b">
        <v>1</v>
      </c>
      <c r="L461" s="14" t="b">
        <v>0</v>
      </c>
      <c r="M461" s="14" t="b">
        <v>0</v>
      </c>
      <c r="N461" s="14" t="b">
        <v>1</v>
      </c>
      <c r="O461" s="14" t="b">
        <v>1</v>
      </c>
      <c r="W461" s="3"/>
    </row>
    <row r="462" spans="1:23" x14ac:dyDescent="0.25">
      <c r="A462" s="4">
        <v>29435005005600</v>
      </c>
      <c r="B462" s="8" t="s">
        <v>518</v>
      </c>
      <c r="C462" s="8" t="s">
        <v>385</v>
      </c>
      <c r="D462" s="7" t="s">
        <v>233</v>
      </c>
      <c r="E462" s="7" t="s">
        <v>795</v>
      </c>
      <c r="F462" s="6">
        <v>2</v>
      </c>
      <c r="G462" s="8" t="s">
        <v>754</v>
      </c>
      <c r="H462" s="8" t="s">
        <v>755</v>
      </c>
      <c r="I462" s="7" t="s">
        <v>730</v>
      </c>
      <c r="J462" s="8" t="s">
        <v>785</v>
      </c>
      <c r="K462" s="14" t="b">
        <v>1</v>
      </c>
      <c r="L462" s="14" t="b">
        <v>0</v>
      </c>
      <c r="M462" s="14" t="b">
        <v>0</v>
      </c>
      <c r="N462" s="14" t="b">
        <v>1</v>
      </c>
      <c r="O462" s="14" t="b">
        <v>1</v>
      </c>
      <c r="W462" s="3"/>
    </row>
    <row r="463" spans="1:23" x14ac:dyDescent="0.25">
      <c r="A463" s="4">
        <v>29908956000178</v>
      </c>
      <c r="B463" s="8" t="s">
        <v>454</v>
      </c>
      <c r="C463" s="8" t="s">
        <v>455</v>
      </c>
      <c r="D463" s="7" t="s">
        <v>253</v>
      </c>
      <c r="E463" s="7" t="s">
        <v>795</v>
      </c>
      <c r="F463" s="6">
        <v>2</v>
      </c>
      <c r="G463" s="8" t="s">
        <v>754</v>
      </c>
      <c r="H463" s="8" t="s">
        <v>755</v>
      </c>
      <c r="I463" s="7" t="s">
        <v>730</v>
      </c>
      <c r="J463" s="8" t="s">
        <v>785</v>
      </c>
      <c r="K463" s="14" t="b">
        <v>1</v>
      </c>
      <c r="L463" s="14" t="b">
        <v>0</v>
      </c>
      <c r="M463" s="14" t="b">
        <v>0</v>
      </c>
      <c r="N463" s="14" t="b">
        <v>1</v>
      </c>
      <c r="O463" s="14" t="b">
        <v>1</v>
      </c>
      <c r="W463" s="3"/>
    </row>
    <row r="464" spans="1:23" x14ac:dyDescent="0.25">
      <c r="A464" s="4">
        <v>30117769000155</v>
      </c>
      <c r="B464" s="8" t="s">
        <v>578</v>
      </c>
      <c r="C464" s="8" t="s">
        <v>385</v>
      </c>
      <c r="D464" s="7" t="s">
        <v>233</v>
      </c>
      <c r="E464" s="7" t="s">
        <v>795</v>
      </c>
      <c r="F464" s="6">
        <v>2</v>
      </c>
      <c r="G464" s="8" t="s">
        <v>754</v>
      </c>
      <c r="H464" s="8" t="s">
        <v>755</v>
      </c>
      <c r="I464" s="7" t="s">
        <v>730</v>
      </c>
      <c r="J464" s="8" t="s">
        <v>785</v>
      </c>
      <c r="K464" s="14" t="b">
        <v>1</v>
      </c>
      <c r="L464" s="14" t="b">
        <v>0</v>
      </c>
      <c r="M464" s="14" t="b">
        <v>0</v>
      </c>
      <c r="N464" s="14" t="b">
        <v>1</v>
      </c>
      <c r="O464" s="14" t="b">
        <v>1</v>
      </c>
      <c r="W464" s="3"/>
    </row>
    <row r="465" spans="1:23" x14ac:dyDescent="0.25">
      <c r="A465" s="4">
        <v>60922168005226</v>
      </c>
      <c r="B465" s="8" t="s">
        <v>379</v>
      </c>
      <c r="C465" s="8" t="s">
        <v>380</v>
      </c>
      <c r="D465" s="7" t="s">
        <v>259</v>
      </c>
      <c r="E465" s="7" t="s">
        <v>795</v>
      </c>
      <c r="F465" s="6">
        <v>2</v>
      </c>
      <c r="G465" s="8" t="s">
        <v>754</v>
      </c>
      <c r="H465" s="8" t="s">
        <v>755</v>
      </c>
      <c r="I465" s="7" t="s">
        <v>730</v>
      </c>
      <c r="J465" s="8" t="s">
        <v>785</v>
      </c>
      <c r="K465" s="14" t="b">
        <v>1</v>
      </c>
      <c r="L465" s="14" t="b">
        <v>0</v>
      </c>
      <c r="M465" s="14" t="b">
        <v>0</v>
      </c>
      <c r="N465" s="14" t="b">
        <v>1</v>
      </c>
      <c r="O465" s="14" t="b">
        <v>1</v>
      </c>
      <c r="W465" s="3"/>
    </row>
    <row r="466" spans="1:23" x14ac:dyDescent="0.25">
      <c r="A466" s="4">
        <v>73863342000109</v>
      </c>
      <c r="B466" s="8" t="s">
        <v>582</v>
      </c>
      <c r="C466" s="8" t="s">
        <v>583</v>
      </c>
      <c r="D466" s="7" t="s">
        <v>233</v>
      </c>
      <c r="E466" s="7" t="s">
        <v>795</v>
      </c>
      <c r="F466" s="6">
        <v>2</v>
      </c>
      <c r="G466" s="8" t="s">
        <v>754</v>
      </c>
      <c r="H466" s="8" t="s">
        <v>755</v>
      </c>
      <c r="I466" s="7" t="s">
        <v>730</v>
      </c>
      <c r="J466" s="8" t="s">
        <v>785</v>
      </c>
      <c r="K466" s="14" t="b">
        <v>1</v>
      </c>
      <c r="L466" s="14" t="b">
        <v>0</v>
      </c>
      <c r="M466" s="14" t="b">
        <v>0</v>
      </c>
      <c r="N466" s="14" t="b">
        <v>1</v>
      </c>
      <c r="O466" s="14" t="b">
        <v>1</v>
      </c>
      <c r="W466" s="3"/>
    </row>
    <row r="467" spans="1:23" x14ac:dyDescent="0.25">
      <c r="A467" s="4">
        <v>75095679000220</v>
      </c>
      <c r="B467" s="8" t="s">
        <v>792</v>
      </c>
      <c r="C467" s="8" t="s">
        <v>385</v>
      </c>
      <c r="D467" s="7" t="s">
        <v>233</v>
      </c>
      <c r="E467" s="7" t="s">
        <v>795</v>
      </c>
      <c r="F467" s="6">
        <v>2</v>
      </c>
      <c r="G467" s="8" t="s">
        <v>754</v>
      </c>
      <c r="H467" s="8" t="s">
        <v>755</v>
      </c>
      <c r="I467" s="7" t="s">
        <v>730</v>
      </c>
      <c r="J467" s="8" t="s">
        <v>785</v>
      </c>
      <c r="K467" s="14" t="b">
        <v>1</v>
      </c>
      <c r="L467" s="14" t="b">
        <v>0</v>
      </c>
      <c r="M467" s="14" t="b">
        <v>0</v>
      </c>
      <c r="N467" s="14" t="b">
        <v>1</v>
      </c>
      <c r="O467" s="14" t="b">
        <v>1</v>
      </c>
      <c r="W467" s="3"/>
    </row>
    <row r="468" spans="1:23" x14ac:dyDescent="0.25">
      <c r="A468" s="4">
        <v>75222224001895</v>
      </c>
      <c r="B468" s="8" t="s">
        <v>584</v>
      </c>
      <c r="C468" s="8" t="s">
        <v>583</v>
      </c>
      <c r="D468" s="7" t="s">
        <v>233</v>
      </c>
      <c r="E468" s="7" t="s">
        <v>795</v>
      </c>
      <c r="F468" s="6">
        <v>2</v>
      </c>
      <c r="G468" s="8" t="s">
        <v>754</v>
      </c>
      <c r="H468" s="8" t="s">
        <v>755</v>
      </c>
      <c r="I468" s="7" t="s">
        <v>730</v>
      </c>
      <c r="J468" s="8" t="s">
        <v>785</v>
      </c>
      <c r="K468" s="14" t="b">
        <v>1</v>
      </c>
      <c r="L468" s="14" t="b">
        <v>0</v>
      </c>
      <c r="M468" s="14" t="b">
        <v>0</v>
      </c>
      <c r="N468" s="14" t="b">
        <v>1</v>
      </c>
      <c r="O468" s="14" t="b">
        <v>1</v>
      </c>
      <c r="W468" s="3"/>
    </row>
    <row r="469" spans="1:23" x14ac:dyDescent="0.25">
      <c r="A469" s="4">
        <v>76498013000102</v>
      </c>
      <c r="B469" s="8" t="s">
        <v>627</v>
      </c>
      <c r="C469" s="8" t="s">
        <v>385</v>
      </c>
      <c r="D469" s="7" t="s">
        <v>233</v>
      </c>
      <c r="E469" s="7" t="s">
        <v>795</v>
      </c>
      <c r="F469" s="6">
        <v>2</v>
      </c>
      <c r="G469" s="8" t="s">
        <v>754</v>
      </c>
      <c r="H469" s="8" t="s">
        <v>755</v>
      </c>
      <c r="I469" s="7" t="s">
        <v>730</v>
      </c>
      <c r="J469" s="8" t="s">
        <v>785</v>
      </c>
      <c r="K469" s="14" t="b">
        <v>1</v>
      </c>
      <c r="L469" s="14" t="b">
        <v>0</v>
      </c>
      <c r="M469" s="14" t="b">
        <v>0</v>
      </c>
      <c r="N469" s="14" t="b">
        <v>1</v>
      </c>
      <c r="O469" s="14" t="b">
        <v>1</v>
      </c>
      <c r="W469" s="3"/>
    </row>
    <row r="470" spans="1:23" x14ac:dyDescent="0.25">
      <c r="A470" s="4">
        <v>76555069000143</v>
      </c>
      <c r="B470" s="8" t="s">
        <v>384</v>
      </c>
      <c r="C470" s="8" t="s">
        <v>385</v>
      </c>
      <c r="D470" s="7" t="s">
        <v>233</v>
      </c>
      <c r="E470" s="7" t="s">
        <v>795</v>
      </c>
      <c r="F470" s="6">
        <v>2</v>
      </c>
      <c r="G470" s="8" t="s">
        <v>754</v>
      </c>
      <c r="H470" s="8" t="s">
        <v>755</v>
      </c>
      <c r="I470" s="7" t="s">
        <v>730</v>
      </c>
      <c r="J470" s="8" t="s">
        <v>785</v>
      </c>
      <c r="K470" s="14" t="b">
        <v>1</v>
      </c>
      <c r="L470" s="14" t="b">
        <v>0</v>
      </c>
      <c r="M470" s="14" t="b">
        <v>0</v>
      </c>
      <c r="N470" s="14" t="b">
        <v>1</v>
      </c>
      <c r="O470" s="14" t="b">
        <v>1</v>
      </c>
      <c r="W470" s="3"/>
    </row>
    <row r="471" spans="1:23" x14ac:dyDescent="0.25">
      <c r="A471" s="4">
        <v>76562198000169</v>
      </c>
      <c r="B471" s="8" t="s">
        <v>585</v>
      </c>
      <c r="C471" s="8" t="s">
        <v>385</v>
      </c>
      <c r="D471" s="7" t="s">
        <v>233</v>
      </c>
      <c r="E471" s="7" t="s">
        <v>795</v>
      </c>
      <c r="F471" s="6">
        <v>2</v>
      </c>
      <c r="G471" s="8" t="s">
        <v>754</v>
      </c>
      <c r="H471" s="8" t="s">
        <v>755</v>
      </c>
      <c r="I471" s="7" t="s">
        <v>730</v>
      </c>
      <c r="J471" s="8" t="s">
        <v>785</v>
      </c>
      <c r="K471" s="14" t="b">
        <v>1</v>
      </c>
      <c r="L471" s="14" t="b">
        <v>0</v>
      </c>
      <c r="M471" s="14" t="b">
        <v>0</v>
      </c>
      <c r="N471" s="14" t="b">
        <v>1</v>
      </c>
      <c r="O471" s="14" t="b">
        <v>1</v>
      </c>
      <c r="W471" s="3"/>
    </row>
    <row r="472" spans="1:23" x14ac:dyDescent="0.25">
      <c r="A472" s="4">
        <v>76591569000130</v>
      </c>
      <c r="B472" s="8" t="s">
        <v>386</v>
      </c>
      <c r="C472" s="8" t="s">
        <v>385</v>
      </c>
      <c r="D472" s="7" t="s">
        <v>233</v>
      </c>
      <c r="E472" s="7" t="s">
        <v>795</v>
      </c>
      <c r="F472" s="6">
        <v>2</v>
      </c>
      <c r="G472" s="8" t="s">
        <v>754</v>
      </c>
      <c r="H472" s="8" t="s">
        <v>755</v>
      </c>
      <c r="I472" s="7" t="s">
        <v>730</v>
      </c>
      <c r="J472" s="8" t="s">
        <v>785</v>
      </c>
      <c r="K472" s="14" t="b">
        <v>1</v>
      </c>
      <c r="L472" s="14" t="b">
        <v>0</v>
      </c>
      <c r="M472" s="14" t="b">
        <v>0</v>
      </c>
      <c r="N472" s="14" t="b">
        <v>1</v>
      </c>
      <c r="O472" s="14" t="b">
        <v>1</v>
      </c>
      <c r="W472" s="3"/>
    </row>
    <row r="473" spans="1:23" x14ac:dyDescent="0.25">
      <c r="A473" s="4">
        <v>76659820002367</v>
      </c>
      <c r="B473" s="8" t="s">
        <v>586</v>
      </c>
      <c r="C473" s="8" t="s">
        <v>385</v>
      </c>
      <c r="D473" s="7" t="s">
        <v>233</v>
      </c>
      <c r="E473" s="7" t="s">
        <v>795</v>
      </c>
      <c r="F473" s="6">
        <v>2</v>
      </c>
      <c r="G473" s="8" t="s">
        <v>754</v>
      </c>
      <c r="H473" s="8" t="s">
        <v>755</v>
      </c>
      <c r="I473" s="7" t="s">
        <v>730</v>
      </c>
      <c r="J473" s="8" t="s">
        <v>785</v>
      </c>
      <c r="K473" s="14" t="b">
        <v>1</v>
      </c>
      <c r="L473" s="14" t="b">
        <v>0</v>
      </c>
      <c r="M473" s="14" t="b">
        <v>0</v>
      </c>
      <c r="N473" s="14" t="b">
        <v>1</v>
      </c>
      <c r="O473" s="14" t="b">
        <v>1</v>
      </c>
      <c r="W473" s="3"/>
    </row>
    <row r="474" spans="1:23" x14ac:dyDescent="0.25">
      <c r="A474" s="4">
        <v>77265361000194</v>
      </c>
      <c r="B474" s="8" t="s">
        <v>587</v>
      </c>
      <c r="C474" s="8" t="s">
        <v>522</v>
      </c>
      <c r="D474" s="7" t="s">
        <v>233</v>
      </c>
      <c r="E474" s="7" t="s">
        <v>795</v>
      </c>
      <c r="F474" s="6">
        <v>2</v>
      </c>
      <c r="G474" s="8" t="s">
        <v>754</v>
      </c>
      <c r="H474" s="8" t="s">
        <v>755</v>
      </c>
      <c r="I474" s="7" t="s">
        <v>730</v>
      </c>
      <c r="J474" s="8" t="s">
        <v>785</v>
      </c>
      <c r="K474" s="14" t="b">
        <v>1</v>
      </c>
      <c r="L474" s="14" t="b">
        <v>0</v>
      </c>
      <c r="M474" s="14" t="b">
        <v>0</v>
      </c>
      <c r="N474" s="14" t="b">
        <v>1</v>
      </c>
      <c r="O474" s="14" t="b">
        <v>1</v>
      </c>
      <c r="W474" s="3"/>
    </row>
    <row r="475" spans="1:23" x14ac:dyDescent="0.25">
      <c r="A475" s="4">
        <v>77858611001414</v>
      </c>
      <c r="B475" s="8" t="s">
        <v>460</v>
      </c>
      <c r="C475" s="8" t="s">
        <v>344</v>
      </c>
      <c r="D475" s="7" t="s">
        <v>259</v>
      </c>
      <c r="E475" s="7" t="s">
        <v>795</v>
      </c>
      <c r="F475" s="6">
        <v>2</v>
      </c>
      <c r="G475" s="8" t="s">
        <v>754</v>
      </c>
      <c r="H475" s="8" t="s">
        <v>755</v>
      </c>
      <c r="I475" s="7" t="s">
        <v>730</v>
      </c>
      <c r="J475" s="8" t="s">
        <v>785</v>
      </c>
      <c r="K475" s="14" t="b">
        <v>1</v>
      </c>
      <c r="L475" s="14" t="b">
        <v>0</v>
      </c>
      <c r="M475" s="14" t="b">
        <v>0</v>
      </c>
      <c r="N475" s="14" t="b">
        <v>1</v>
      </c>
      <c r="O475" s="14" t="b">
        <v>1</v>
      </c>
      <c r="W475" s="3"/>
    </row>
    <row r="476" spans="1:23" x14ac:dyDescent="0.25">
      <c r="A476" s="4">
        <v>78633088000176</v>
      </c>
      <c r="B476" s="8" t="s">
        <v>628</v>
      </c>
      <c r="C476" s="8" t="s">
        <v>583</v>
      </c>
      <c r="D476" s="7" t="s">
        <v>233</v>
      </c>
      <c r="E476" s="7" t="s">
        <v>795</v>
      </c>
      <c r="F476" s="6">
        <v>2</v>
      </c>
      <c r="G476" s="8" t="s">
        <v>754</v>
      </c>
      <c r="H476" s="8" t="s">
        <v>755</v>
      </c>
      <c r="I476" s="7" t="s">
        <v>730</v>
      </c>
      <c r="J476" s="8" t="s">
        <v>785</v>
      </c>
      <c r="K476" s="14" t="b">
        <v>1</v>
      </c>
      <c r="L476" s="14" t="b">
        <v>0</v>
      </c>
      <c r="M476" s="14" t="b">
        <v>0</v>
      </c>
      <c r="N476" s="14" t="b">
        <v>1</v>
      </c>
      <c r="O476" s="14" t="b">
        <v>1</v>
      </c>
      <c r="W476" s="3"/>
    </row>
    <row r="477" spans="1:23" x14ac:dyDescent="0.25">
      <c r="A477" s="4">
        <v>79115762000193</v>
      </c>
      <c r="B477" s="8" t="s">
        <v>521</v>
      </c>
      <c r="C477" s="8" t="s">
        <v>522</v>
      </c>
      <c r="D477" s="7" t="s">
        <v>233</v>
      </c>
      <c r="E477" s="7" t="s">
        <v>795</v>
      </c>
      <c r="F477" s="6">
        <v>2</v>
      </c>
      <c r="G477" s="8" t="s">
        <v>754</v>
      </c>
      <c r="H477" s="8" t="s">
        <v>755</v>
      </c>
      <c r="I477" s="7" t="s">
        <v>730</v>
      </c>
      <c r="J477" s="8" t="s">
        <v>785</v>
      </c>
      <c r="K477" s="14" t="b">
        <v>1</v>
      </c>
      <c r="L477" s="14" t="b">
        <v>0</v>
      </c>
      <c r="M477" s="14" t="b">
        <v>0</v>
      </c>
      <c r="N477" s="14" t="b">
        <v>1</v>
      </c>
      <c r="O477" s="14" t="b">
        <v>1</v>
      </c>
      <c r="W477" s="3"/>
    </row>
    <row r="478" spans="1:23" x14ac:dyDescent="0.25">
      <c r="A478" s="4">
        <v>80490618000116</v>
      </c>
      <c r="B478" s="8" t="s">
        <v>588</v>
      </c>
      <c r="C478" s="8" t="s">
        <v>524</v>
      </c>
      <c r="D478" s="7" t="s">
        <v>259</v>
      </c>
      <c r="E478" s="7" t="s">
        <v>795</v>
      </c>
      <c r="F478" s="6">
        <v>2</v>
      </c>
      <c r="G478" s="8" t="s">
        <v>754</v>
      </c>
      <c r="H478" s="8" t="s">
        <v>755</v>
      </c>
      <c r="I478" s="7" t="s">
        <v>730</v>
      </c>
      <c r="J478" s="8" t="s">
        <v>785</v>
      </c>
      <c r="K478" s="14" t="b">
        <v>1</v>
      </c>
      <c r="L478" s="14" t="b">
        <v>0</v>
      </c>
      <c r="M478" s="14" t="b">
        <v>0</v>
      </c>
      <c r="N478" s="14" t="b">
        <v>1</v>
      </c>
      <c r="O478" s="14" t="b">
        <v>1</v>
      </c>
      <c r="W478" s="3"/>
    </row>
    <row r="479" spans="1:23" x14ac:dyDescent="0.25">
      <c r="A479" s="4">
        <v>80673411000187</v>
      </c>
      <c r="B479" s="8" t="s">
        <v>387</v>
      </c>
      <c r="C479" s="8" t="s">
        <v>388</v>
      </c>
      <c r="D479" s="7" t="s">
        <v>259</v>
      </c>
      <c r="E479" s="7" t="s">
        <v>795</v>
      </c>
      <c r="F479" s="6">
        <v>2</v>
      </c>
      <c r="G479" s="8" t="s">
        <v>754</v>
      </c>
      <c r="H479" s="8" t="s">
        <v>755</v>
      </c>
      <c r="I479" s="7" t="s">
        <v>730</v>
      </c>
      <c r="J479" s="8" t="s">
        <v>785</v>
      </c>
      <c r="K479" s="14" t="b">
        <v>1</v>
      </c>
      <c r="L479" s="14" t="b">
        <v>0</v>
      </c>
      <c r="M479" s="14" t="b">
        <v>0</v>
      </c>
      <c r="N479" s="14" t="b">
        <v>1</v>
      </c>
      <c r="O479" s="14" t="b">
        <v>1</v>
      </c>
      <c r="W479" s="3"/>
    </row>
    <row r="480" spans="1:23" x14ac:dyDescent="0.25">
      <c r="A480" s="4">
        <v>81270548000153</v>
      </c>
      <c r="B480" s="8" t="s">
        <v>507</v>
      </c>
      <c r="C480" s="8" t="s">
        <v>508</v>
      </c>
      <c r="D480" s="7" t="s">
        <v>233</v>
      </c>
      <c r="E480" s="7" t="s">
        <v>795</v>
      </c>
      <c r="F480" s="6">
        <v>2</v>
      </c>
      <c r="G480" s="8" t="s">
        <v>754</v>
      </c>
      <c r="H480" s="8" t="s">
        <v>755</v>
      </c>
      <c r="I480" s="7" t="s">
        <v>730</v>
      </c>
      <c r="J480" s="8" t="s">
        <v>785</v>
      </c>
      <c r="K480" s="14" t="b">
        <v>1</v>
      </c>
      <c r="L480" s="14" t="b">
        <v>0</v>
      </c>
      <c r="M480" s="14" t="b">
        <v>0</v>
      </c>
      <c r="N480" s="14" t="b">
        <v>1</v>
      </c>
      <c r="O480" s="14" t="b">
        <v>1</v>
      </c>
      <c r="W480" s="3"/>
    </row>
    <row r="481" spans="1:23" x14ac:dyDescent="0.25">
      <c r="A481" s="4">
        <v>81715716000410</v>
      </c>
      <c r="B481" s="8" t="s">
        <v>648</v>
      </c>
      <c r="C481" s="8" t="s">
        <v>649</v>
      </c>
      <c r="D481" s="7" t="s">
        <v>233</v>
      </c>
      <c r="E481" s="7" t="s">
        <v>795</v>
      </c>
      <c r="F481" s="6">
        <v>2</v>
      </c>
      <c r="G481" s="8" t="s">
        <v>754</v>
      </c>
      <c r="H481" s="8" t="s">
        <v>755</v>
      </c>
      <c r="I481" s="7" t="s">
        <v>730</v>
      </c>
      <c r="J481" s="8" t="s">
        <v>785</v>
      </c>
      <c r="K481" s="14" t="b">
        <v>1</v>
      </c>
      <c r="L481" s="14" t="b">
        <v>0</v>
      </c>
      <c r="M481" s="14" t="b">
        <v>0</v>
      </c>
      <c r="N481" s="14" t="b">
        <v>1</v>
      </c>
      <c r="O481" s="14" t="b">
        <v>1</v>
      </c>
      <c r="W481" s="3"/>
    </row>
    <row r="482" spans="1:23" x14ac:dyDescent="0.25">
      <c r="A482" s="4">
        <v>82624776000651</v>
      </c>
      <c r="B482" s="8" t="s">
        <v>589</v>
      </c>
      <c r="C482" s="8" t="s">
        <v>380</v>
      </c>
      <c r="D482" s="7" t="s">
        <v>259</v>
      </c>
      <c r="E482" s="7" t="s">
        <v>795</v>
      </c>
      <c r="F482" s="6">
        <v>2</v>
      </c>
      <c r="G482" s="8" t="s">
        <v>754</v>
      </c>
      <c r="H482" s="8" t="s">
        <v>755</v>
      </c>
      <c r="I482" s="7" t="s">
        <v>730</v>
      </c>
      <c r="J482" s="8" t="s">
        <v>785</v>
      </c>
      <c r="K482" s="14" t="b">
        <v>1</v>
      </c>
      <c r="L482" s="14" t="b">
        <v>0</v>
      </c>
      <c r="M482" s="14" t="b">
        <v>0</v>
      </c>
      <c r="N482" s="14" t="b">
        <v>1</v>
      </c>
      <c r="O482" s="14" t="b">
        <v>1</v>
      </c>
      <c r="W482" s="3"/>
    </row>
    <row r="483" spans="1:23" x14ac:dyDescent="0.25">
      <c r="A483" s="4">
        <v>82654088000120</v>
      </c>
      <c r="B483" s="8" t="s">
        <v>650</v>
      </c>
      <c r="C483" s="8" t="s">
        <v>380</v>
      </c>
      <c r="D483" s="7" t="s">
        <v>259</v>
      </c>
      <c r="E483" s="7" t="s">
        <v>795</v>
      </c>
      <c r="F483" s="6">
        <v>2</v>
      </c>
      <c r="G483" s="8" t="s">
        <v>754</v>
      </c>
      <c r="H483" s="8" t="s">
        <v>755</v>
      </c>
      <c r="I483" s="7" t="s">
        <v>730</v>
      </c>
      <c r="J483" s="8" t="s">
        <v>785</v>
      </c>
      <c r="K483" s="14" t="b">
        <v>1</v>
      </c>
      <c r="L483" s="14" t="b">
        <v>0</v>
      </c>
      <c r="M483" s="14" t="b">
        <v>0</v>
      </c>
      <c r="N483" s="14" t="b">
        <v>1</v>
      </c>
      <c r="O483" s="14" t="b">
        <v>1</v>
      </c>
      <c r="W483" s="3"/>
    </row>
    <row r="484" spans="1:23" x14ac:dyDescent="0.25">
      <c r="A484" s="4">
        <v>83884999000106</v>
      </c>
      <c r="B484" s="8" t="s">
        <v>591</v>
      </c>
      <c r="C484" s="8" t="s">
        <v>388</v>
      </c>
      <c r="D484" s="7" t="s">
        <v>259</v>
      </c>
      <c r="E484" s="7" t="s">
        <v>795</v>
      </c>
      <c r="F484" s="6">
        <v>2</v>
      </c>
      <c r="G484" s="8" t="s">
        <v>754</v>
      </c>
      <c r="H484" s="8" t="s">
        <v>755</v>
      </c>
      <c r="I484" s="7" t="s">
        <v>730</v>
      </c>
      <c r="J484" s="8" t="s">
        <v>785</v>
      </c>
      <c r="K484" s="14" t="b">
        <v>1</v>
      </c>
      <c r="L484" s="14" t="b">
        <v>0</v>
      </c>
      <c r="M484" s="14" t="b">
        <v>0</v>
      </c>
      <c r="N484" s="14" t="b">
        <v>1</v>
      </c>
      <c r="O484" s="14" t="b">
        <v>1</v>
      </c>
      <c r="W484" s="3"/>
    </row>
    <row r="485" spans="1:23" x14ac:dyDescent="0.25">
      <c r="A485" s="4">
        <v>83899526000425</v>
      </c>
      <c r="B485" s="8" t="s">
        <v>389</v>
      </c>
      <c r="C485" s="8" t="s">
        <v>388</v>
      </c>
      <c r="D485" s="7" t="s">
        <v>259</v>
      </c>
      <c r="E485" s="7" t="s">
        <v>795</v>
      </c>
      <c r="F485" s="6">
        <v>2</v>
      </c>
      <c r="G485" s="8" t="s">
        <v>754</v>
      </c>
      <c r="H485" s="8" t="s">
        <v>755</v>
      </c>
      <c r="I485" s="7" t="s">
        <v>730</v>
      </c>
      <c r="J485" s="8" t="s">
        <v>785</v>
      </c>
      <c r="K485" s="14" t="b">
        <v>1</v>
      </c>
      <c r="L485" s="14" t="b">
        <v>0</v>
      </c>
      <c r="M485" s="14" t="b">
        <v>0</v>
      </c>
      <c r="N485" s="14" t="b">
        <v>1</v>
      </c>
      <c r="O485" s="14" t="b">
        <v>1</v>
      </c>
      <c r="W485" s="3"/>
    </row>
    <row r="486" spans="1:23" x14ac:dyDescent="0.25">
      <c r="A486" s="4">
        <v>85241339000809</v>
      </c>
      <c r="B486" s="8" t="s">
        <v>523</v>
      </c>
      <c r="C486" s="8" t="s">
        <v>524</v>
      </c>
      <c r="D486" s="7" t="s">
        <v>259</v>
      </c>
      <c r="E486" s="7" t="s">
        <v>795</v>
      </c>
      <c r="F486" s="6">
        <v>2</v>
      </c>
      <c r="G486" s="8" t="s">
        <v>754</v>
      </c>
      <c r="H486" s="8" t="s">
        <v>755</v>
      </c>
      <c r="I486" s="7" t="s">
        <v>730</v>
      </c>
      <c r="J486" s="8" t="s">
        <v>785</v>
      </c>
      <c r="K486" s="14" t="b">
        <v>1</v>
      </c>
      <c r="L486" s="14" t="b">
        <v>0</v>
      </c>
      <c r="M486" s="14" t="b">
        <v>0</v>
      </c>
      <c r="N486" s="14" t="b">
        <v>1</v>
      </c>
      <c r="O486" s="14" t="b">
        <v>1</v>
      </c>
      <c r="W486" s="3"/>
    </row>
    <row r="487" spans="1:23" x14ac:dyDescent="0.25">
      <c r="A487" s="4">
        <v>85377174000392</v>
      </c>
      <c r="B487" s="8" t="s">
        <v>390</v>
      </c>
      <c r="C487" s="8" t="s">
        <v>258</v>
      </c>
      <c r="D487" s="7" t="s">
        <v>259</v>
      </c>
      <c r="E487" s="7" t="s">
        <v>795</v>
      </c>
      <c r="F487" s="6">
        <v>2</v>
      </c>
      <c r="G487" s="8" t="s">
        <v>754</v>
      </c>
      <c r="H487" s="8" t="s">
        <v>755</v>
      </c>
      <c r="I487" s="7" t="s">
        <v>730</v>
      </c>
      <c r="J487" s="8" t="s">
        <v>785</v>
      </c>
      <c r="K487" s="14" t="b">
        <v>1</v>
      </c>
      <c r="L487" s="14" t="b">
        <v>0</v>
      </c>
      <c r="M487" s="14" t="b">
        <v>0</v>
      </c>
      <c r="N487" s="14" t="b">
        <v>1</v>
      </c>
      <c r="O487" s="14" t="b">
        <v>1</v>
      </c>
      <c r="W487" s="3"/>
    </row>
    <row r="488" spans="1:23" x14ac:dyDescent="0.25">
      <c r="A488" s="4">
        <v>87020517000120</v>
      </c>
      <c r="B488" s="8" t="s">
        <v>391</v>
      </c>
      <c r="C488" s="8" t="s">
        <v>305</v>
      </c>
      <c r="D488" s="7" t="s">
        <v>253</v>
      </c>
      <c r="E488" s="7" t="s">
        <v>795</v>
      </c>
      <c r="F488" s="6">
        <v>2</v>
      </c>
      <c r="G488" s="8" t="s">
        <v>754</v>
      </c>
      <c r="H488" s="8" t="s">
        <v>755</v>
      </c>
      <c r="I488" s="7" t="s">
        <v>730</v>
      </c>
      <c r="J488" s="8" t="s">
        <v>785</v>
      </c>
      <c r="K488" s="14" t="b">
        <v>1</v>
      </c>
      <c r="L488" s="14" t="b">
        <v>0</v>
      </c>
      <c r="M488" s="14" t="b">
        <v>0</v>
      </c>
      <c r="N488" s="14" t="b">
        <v>1</v>
      </c>
      <c r="O488" s="14" t="b">
        <v>1</v>
      </c>
      <c r="W488" s="3"/>
    </row>
    <row r="489" spans="1:23" x14ac:dyDescent="0.25">
      <c r="A489" s="4">
        <v>87096616003101</v>
      </c>
      <c r="B489" s="8" t="s">
        <v>629</v>
      </c>
      <c r="C489" s="8" t="s">
        <v>305</v>
      </c>
      <c r="D489" s="7" t="s">
        <v>253</v>
      </c>
      <c r="E489" s="7" t="s">
        <v>795</v>
      </c>
      <c r="F489" s="6">
        <v>2</v>
      </c>
      <c r="G489" s="8" t="s">
        <v>754</v>
      </c>
      <c r="H489" s="8" t="s">
        <v>755</v>
      </c>
      <c r="I489" s="7" t="s">
        <v>730</v>
      </c>
      <c r="J489" s="8" t="s">
        <v>785</v>
      </c>
      <c r="K489" s="14" t="b">
        <v>1</v>
      </c>
      <c r="L489" s="14" t="b">
        <v>0</v>
      </c>
      <c r="M489" s="14" t="b">
        <v>0</v>
      </c>
      <c r="N489" s="14" t="b">
        <v>1</v>
      </c>
      <c r="O489" s="14" t="b">
        <v>1</v>
      </c>
      <c r="W489" s="3"/>
    </row>
    <row r="490" spans="1:23" x14ac:dyDescent="0.25">
      <c r="A490" s="4">
        <v>87317764001084</v>
      </c>
      <c r="B490" s="8" t="s">
        <v>461</v>
      </c>
      <c r="C490" s="8" t="s">
        <v>305</v>
      </c>
      <c r="D490" s="7" t="s">
        <v>253</v>
      </c>
      <c r="E490" s="7" t="s">
        <v>795</v>
      </c>
      <c r="F490" s="6">
        <v>2</v>
      </c>
      <c r="G490" s="8" t="s">
        <v>754</v>
      </c>
      <c r="H490" s="8" t="s">
        <v>755</v>
      </c>
      <c r="I490" s="7" t="s">
        <v>730</v>
      </c>
      <c r="J490" s="8" t="s">
        <v>785</v>
      </c>
      <c r="K490" s="14" t="b">
        <v>1</v>
      </c>
      <c r="L490" s="14" t="b">
        <v>0</v>
      </c>
      <c r="M490" s="14" t="b">
        <v>0</v>
      </c>
      <c r="N490" s="14" t="b">
        <v>1</v>
      </c>
      <c r="O490" s="14" t="b">
        <v>1</v>
      </c>
      <c r="W490" s="3"/>
    </row>
    <row r="491" spans="1:23" x14ac:dyDescent="0.25">
      <c r="A491" s="4">
        <v>87547444000120</v>
      </c>
      <c r="B491" s="8" t="s">
        <v>392</v>
      </c>
      <c r="C491" s="8" t="s">
        <v>393</v>
      </c>
      <c r="D491" s="7" t="s">
        <v>253</v>
      </c>
      <c r="E491" s="7" t="s">
        <v>795</v>
      </c>
      <c r="F491" s="6">
        <v>2</v>
      </c>
      <c r="G491" s="8" t="s">
        <v>754</v>
      </c>
      <c r="H491" s="8" t="s">
        <v>755</v>
      </c>
      <c r="I491" s="7" t="s">
        <v>730</v>
      </c>
      <c r="J491" s="8" t="s">
        <v>785</v>
      </c>
      <c r="K491" s="14" t="b">
        <v>1</v>
      </c>
      <c r="L491" s="14" t="b">
        <v>0</v>
      </c>
      <c r="M491" s="14" t="b">
        <v>0</v>
      </c>
      <c r="N491" s="14" t="b">
        <v>1</v>
      </c>
      <c r="O491" s="14" t="b">
        <v>1</v>
      </c>
      <c r="W491" s="3"/>
    </row>
    <row r="492" spans="1:23" x14ac:dyDescent="0.25">
      <c r="A492" s="4">
        <v>87607149000626</v>
      </c>
      <c r="B492" s="8" t="s">
        <v>592</v>
      </c>
      <c r="C492" s="8" t="s">
        <v>399</v>
      </c>
      <c r="D492" s="7" t="s">
        <v>253</v>
      </c>
      <c r="E492" s="7" t="s">
        <v>795</v>
      </c>
      <c r="F492" s="6">
        <v>2</v>
      </c>
      <c r="G492" s="8" t="s">
        <v>754</v>
      </c>
      <c r="H492" s="8" t="s">
        <v>755</v>
      </c>
      <c r="I492" s="7" t="s">
        <v>730</v>
      </c>
      <c r="J492" s="8" t="s">
        <v>785</v>
      </c>
      <c r="K492" s="14" t="b">
        <v>1</v>
      </c>
      <c r="L492" s="14" t="b">
        <v>0</v>
      </c>
      <c r="M492" s="14" t="b">
        <v>0</v>
      </c>
      <c r="N492" s="14" t="b">
        <v>1</v>
      </c>
      <c r="O492" s="14" t="b">
        <v>1</v>
      </c>
      <c r="W492" s="3"/>
    </row>
    <row r="493" spans="1:23" x14ac:dyDescent="0.25">
      <c r="A493" s="4">
        <v>87638334000505</v>
      </c>
      <c r="B493" s="8" t="s">
        <v>630</v>
      </c>
      <c r="C493" s="8" t="s">
        <v>631</v>
      </c>
      <c r="D493" s="7" t="s">
        <v>253</v>
      </c>
      <c r="E493" s="7" t="s">
        <v>795</v>
      </c>
      <c r="F493" s="6">
        <v>2</v>
      </c>
      <c r="G493" s="8" t="s">
        <v>754</v>
      </c>
      <c r="H493" s="8" t="s">
        <v>755</v>
      </c>
      <c r="I493" s="7" t="s">
        <v>730</v>
      </c>
      <c r="J493" s="8" t="s">
        <v>785</v>
      </c>
      <c r="K493" s="14" t="b">
        <v>1</v>
      </c>
      <c r="L493" s="14" t="b">
        <v>0</v>
      </c>
      <c r="M493" s="14" t="b">
        <v>0</v>
      </c>
      <c r="N493" s="14" t="b">
        <v>1</v>
      </c>
      <c r="O493" s="14" t="b">
        <v>1</v>
      </c>
      <c r="W493" s="3"/>
    </row>
    <row r="494" spans="1:23" x14ac:dyDescent="0.25">
      <c r="A494" s="4">
        <v>87827689002405</v>
      </c>
      <c r="B494" s="8" t="s">
        <v>394</v>
      </c>
      <c r="C494" s="8" t="s">
        <v>252</v>
      </c>
      <c r="D494" s="7" t="s">
        <v>253</v>
      </c>
      <c r="E494" s="7" t="s">
        <v>795</v>
      </c>
      <c r="F494" s="6">
        <v>2</v>
      </c>
      <c r="G494" s="8" t="s">
        <v>754</v>
      </c>
      <c r="H494" s="8" t="s">
        <v>755</v>
      </c>
      <c r="I494" s="7" t="s">
        <v>730</v>
      </c>
      <c r="J494" s="8" t="s">
        <v>785</v>
      </c>
      <c r="K494" s="14" t="b">
        <v>1</v>
      </c>
      <c r="L494" s="14" t="b">
        <v>0</v>
      </c>
      <c r="M494" s="14" t="b">
        <v>0</v>
      </c>
      <c r="N494" s="14" t="b">
        <v>1</v>
      </c>
      <c r="O494" s="14" t="b">
        <v>1</v>
      </c>
      <c r="W494" s="3"/>
    </row>
    <row r="495" spans="1:23" x14ac:dyDescent="0.25">
      <c r="A495" s="4">
        <v>87958625000149</v>
      </c>
      <c r="B495" s="8" t="s">
        <v>395</v>
      </c>
      <c r="C495" s="8" t="s">
        <v>305</v>
      </c>
      <c r="D495" s="7" t="s">
        <v>253</v>
      </c>
      <c r="E495" s="7" t="s">
        <v>795</v>
      </c>
      <c r="F495" s="6">
        <v>2</v>
      </c>
      <c r="G495" s="8" t="s">
        <v>754</v>
      </c>
      <c r="H495" s="8" t="s">
        <v>755</v>
      </c>
      <c r="I495" s="7" t="s">
        <v>730</v>
      </c>
      <c r="J495" s="8" t="s">
        <v>785</v>
      </c>
      <c r="K495" s="14" t="b">
        <v>1</v>
      </c>
      <c r="L495" s="14" t="b">
        <v>0</v>
      </c>
      <c r="M495" s="14" t="b">
        <v>0</v>
      </c>
      <c r="N495" s="14" t="b">
        <v>1</v>
      </c>
      <c r="O495" s="14" t="b">
        <v>1</v>
      </c>
      <c r="W495" s="3"/>
    </row>
    <row r="496" spans="1:23" x14ac:dyDescent="0.25">
      <c r="A496" s="4">
        <v>88625686002443</v>
      </c>
      <c r="B496" s="8" t="s">
        <v>396</v>
      </c>
      <c r="C496" s="8" t="s">
        <v>305</v>
      </c>
      <c r="D496" s="7" t="s">
        <v>253</v>
      </c>
      <c r="E496" s="7" t="s">
        <v>795</v>
      </c>
      <c r="F496" s="6">
        <v>2</v>
      </c>
      <c r="G496" s="8" t="s">
        <v>754</v>
      </c>
      <c r="H496" s="8" t="s">
        <v>755</v>
      </c>
      <c r="I496" s="7" t="s">
        <v>730</v>
      </c>
      <c r="J496" s="8" t="s">
        <v>785</v>
      </c>
      <c r="K496" s="14" t="b">
        <v>1</v>
      </c>
      <c r="L496" s="14" t="b">
        <v>0</v>
      </c>
      <c r="M496" s="14" t="b">
        <v>0</v>
      </c>
      <c r="N496" s="14" t="b">
        <v>1</v>
      </c>
      <c r="O496" s="14" t="b">
        <v>1</v>
      </c>
      <c r="W496" s="3"/>
    </row>
    <row r="497" spans="1:23" x14ac:dyDescent="0.25">
      <c r="A497" s="4">
        <v>88630413000796</v>
      </c>
      <c r="B497" s="8" t="s">
        <v>397</v>
      </c>
      <c r="C497" s="8" t="s">
        <v>305</v>
      </c>
      <c r="D497" s="7" t="s">
        <v>253</v>
      </c>
      <c r="E497" s="7" t="s">
        <v>795</v>
      </c>
      <c r="F497" s="6">
        <v>2</v>
      </c>
      <c r="G497" s="8" t="s">
        <v>754</v>
      </c>
      <c r="H497" s="8" t="s">
        <v>755</v>
      </c>
      <c r="I497" s="7" t="s">
        <v>730</v>
      </c>
      <c r="J497" s="8" t="s">
        <v>785</v>
      </c>
      <c r="K497" s="14" t="b">
        <v>1</v>
      </c>
      <c r="L497" s="14" t="b">
        <v>0</v>
      </c>
      <c r="M497" s="14" t="b">
        <v>0</v>
      </c>
      <c r="N497" s="14" t="b">
        <v>1</v>
      </c>
      <c r="O497" s="14" t="b">
        <v>1</v>
      </c>
      <c r="W497" s="3"/>
    </row>
    <row r="498" spans="1:23" x14ac:dyDescent="0.25">
      <c r="A498" s="4">
        <v>88645403001372</v>
      </c>
      <c r="B498" s="8" t="s">
        <v>462</v>
      </c>
      <c r="C498" s="8" t="s">
        <v>252</v>
      </c>
      <c r="D498" s="7" t="s">
        <v>253</v>
      </c>
      <c r="E498" s="7" t="s">
        <v>795</v>
      </c>
      <c r="F498" s="6">
        <v>2</v>
      </c>
      <c r="G498" s="8" t="s">
        <v>754</v>
      </c>
      <c r="H498" s="8" t="s">
        <v>755</v>
      </c>
      <c r="I498" s="7" t="s">
        <v>730</v>
      </c>
      <c r="J498" s="8" t="s">
        <v>785</v>
      </c>
      <c r="K498" s="14" t="b">
        <v>1</v>
      </c>
      <c r="L498" s="14" t="b">
        <v>0</v>
      </c>
      <c r="M498" s="14" t="b">
        <v>0</v>
      </c>
      <c r="N498" s="14" t="b">
        <v>1</v>
      </c>
      <c r="O498" s="14" t="b">
        <v>1</v>
      </c>
      <c r="W498" s="3"/>
    </row>
    <row r="499" spans="1:23" x14ac:dyDescent="0.25">
      <c r="A499" s="4">
        <v>88830609000139</v>
      </c>
      <c r="B499" s="8" t="s">
        <v>632</v>
      </c>
      <c r="C499" s="8" t="s">
        <v>252</v>
      </c>
      <c r="D499" s="7" t="s">
        <v>253</v>
      </c>
      <c r="E499" s="7" t="s">
        <v>795</v>
      </c>
      <c r="F499" s="6">
        <v>2</v>
      </c>
      <c r="G499" s="8" t="s">
        <v>754</v>
      </c>
      <c r="H499" s="8" t="s">
        <v>755</v>
      </c>
      <c r="I499" s="7" t="s">
        <v>730</v>
      </c>
      <c r="J499" s="8" t="s">
        <v>785</v>
      </c>
      <c r="K499" s="14" t="b">
        <v>1</v>
      </c>
      <c r="L499" s="14" t="b">
        <v>0</v>
      </c>
      <c r="M499" s="14" t="b">
        <v>0</v>
      </c>
      <c r="N499" s="14" t="b">
        <v>1</v>
      </c>
      <c r="O499" s="14" t="b">
        <v>1</v>
      </c>
      <c r="W499" s="3"/>
    </row>
    <row r="500" spans="1:23" x14ac:dyDescent="0.25">
      <c r="A500" s="4">
        <v>92021062000360</v>
      </c>
      <c r="B500" s="8" t="s">
        <v>398</v>
      </c>
      <c r="C500" s="8" t="s">
        <v>399</v>
      </c>
      <c r="D500" s="7" t="s">
        <v>253</v>
      </c>
      <c r="E500" s="7" t="s">
        <v>795</v>
      </c>
      <c r="F500" s="6">
        <v>2</v>
      </c>
      <c r="G500" s="8" t="s">
        <v>754</v>
      </c>
      <c r="H500" s="8" t="s">
        <v>755</v>
      </c>
      <c r="I500" s="7" t="s">
        <v>730</v>
      </c>
      <c r="J500" s="8" t="s">
        <v>785</v>
      </c>
      <c r="K500" s="14" t="b">
        <v>1</v>
      </c>
      <c r="L500" s="14" t="b">
        <v>0</v>
      </c>
      <c r="M500" s="14" t="b">
        <v>0</v>
      </c>
      <c r="N500" s="14" t="b">
        <v>1</v>
      </c>
      <c r="O500" s="14" t="b">
        <v>1</v>
      </c>
      <c r="W500" s="3"/>
    </row>
    <row r="501" spans="1:23" x14ac:dyDescent="0.25">
      <c r="A501" s="4">
        <v>92404789000164</v>
      </c>
      <c r="B501" s="8" t="s">
        <v>463</v>
      </c>
      <c r="C501" s="8" t="s">
        <v>464</v>
      </c>
      <c r="D501" s="7" t="s">
        <v>253</v>
      </c>
      <c r="E501" s="7" t="s">
        <v>795</v>
      </c>
      <c r="F501" s="6">
        <v>2</v>
      </c>
      <c r="G501" s="8" t="s">
        <v>754</v>
      </c>
      <c r="H501" s="8" t="s">
        <v>755</v>
      </c>
      <c r="I501" s="7" t="s">
        <v>730</v>
      </c>
      <c r="J501" s="8" t="s">
        <v>785</v>
      </c>
      <c r="K501" s="14" t="b">
        <v>1</v>
      </c>
      <c r="L501" s="14" t="b">
        <v>0</v>
      </c>
      <c r="M501" s="14" t="b">
        <v>0</v>
      </c>
      <c r="N501" s="14" t="b">
        <v>1</v>
      </c>
      <c r="O501" s="14" t="b">
        <v>1</v>
      </c>
      <c r="W501" s="3"/>
    </row>
    <row r="502" spans="1:23" x14ac:dyDescent="0.25">
      <c r="A502" s="4">
        <v>92685833000151</v>
      </c>
      <c r="B502" s="8" t="s">
        <v>400</v>
      </c>
      <c r="C502" s="8" t="s">
        <v>305</v>
      </c>
      <c r="D502" s="7" t="s">
        <v>253</v>
      </c>
      <c r="E502" s="7" t="s">
        <v>795</v>
      </c>
      <c r="F502" s="6">
        <v>2</v>
      </c>
      <c r="G502" s="8" t="s">
        <v>754</v>
      </c>
      <c r="H502" s="8" t="s">
        <v>755</v>
      </c>
      <c r="I502" s="7" t="s">
        <v>730</v>
      </c>
      <c r="J502" s="8" t="s">
        <v>785</v>
      </c>
      <c r="K502" s="14" t="b">
        <v>1</v>
      </c>
      <c r="L502" s="14" t="b">
        <v>0</v>
      </c>
      <c r="M502" s="14" t="b">
        <v>0</v>
      </c>
      <c r="N502" s="14" t="b">
        <v>1</v>
      </c>
      <c r="O502" s="14" t="b">
        <v>1</v>
      </c>
      <c r="W502" s="3"/>
    </row>
    <row r="503" spans="1:23" x14ac:dyDescent="0.25">
      <c r="A503" s="4">
        <v>92741016000254</v>
      </c>
      <c r="B503" s="8" t="s">
        <v>401</v>
      </c>
      <c r="C503" s="8" t="s">
        <v>305</v>
      </c>
      <c r="D503" s="7" t="s">
        <v>253</v>
      </c>
      <c r="E503" s="7" t="s">
        <v>795</v>
      </c>
      <c r="F503" s="6">
        <v>2</v>
      </c>
      <c r="G503" s="8" t="s">
        <v>754</v>
      </c>
      <c r="H503" s="8" t="s">
        <v>755</v>
      </c>
      <c r="I503" s="7" t="s">
        <v>730</v>
      </c>
      <c r="J503" s="8" t="s">
        <v>785</v>
      </c>
      <c r="K503" s="14" t="b">
        <v>1</v>
      </c>
      <c r="L503" s="14" t="b">
        <v>0</v>
      </c>
      <c r="M503" s="14" t="b">
        <v>0</v>
      </c>
      <c r="N503" s="14" t="b">
        <v>1</v>
      </c>
      <c r="O503" s="14" t="b">
        <v>1</v>
      </c>
      <c r="W503" s="3"/>
    </row>
    <row r="504" spans="1:23" x14ac:dyDescent="0.25">
      <c r="A504" s="4">
        <v>92787118000391</v>
      </c>
      <c r="B504" s="8" t="s">
        <v>402</v>
      </c>
      <c r="C504" s="8" t="s">
        <v>305</v>
      </c>
      <c r="D504" s="7" t="s">
        <v>253</v>
      </c>
      <c r="E504" s="7" t="s">
        <v>795</v>
      </c>
      <c r="F504" s="6">
        <v>2</v>
      </c>
      <c r="G504" s="8" t="s">
        <v>754</v>
      </c>
      <c r="H504" s="8" t="s">
        <v>755</v>
      </c>
      <c r="I504" s="7" t="s">
        <v>730</v>
      </c>
      <c r="J504" s="8" t="s">
        <v>785</v>
      </c>
      <c r="K504" s="14" t="b">
        <v>1</v>
      </c>
      <c r="L504" s="14" t="b">
        <v>0</v>
      </c>
      <c r="M504" s="14" t="b">
        <v>0</v>
      </c>
      <c r="N504" s="14" t="b">
        <v>1</v>
      </c>
      <c r="O504" s="14" t="b">
        <v>1</v>
      </c>
      <c r="W504" s="3"/>
    </row>
    <row r="505" spans="1:23" x14ac:dyDescent="0.25">
      <c r="A505" s="4">
        <v>92815000000168</v>
      </c>
      <c r="B505" s="8" t="s">
        <v>403</v>
      </c>
      <c r="C505" s="8" t="s">
        <v>305</v>
      </c>
      <c r="D505" s="7" t="s">
        <v>253</v>
      </c>
      <c r="E505" s="7" t="s">
        <v>795</v>
      </c>
      <c r="F505" s="6">
        <v>2</v>
      </c>
      <c r="G505" s="8" t="s">
        <v>754</v>
      </c>
      <c r="H505" s="8" t="s">
        <v>755</v>
      </c>
      <c r="I505" s="7" t="s">
        <v>730</v>
      </c>
      <c r="J505" s="8" t="s">
        <v>785</v>
      </c>
      <c r="K505" s="14" t="b">
        <v>1</v>
      </c>
      <c r="L505" s="14" t="b">
        <v>0</v>
      </c>
      <c r="M505" s="14" t="b">
        <v>0</v>
      </c>
      <c r="N505" s="14" t="b">
        <v>1</v>
      </c>
      <c r="O505" s="14" t="b">
        <v>1</v>
      </c>
      <c r="W505" s="3"/>
    </row>
    <row r="506" spans="1:23" x14ac:dyDescent="0.25">
      <c r="A506" s="4">
        <v>92898550000198</v>
      </c>
      <c r="B506" s="8" t="s">
        <v>404</v>
      </c>
      <c r="C506" s="8" t="s">
        <v>305</v>
      </c>
      <c r="D506" s="7" t="s">
        <v>253</v>
      </c>
      <c r="E506" s="7" t="s">
        <v>795</v>
      </c>
      <c r="F506" s="6">
        <v>2</v>
      </c>
      <c r="G506" s="8" t="s">
        <v>754</v>
      </c>
      <c r="H506" s="8" t="s">
        <v>755</v>
      </c>
      <c r="I506" s="7" t="s">
        <v>730</v>
      </c>
      <c r="J506" s="8" t="s">
        <v>785</v>
      </c>
      <c r="K506" s="14" t="b">
        <v>1</v>
      </c>
      <c r="L506" s="14" t="b">
        <v>0</v>
      </c>
      <c r="M506" s="14" t="b">
        <v>0</v>
      </c>
      <c r="N506" s="14" t="b">
        <v>1</v>
      </c>
      <c r="O506" s="14" t="b">
        <v>1</v>
      </c>
      <c r="W506" s="3"/>
    </row>
    <row r="507" spans="1:23" x14ac:dyDescent="0.25">
      <c r="A507" s="4">
        <v>92963560000160</v>
      </c>
      <c r="B507" s="8" t="s">
        <v>465</v>
      </c>
      <c r="C507" s="8" t="s">
        <v>305</v>
      </c>
      <c r="D507" s="7" t="s">
        <v>253</v>
      </c>
      <c r="E507" s="7" t="s">
        <v>795</v>
      </c>
      <c r="F507" s="6">
        <v>2</v>
      </c>
      <c r="G507" s="8" t="s">
        <v>754</v>
      </c>
      <c r="H507" s="8" t="s">
        <v>755</v>
      </c>
      <c r="I507" s="7" t="s">
        <v>730</v>
      </c>
      <c r="J507" s="8" t="s">
        <v>785</v>
      </c>
      <c r="K507" s="14" t="b">
        <v>1</v>
      </c>
      <c r="L507" s="14" t="b">
        <v>0</v>
      </c>
      <c r="M507" s="14" t="b">
        <v>0</v>
      </c>
      <c r="N507" s="14" t="b">
        <v>1</v>
      </c>
      <c r="O507" s="14" t="b">
        <v>1</v>
      </c>
      <c r="W507" s="3"/>
    </row>
    <row r="508" spans="1:23" x14ac:dyDescent="0.25">
      <c r="A508" s="4">
        <v>94831294000147</v>
      </c>
      <c r="B508" s="8" t="s">
        <v>593</v>
      </c>
      <c r="C508" s="8" t="s">
        <v>305</v>
      </c>
      <c r="D508" s="7" t="s">
        <v>253</v>
      </c>
      <c r="E508" s="7" t="s">
        <v>795</v>
      </c>
      <c r="F508" s="6">
        <v>2</v>
      </c>
      <c r="G508" s="8" t="s">
        <v>754</v>
      </c>
      <c r="H508" s="8" t="s">
        <v>755</v>
      </c>
      <c r="I508" s="7" t="s">
        <v>730</v>
      </c>
      <c r="J508" s="8" t="s">
        <v>785</v>
      </c>
      <c r="K508" s="14" t="b">
        <v>1</v>
      </c>
      <c r="L508" s="14" t="b">
        <v>0</v>
      </c>
      <c r="M508" s="14" t="b">
        <v>0</v>
      </c>
      <c r="N508" s="14" t="b">
        <v>1</v>
      </c>
      <c r="O508" s="14" t="b">
        <v>1</v>
      </c>
      <c r="W508" s="3"/>
    </row>
    <row r="509" spans="1:23" x14ac:dyDescent="0.25">
      <c r="A509" s="4">
        <v>95610887000146</v>
      </c>
      <c r="B509" s="8" t="s">
        <v>406</v>
      </c>
      <c r="C509" s="8" t="s">
        <v>331</v>
      </c>
      <c r="D509" s="7" t="s">
        <v>253</v>
      </c>
      <c r="E509" s="7" t="s">
        <v>795</v>
      </c>
      <c r="F509" s="6">
        <v>2</v>
      </c>
      <c r="G509" s="8" t="s">
        <v>754</v>
      </c>
      <c r="H509" s="8" t="s">
        <v>755</v>
      </c>
      <c r="I509" s="7" t="s">
        <v>730</v>
      </c>
      <c r="J509" s="8" t="s">
        <v>785</v>
      </c>
      <c r="K509" s="14" t="b">
        <v>1</v>
      </c>
      <c r="L509" s="14" t="b">
        <v>0</v>
      </c>
      <c r="M509" s="14" t="b">
        <v>0</v>
      </c>
      <c r="N509" s="14" t="b">
        <v>1</v>
      </c>
      <c r="O509" s="14" t="b">
        <v>1</v>
      </c>
      <c r="W509" s="3"/>
    </row>
    <row r="510" spans="1:23" x14ac:dyDescent="0.25">
      <c r="A510" s="4">
        <v>700386513</v>
      </c>
      <c r="B510" s="8" t="s">
        <v>407</v>
      </c>
      <c r="C510" s="8" t="s">
        <v>408</v>
      </c>
      <c r="D510" s="7" t="s">
        <v>318</v>
      </c>
      <c r="E510" s="7" t="s">
        <v>795</v>
      </c>
      <c r="F510" s="6">
        <v>2</v>
      </c>
      <c r="G510" s="8" t="s">
        <v>746</v>
      </c>
      <c r="H510" s="8" t="s">
        <v>747</v>
      </c>
      <c r="I510" s="7" t="s">
        <v>723</v>
      </c>
      <c r="J510" s="8" t="s">
        <v>791</v>
      </c>
      <c r="K510" s="14" t="b">
        <v>0</v>
      </c>
      <c r="L510" s="14" t="b">
        <v>1</v>
      </c>
      <c r="M510" s="14" t="b">
        <v>1</v>
      </c>
      <c r="N510" s="14" t="b">
        <v>0</v>
      </c>
      <c r="O510" s="14" t="b">
        <v>1</v>
      </c>
      <c r="W510" s="3"/>
    </row>
    <row r="511" spans="1:23" x14ac:dyDescent="0.25">
      <c r="A511" s="4">
        <v>9324322559</v>
      </c>
      <c r="B511" s="8" t="s">
        <v>466</v>
      </c>
      <c r="C511" s="8" t="s">
        <v>278</v>
      </c>
      <c r="D511" s="7" t="s">
        <v>276</v>
      </c>
      <c r="E511" s="7" t="s">
        <v>795</v>
      </c>
      <c r="F511" s="6">
        <v>2</v>
      </c>
      <c r="G511" s="8" t="s">
        <v>746</v>
      </c>
      <c r="H511" s="8" t="s">
        <v>747</v>
      </c>
      <c r="I511" s="7" t="s">
        <v>723</v>
      </c>
      <c r="J511" s="8" t="s">
        <v>791</v>
      </c>
      <c r="K511" s="14" t="b">
        <v>0</v>
      </c>
      <c r="L511" s="14" t="b">
        <v>1</v>
      </c>
      <c r="M511" s="14" t="b">
        <v>1</v>
      </c>
      <c r="N511" s="14" t="b">
        <v>0</v>
      </c>
      <c r="O511" s="14" t="b">
        <v>1</v>
      </c>
      <c r="W511" s="3"/>
    </row>
    <row r="512" spans="1:23" x14ac:dyDescent="0.25">
      <c r="A512" s="4">
        <v>25841000153</v>
      </c>
      <c r="B512" s="8" t="s">
        <v>467</v>
      </c>
      <c r="C512" s="8" t="s">
        <v>225</v>
      </c>
      <c r="D512" s="7" t="s">
        <v>226</v>
      </c>
      <c r="E512" s="7" t="s">
        <v>795</v>
      </c>
      <c r="F512" s="6">
        <v>2</v>
      </c>
      <c r="G512" s="8" t="s">
        <v>742</v>
      </c>
      <c r="H512" s="8" t="s">
        <v>743</v>
      </c>
      <c r="I512" s="7" t="s">
        <v>723</v>
      </c>
      <c r="J512" s="8" t="s">
        <v>791</v>
      </c>
      <c r="K512" s="14" t="b">
        <v>0</v>
      </c>
      <c r="L512" s="14" t="b">
        <v>1</v>
      </c>
      <c r="M512" s="14" t="b">
        <v>1</v>
      </c>
      <c r="N512" s="14" t="b">
        <v>0</v>
      </c>
      <c r="O512" s="14" t="b">
        <v>1</v>
      </c>
      <c r="W512" s="3"/>
    </row>
    <row r="513" spans="1:23" x14ac:dyDescent="0.25">
      <c r="A513" s="4">
        <v>25841000153</v>
      </c>
      <c r="B513" s="8" t="s">
        <v>467</v>
      </c>
      <c r="C513" s="8" t="s">
        <v>225</v>
      </c>
      <c r="D513" s="7" t="s">
        <v>226</v>
      </c>
      <c r="E513" s="7" t="s">
        <v>795</v>
      </c>
      <c r="F513" s="6">
        <v>2</v>
      </c>
      <c r="G513" s="8" t="s">
        <v>780</v>
      </c>
      <c r="H513" s="8" t="s">
        <v>781</v>
      </c>
      <c r="I513" s="7" t="s">
        <v>739</v>
      </c>
      <c r="J513" s="8" t="s">
        <v>791</v>
      </c>
      <c r="K513" s="14" t="b">
        <v>1</v>
      </c>
      <c r="L513" s="14" t="b">
        <v>0</v>
      </c>
      <c r="M513" s="14" t="b">
        <v>0</v>
      </c>
      <c r="N513" s="14" t="b">
        <v>1</v>
      </c>
      <c r="O513" s="14" t="b">
        <v>1</v>
      </c>
      <c r="W513" s="3"/>
    </row>
    <row r="514" spans="1:23" x14ac:dyDescent="0.25">
      <c r="A514" s="4">
        <v>44482299472</v>
      </c>
      <c r="B514" s="8" t="s">
        <v>468</v>
      </c>
      <c r="C514" s="8" t="s">
        <v>361</v>
      </c>
      <c r="D514" s="7" t="s">
        <v>362</v>
      </c>
      <c r="E514" s="7" t="s">
        <v>795</v>
      </c>
      <c r="F514" s="6">
        <v>2</v>
      </c>
      <c r="G514" s="8" t="s">
        <v>746</v>
      </c>
      <c r="H514" s="8" t="s">
        <v>747</v>
      </c>
      <c r="I514" s="7" t="s">
        <v>723</v>
      </c>
      <c r="J514" s="8" t="s">
        <v>791</v>
      </c>
      <c r="K514" s="14" t="b">
        <v>0</v>
      </c>
      <c r="L514" s="14" t="b">
        <v>1</v>
      </c>
      <c r="M514" s="14" t="b">
        <v>1</v>
      </c>
      <c r="N514" s="14" t="b">
        <v>0</v>
      </c>
      <c r="O514" s="14" t="b">
        <v>1</v>
      </c>
      <c r="W514" s="3"/>
    </row>
    <row r="515" spans="1:23" x14ac:dyDescent="0.25">
      <c r="A515" s="4">
        <v>49791000144</v>
      </c>
      <c r="B515" s="8" t="s">
        <v>224</v>
      </c>
      <c r="C515" s="8" t="s">
        <v>225</v>
      </c>
      <c r="D515" s="7" t="s">
        <v>226</v>
      </c>
      <c r="E515" s="7" t="s">
        <v>795</v>
      </c>
      <c r="F515" s="6">
        <v>2</v>
      </c>
      <c r="G515" s="8" t="s">
        <v>742</v>
      </c>
      <c r="H515" s="8" t="s">
        <v>743</v>
      </c>
      <c r="I515" s="7" t="s">
        <v>723</v>
      </c>
      <c r="J515" s="8" t="s">
        <v>791</v>
      </c>
      <c r="K515" s="14" t="b">
        <v>0</v>
      </c>
      <c r="L515" s="14" t="b">
        <v>1</v>
      </c>
      <c r="M515" s="14" t="b">
        <v>1</v>
      </c>
      <c r="N515" s="14" t="b">
        <v>0</v>
      </c>
      <c r="O515" s="14" t="b">
        <v>1</v>
      </c>
      <c r="W515" s="3"/>
    </row>
    <row r="516" spans="1:23" x14ac:dyDescent="0.25">
      <c r="A516" s="4">
        <v>49791000144</v>
      </c>
      <c r="B516" s="8" t="s">
        <v>224</v>
      </c>
      <c r="C516" s="8" t="s">
        <v>225</v>
      </c>
      <c r="D516" s="7" t="s">
        <v>226</v>
      </c>
      <c r="E516" s="7" t="s">
        <v>795</v>
      </c>
      <c r="F516" s="6">
        <v>2</v>
      </c>
      <c r="G516" s="8" t="s">
        <v>780</v>
      </c>
      <c r="H516" s="8" t="s">
        <v>781</v>
      </c>
      <c r="I516" s="7" t="s">
        <v>739</v>
      </c>
      <c r="J516" s="8" t="s">
        <v>791</v>
      </c>
      <c r="K516" s="14" t="b">
        <v>1</v>
      </c>
      <c r="L516" s="14" t="b">
        <v>0</v>
      </c>
      <c r="M516" s="14" t="b">
        <v>0</v>
      </c>
      <c r="N516" s="14" t="b">
        <v>1</v>
      </c>
      <c r="O516" s="14" t="b">
        <v>1</v>
      </c>
      <c r="W516" s="3"/>
    </row>
    <row r="517" spans="1:23" x14ac:dyDescent="0.25">
      <c r="A517" s="4">
        <v>53629000108</v>
      </c>
      <c r="B517" s="8" t="s">
        <v>594</v>
      </c>
      <c r="C517" s="8" t="s">
        <v>237</v>
      </c>
      <c r="D517" s="7" t="s">
        <v>238</v>
      </c>
      <c r="E517" s="7" t="s">
        <v>795</v>
      </c>
      <c r="F517" s="6">
        <v>2</v>
      </c>
      <c r="G517" s="8" t="s">
        <v>742</v>
      </c>
      <c r="H517" s="8" t="s">
        <v>743</v>
      </c>
      <c r="I517" s="7" t="s">
        <v>723</v>
      </c>
      <c r="J517" s="8" t="s">
        <v>791</v>
      </c>
      <c r="K517" s="14" t="b">
        <v>0</v>
      </c>
      <c r="L517" s="14" t="b">
        <v>1</v>
      </c>
      <c r="M517" s="14" t="b">
        <v>1</v>
      </c>
      <c r="N517" s="14" t="b">
        <v>0</v>
      </c>
      <c r="O517" s="14" t="b">
        <v>1</v>
      </c>
      <c r="W517" s="3"/>
    </row>
    <row r="518" spans="1:23" x14ac:dyDescent="0.25">
      <c r="A518" s="4">
        <v>53629000108</v>
      </c>
      <c r="B518" s="8" t="s">
        <v>594</v>
      </c>
      <c r="C518" s="8" t="s">
        <v>237</v>
      </c>
      <c r="D518" s="7" t="s">
        <v>238</v>
      </c>
      <c r="E518" s="7" t="s">
        <v>795</v>
      </c>
      <c r="F518" s="6">
        <v>2</v>
      </c>
      <c r="G518" s="8" t="s">
        <v>766</v>
      </c>
      <c r="H518" s="8" t="s">
        <v>767</v>
      </c>
      <c r="I518" s="7" t="s">
        <v>730</v>
      </c>
      <c r="J518" s="8" t="s">
        <v>791</v>
      </c>
      <c r="K518" s="14" t="b">
        <v>1</v>
      </c>
      <c r="L518" s="14" t="b">
        <v>0</v>
      </c>
      <c r="M518" s="14" t="b">
        <v>0</v>
      </c>
      <c r="N518" s="14" t="b">
        <v>1</v>
      </c>
      <c r="O518" s="14" t="b">
        <v>1</v>
      </c>
      <c r="W518" s="3"/>
    </row>
    <row r="519" spans="1:23" x14ac:dyDescent="0.25">
      <c r="A519" s="4">
        <v>83925694404</v>
      </c>
      <c r="B519" s="8" t="s">
        <v>227</v>
      </c>
      <c r="C519" s="8" t="s">
        <v>228</v>
      </c>
      <c r="D519" s="7" t="s">
        <v>229</v>
      </c>
      <c r="E519" s="7" t="s">
        <v>795</v>
      </c>
      <c r="F519" s="6">
        <v>2</v>
      </c>
      <c r="G519" s="8" t="s">
        <v>748</v>
      </c>
      <c r="H519" s="8" t="s">
        <v>749</v>
      </c>
      <c r="I519" s="7" t="s">
        <v>723</v>
      </c>
      <c r="J519" s="8" t="s">
        <v>791</v>
      </c>
      <c r="K519" s="14" t="b">
        <v>0</v>
      </c>
      <c r="L519" s="14" t="b">
        <v>1</v>
      </c>
      <c r="M519" s="14" t="b">
        <v>1</v>
      </c>
      <c r="N519" s="14" t="b">
        <v>0</v>
      </c>
      <c r="O519" s="14" t="b">
        <v>1</v>
      </c>
      <c r="W519" s="3"/>
    </row>
    <row r="520" spans="1:23" x14ac:dyDescent="0.25">
      <c r="A520" s="4">
        <v>85465526149</v>
      </c>
      <c r="B520" s="8" t="s">
        <v>470</v>
      </c>
      <c r="C520" s="8" t="s">
        <v>225</v>
      </c>
      <c r="D520" s="7" t="s">
        <v>226</v>
      </c>
      <c r="E520" s="7" t="s">
        <v>795</v>
      </c>
      <c r="F520" s="6">
        <v>2</v>
      </c>
      <c r="G520" s="8" t="s">
        <v>742</v>
      </c>
      <c r="H520" s="8" t="s">
        <v>743</v>
      </c>
      <c r="I520" s="7" t="s">
        <v>723</v>
      </c>
      <c r="J520" s="8" t="s">
        <v>791</v>
      </c>
      <c r="K520" s="14" t="b">
        <v>0</v>
      </c>
      <c r="L520" s="14" t="b">
        <v>1</v>
      </c>
      <c r="M520" s="14" t="b">
        <v>1</v>
      </c>
      <c r="N520" s="14" t="b">
        <v>0</v>
      </c>
      <c r="O520" s="14" t="b">
        <v>1</v>
      </c>
      <c r="W520" s="3"/>
    </row>
    <row r="521" spans="1:23" x14ac:dyDescent="0.25">
      <c r="A521" s="4">
        <v>85465526149</v>
      </c>
      <c r="B521" s="8" t="s">
        <v>470</v>
      </c>
      <c r="C521" s="8" t="s">
        <v>225</v>
      </c>
      <c r="D521" s="7" t="s">
        <v>226</v>
      </c>
      <c r="E521" s="7" t="s">
        <v>795</v>
      </c>
      <c r="F521" s="6">
        <v>2</v>
      </c>
      <c r="G521" s="8" t="s">
        <v>780</v>
      </c>
      <c r="H521" s="8" t="s">
        <v>781</v>
      </c>
      <c r="I521" s="7" t="s">
        <v>739</v>
      </c>
      <c r="J521" s="8" t="s">
        <v>791</v>
      </c>
      <c r="K521" s="14" t="b">
        <v>1</v>
      </c>
      <c r="L521" s="14" t="b">
        <v>0</v>
      </c>
      <c r="M521" s="14" t="b">
        <v>0</v>
      </c>
      <c r="N521" s="14" t="b">
        <v>1</v>
      </c>
      <c r="O521" s="14" t="b">
        <v>1</v>
      </c>
      <c r="W521" s="3"/>
    </row>
    <row r="522" spans="1:23" x14ac:dyDescent="0.25">
      <c r="A522" s="4">
        <v>382069000127</v>
      </c>
      <c r="B522" s="8" t="s">
        <v>472</v>
      </c>
      <c r="C522" s="8" t="s">
        <v>225</v>
      </c>
      <c r="D522" s="7" t="s">
        <v>226</v>
      </c>
      <c r="E522" s="7" t="s">
        <v>795</v>
      </c>
      <c r="F522" s="6">
        <v>2</v>
      </c>
      <c r="G522" s="8" t="s">
        <v>742</v>
      </c>
      <c r="H522" s="8" t="s">
        <v>743</v>
      </c>
      <c r="I522" s="7" t="s">
        <v>723</v>
      </c>
      <c r="J522" s="8" t="s">
        <v>791</v>
      </c>
      <c r="K522" s="14" t="b">
        <v>0</v>
      </c>
      <c r="L522" s="14" t="b">
        <v>1</v>
      </c>
      <c r="M522" s="14" t="b">
        <v>1</v>
      </c>
      <c r="N522" s="14" t="b">
        <v>0</v>
      </c>
      <c r="O522" s="14" t="b">
        <v>1</v>
      </c>
      <c r="W522" s="3"/>
    </row>
    <row r="523" spans="1:23" x14ac:dyDescent="0.25">
      <c r="A523" s="4">
        <v>382069000127</v>
      </c>
      <c r="B523" s="8" t="s">
        <v>472</v>
      </c>
      <c r="C523" s="8" t="s">
        <v>225</v>
      </c>
      <c r="D523" s="7" t="s">
        <v>226</v>
      </c>
      <c r="E523" s="7" t="s">
        <v>795</v>
      </c>
      <c r="F523" s="6">
        <v>2</v>
      </c>
      <c r="G523" s="8" t="s">
        <v>780</v>
      </c>
      <c r="H523" s="8" t="s">
        <v>781</v>
      </c>
      <c r="I523" s="7" t="s">
        <v>739</v>
      </c>
      <c r="J523" s="8" t="s">
        <v>791</v>
      </c>
      <c r="K523" s="14" t="b">
        <v>1</v>
      </c>
      <c r="L523" s="14" t="b">
        <v>0</v>
      </c>
      <c r="M523" s="14" t="b">
        <v>0</v>
      </c>
      <c r="N523" s="14" t="b">
        <v>1</v>
      </c>
      <c r="O523" s="14" t="b">
        <v>1</v>
      </c>
      <c r="W523" s="3"/>
    </row>
    <row r="524" spans="1:23" x14ac:dyDescent="0.25">
      <c r="A524" s="4">
        <v>394544000851</v>
      </c>
      <c r="B524" s="8" t="s">
        <v>412</v>
      </c>
      <c r="C524" s="8" t="s">
        <v>225</v>
      </c>
      <c r="D524" s="7" t="s">
        <v>226</v>
      </c>
      <c r="E524" s="7" t="s">
        <v>795</v>
      </c>
      <c r="F524" s="6">
        <v>2</v>
      </c>
      <c r="G524" s="8" t="s">
        <v>766</v>
      </c>
      <c r="H524" s="8" t="s">
        <v>767</v>
      </c>
      <c r="I524" s="7" t="s">
        <v>730</v>
      </c>
      <c r="J524" s="8" t="s">
        <v>791</v>
      </c>
      <c r="K524" s="14" t="b">
        <v>1</v>
      </c>
      <c r="L524" s="14" t="b">
        <v>0</v>
      </c>
      <c r="M524" s="14" t="b">
        <v>0</v>
      </c>
      <c r="N524" s="14" t="b">
        <v>1</v>
      </c>
      <c r="O524" s="14" t="b">
        <v>1</v>
      </c>
      <c r="W524" s="3"/>
    </row>
    <row r="525" spans="1:23" x14ac:dyDescent="0.25">
      <c r="A525" s="4">
        <v>394544000851</v>
      </c>
      <c r="B525" s="8" t="s">
        <v>412</v>
      </c>
      <c r="C525" s="8" t="s">
        <v>225</v>
      </c>
      <c r="D525" s="7" t="s">
        <v>226</v>
      </c>
      <c r="E525" s="7" t="s">
        <v>795</v>
      </c>
      <c r="F525" s="6">
        <v>2</v>
      </c>
      <c r="G525" s="8" t="s">
        <v>772</v>
      </c>
      <c r="H525" s="8" t="s">
        <v>773</v>
      </c>
      <c r="I525" s="7" t="s">
        <v>723</v>
      </c>
      <c r="J525" s="8" t="s">
        <v>791</v>
      </c>
      <c r="K525" s="14" t="b">
        <v>0</v>
      </c>
      <c r="L525" s="14" t="b">
        <v>1</v>
      </c>
      <c r="M525" s="14" t="b">
        <v>1</v>
      </c>
      <c r="N525" s="14" t="b">
        <v>0</v>
      </c>
      <c r="O525" s="14" t="b">
        <v>1</v>
      </c>
      <c r="W525" s="3"/>
    </row>
    <row r="526" spans="1:23" x14ac:dyDescent="0.25">
      <c r="A526" s="4">
        <v>418954000119</v>
      </c>
      <c r="B526" s="8" t="s">
        <v>236</v>
      </c>
      <c r="C526" s="8" t="s">
        <v>237</v>
      </c>
      <c r="D526" s="7" t="s">
        <v>238</v>
      </c>
      <c r="E526" s="7" t="s">
        <v>795</v>
      </c>
      <c r="F526" s="6">
        <v>2</v>
      </c>
      <c r="G526" s="8" t="s">
        <v>742</v>
      </c>
      <c r="H526" s="8" t="s">
        <v>743</v>
      </c>
      <c r="I526" s="7" t="s">
        <v>723</v>
      </c>
      <c r="J526" s="8" t="s">
        <v>791</v>
      </c>
      <c r="K526" s="14" t="b">
        <v>0</v>
      </c>
      <c r="L526" s="14" t="b">
        <v>1</v>
      </c>
      <c r="M526" s="14" t="b">
        <v>1</v>
      </c>
      <c r="N526" s="14" t="b">
        <v>0</v>
      </c>
      <c r="O526" s="14" t="b">
        <v>1</v>
      </c>
      <c r="W526" s="3"/>
    </row>
    <row r="527" spans="1:23" x14ac:dyDescent="0.25">
      <c r="A527" s="4">
        <v>418954000119</v>
      </c>
      <c r="B527" s="8" t="s">
        <v>236</v>
      </c>
      <c r="C527" s="8" t="s">
        <v>237</v>
      </c>
      <c r="D527" s="7" t="s">
        <v>238</v>
      </c>
      <c r="E527" s="7" t="s">
        <v>795</v>
      </c>
      <c r="F527" s="6">
        <v>2</v>
      </c>
      <c r="G527" s="8" t="s">
        <v>766</v>
      </c>
      <c r="H527" s="8" t="s">
        <v>767</v>
      </c>
      <c r="I527" s="7" t="s">
        <v>730</v>
      </c>
      <c r="J527" s="8" t="s">
        <v>791</v>
      </c>
      <c r="K527" s="14" t="b">
        <v>1</v>
      </c>
      <c r="L527" s="14" t="b">
        <v>0</v>
      </c>
      <c r="M527" s="14" t="b">
        <v>0</v>
      </c>
      <c r="N527" s="14" t="b">
        <v>1</v>
      </c>
      <c r="O527" s="14" t="b">
        <v>1</v>
      </c>
      <c r="W527" s="3"/>
    </row>
    <row r="528" spans="1:23" x14ac:dyDescent="0.25">
      <c r="A528" s="4">
        <v>418954000704</v>
      </c>
      <c r="B528" s="8" t="s">
        <v>473</v>
      </c>
      <c r="C528" s="8" t="s">
        <v>237</v>
      </c>
      <c r="D528" s="7" t="s">
        <v>238</v>
      </c>
      <c r="E528" s="7" t="s">
        <v>795</v>
      </c>
      <c r="F528" s="6">
        <v>2</v>
      </c>
      <c r="G528" s="8" t="s">
        <v>742</v>
      </c>
      <c r="H528" s="8" t="s">
        <v>743</v>
      </c>
      <c r="I528" s="7" t="s">
        <v>723</v>
      </c>
      <c r="J528" s="8" t="s">
        <v>791</v>
      </c>
      <c r="K528" s="14" t="b">
        <v>0</v>
      </c>
      <c r="L528" s="14" t="b">
        <v>1</v>
      </c>
      <c r="M528" s="14" t="b">
        <v>1</v>
      </c>
      <c r="N528" s="14" t="b">
        <v>0</v>
      </c>
      <c r="O528" s="14" t="b">
        <v>1</v>
      </c>
      <c r="W528" s="3"/>
    </row>
    <row r="529" spans="1:23" x14ac:dyDescent="0.25">
      <c r="A529" s="4">
        <v>418954000704</v>
      </c>
      <c r="B529" s="8" t="s">
        <v>473</v>
      </c>
      <c r="C529" s="8" t="s">
        <v>237</v>
      </c>
      <c r="D529" s="7" t="s">
        <v>238</v>
      </c>
      <c r="E529" s="7" t="s">
        <v>795</v>
      </c>
      <c r="F529" s="6">
        <v>2</v>
      </c>
      <c r="G529" s="8" t="s">
        <v>766</v>
      </c>
      <c r="H529" s="8" t="s">
        <v>767</v>
      </c>
      <c r="I529" s="7" t="s">
        <v>730</v>
      </c>
      <c r="J529" s="8" t="s">
        <v>791</v>
      </c>
      <c r="K529" s="14" t="b">
        <v>1</v>
      </c>
      <c r="L529" s="14" t="b">
        <v>0</v>
      </c>
      <c r="M529" s="14" t="b">
        <v>0</v>
      </c>
      <c r="N529" s="14" t="b">
        <v>1</v>
      </c>
      <c r="O529" s="14" t="b">
        <v>1</v>
      </c>
      <c r="W529" s="3"/>
    </row>
    <row r="530" spans="1:23" x14ac:dyDescent="0.25">
      <c r="A530" s="4">
        <v>511816000180</v>
      </c>
      <c r="B530" s="8" t="s">
        <v>242</v>
      </c>
      <c r="C530" s="8" t="s">
        <v>225</v>
      </c>
      <c r="D530" s="7" t="s">
        <v>226</v>
      </c>
      <c r="E530" s="7" t="s">
        <v>795</v>
      </c>
      <c r="F530" s="6">
        <v>2</v>
      </c>
      <c r="G530" s="8" t="s">
        <v>742</v>
      </c>
      <c r="H530" s="8" t="s">
        <v>743</v>
      </c>
      <c r="I530" s="7" t="s">
        <v>723</v>
      </c>
      <c r="J530" s="8" t="s">
        <v>791</v>
      </c>
      <c r="K530" s="14" t="b">
        <v>0</v>
      </c>
      <c r="L530" s="14" t="b">
        <v>1</v>
      </c>
      <c r="M530" s="14" t="b">
        <v>1</v>
      </c>
      <c r="N530" s="14" t="b">
        <v>0</v>
      </c>
      <c r="O530" s="14" t="b">
        <v>1</v>
      </c>
      <c r="W530" s="3"/>
    </row>
    <row r="531" spans="1:23" x14ac:dyDescent="0.25">
      <c r="A531" s="4">
        <v>511816000180</v>
      </c>
      <c r="B531" s="8" t="s">
        <v>242</v>
      </c>
      <c r="C531" s="8" t="s">
        <v>225</v>
      </c>
      <c r="D531" s="7" t="s">
        <v>226</v>
      </c>
      <c r="E531" s="7" t="s">
        <v>795</v>
      </c>
      <c r="F531" s="6">
        <v>2</v>
      </c>
      <c r="G531" s="8" t="s">
        <v>780</v>
      </c>
      <c r="H531" s="8" t="s">
        <v>781</v>
      </c>
      <c r="I531" s="7" t="s">
        <v>739</v>
      </c>
      <c r="J531" s="8" t="s">
        <v>791</v>
      </c>
      <c r="K531" s="14" t="b">
        <v>1</v>
      </c>
      <c r="L531" s="14" t="b">
        <v>0</v>
      </c>
      <c r="M531" s="14" t="b">
        <v>0</v>
      </c>
      <c r="N531" s="14" t="b">
        <v>1</v>
      </c>
      <c r="O531" s="14" t="b">
        <v>1</v>
      </c>
      <c r="W531" s="3"/>
    </row>
    <row r="532" spans="1:23" x14ac:dyDescent="0.25">
      <c r="A532" s="4">
        <v>520237000101</v>
      </c>
      <c r="B532" s="8" t="s">
        <v>243</v>
      </c>
      <c r="C532" s="8" t="s">
        <v>225</v>
      </c>
      <c r="D532" s="7" t="s">
        <v>226</v>
      </c>
      <c r="E532" s="7" t="s">
        <v>795</v>
      </c>
      <c r="F532" s="6">
        <v>2</v>
      </c>
      <c r="G532" s="8" t="s">
        <v>742</v>
      </c>
      <c r="H532" s="8" t="s">
        <v>743</v>
      </c>
      <c r="I532" s="7" t="s">
        <v>723</v>
      </c>
      <c r="J532" s="8" t="s">
        <v>791</v>
      </c>
      <c r="K532" s="14" t="b">
        <v>0</v>
      </c>
      <c r="L532" s="14" t="b">
        <v>1</v>
      </c>
      <c r="M532" s="14" t="b">
        <v>1</v>
      </c>
      <c r="N532" s="14" t="b">
        <v>0</v>
      </c>
      <c r="O532" s="14" t="b">
        <v>1</v>
      </c>
      <c r="W532" s="3"/>
    </row>
    <row r="533" spans="1:23" x14ac:dyDescent="0.25">
      <c r="A533" s="4">
        <v>520237000101</v>
      </c>
      <c r="B533" s="8" t="s">
        <v>243</v>
      </c>
      <c r="C533" s="8" t="s">
        <v>225</v>
      </c>
      <c r="D533" s="7" t="s">
        <v>226</v>
      </c>
      <c r="E533" s="7" t="s">
        <v>795</v>
      </c>
      <c r="F533" s="6">
        <v>2</v>
      </c>
      <c r="G533" s="8" t="s">
        <v>780</v>
      </c>
      <c r="H533" s="8" t="s">
        <v>781</v>
      </c>
      <c r="I533" s="7" t="s">
        <v>739</v>
      </c>
      <c r="J533" s="8" t="s">
        <v>791</v>
      </c>
      <c r="K533" s="14" t="b">
        <v>1</v>
      </c>
      <c r="L533" s="14" t="b">
        <v>0</v>
      </c>
      <c r="M533" s="14" t="b">
        <v>0</v>
      </c>
      <c r="N533" s="14" t="b">
        <v>1</v>
      </c>
      <c r="O533" s="14" t="b">
        <v>1</v>
      </c>
      <c r="W533" s="3"/>
    </row>
    <row r="534" spans="1:23" x14ac:dyDescent="0.25">
      <c r="A534" s="4">
        <v>610980000144</v>
      </c>
      <c r="B534" s="8" t="s">
        <v>244</v>
      </c>
      <c r="C534" s="8" t="s">
        <v>225</v>
      </c>
      <c r="D534" s="7" t="s">
        <v>226</v>
      </c>
      <c r="E534" s="7" t="s">
        <v>795</v>
      </c>
      <c r="F534" s="6">
        <v>2</v>
      </c>
      <c r="G534" s="8" t="s">
        <v>742</v>
      </c>
      <c r="H534" s="8" t="s">
        <v>743</v>
      </c>
      <c r="I534" s="7" t="s">
        <v>723</v>
      </c>
      <c r="J534" s="8" t="s">
        <v>791</v>
      </c>
      <c r="K534" s="14" t="b">
        <v>0</v>
      </c>
      <c r="L534" s="14" t="b">
        <v>1</v>
      </c>
      <c r="M534" s="14" t="b">
        <v>1</v>
      </c>
      <c r="N534" s="14" t="b">
        <v>0</v>
      </c>
      <c r="O534" s="14" t="b">
        <v>1</v>
      </c>
      <c r="W534" s="3"/>
    </row>
    <row r="535" spans="1:23" x14ac:dyDescent="0.25">
      <c r="A535" s="4">
        <v>610980000144</v>
      </c>
      <c r="B535" s="8" t="s">
        <v>244</v>
      </c>
      <c r="C535" s="8" t="s">
        <v>225</v>
      </c>
      <c r="D535" s="7" t="s">
        <v>226</v>
      </c>
      <c r="E535" s="7" t="s">
        <v>795</v>
      </c>
      <c r="F535" s="6">
        <v>2</v>
      </c>
      <c r="G535" s="8" t="s">
        <v>780</v>
      </c>
      <c r="H535" s="8" t="s">
        <v>781</v>
      </c>
      <c r="I535" s="7" t="s">
        <v>739</v>
      </c>
      <c r="J535" s="8" t="s">
        <v>791</v>
      </c>
      <c r="K535" s="14" t="b">
        <v>1</v>
      </c>
      <c r="L535" s="14" t="b">
        <v>0</v>
      </c>
      <c r="M535" s="14" t="b">
        <v>0</v>
      </c>
      <c r="N535" s="14" t="b">
        <v>1</v>
      </c>
      <c r="O535" s="14" t="b">
        <v>1</v>
      </c>
      <c r="W535" s="3"/>
    </row>
    <row r="536" spans="1:23" x14ac:dyDescent="0.25">
      <c r="A536" s="4">
        <v>820737000150</v>
      </c>
      <c r="B536" s="8" t="s">
        <v>245</v>
      </c>
      <c r="C536" s="8" t="s">
        <v>246</v>
      </c>
      <c r="D536" s="7" t="s">
        <v>247</v>
      </c>
      <c r="E536" s="7" t="s">
        <v>795</v>
      </c>
      <c r="F536" s="6">
        <v>2</v>
      </c>
      <c r="G536" s="8" t="s">
        <v>748</v>
      </c>
      <c r="H536" s="8" t="s">
        <v>749</v>
      </c>
      <c r="I536" s="7" t="s">
        <v>723</v>
      </c>
      <c r="J536" s="8" t="s">
        <v>791</v>
      </c>
      <c r="K536" s="14" t="b">
        <v>0</v>
      </c>
      <c r="L536" s="14" t="b">
        <v>1</v>
      </c>
      <c r="M536" s="14" t="b">
        <v>1</v>
      </c>
      <c r="N536" s="14" t="b">
        <v>0</v>
      </c>
      <c r="O536" s="14" t="b">
        <v>1</v>
      </c>
      <c r="W536" s="3"/>
    </row>
    <row r="537" spans="1:23" x14ac:dyDescent="0.25">
      <c r="A537" s="4">
        <v>860841000179</v>
      </c>
      <c r="B537" s="8" t="s">
        <v>248</v>
      </c>
      <c r="C537" s="8" t="s">
        <v>249</v>
      </c>
      <c r="D537" s="7" t="s">
        <v>250</v>
      </c>
      <c r="E537" s="7" t="s">
        <v>795</v>
      </c>
      <c r="F537" s="6">
        <v>2</v>
      </c>
      <c r="G537" s="8" t="s">
        <v>742</v>
      </c>
      <c r="H537" s="8" t="s">
        <v>743</v>
      </c>
      <c r="I537" s="7" t="s">
        <v>723</v>
      </c>
      <c r="J537" s="8" t="s">
        <v>791</v>
      </c>
      <c r="K537" s="14" t="b">
        <v>0</v>
      </c>
      <c r="L537" s="14" t="b">
        <v>1</v>
      </c>
      <c r="M537" s="14" t="b">
        <v>1</v>
      </c>
      <c r="N537" s="14" t="b">
        <v>0</v>
      </c>
      <c r="O537" s="14" t="b">
        <v>1</v>
      </c>
      <c r="W537" s="3"/>
    </row>
    <row r="538" spans="1:23" x14ac:dyDescent="0.25">
      <c r="A538" s="4">
        <v>860841000179</v>
      </c>
      <c r="B538" s="8" t="s">
        <v>248</v>
      </c>
      <c r="C538" s="8" t="s">
        <v>249</v>
      </c>
      <c r="D538" s="7" t="s">
        <v>250</v>
      </c>
      <c r="E538" s="7" t="s">
        <v>795</v>
      </c>
      <c r="F538" s="6">
        <v>2</v>
      </c>
      <c r="G538" s="8" t="s">
        <v>766</v>
      </c>
      <c r="H538" s="8" t="s">
        <v>767</v>
      </c>
      <c r="I538" s="7" t="s">
        <v>730</v>
      </c>
      <c r="J538" s="8" t="s">
        <v>791</v>
      </c>
      <c r="K538" s="14" t="b">
        <v>1</v>
      </c>
      <c r="L538" s="14" t="b">
        <v>0</v>
      </c>
      <c r="M538" s="14" t="b">
        <v>0</v>
      </c>
      <c r="N538" s="14" t="b">
        <v>1</v>
      </c>
      <c r="O538" s="14" t="b">
        <v>1</v>
      </c>
      <c r="W538" s="3"/>
    </row>
    <row r="539" spans="1:23" x14ac:dyDescent="0.25">
      <c r="A539" s="4">
        <v>1011865000116</v>
      </c>
      <c r="B539" s="8" t="s">
        <v>528</v>
      </c>
      <c r="C539" s="8" t="s">
        <v>237</v>
      </c>
      <c r="D539" s="7" t="s">
        <v>238</v>
      </c>
      <c r="E539" s="7" t="s">
        <v>795</v>
      </c>
      <c r="F539" s="6">
        <v>2</v>
      </c>
      <c r="G539" s="8" t="s">
        <v>742</v>
      </c>
      <c r="H539" s="8" t="s">
        <v>743</v>
      </c>
      <c r="I539" s="7" t="s">
        <v>723</v>
      </c>
      <c r="J539" s="8" t="s">
        <v>791</v>
      </c>
      <c r="K539" s="14" t="b">
        <v>0</v>
      </c>
      <c r="L539" s="14" t="b">
        <v>1</v>
      </c>
      <c r="M539" s="14" t="b">
        <v>1</v>
      </c>
      <c r="N539" s="14" t="b">
        <v>0</v>
      </c>
      <c r="O539" s="14" t="b">
        <v>1</v>
      </c>
      <c r="W539" s="3"/>
    </row>
    <row r="540" spans="1:23" x14ac:dyDescent="0.25">
      <c r="A540" s="4">
        <v>1011865000116</v>
      </c>
      <c r="B540" s="8" t="s">
        <v>528</v>
      </c>
      <c r="C540" s="8" t="s">
        <v>237</v>
      </c>
      <c r="D540" s="7" t="s">
        <v>238</v>
      </c>
      <c r="E540" s="7" t="s">
        <v>795</v>
      </c>
      <c r="F540" s="6">
        <v>2</v>
      </c>
      <c r="G540" s="8" t="s">
        <v>766</v>
      </c>
      <c r="H540" s="8" t="s">
        <v>767</v>
      </c>
      <c r="I540" s="7" t="s">
        <v>730</v>
      </c>
      <c r="J540" s="8" t="s">
        <v>791</v>
      </c>
      <c r="K540" s="14" t="b">
        <v>1</v>
      </c>
      <c r="L540" s="14" t="b">
        <v>0</v>
      </c>
      <c r="M540" s="14" t="b">
        <v>0</v>
      </c>
      <c r="N540" s="14" t="b">
        <v>1</v>
      </c>
      <c r="O540" s="14" t="b">
        <v>1</v>
      </c>
      <c r="W540" s="3"/>
    </row>
    <row r="541" spans="1:23" x14ac:dyDescent="0.25">
      <c r="A541" s="4">
        <v>1277573000120</v>
      </c>
      <c r="B541" s="8" t="s">
        <v>474</v>
      </c>
      <c r="C541" s="8" t="s">
        <v>237</v>
      </c>
      <c r="D541" s="7" t="s">
        <v>238</v>
      </c>
      <c r="E541" s="7" t="s">
        <v>795</v>
      </c>
      <c r="F541" s="6">
        <v>2</v>
      </c>
      <c r="G541" s="8" t="s">
        <v>742</v>
      </c>
      <c r="H541" s="8" t="s">
        <v>743</v>
      </c>
      <c r="I541" s="7" t="s">
        <v>723</v>
      </c>
      <c r="J541" s="8" t="s">
        <v>791</v>
      </c>
      <c r="K541" s="14" t="b">
        <v>0</v>
      </c>
      <c r="L541" s="14" t="b">
        <v>1</v>
      </c>
      <c r="M541" s="14" t="b">
        <v>1</v>
      </c>
      <c r="N541" s="14" t="b">
        <v>0</v>
      </c>
      <c r="O541" s="14" t="b">
        <v>1</v>
      </c>
      <c r="W541" s="3"/>
    </row>
    <row r="542" spans="1:23" x14ac:dyDescent="0.25">
      <c r="A542" s="4">
        <v>1277573000120</v>
      </c>
      <c r="B542" s="8" t="s">
        <v>474</v>
      </c>
      <c r="C542" s="8" t="s">
        <v>237</v>
      </c>
      <c r="D542" s="7" t="s">
        <v>238</v>
      </c>
      <c r="E542" s="7" t="s">
        <v>795</v>
      </c>
      <c r="F542" s="6">
        <v>2</v>
      </c>
      <c r="G542" s="8" t="s">
        <v>766</v>
      </c>
      <c r="H542" s="8" t="s">
        <v>767</v>
      </c>
      <c r="I542" s="7" t="s">
        <v>730</v>
      </c>
      <c r="J542" s="8" t="s">
        <v>791</v>
      </c>
      <c r="K542" s="14" t="b">
        <v>1</v>
      </c>
      <c r="L542" s="14" t="b">
        <v>0</v>
      </c>
      <c r="M542" s="14" t="b">
        <v>0</v>
      </c>
      <c r="N542" s="14" t="b">
        <v>1</v>
      </c>
      <c r="O542" s="14" t="b">
        <v>1</v>
      </c>
      <c r="W542" s="3"/>
    </row>
    <row r="543" spans="1:23" x14ac:dyDescent="0.25">
      <c r="A543" s="4">
        <v>1326206000179</v>
      </c>
      <c r="B543" s="8" t="s">
        <v>254</v>
      </c>
      <c r="C543" s="8" t="s">
        <v>255</v>
      </c>
      <c r="D543" s="7" t="s">
        <v>238</v>
      </c>
      <c r="E543" s="7" t="s">
        <v>795</v>
      </c>
      <c r="F543" s="6">
        <v>2</v>
      </c>
      <c r="G543" s="8" t="s">
        <v>742</v>
      </c>
      <c r="H543" s="8" t="s">
        <v>743</v>
      </c>
      <c r="I543" s="7" t="s">
        <v>723</v>
      </c>
      <c r="J543" s="8" t="s">
        <v>791</v>
      </c>
      <c r="K543" s="14" t="b">
        <v>0</v>
      </c>
      <c r="L543" s="14" t="b">
        <v>1</v>
      </c>
      <c r="M543" s="14" t="b">
        <v>1</v>
      </c>
      <c r="N543" s="14" t="b">
        <v>0</v>
      </c>
      <c r="O543" s="14" t="b">
        <v>1</v>
      </c>
      <c r="W543" s="3"/>
    </row>
    <row r="544" spans="1:23" x14ac:dyDescent="0.25">
      <c r="A544" s="4">
        <v>1326206000179</v>
      </c>
      <c r="B544" s="8" t="s">
        <v>254</v>
      </c>
      <c r="C544" s="8" t="s">
        <v>255</v>
      </c>
      <c r="D544" s="7" t="s">
        <v>238</v>
      </c>
      <c r="E544" s="7" t="s">
        <v>795</v>
      </c>
      <c r="F544" s="6">
        <v>2</v>
      </c>
      <c r="G544" s="8" t="s">
        <v>766</v>
      </c>
      <c r="H544" s="8" t="s">
        <v>767</v>
      </c>
      <c r="I544" s="7" t="s">
        <v>730</v>
      </c>
      <c r="J544" s="8" t="s">
        <v>791</v>
      </c>
      <c r="K544" s="14" t="b">
        <v>1</v>
      </c>
      <c r="L544" s="14" t="b">
        <v>0</v>
      </c>
      <c r="M544" s="14" t="b">
        <v>0</v>
      </c>
      <c r="N544" s="14" t="b">
        <v>1</v>
      </c>
      <c r="O544" s="14" t="b">
        <v>1</v>
      </c>
      <c r="W544" s="3"/>
    </row>
    <row r="545" spans="1:23" x14ac:dyDescent="0.25">
      <c r="A545" s="4">
        <v>1383835000130</v>
      </c>
      <c r="B545" s="8" t="s">
        <v>530</v>
      </c>
      <c r="C545" s="8" t="s">
        <v>531</v>
      </c>
      <c r="D545" s="7" t="s">
        <v>262</v>
      </c>
      <c r="E545" s="7" t="s">
        <v>795</v>
      </c>
      <c r="F545" s="6">
        <v>2</v>
      </c>
      <c r="G545" s="8" t="s">
        <v>742</v>
      </c>
      <c r="H545" s="8" t="s">
        <v>743</v>
      </c>
      <c r="I545" s="7" t="s">
        <v>723</v>
      </c>
      <c r="J545" s="8" t="s">
        <v>791</v>
      </c>
      <c r="K545" s="14" t="b">
        <v>0</v>
      </c>
      <c r="L545" s="14" t="b">
        <v>1</v>
      </c>
      <c r="M545" s="14" t="b">
        <v>1</v>
      </c>
      <c r="N545" s="14" t="b">
        <v>0</v>
      </c>
      <c r="O545" s="14" t="b">
        <v>1</v>
      </c>
      <c r="W545" s="3"/>
    </row>
    <row r="546" spans="1:23" x14ac:dyDescent="0.25">
      <c r="A546" s="4">
        <v>1383835000130</v>
      </c>
      <c r="B546" s="8" t="s">
        <v>530</v>
      </c>
      <c r="C546" s="8" t="s">
        <v>531</v>
      </c>
      <c r="D546" s="7" t="s">
        <v>262</v>
      </c>
      <c r="E546" s="7" t="s">
        <v>795</v>
      </c>
      <c r="F546" s="6">
        <v>2</v>
      </c>
      <c r="G546" s="8" t="s">
        <v>766</v>
      </c>
      <c r="H546" s="8" t="s">
        <v>767</v>
      </c>
      <c r="I546" s="7" t="s">
        <v>730</v>
      </c>
      <c r="J546" s="8" t="s">
        <v>791</v>
      </c>
      <c r="K546" s="14" t="b">
        <v>1</v>
      </c>
      <c r="L546" s="14" t="b">
        <v>0</v>
      </c>
      <c r="M546" s="14" t="b">
        <v>0</v>
      </c>
      <c r="N546" s="14" t="b">
        <v>1</v>
      </c>
      <c r="O546" s="14" t="b">
        <v>1</v>
      </c>
      <c r="W546" s="3"/>
    </row>
    <row r="547" spans="1:23" x14ac:dyDescent="0.25">
      <c r="A547" s="4">
        <v>1454407000151</v>
      </c>
      <c r="B547" s="8" t="s">
        <v>533</v>
      </c>
      <c r="C547" s="8" t="s">
        <v>361</v>
      </c>
      <c r="D547" s="7" t="s">
        <v>362</v>
      </c>
      <c r="E547" s="7" t="s">
        <v>795</v>
      </c>
      <c r="F547" s="6">
        <v>2</v>
      </c>
      <c r="G547" s="8" t="s">
        <v>746</v>
      </c>
      <c r="H547" s="8" t="s">
        <v>747</v>
      </c>
      <c r="I547" s="7" t="s">
        <v>723</v>
      </c>
      <c r="J547" s="8" t="s">
        <v>791</v>
      </c>
      <c r="K547" s="14" t="b">
        <v>0</v>
      </c>
      <c r="L547" s="14" t="b">
        <v>1</v>
      </c>
      <c r="M547" s="14" t="b">
        <v>1</v>
      </c>
      <c r="N547" s="14" t="b">
        <v>0</v>
      </c>
      <c r="O547" s="14" t="b">
        <v>1</v>
      </c>
      <c r="W547" s="3"/>
    </row>
    <row r="548" spans="1:23" x14ac:dyDescent="0.25">
      <c r="A548" s="4">
        <v>1507901000137</v>
      </c>
      <c r="B548" s="8" t="s">
        <v>256</v>
      </c>
      <c r="C548" s="8" t="s">
        <v>246</v>
      </c>
      <c r="D548" s="7" t="s">
        <v>247</v>
      </c>
      <c r="E548" s="7" t="s">
        <v>795</v>
      </c>
      <c r="F548" s="6">
        <v>2</v>
      </c>
      <c r="G548" s="8" t="s">
        <v>748</v>
      </c>
      <c r="H548" s="8" t="s">
        <v>749</v>
      </c>
      <c r="I548" s="7" t="s">
        <v>723</v>
      </c>
      <c r="J548" s="8" t="s">
        <v>791</v>
      </c>
      <c r="K548" s="14" t="b">
        <v>0</v>
      </c>
      <c r="L548" s="14" t="b">
        <v>1</v>
      </c>
      <c r="M548" s="14" t="b">
        <v>1</v>
      </c>
      <c r="N548" s="14" t="b">
        <v>0</v>
      </c>
      <c r="O548" s="14" t="b">
        <v>1</v>
      </c>
      <c r="W548" s="3"/>
    </row>
    <row r="549" spans="1:23" x14ac:dyDescent="0.25">
      <c r="A549" s="4">
        <v>1570589000126</v>
      </c>
      <c r="B549" s="8" t="s">
        <v>633</v>
      </c>
      <c r="C549" s="8" t="s">
        <v>237</v>
      </c>
      <c r="D549" s="7" t="s">
        <v>238</v>
      </c>
      <c r="E549" s="7" t="s">
        <v>795</v>
      </c>
      <c r="F549" s="6">
        <v>2</v>
      </c>
      <c r="G549" s="8" t="s">
        <v>742</v>
      </c>
      <c r="H549" s="8" t="s">
        <v>743</v>
      </c>
      <c r="I549" s="7" t="s">
        <v>723</v>
      </c>
      <c r="J549" s="8" t="s">
        <v>791</v>
      </c>
      <c r="K549" s="14" t="b">
        <v>0</v>
      </c>
      <c r="L549" s="14" t="b">
        <v>1</v>
      </c>
      <c r="M549" s="14" t="b">
        <v>1</v>
      </c>
      <c r="N549" s="14" t="b">
        <v>0</v>
      </c>
      <c r="O549" s="14" t="b">
        <v>1</v>
      </c>
      <c r="W549" s="3"/>
    </row>
    <row r="550" spans="1:23" x14ac:dyDescent="0.25">
      <c r="A550" s="4">
        <v>1570589000126</v>
      </c>
      <c r="B550" s="8" t="s">
        <v>633</v>
      </c>
      <c r="C550" s="8" t="s">
        <v>237</v>
      </c>
      <c r="D550" s="7" t="s">
        <v>238</v>
      </c>
      <c r="E550" s="7" t="s">
        <v>795</v>
      </c>
      <c r="F550" s="6">
        <v>2</v>
      </c>
      <c r="G550" s="8" t="s">
        <v>766</v>
      </c>
      <c r="H550" s="8" t="s">
        <v>767</v>
      </c>
      <c r="I550" s="7" t="s">
        <v>730</v>
      </c>
      <c r="J550" s="8" t="s">
        <v>791</v>
      </c>
      <c r="K550" s="14" t="b">
        <v>1</v>
      </c>
      <c r="L550" s="14" t="b">
        <v>0</v>
      </c>
      <c r="M550" s="14" t="b">
        <v>0</v>
      </c>
      <c r="N550" s="14" t="b">
        <v>1</v>
      </c>
      <c r="O550" s="14" t="b">
        <v>1</v>
      </c>
      <c r="W550" s="3"/>
    </row>
    <row r="551" spans="1:23" x14ac:dyDescent="0.25">
      <c r="A551" s="4">
        <v>1602408000104</v>
      </c>
      <c r="B551" s="8" t="s">
        <v>595</v>
      </c>
      <c r="C551" s="8" t="s">
        <v>225</v>
      </c>
      <c r="D551" s="7" t="s">
        <v>226</v>
      </c>
      <c r="E551" s="7" t="s">
        <v>795</v>
      </c>
      <c r="F551" s="6">
        <v>2</v>
      </c>
      <c r="G551" s="8" t="s">
        <v>742</v>
      </c>
      <c r="H551" s="8" t="s">
        <v>743</v>
      </c>
      <c r="I551" s="7" t="s">
        <v>723</v>
      </c>
      <c r="J551" s="8" t="s">
        <v>791</v>
      </c>
      <c r="K551" s="14" t="b">
        <v>0</v>
      </c>
      <c r="L551" s="14" t="b">
        <v>1</v>
      </c>
      <c r="M551" s="14" t="b">
        <v>1</v>
      </c>
      <c r="N551" s="14" t="b">
        <v>0</v>
      </c>
      <c r="O551" s="14" t="b">
        <v>1</v>
      </c>
      <c r="W551" s="3"/>
    </row>
    <row r="552" spans="1:23" x14ac:dyDescent="0.25">
      <c r="A552" s="4">
        <v>1602408000104</v>
      </c>
      <c r="B552" s="8" t="s">
        <v>595</v>
      </c>
      <c r="C552" s="8" t="s">
        <v>225</v>
      </c>
      <c r="D552" s="7" t="s">
        <v>226</v>
      </c>
      <c r="E552" s="7" t="s">
        <v>795</v>
      </c>
      <c r="F552" s="6">
        <v>2</v>
      </c>
      <c r="G552" s="8" t="s">
        <v>780</v>
      </c>
      <c r="H552" s="8" t="s">
        <v>781</v>
      </c>
      <c r="I552" s="7" t="s">
        <v>739</v>
      </c>
      <c r="J552" s="8" t="s">
        <v>791</v>
      </c>
      <c r="K552" s="14" t="b">
        <v>1</v>
      </c>
      <c r="L552" s="14" t="b">
        <v>0</v>
      </c>
      <c r="M552" s="14" t="b">
        <v>0</v>
      </c>
      <c r="N552" s="14" t="b">
        <v>1</v>
      </c>
      <c r="O552" s="14" t="b">
        <v>1</v>
      </c>
      <c r="W552" s="3"/>
    </row>
    <row r="553" spans="1:23" x14ac:dyDescent="0.25">
      <c r="A553" s="4">
        <v>1656123000148</v>
      </c>
      <c r="B553" s="8" t="s">
        <v>634</v>
      </c>
      <c r="C553" s="8" t="s">
        <v>237</v>
      </c>
      <c r="D553" s="7" t="s">
        <v>238</v>
      </c>
      <c r="E553" s="7" t="s">
        <v>795</v>
      </c>
      <c r="F553" s="6">
        <v>2</v>
      </c>
      <c r="G553" s="8" t="s">
        <v>742</v>
      </c>
      <c r="H553" s="8" t="s">
        <v>743</v>
      </c>
      <c r="I553" s="7" t="s">
        <v>723</v>
      </c>
      <c r="J553" s="8" t="s">
        <v>791</v>
      </c>
      <c r="K553" s="14" t="b">
        <v>0</v>
      </c>
      <c r="L553" s="14" t="b">
        <v>1</v>
      </c>
      <c r="M553" s="14" t="b">
        <v>1</v>
      </c>
      <c r="N553" s="14" t="b">
        <v>0</v>
      </c>
      <c r="O553" s="14" t="b">
        <v>1</v>
      </c>
      <c r="W553" s="3"/>
    </row>
    <row r="554" spans="1:23" x14ac:dyDescent="0.25">
      <c r="A554" s="4">
        <v>1656123000148</v>
      </c>
      <c r="B554" s="8" t="s">
        <v>634</v>
      </c>
      <c r="C554" s="8" t="s">
        <v>237</v>
      </c>
      <c r="D554" s="7" t="s">
        <v>238</v>
      </c>
      <c r="E554" s="7" t="s">
        <v>795</v>
      </c>
      <c r="F554" s="6">
        <v>2</v>
      </c>
      <c r="G554" s="8" t="s">
        <v>766</v>
      </c>
      <c r="H554" s="8" t="s">
        <v>767</v>
      </c>
      <c r="I554" s="7" t="s">
        <v>730</v>
      </c>
      <c r="J554" s="8" t="s">
        <v>791</v>
      </c>
      <c r="K554" s="14" t="b">
        <v>1</v>
      </c>
      <c r="L554" s="14" t="b">
        <v>0</v>
      </c>
      <c r="M554" s="14" t="b">
        <v>0</v>
      </c>
      <c r="N554" s="14" t="b">
        <v>1</v>
      </c>
      <c r="O554" s="14" t="b">
        <v>1</v>
      </c>
      <c r="W554" s="3"/>
    </row>
    <row r="555" spans="1:23" x14ac:dyDescent="0.25">
      <c r="A555" s="4">
        <v>1682668000129</v>
      </c>
      <c r="B555" s="8" t="s">
        <v>535</v>
      </c>
      <c r="C555" s="8" t="s">
        <v>225</v>
      </c>
      <c r="D555" s="7" t="s">
        <v>226</v>
      </c>
      <c r="E555" s="7" t="s">
        <v>795</v>
      </c>
      <c r="F555" s="6">
        <v>2</v>
      </c>
      <c r="G555" s="8" t="s">
        <v>742</v>
      </c>
      <c r="H555" s="8" t="s">
        <v>743</v>
      </c>
      <c r="I555" s="7" t="s">
        <v>723</v>
      </c>
      <c r="J555" s="8" t="s">
        <v>791</v>
      </c>
      <c r="K555" s="14" t="b">
        <v>0</v>
      </c>
      <c r="L555" s="14" t="b">
        <v>1</v>
      </c>
      <c r="M555" s="14" t="b">
        <v>1</v>
      </c>
      <c r="N555" s="14" t="b">
        <v>0</v>
      </c>
      <c r="O555" s="14" t="b">
        <v>1</v>
      </c>
      <c r="W555" s="3"/>
    </row>
    <row r="556" spans="1:23" x14ac:dyDescent="0.25">
      <c r="A556" s="4">
        <v>1682668000129</v>
      </c>
      <c r="B556" s="8" t="s">
        <v>535</v>
      </c>
      <c r="C556" s="8" t="s">
        <v>225</v>
      </c>
      <c r="D556" s="7" t="s">
        <v>226</v>
      </c>
      <c r="E556" s="7" t="s">
        <v>795</v>
      </c>
      <c r="F556" s="6">
        <v>2</v>
      </c>
      <c r="G556" s="8" t="s">
        <v>780</v>
      </c>
      <c r="H556" s="8" t="s">
        <v>781</v>
      </c>
      <c r="I556" s="7" t="s">
        <v>739</v>
      </c>
      <c r="J556" s="8" t="s">
        <v>791</v>
      </c>
      <c r="K556" s="14" t="b">
        <v>1</v>
      </c>
      <c r="L556" s="14" t="b">
        <v>0</v>
      </c>
      <c r="M556" s="14" t="b">
        <v>0</v>
      </c>
      <c r="N556" s="14" t="b">
        <v>1</v>
      </c>
      <c r="O556" s="14" t="b">
        <v>1</v>
      </c>
      <c r="W556" s="3"/>
    </row>
    <row r="557" spans="1:23" x14ac:dyDescent="0.25">
      <c r="A557" s="4">
        <v>1722424000122</v>
      </c>
      <c r="B557" s="8" t="s">
        <v>635</v>
      </c>
      <c r="C557" s="8" t="s">
        <v>361</v>
      </c>
      <c r="D557" s="7" t="s">
        <v>362</v>
      </c>
      <c r="E557" s="7" t="s">
        <v>795</v>
      </c>
      <c r="F557" s="6">
        <v>2</v>
      </c>
      <c r="G557" s="8" t="s">
        <v>746</v>
      </c>
      <c r="H557" s="8" t="s">
        <v>747</v>
      </c>
      <c r="I557" s="7" t="s">
        <v>723</v>
      </c>
      <c r="J557" s="8" t="s">
        <v>791</v>
      </c>
      <c r="K557" s="14" t="b">
        <v>0</v>
      </c>
      <c r="L557" s="14" t="b">
        <v>1</v>
      </c>
      <c r="M557" s="14" t="b">
        <v>1</v>
      </c>
      <c r="N557" s="14" t="b">
        <v>0</v>
      </c>
      <c r="O557" s="14" t="b">
        <v>1</v>
      </c>
      <c r="W557" s="3"/>
    </row>
    <row r="558" spans="1:23" x14ac:dyDescent="0.25">
      <c r="A558" s="4">
        <v>1757351000104</v>
      </c>
      <c r="B558" s="8" t="s">
        <v>260</v>
      </c>
      <c r="C558" s="8" t="s">
        <v>261</v>
      </c>
      <c r="D558" s="7" t="s">
        <v>262</v>
      </c>
      <c r="E558" s="7" t="s">
        <v>795</v>
      </c>
      <c r="F558" s="6">
        <v>2</v>
      </c>
      <c r="G558" s="8" t="s">
        <v>742</v>
      </c>
      <c r="H558" s="8" t="s">
        <v>743</v>
      </c>
      <c r="I558" s="7" t="s">
        <v>723</v>
      </c>
      <c r="J558" s="8" t="s">
        <v>791</v>
      </c>
      <c r="K558" s="14" t="b">
        <v>0</v>
      </c>
      <c r="L558" s="14" t="b">
        <v>1</v>
      </c>
      <c r="M558" s="14" t="b">
        <v>1</v>
      </c>
      <c r="N558" s="14" t="b">
        <v>0</v>
      </c>
      <c r="O558" s="14" t="b">
        <v>1</v>
      </c>
      <c r="W558" s="3"/>
    </row>
    <row r="559" spans="1:23" x14ac:dyDescent="0.25">
      <c r="A559" s="4">
        <v>1757351000104</v>
      </c>
      <c r="B559" s="8" t="s">
        <v>260</v>
      </c>
      <c r="C559" s="8" t="s">
        <v>261</v>
      </c>
      <c r="D559" s="7" t="s">
        <v>262</v>
      </c>
      <c r="E559" s="7" t="s">
        <v>795</v>
      </c>
      <c r="F559" s="6">
        <v>2</v>
      </c>
      <c r="G559" s="8" t="s">
        <v>766</v>
      </c>
      <c r="H559" s="8" t="s">
        <v>767</v>
      </c>
      <c r="I559" s="7" t="s">
        <v>730</v>
      </c>
      <c r="J559" s="8" t="s">
        <v>791</v>
      </c>
      <c r="K559" s="14" t="b">
        <v>1</v>
      </c>
      <c r="L559" s="14" t="b">
        <v>0</v>
      </c>
      <c r="M559" s="14" t="b">
        <v>0</v>
      </c>
      <c r="N559" s="14" t="b">
        <v>1</v>
      </c>
      <c r="O559" s="14" t="b">
        <v>1</v>
      </c>
      <c r="W559" s="3"/>
    </row>
    <row r="560" spans="1:23" x14ac:dyDescent="0.25">
      <c r="A560" s="4">
        <v>1837492000137</v>
      </c>
      <c r="B560" s="8" t="s">
        <v>475</v>
      </c>
      <c r="C560" s="8" t="s">
        <v>278</v>
      </c>
      <c r="D560" s="7" t="s">
        <v>276</v>
      </c>
      <c r="E560" s="7" t="s">
        <v>795</v>
      </c>
      <c r="F560" s="6">
        <v>2</v>
      </c>
      <c r="G560" s="8" t="s">
        <v>746</v>
      </c>
      <c r="H560" s="8" t="s">
        <v>747</v>
      </c>
      <c r="I560" s="7" t="s">
        <v>723</v>
      </c>
      <c r="J560" s="8" t="s">
        <v>791</v>
      </c>
      <c r="K560" s="14" t="b">
        <v>0</v>
      </c>
      <c r="L560" s="14" t="b">
        <v>1</v>
      </c>
      <c r="M560" s="14" t="b">
        <v>1</v>
      </c>
      <c r="N560" s="14" t="b">
        <v>0</v>
      </c>
      <c r="O560" s="14" t="b">
        <v>1</v>
      </c>
      <c r="W560" s="3"/>
    </row>
    <row r="561" spans="1:23" x14ac:dyDescent="0.25">
      <c r="A561" s="4">
        <v>2109397000180</v>
      </c>
      <c r="B561" s="8" t="s">
        <v>413</v>
      </c>
      <c r="C561" s="8" t="s">
        <v>246</v>
      </c>
      <c r="D561" s="7" t="s">
        <v>247</v>
      </c>
      <c r="E561" s="7" t="s">
        <v>795</v>
      </c>
      <c r="F561" s="6">
        <v>2</v>
      </c>
      <c r="G561" s="8" t="s">
        <v>748</v>
      </c>
      <c r="H561" s="8" t="s">
        <v>749</v>
      </c>
      <c r="I561" s="7" t="s">
        <v>723</v>
      </c>
      <c r="J561" s="8" t="s">
        <v>791</v>
      </c>
      <c r="K561" s="14" t="b">
        <v>0</v>
      </c>
      <c r="L561" s="14" t="b">
        <v>1</v>
      </c>
      <c r="M561" s="14" t="b">
        <v>1</v>
      </c>
      <c r="N561" s="14" t="b">
        <v>0</v>
      </c>
      <c r="O561" s="14" t="b">
        <v>1</v>
      </c>
      <c r="W561" s="3"/>
    </row>
    <row r="562" spans="1:23" x14ac:dyDescent="0.25">
      <c r="A562" s="4">
        <v>2284062000106</v>
      </c>
      <c r="B562" s="8" t="s">
        <v>414</v>
      </c>
      <c r="C562" s="8" t="s">
        <v>264</v>
      </c>
      <c r="D562" s="7" t="s">
        <v>265</v>
      </c>
      <c r="E562" s="7" t="s">
        <v>795</v>
      </c>
      <c r="F562" s="6">
        <v>2</v>
      </c>
      <c r="G562" s="8" t="s">
        <v>748</v>
      </c>
      <c r="H562" s="8" t="s">
        <v>749</v>
      </c>
      <c r="I562" s="7" t="s">
        <v>723</v>
      </c>
      <c r="J562" s="8" t="s">
        <v>791</v>
      </c>
      <c r="K562" s="14" t="b">
        <v>0</v>
      </c>
      <c r="L562" s="14" t="b">
        <v>1</v>
      </c>
      <c r="M562" s="14" t="b">
        <v>1</v>
      </c>
      <c r="N562" s="14" t="b">
        <v>0</v>
      </c>
      <c r="O562" s="14" t="b">
        <v>1</v>
      </c>
      <c r="W562" s="3"/>
    </row>
    <row r="563" spans="1:23" x14ac:dyDescent="0.25">
      <c r="A563" s="4">
        <v>2284062000440</v>
      </c>
      <c r="B563" s="8" t="s">
        <v>263</v>
      </c>
      <c r="C563" s="8" t="s">
        <v>264</v>
      </c>
      <c r="D563" s="7" t="s">
        <v>265</v>
      </c>
      <c r="E563" s="7" t="s">
        <v>795</v>
      </c>
      <c r="F563" s="6">
        <v>2</v>
      </c>
      <c r="G563" s="8" t="s">
        <v>748</v>
      </c>
      <c r="H563" s="8" t="s">
        <v>749</v>
      </c>
      <c r="I563" s="7" t="s">
        <v>723</v>
      </c>
      <c r="J563" s="8" t="s">
        <v>791</v>
      </c>
      <c r="K563" s="14" t="b">
        <v>0</v>
      </c>
      <c r="L563" s="14" t="b">
        <v>1</v>
      </c>
      <c r="M563" s="14" t="b">
        <v>1</v>
      </c>
      <c r="N563" s="14" t="b">
        <v>0</v>
      </c>
      <c r="O563" s="14" t="b">
        <v>1</v>
      </c>
      <c r="W563" s="3"/>
    </row>
    <row r="564" spans="1:23" x14ac:dyDescent="0.25">
      <c r="A564" s="4">
        <v>2284062001170</v>
      </c>
      <c r="B564" s="8" t="s">
        <v>266</v>
      </c>
      <c r="C564" s="8" t="s">
        <v>267</v>
      </c>
      <c r="D564" s="7" t="s">
        <v>268</v>
      </c>
      <c r="E564" s="7" t="s">
        <v>795</v>
      </c>
      <c r="F564" s="6">
        <v>2</v>
      </c>
      <c r="G564" s="8" t="s">
        <v>744</v>
      </c>
      <c r="H564" s="8" t="s">
        <v>745</v>
      </c>
      <c r="I564" s="7" t="s">
        <v>723</v>
      </c>
      <c r="J564" s="8" t="s">
        <v>791</v>
      </c>
      <c r="K564" s="14" t="b">
        <v>0</v>
      </c>
      <c r="L564" s="14" t="b">
        <v>1</v>
      </c>
      <c r="M564" s="14" t="b">
        <v>1</v>
      </c>
      <c r="N564" s="14" t="b">
        <v>0</v>
      </c>
      <c r="O564" s="14" t="b">
        <v>1</v>
      </c>
      <c r="W564" s="3"/>
    </row>
    <row r="565" spans="1:23" x14ac:dyDescent="0.25">
      <c r="A565" s="4">
        <v>2476067000122</v>
      </c>
      <c r="B565" s="8" t="s">
        <v>536</v>
      </c>
      <c r="C565" s="8" t="s">
        <v>237</v>
      </c>
      <c r="D565" s="7" t="s">
        <v>238</v>
      </c>
      <c r="E565" s="7" t="s">
        <v>795</v>
      </c>
      <c r="F565" s="6">
        <v>2</v>
      </c>
      <c r="G565" s="8" t="s">
        <v>742</v>
      </c>
      <c r="H565" s="8" t="s">
        <v>743</v>
      </c>
      <c r="I565" s="7" t="s">
        <v>723</v>
      </c>
      <c r="J565" s="8" t="s">
        <v>791</v>
      </c>
      <c r="K565" s="14" t="b">
        <v>0</v>
      </c>
      <c r="L565" s="14" t="b">
        <v>1</v>
      </c>
      <c r="M565" s="14" t="b">
        <v>1</v>
      </c>
      <c r="N565" s="14" t="b">
        <v>0</v>
      </c>
      <c r="O565" s="14" t="b">
        <v>1</v>
      </c>
      <c r="W565" s="3"/>
    </row>
    <row r="566" spans="1:23" x14ac:dyDescent="0.25">
      <c r="A566" s="4">
        <v>2476067000122</v>
      </c>
      <c r="B566" s="8" t="s">
        <v>536</v>
      </c>
      <c r="C566" s="8" t="s">
        <v>237</v>
      </c>
      <c r="D566" s="7" t="s">
        <v>238</v>
      </c>
      <c r="E566" s="7" t="s">
        <v>795</v>
      </c>
      <c r="F566" s="6">
        <v>2</v>
      </c>
      <c r="G566" s="8" t="s">
        <v>766</v>
      </c>
      <c r="H566" s="8" t="s">
        <v>767</v>
      </c>
      <c r="I566" s="7" t="s">
        <v>730</v>
      </c>
      <c r="J566" s="8" t="s">
        <v>791</v>
      </c>
      <c r="K566" s="14" t="b">
        <v>1</v>
      </c>
      <c r="L566" s="14" t="b">
        <v>0</v>
      </c>
      <c r="M566" s="14" t="b">
        <v>0</v>
      </c>
      <c r="N566" s="14" t="b">
        <v>1</v>
      </c>
      <c r="O566" s="14" t="b">
        <v>1</v>
      </c>
      <c r="W566" s="3"/>
    </row>
    <row r="567" spans="1:23" x14ac:dyDescent="0.25">
      <c r="A567" s="4">
        <v>2476067000203</v>
      </c>
      <c r="B567" s="8" t="s">
        <v>269</v>
      </c>
      <c r="C567" s="8" t="s">
        <v>237</v>
      </c>
      <c r="D567" s="7" t="s">
        <v>238</v>
      </c>
      <c r="E567" s="7" t="s">
        <v>795</v>
      </c>
      <c r="F567" s="6">
        <v>2</v>
      </c>
      <c r="G567" s="8" t="s">
        <v>742</v>
      </c>
      <c r="H567" s="8" t="s">
        <v>743</v>
      </c>
      <c r="I567" s="7" t="s">
        <v>723</v>
      </c>
      <c r="J567" s="8" t="s">
        <v>791</v>
      </c>
      <c r="K567" s="14" t="b">
        <v>0</v>
      </c>
      <c r="L567" s="14" t="b">
        <v>1</v>
      </c>
      <c r="M567" s="14" t="b">
        <v>1</v>
      </c>
      <c r="N567" s="14" t="b">
        <v>0</v>
      </c>
      <c r="O567" s="14" t="b">
        <v>1</v>
      </c>
      <c r="W567" s="3"/>
    </row>
    <row r="568" spans="1:23" x14ac:dyDescent="0.25">
      <c r="A568" s="4">
        <v>2476067000203</v>
      </c>
      <c r="B568" s="8" t="s">
        <v>269</v>
      </c>
      <c r="C568" s="8" t="s">
        <v>237</v>
      </c>
      <c r="D568" s="7" t="s">
        <v>238</v>
      </c>
      <c r="E568" s="7" t="s">
        <v>795</v>
      </c>
      <c r="F568" s="6">
        <v>2</v>
      </c>
      <c r="G568" s="8" t="s">
        <v>766</v>
      </c>
      <c r="H568" s="8" t="s">
        <v>767</v>
      </c>
      <c r="I568" s="7" t="s">
        <v>730</v>
      </c>
      <c r="J568" s="8" t="s">
        <v>791</v>
      </c>
      <c r="K568" s="14" t="b">
        <v>1</v>
      </c>
      <c r="L568" s="14" t="b">
        <v>0</v>
      </c>
      <c r="M568" s="14" t="b">
        <v>0</v>
      </c>
      <c r="N568" s="14" t="b">
        <v>1</v>
      </c>
      <c r="O568" s="14" t="b">
        <v>1</v>
      </c>
      <c r="W568" s="3"/>
    </row>
    <row r="569" spans="1:23" x14ac:dyDescent="0.25">
      <c r="A569" s="4">
        <v>2476067000394</v>
      </c>
      <c r="B569" s="8" t="s">
        <v>537</v>
      </c>
      <c r="C569" s="8" t="s">
        <v>237</v>
      </c>
      <c r="D569" s="7" t="s">
        <v>238</v>
      </c>
      <c r="E569" s="7" t="s">
        <v>795</v>
      </c>
      <c r="F569" s="6">
        <v>2</v>
      </c>
      <c r="G569" s="8" t="s">
        <v>742</v>
      </c>
      <c r="H569" s="8" t="s">
        <v>743</v>
      </c>
      <c r="I569" s="7" t="s">
        <v>723</v>
      </c>
      <c r="J569" s="8" t="s">
        <v>791</v>
      </c>
      <c r="K569" s="14" t="b">
        <v>0</v>
      </c>
      <c r="L569" s="14" t="b">
        <v>1</v>
      </c>
      <c r="M569" s="14" t="b">
        <v>1</v>
      </c>
      <c r="N569" s="14" t="b">
        <v>0</v>
      </c>
      <c r="O569" s="14" t="b">
        <v>1</v>
      </c>
      <c r="W569" s="3"/>
    </row>
    <row r="570" spans="1:23" x14ac:dyDescent="0.25">
      <c r="A570" s="4">
        <v>2476067000394</v>
      </c>
      <c r="B570" s="8" t="s">
        <v>537</v>
      </c>
      <c r="C570" s="8" t="s">
        <v>237</v>
      </c>
      <c r="D570" s="7" t="s">
        <v>238</v>
      </c>
      <c r="E570" s="7" t="s">
        <v>795</v>
      </c>
      <c r="F570" s="6">
        <v>2</v>
      </c>
      <c r="G570" s="8" t="s">
        <v>766</v>
      </c>
      <c r="H570" s="8" t="s">
        <v>767</v>
      </c>
      <c r="I570" s="7" t="s">
        <v>730</v>
      </c>
      <c r="J570" s="8" t="s">
        <v>791</v>
      </c>
      <c r="K570" s="14" t="b">
        <v>1</v>
      </c>
      <c r="L570" s="14" t="b">
        <v>0</v>
      </c>
      <c r="M570" s="14" t="b">
        <v>0</v>
      </c>
      <c r="N570" s="14" t="b">
        <v>1</v>
      </c>
      <c r="O570" s="14" t="b">
        <v>1</v>
      </c>
      <c r="W570" s="3"/>
    </row>
    <row r="571" spans="1:23" x14ac:dyDescent="0.25">
      <c r="A571" s="4">
        <v>2560878000107</v>
      </c>
      <c r="B571" s="8" t="s">
        <v>270</v>
      </c>
      <c r="C571" s="8" t="s">
        <v>225</v>
      </c>
      <c r="D571" s="7" t="s">
        <v>226</v>
      </c>
      <c r="E571" s="7" t="s">
        <v>795</v>
      </c>
      <c r="F571" s="6">
        <v>2</v>
      </c>
      <c r="G571" s="8" t="s">
        <v>742</v>
      </c>
      <c r="H571" s="8" t="s">
        <v>743</v>
      </c>
      <c r="I571" s="7" t="s">
        <v>723</v>
      </c>
      <c r="J571" s="8" t="s">
        <v>791</v>
      </c>
      <c r="K571" s="14" t="b">
        <v>0</v>
      </c>
      <c r="L571" s="14" t="b">
        <v>1</v>
      </c>
      <c r="M571" s="14" t="b">
        <v>1</v>
      </c>
      <c r="N571" s="14" t="b">
        <v>0</v>
      </c>
      <c r="O571" s="14" t="b">
        <v>1</v>
      </c>
      <c r="W571" s="3"/>
    </row>
    <row r="572" spans="1:23" x14ac:dyDescent="0.25">
      <c r="A572" s="4">
        <v>2560878000107</v>
      </c>
      <c r="B572" s="8" t="s">
        <v>270</v>
      </c>
      <c r="C572" s="8" t="s">
        <v>225</v>
      </c>
      <c r="D572" s="7" t="s">
        <v>226</v>
      </c>
      <c r="E572" s="7" t="s">
        <v>795</v>
      </c>
      <c r="F572" s="6">
        <v>2</v>
      </c>
      <c r="G572" s="8" t="s">
        <v>780</v>
      </c>
      <c r="H572" s="8" t="s">
        <v>781</v>
      </c>
      <c r="I572" s="7" t="s">
        <v>739</v>
      </c>
      <c r="J572" s="8" t="s">
        <v>791</v>
      </c>
      <c r="K572" s="14" t="b">
        <v>1</v>
      </c>
      <c r="L572" s="14" t="b">
        <v>0</v>
      </c>
      <c r="M572" s="14" t="b">
        <v>0</v>
      </c>
      <c r="N572" s="14" t="b">
        <v>1</v>
      </c>
      <c r="O572" s="14" t="b">
        <v>1</v>
      </c>
      <c r="W572" s="3"/>
    </row>
    <row r="573" spans="1:23" x14ac:dyDescent="0.25">
      <c r="A573" s="4">
        <v>3091003000176</v>
      </c>
      <c r="B573" s="8" t="s">
        <v>596</v>
      </c>
      <c r="C573" s="8" t="s">
        <v>317</v>
      </c>
      <c r="D573" s="7" t="s">
        <v>318</v>
      </c>
      <c r="E573" s="7" t="s">
        <v>795</v>
      </c>
      <c r="F573" s="6">
        <v>2</v>
      </c>
      <c r="G573" s="8" t="s">
        <v>746</v>
      </c>
      <c r="H573" s="8" t="s">
        <v>747</v>
      </c>
      <c r="I573" s="7" t="s">
        <v>723</v>
      </c>
      <c r="J573" s="8" t="s">
        <v>791</v>
      </c>
      <c r="K573" s="14" t="b">
        <v>0</v>
      </c>
      <c r="L573" s="14" t="b">
        <v>1</v>
      </c>
      <c r="M573" s="14" t="b">
        <v>1</v>
      </c>
      <c r="N573" s="14" t="b">
        <v>0</v>
      </c>
      <c r="O573" s="14" t="b">
        <v>1</v>
      </c>
      <c r="W573" s="3"/>
    </row>
    <row r="574" spans="1:23" x14ac:dyDescent="0.25">
      <c r="A574" s="4">
        <v>3210872000172</v>
      </c>
      <c r="B574" s="8" t="s">
        <v>597</v>
      </c>
      <c r="C574" s="8" t="s">
        <v>598</v>
      </c>
      <c r="D574" s="7" t="s">
        <v>268</v>
      </c>
      <c r="E574" s="7" t="s">
        <v>795</v>
      </c>
      <c r="F574" s="6">
        <v>2</v>
      </c>
      <c r="G574" s="8" t="s">
        <v>744</v>
      </c>
      <c r="H574" s="8" t="s">
        <v>745</v>
      </c>
      <c r="I574" s="7" t="s">
        <v>723</v>
      </c>
      <c r="J574" s="8" t="s">
        <v>791</v>
      </c>
      <c r="K574" s="14" t="b">
        <v>0</v>
      </c>
      <c r="L574" s="14" t="b">
        <v>1</v>
      </c>
      <c r="M574" s="14" t="b">
        <v>1</v>
      </c>
      <c r="N574" s="14" t="b">
        <v>0</v>
      </c>
      <c r="O574" s="14" t="b">
        <v>1</v>
      </c>
      <c r="W574" s="3"/>
    </row>
    <row r="575" spans="1:23" x14ac:dyDescent="0.25">
      <c r="A575" s="4">
        <v>3222051000156</v>
      </c>
      <c r="B575" s="8" t="s">
        <v>476</v>
      </c>
      <c r="C575" s="8" t="s">
        <v>317</v>
      </c>
      <c r="D575" s="7" t="s">
        <v>318</v>
      </c>
      <c r="E575" s="7" t="s">
        <v>795</v>
      </c>
      <c r="F575" s="6">
        <v>2</v>
      </c>
      <c r="G575" s="8" t="s">
        <v>746</v>
      </c>
      <c r="H575" s="8" t="s">
        <v>747</v>
      </c>
      <c r="I575" s="7" t="s">
        <v>723</v>
      </c>
      <c r="J575" s="8" t="s">
        <v>791</v>
      </c>
      <c r="K575" s="14" t="b">
        <v>0</v>
      </c>
      <c r="L575" s="14" t="b">
        <v>1</v>
      </c>
      <c r="M575" s="14" t="b">
        <v>1</v>
      </c>
      <c r="N575" s="14" t="b">
        <v>0</v>
      </c>
      <c r="O575" s="14" t="b">
        <v>1</v>
      </c>
      <c r="W575" s="3"/>
    </row>
    <row r="576" spans="1:23" x14ac:dyDescent="0.25">
      <c r="A576" s="4">
        <v>3376102000102</v>
      </c>
      <c r="B576" s="8" t="s">
        <v>415</v>
      </c>
      <c r="C576" s="8" t="s">
        <v>278</v>
      </c>
      <c r="D576" s="7" t="s">
        <v>276</v>
      </c>
      <c r="E576" s="7" t="s">
        <v>795</v>
      </c>
      <c r="F576" s="6">
        <v>2</v>
      </c>
      <c r="G576" s="8" t="s">
        <v>746</v>
      </c>
      <c r="H576" s="8" t="s">
        <v>747</v>
      </c>
      <c r="I576" s="7" t="s">
        <v>723</v>
      </c>
      <c r="J576" s="8" t="s">
        <v>791</v>
      </c>
      <c r="K576" s="14" t="b">
        <v>0</v>
      </c>
      <c r="L576" s="14" t="b">
        <v>1</v>
      </c>
      <c r="M576" s="14" t="b">
        <v>1</v>
      </c>
      <c r="N576" s="14" t="b">
        <v>0</v>
      </c>
      <c r="O576" s="14" t="b">
        <v>1</v>
      </c>
      <c r="W576" s="3"/>
    </row>
    <row r="577" spans="1:23" x14ac:dyDescent="0.25">
      <c r="A577" s="4">
        <v>3533726000773</v>
      </c>
      <c r="B577" s="8" t="s">
        <v>540</v>
      </c>
      <c r="C577" s="8" t="s">
        <v>261</v>
      </c>
      <c r="D577" s="7" t="s">
        <v>262</v>
      </c>
      <c r="E577" s="7" t="s">
        <v>795</v>
      </c>
      <c r="F577" s="6">
        <v>2</v>
      </c>
      <c r="G577" s="8" t="s">
        <v>742</v>
      </c>
      <c r="H577" s="8" t="s">
        <v>743</v>
      </c>
      <c r="I577" s="7" t="s">
        <v>723</v>
      </c>
      <c r="J577" s="8" t="s">
        <v>791</v>
      </c>
      <c r="K577" s="14" t="b">
        <v>0</v>
      </c>
      <c r="L577" s="14" t="b">
        <v>1</v>
      </c>
      <c r="M577" s="14" t="b">
        <v>1</v>
      </c>
      <c r="N577" s="14" t="b">
        <v>0</v>
      </c>
      <c r="O577" s="14" t="b">
        <v>1</v>
      </c>
      <c r="W577" s="3"/>
    </row>
    <row r="578" spans="1:23" x14ac:dyDescent="0.25">
      <c r="A578" s="4">
        <v>3533726000773</v>
      </c>
      <c r="B578" s="8" t="s">
        <v>540</v>
      </c>
      <c r="C578" s="8" t="s">
        <v>261</v>
      </c>
      <c r="D578" s="7" t="s">
        <v>262</v>
      </c>
      <c r="E578" s="7" t="s">
        <v>795</v>
      </c>
      <c r="F578" s="6">
        <v>2</v>
      </c>
      <c r="G578" s="8" t="s">
        <v>766</v>
      </c>
      <c r="H578" s="8" t="s">
        <v>767</v>
      </c>
      <c r="I578" s="7" t="s">
        <v>730</v>
      </c>
      <c r="J578" s="8" t="s">
        <v>791</v>
      </c>
      <c r="K578" s="14" t="b">
        <v>1</v>
      </c>
      <c r="L578" s="14" t="b">
        <v>0</v>
      </c>
      <c r="M578" s="14" t="b">
        <v>0</v>
      </c>
      <c r="N578" s="14" t="b">
        <v>1</v>
      </c>
      <c r="O578" s="14" t="b">
        <v>1</v>
      </c>
      <c r="W578" s="3"/>
    </row>
    <row r="579" spans="1:23" x14ac:dyDescent="0.25">
      <c r="A579" s="4">
        <v>3533726001583</v>
      </c>
      <c r="B579" s="8" t="s">
        <v>271</v>
      </c>
      <c r="C579" s="8" t="s">
        <v>261</v>
      </c>
      <c r="D579" s="7" t="s">
        <v>262</v>
      </c>
      <c r="E579" s="7" t="s">
        <v>795</v>
      </c>
      <c r="F579" s="6">
        <v>2</v>
      </c>
      <c r="G579" s="8" t="s">
        <v>742</v>
      </c>
      <c r="H579" s="8" t="s">
        <v>743</v>
      </c>
      <c r="I579" s="7" t="s">
        <v>723</v>
      </c>
      <c r="J579" s="8" t="s">
        <v>791</v>
      </c>
      <c r="K579" s="14" t="b">
        <v>0</v>
      </c>
      <c r="L579" s="14" t="b">
        <v>1</v>
      </c>
      <c r="M579" s="14" t="b">
        <v>1</v>
      </c>
      <c r="N579" s="14" t="b">
        <v>0</v>
      </c>
      <c r="O579" s="14" t="b">
        <v>1</v>
      </c>
      <c r="W579" s="3"/>
    </row>
    <row r="580" spans="1:23" x14ac:dyDescent="0.25">
      <c r="A580" s="4">
        <v>3533726001583</v>
      </c>
      <c r="B580" s="8" t="s">
        <v>271</v>
      </c>
      <c r="C580" s="8" t="s">
        <v>261</v>
      </c>
      <c r="D580" s="7" t="s">
        <v>262</v>
      </c>
      <c r="E580" s="7" t="s">
        <v>795</v>
      </c>
      <c r="F580" s="6">
        <v>2</v>
      </c>
      <c r="G580" s="8" t="s">
        <v>766</v>
      </c>
      <c r="H580" s="8" t="s">
        <v>767</v>
      </c>
      <c r="I580" s="7" t="s">
        <v>730</v>
      </c>
      <c r="J580" s="8" t="s">
        <v>791</v>
      </c>
      <c r="K580" s="14" t="b">
        <v>1</v>
      </c>
      <c r="L580" s="14" t="b">
        <v>0</v>
      </c>
      <c r="M580" s="14" t="b">
        <v>0</v>
      </c>
      <c r="N580" s="14" t="b">
        <v>1</v>
      </c>
      <c r="O580" s="14" t="b">
        <v>1</v>
      </c>
      <c r="W580" s="3"/>
    </row>
    <row r="581" spans="1:23" x14ac:dyDescent="0.25">
      <c r="A581" s="4">
        <v>3568867000136</v>
      </c>
      <c r="B581" s="8" t="s">
        <v>514</v>
      </c>
      <c r="C581" s="8" t="s">
        <v>225</v>
      </c>
      <c r="D581" s="7" t="s">
        <v>226</v>
      </c>
      <c r="E581" s="7" t="s">
        <v>795</v>
      </c>
      <c r="F581" s="6">
        <v>2</v>
      </c>
      <c r="G581" s="8" t="s">
        <v>742</v>
      </c>
      <c r="H581" s="8" t="s">
        <v>743</v>
      </c>
      <c r="I581" s="7" t="s">
        <v>723</v>
      </c>
      <c r="J581" s="8" t="s">
        <v>791</v>
      </c>
      <c r="K581" s="14" t="b">
        <v>0</v>
      </c>
      <c r="L581" s="14" t="b">
        <v>1</v>
      </c>
      <c r="M581" s="14" t="b">
        <v>1</v>
      </c>
      <c r="N581" s="14" t="b">
        <v>0</v>
      </c>
      <c r="O581" s="14" t="b">
        <v>1</v>
      </c>
      <c r="W581" s="3"/>
    </row>
    <row r="582" spans="1:23" x14ac:dyDescent="0.25">
      <c r="A582" s="4">
        <v>3568867000136</v>
      </c>
      <c r="B582" s="8" t="s">
        <v>514</v>
      </c>
      <c r="C582" s="8" t="s">
        <v>225</v>
      </c>
      <c r="D582" s="7" t="s">
        <v>226</v>
      </c>
      <c r="E582" s="7" t="s">
        <v>795</v>
      </c>
      <c r="F582" s="6">
        <v>2</v>
      </c>
      <c r="G582" s="8" t="s">
        <v>780</v>
      </c>
      <c r="H582" s="8" t="s">
        <v>781</v>
      </c>
      <c r="I582" s="7" t="s">
        <v>739</v>
      </c>
      <c r="J582" s="8" t="s">
        <v>791</v>
      </c>
      <c r="K582" s="14" t="b">
        <v>1</v>
      </c>
      <c r="L582" s="14" t="b">
        <v>0</v>
      </c>
      <c r="M582" s="14" t="b">
        <v>0</v>
      </c>
      <c r="N582" s="14" t="b">
        <v>1</v>
      </c>
      <c r="O582" s="14" t="b">
        <v>1</v>
      </c>
      <c r="W582" s="3"/>
    </row>
    <row r="583" spans="1:23" x14ac:dyDescent="0.25">
      <c r="A583" s="4">
        <v>3858924000111</v>
      </c>
      <c r="B583" s="8" t="s">
        <v>543</v>
      </c>
      <c r="C583" s="8" t="s">
        <v>544</v>
      </c>
      <c r="D583" s="7" t="s">
        <v>265</v>
      </c>
      <c r="E583" s="7" t="s">
        <v>795</v>
      </c>
      <c r="F583" s="6">
        <v>2</v>
      </c>
      <c r="G583" s="8" t="s">
        <v>748</v>
      </c>
      <c r="H583" s="8" t="s">
        <v>749</v>
      </c>
      <c r="I583" s="7" t="s">
        <v>723</v>
      </c>
      <c r="J583" s="8" t="s">
        <v>791</v>
      </c>
      <c r="K583" s="14" t="b">
        <v>0</v>
      </c>
      <c r="L583" s="14" t="b">
        <v>1</v>
      </c>
      <c r="M583" s="14" t="b">
        <v>1</v>
      </c>
      <c r="N583" s="14" t="b">
        <v>0</v>
      </c>
      <c r="O583" s="14" t="b">
        <v>1</v>
      </c>
      <c r="W583" s="3"/>
    </row>
    <row r="584" spans="1:23" x14ac:dyDescent="0.25">
      <c r="A584" s="4">
        <v>3866223000124</v>
      </c>
      <c r="B584" s="8" t="s">
        <v>599</v>
      </c>
      <c r="C584" s="8" t="s">
        <v>361</v>
      </c>
      <c r="D584" s="7" t="s">
        <v>362</v>
      </c>
      <c r="E584" s="7" t="s">
        <v>795</v>
      </c>
      <c r="F584" s="6">
        <v>2</v>
      </c>
      <c r="G584" s="8" t="s">
        <v>746</v>
      </c>
      <c r="H584" s="8" t="s">
        <v>747</v>
      </c>
      <c r="I584" s="7" t="s">
        <v>723</v>
      </c>
      <c r="J584" s="8" t="s">
        <v>791</v>
      </c>
      <c r="K584" s="14" t="b">
        <v>0</v>
      </c>
      <c r="L584" s="14" t="b">
        <v>1</v>
      </c>
      <c r="M584" s="14" t="b">
        <v>1</v>
      </c>
      <c r="N584" s="14" t="b">
        <v>0</v>
      </c>
      <c r="O584" s="14" t="b">
        <v>1</v>
      </c>
      <c r="W584" s="3"/>
    </row>
    <row r="585" spans="1:23" x14ac:dyDescent="0.25">
      <c r="A585" s="4">
        <v>3904395000145</v>
      </c>
      <c r="B585" s="8" t="s">
        <v>477</v>
      </c>
      <c r="C585" s="8" t="s">
        <v>478</v>
      </c>
      <c r="D585" s="7" t="s">
        <v>265</v>
      </c>
      <c r="E585" s="7" t="s">
        <v>795</v>
      </c>
      <c r="F585" s="6">
        <v>2</v>
      </c>
      <c r="G585" s="8" t="s">
        <v>748</v>
      </c>
      <c r="H585" s="8" t="s">
        <v>749</v>
      </c>
      <c r="I585" s="7" t="s">
        <v>723</v>
      </c>
      <c r="J585" s="8" t="s">
        <v>791</v>
      </c>
      <c r="K585" s="14" t="b">
        <v>0</v>
      </c>
      <c r="L585" s="14" t="b">
        <v>1</v>
      </c>
      <c r="M585" s="14" t="b">
        <v>1</v>
      </c>
      <c r="N585" s="14" t="b">
        <v>0</v>
      </c>
      <c r="O585" s="14" t="b">
        <v>1</v>
      </c>
      <c r="W585" s="3"/>
    </row>
    <row r="586" spans="1:23" x14ac:dyDescent="0.25">
      <c r="A586" s="4">
        <v>3925419000142</v>
      </c>
      <c r="B586" s="8" t="s">
        <v>272</v>
      </c>
      <c r="C586" s="8" t="s">
        <v>261</v>
      </c>
      <c r="D586" s="7" t="s">
        <v>262</v>
      </c>
      <c r="E586" s="7" t="s">
        <v>795</v>
      </c>
      <c r="F586" s="6">
        <v>2</v>
      </c>
      <c r="G586" s="8" t="s">
        <v>742</v>
      </c>
      <c r="H586" s="8" t="s">
        <v>743</v>
      </c>
      <c r="I586" s="7" t="s">
        <v>723</v>
      </c>
      <c r="J586" s="8" t="s">
        <v>791</v>
      </c>
      <c r="K586" s="14" t="b">
        <v>0</v>
      </c>
      <c r="L586" s="14" t="b">
        <v>1</v>
      </c>
      <c r="M586" s="14" t="b">
        <v>1</v>
      </c>
      <c r="N586" s="14" t="b">
        <v>0</v>
      </c>
      <c r="O586" s="14" t="b">
        <v>1</v>
      </c>
      <c r="W586" s="3"/>
    </row>
    <row r="587" spans="1:23" x14ac:dyDescent="0.25">
      <c r="A587" s="4">
        <v>3925419000142</v>
      </c>
      <c r="B587" s="8" t="s">
        <v>272</v>
      </c>
      <c r="C587" s="8" t="s">
        <v>261</v>
      </c>
      <c r="D587" s="7" t="s">
        <v>262</v>
      </c>
      <c r="E587" s="7" t="s">
        <v>795</v>
      </c>
      <c r="F587" s="6">
        <v>2</v>
      </c>
      <c r="G587" s="8" t="s">
        <v>766</v>
      </c>
      <c r="H587" s="8" t="s">
        <v>767</v>
      </c>
      <c r="I587" s="7" t="s">
        <v>730</v>
      </c>
      <c r="J587" s="8" t="s">
        <v>791</v>
      </c>
      <c r="K587" s="14" t="b">
        <v>1</v>
      </c>
      <c r="L587" s="14" t="b">
        <v>0</v>
      </c>
      <c r="M587" s="14" t="b">
        <v>0</v>
      </c>
      <c r="N587" s="14" t="b">
        <v>1</v>
      </c>
      <c r="O587" s="14" t="b">
        <v>1</v>
      </c>
      <c r="W587" s="3"/>
    </row>
    <row r="588" spans="1:23" x14ac:dyDescent="0.25">
      <c r="A588" s="4">
        <v>3989821000190</v>
      </c>
      <c r="B588" s="8" t="s">
        <v>545</v>
      </c>
      <c r="C588" s="8" t="s">
        <v>225</v>
      </c>
      <c r="D588" s="7" t="s">
        <v>226</v>
      </c>
      <c r="E588" s="7" t="s">
        <v>795</v>
      </c>
      <c r="F588" s="6">
        <v>2</v>
      </c>
      <c r="G588" s="8" t="s">
        <v>742</v>
      </c>
      <c r="H588" s="8" t="s">
        <v>743</v>
      </c>
      <c r="I588" s="7" t="s">
        <v>723</v>
      </c>
      <c r="J588" s="8" t="s">
        <v>791</v>
      </c>
      <c r="K588" s="14" t="b">
        <v>0</v>
      </c>
      <c r="L588" s="14" t="b">
        <v>1</v>
      </c>
      <c r="M588" s="14" t="b">
        <v>1</v>
      </c>
      <c r="N588" s="14" t="b">
        <v>0</v>
      </c>
      <c r="O588" s="14" t="b">
        <v>1</v>
      </c>
      <c r="W588" s="3"/>
    </row>
    <row r="589" spans="1:23" x14ac:dyDescent="0.25">
      <c r="A589" s="4">
        <v>3989821000190</v>
      </c>
      <c r="B589" s="8" t="s">
        <v>545</v>
      </c>
      <c r="C589" s="8" t="s">
        <v>225</v>
      </c>
      <c r="D589" s="7" t="s">
        <v>226</v>
      </c>
      <c r="E589" s="7" t="s">
        <v>795</v>
      </c>
      <c r="F589" s="6">
        <v>2</v>
      </c>
      <c r="G589" s="8" t="s">
        <v>780</v>
      </c>
      <c r="H589" s="8" t="s">
        <v>781</v>
      </c>
      <c r="I589" s="7" t="s">
        <v>739</v>
      </c>
      <c r="J589" s="8" t="s">
        <v>791</v>
      </c>
      <c r="K589" s="14" t="b">
        <v>1</v>
      </c>
      <c r="L589" s="14" t="b">
        <v>0</v>
      </c>
      <c r="M589" s="14" t="b">
        <v>0</v>
      </c>
      <c r="N589" s="14" t="b">
        <v>1</v>
      </c>
      <c r="O589" s="14" t="b">
        <v>1</v>
      </c>
      <c r="W589" s="3"/>
    </row>
    <row r="590" spans="1:23" x14ac:dyDescent="0.25">
      <c r="A590" s="4">
        <v>4602792000125</v>
      </c>
      <c r="B590" s="8" t="s">
        <v>274</v>
      </c>
      <c r="C590" s="8" t="s">
        <v>275</v>
      </c>
      <c r="D590" s="7" t="s">
        <v>276</v>
      </c>
      <c r="E590" s="7" t="s">
        <v>795</v>
      </c>
      <c r="F590" s="6">
        <v>2</v>
      </c>
      <c r="G590" s="8" t="s">
        <v>746</v>
      </c>
      <c r="H590" s="8" t="s">
        <v>747</v>
      </c>
      <c r="I590" s="7" t="s">
        <v>723</v>
      </c>
      <c r="J590" s="8" t="s">
        <v>791</v>
      </c>
      <c r="K590" s="14" t="b">
        <v>0</v>
      </c>
      <c r="L590" s="14" t="b">
        <v>1</v>
      </c>
      <c r="M590" s="14" t="b">
        <v>1</v>
      </c>
      <c r="N590" s="14" t="b">
        <v>0</v>
      </c>
      <c r="O590" s="14" t="b">
        <v>1</v>
      </c>
      <c r="W590" s="3"/>
    </row>
    <row r="591" spans="1:23" x14ac:dyDescent="0.25">
      <c r="A591" s="4">
        <v>5055128000257</v>
      </c>
      <c r="B591" s="8" t="s">
        <v>636</v>
      </c>
      <c r="C591" s="8" t="s">
        <v>637</v>
      </c>
      <c r="D591" s="7" t="s">
        <v>229</v>
      </c>
      <c r="E591" s="7" t="s">
        <v>795</v>
      </c>
      <c r="F591" s="6">
        <v>2</v>
      </c>
      <c r="G591" s="8" t="s">
        <v>748</v>
      </c>
      <c r="H591" s="8" t="s">
        <v>749</v>
      </c>
      <c r="I591" s="7" t="s">
        <v>723</v>
      </c>
      <c r="J591" s="8" t="s">
        <v>791</v>
      </c>
      <c r="K591" s="14" t="b">
        <v>0</v>
      </c>
      <c r="L591" s="14" t="b">
        <v>1</v>
      </c>
      <c r="M591" s="14" t="b">
        <v>1</v>
      </c>
      <c r="N591" s="14" t="b">
        <v>0</v>
      </c>
      <c r="O591" s="14" t="b">
        <v>1</v>
      </c>
      <c r="W591" s="3"/>
    </row>
    <row r="592" spans="1:23" x14ac:dyDescent="0.25">
      <c r="A592" s="4">
        <v>5469172000122</v>
      </c>
      <c r="B592" s="8" t="s">
        <v>277</v>
      </c>
      <c r="C592" s="8" t="s">
        <v>278</v>
      </c>
      <c r="D592" s="7" t="s">
        <v>276</v>
      </c>
      <c r="E592" s="7" t="s">
        <v>795</v>
      </c>
      <c r="F592" s="6">
        <v>2</v>
      </c>
      <c r="G592" s="8" t="s">
        <v>746</v>
      </c>
      <c r="H592" s="8" t="s">
        <v>747</v>
      </c>
      <c r="I592" s="7" t="s">
        <v>723</v>
      </c>
      <c r="J592" s="8" t="s">
        <v>791</v>
      </c>
      <c r="K592" s="14" t="b">
        <v>0</v>
      </c>
      <c r="L592" s="14" t="b">
        <v>1</v>
      </c>
      <c r="M592" s="14" t="b">
        <v>1</v>
      </c>
      <c r="N592" s="14" t="b">
        <v>0</v>
      </c>
      <c r="O592" s="14" t="b">
        <v>1</v>
      </c>
      <c r="W592" s="3"/>
    </row>
    <row r="593" spans="1:23" x14ac:dyDescent="0.25">
      <c r="A593" s="4">
        <v>5652543000107</v>
      </c>
      <c r="B593" s="8" t="s">
        <v>420</v>
      </c>
      <c r="C593" s="8" t="s">
        <v>421</v>
      </c>
      <c r="D593" s="7" t="s">
        <v>276</v>
      </c>
      <c r="E593" s="7" t="s">
        <v>795</v>
      </c>
      <c r="F593" s="6">
        <v>2</v>
      </c>
      <c r="G593" s="8" t="s">
        <v>746</v>
      </c>
      <c r="H593" s="8" t="s">
        <v>747</v>
      </c>
      <c r="I593" s="7" t="s">
        <v>723</v>
      </c>
      <c r="J593" s="8" t="s">
        <v>791</v>
      </c>
      <c r="K593" s="14" t="b">
        <v>0</v>
      </c>
      <c r="L593" s="14" t="b">
        <v>1</v>
      </c>
      <c r="M593" s="14" t="b">
        <v>1</v>
      </c>
      <c r="N593" s="14" t="b">
        <v>0</v>
      </c>
      <c r="O593" s="14" t="b">
        <v>1</v>
      </c>
      <c r="W593" s="3"/>
    </row>
    <row r="594" spans="1:23" x14ac:dyDescent="0.25">
      <c r="A594" s="4">
        <v>5816630000152</v>
      </c>
      <c r="B594" s="8" t="s">
        <v>279</v>
      </c>
      <c r="C594" s="8" t="s">
        <v>278</v>
      </c>
      <c r="D594" s="7" t="s">
        <v>276</v>
      </c>
      <c r="E594" s="7" t="s">
        <v>795</v>
      </c>
      <c r="F594" s="6">
        <v>2</v>
      </c>
      <c r="G594" s="8" t="s">
        <v>746</v>
      </c>
      <c r="H594" s="8" t="s">
        <v>747</v>
      </c>
      <c r="I594" s="7" t="s">
        <v>723</v>
      </c>
      <c r="J594" s="8" t="s">
        <v>791</v>
      </c>
      <c r="K594" s="14" t="b">
        <v>0</v>
      </c>
      <c r="L594" s="14" t="b">
        <v>1</v>
      </c>
      <c r="M594" s="14" t="b">
        <v>1</v>
      </c>
      <c r="N594" s="14" t="b">
        <v>0</v>
      </c>
      <c r="O594" s="14" t="b">
        <v>1</v>
      </c>
      <c r="W594" s="3"/>
    </row>
    <row r="595" spans="1:23" x14ac:dyDescent="0.25">
      <c r="A595" s="4">
        <v>5867015000175</v>
      </c>
      <c r="B595" s="8" t="s">
        <v>280</v>
      </c>
      <c r="C595" s="8" t="s">
        <v>281</v>
      </c>
      <c r="D595" s="7" t="s">
        <v>282</v>
      </c>
      <c r="E595" s="7" t="s">
        <v>795</v>
      </c>
      <c r="F595" s="6">
        <v>2</v>
      </c>
      <c r="G595" s="8" t="s">
        <v>744</v>
      </c>
      <c r="H595" s="8" t="s">
        <v>745</v>
      </c>
      <c r="I595" s="7" t="s">
        <v>723</v>
      </c>
      <c r="J595" s="8" t="s">
        <v>791</v>
      </c>
      <c r="K595" s="14" t="b">
        <v>0</v>
      </c>
      <c r="L595" s="14" t="b">
        <v>1</v>
      </c>
      <c r="M595" s="14" t="b">
        <v>1</v>
      </c>
      <c r="N595" s="14" t="b">
        <v>0</v>
      </c>
      <c r="O595" s="14" t="b">
        <v>1</v>
      </c>
      <c r="W595" s="3"/>
    </row>
    <row r="596" spans="1:23" x14ac:dyDescent="0.25">
      <c r="A596" s="4">
        <v>5868278000280</v>
      </c>
      <c r="B596" s="8" t="s">
        <v>283</v>
      </c>
      <c r="C596" s="8" t="s">
        <v>281</v>
      </c>
      <c r="D596" s="7" t="s">
        <v>282</v>
      </c>
      <c r="E596" s="7" t="s">
        <v>795</v>
      </c>
      <c r="F596" s="6">
        <v>2</v>
      </c>
      <c r="G596" s="8" t="s">
        <v>744</v>
      </c>
      <c r="H596" s="8" t="s">
        <v>745</v>
      </c>
      <c r="I596" s="7" t="s">
        <v>723</v>
      </c>
      <c r="J596" s="8" t="s">
        <v>791</v>
      </c>
      <c r="K596" s="14" t="b">
        <v>0</v>
      </c>
      <c r="L596" s="14" t="b">
        <v>1</v>
      </c>
      <c r="M596" s="14" t="b">
        <v>1</v>
      </c>
      <c r="N596" s="14" t="b">
        <v>0</v>
      </c>
      <c r="O596" s="14" t="b">
        <v>1</v>
      </c>
      <c r="W596" s="3"/>
    </row>
    <row r="597" spans="1:23" x14ac:dyDescent="0.25">
      <c r="A597" s="4">
        <v>5874946000109</v>
      </c>
      <c r="B597" s="8" t="s">
        <v>284</v>
      </c>
      <c r="C597" s="8" t="s">
        <v>281</v>
      </c>
      <c r="D597" s="7" t="s">
        <v>282</v>
      </c>
      <c r="E597" s="7" t="s">
        <v>795</v>
      </c>
      <c r="F597" s="6">
        <v>2</v>
      </c>
      <c r="G597" s="8" t="s">
        <v>744</v>
      </c>
      <c r="H597" s="8" t="s">
        <v>745</v>
      </c>
      <c r="I597" s="7" t="s">
        <v>723</v>
      </c>
      <c r="J597" s="8" t="s">
        <v>791</v>
      </c>
      <c r="K597" s="14" t="b">
        <v>0</v>
      </c>
      <c r="L597" s="14" t="b">
        <v>1</v>
      </c>
      <c r="M597" s="14" t="b">
        <v>1</v>
      </c>
      <c r="N597" s="14" t="b">
        <v>0</v>
      </c>
      <c r="O597" s="14" t="b">
        <v>1</v>
      </c>
      <c r="W597" s="3"/>
    </row>
    <row r="598" spans="1:23" x14ac:dyDescent="0.25">
      <c r="A598" s="4">
        <v>5874946000281</v>
      </c>
      <c r="B598" s="8" t="s">
        <v>422</v>
      </c>
      <c r="C598" s="8" t="s">
        <v>281</v>
      </c>
      <c r="D598" s="7" t="s">
        <v>282</v>
      </c>
      <c r="E598" s="7" t="s">
        <v>795</v>
      </c>
      <c r="F598" s="6">
        <v>2</v>
      </c>
      <c r="G598" s="8" t="s">
        <v>744</v>
      </c>
      <c r="H598" s="8" t="s">
        <v>745</v>
      </c>
      <c r="I598" s="7" t="s">
        <v>723</v>
      </c>
      <c r="J598" s="8" t="s">
        <v>791</v>
      </c>
      <c r="K598" s="14" t="b">
        <v>0</v>
      </c>
      <c r="L598" s="14" t="b">
        <v>1</v>
      </c>
      <c r="M598" s="14" t="b">
        <v>1</v>
      </c>
      <c r="N598" s="14" t="b">
        <v>0</v>
      </c>
      <c r="O598" s="14" t="b">
        <v>1</v>
      </c>
      <c r="W598" s="3"/>
    </row>
    <row r="599" spans="1:23" x14ac:dyDescent="0.25">
      <c r="A599" s="4">
        <v>5919720000179</v>
      </c>
      <c r="B599" s="8" t="s">
        <v>638</v>
      </c>
      <c r="C599" s="8" t="s">
        <v>237</v>
      </c>
      <c r="D599" s="7" t="s">
        <v>238</v>
      </c>
      <c r="E599" s="7" t="s">
        <v>795</v>
      </c>
      <c r="F599" s="6">
        <v>2</v>
      </c>
      <c r="G599" s="8" t="s">
        <v>742</v>
      </c>
      <c r="H599" s="8" t="s">
        <v>743</v>
      </c>
      <c r="I599" s="7" t="s">
        <v>723</v>
      </c>
      <c r="J599" s="8" t="s">
        <v>791</v>
      </c>
      <c r="K599" s="14" t="b">
        <v>0</v>
      </c>
      <c r="L599" s="14" t="b">
        <v>1</v>
      </c>
      <c r="M599" s="14" t="b">
        <v>1</v>
      </c>
      <c r="N599" s="14" t="b">
        <v>0</v>
      </c>
      <c r="O599" s="14" t="b">
        <v>1</v>
      </c>
      <c r="W599" s="3"/>
    </row>
    <row r="600" spans="1:23" x14ac:dyDescent="0.25">
      <c r="A600" s="4">
        <v>5919720000179</v>
      </c>
      <c r="B600" s="8" t="s">
        <v>638</v>
      </c>
      <c r="C600" s="8" t="s">
        <v>237</v>
      </c>
      <c r="D600" s="7" t="s">
        <v>238</v>
      </c>
      <c r="E600" s="7" t="s">
        <v>795</v>
      </c>
      <c r="F600" s="6">
        <v>2</v>
      </c>
      <c r="G600" s="8" t="s">
        <v>766</v>
      </c>
      <c r="H600" s="8" t="s">
        <v>767</v>
      </c>
      <c r="I600" s="7" t="s">
        <v>730</v>
      </c>
      <c r="J600" s="8" t="s">
        <v>791</v>
      </c>
      <c r="K600" s="14" t="b">
        <v>1</v>
      </c>
      <c r="L600" s="14" t="b">
        <v>0</v>
      </c>
      <c r="M600" s="14" t="b">
        <v>0</v>
      </c>
      <c r="N600" s="14" t="b">
        <v>1</v>
      </c>
      <c r="O600" s="14" t="b">
        <v>1</v>
      </c>
      <c r="W600" s="3"/>
    </row>
    <row r="601" spans="1:23" x14ac:dyDescent="0.25">
      <c r="A601" s="4">
        <v>6047087001291</v>
      </c>
      <c r="B601" s="8" t="s">
        <v>479</v>
      </c>
      <c r="C601" s="8" t="s">
        <v>480</v>
      </c>
      <c r="D601" s="7" t="s">
        <v>265</v>
      </c>
      <c r="E601" s="7" t="s">
        <v>795</v>
      </c>
      <c r="F601" s="6">
        <v>2</v>
      </c>
      <c r="G601" s="8" t="s">
        <v>748</v>
      </c>
      <c r="H601" s="8" t="s">
        <v>749</v>
      </c>
      <c r="I601" s="7" t="s">
        <v>723</v>
      </c>
      <c r="J601" s="8" t="s">
        <v>791</v>
      </c>
      <c r="K601" s="14" t="b">
        <v>0</v>
      </c>
      <c r="L601" s="14" t="b">
        <v>1</v>
      </c>
      <c r="M601" s="14" t="b">
        <v>1</v>
      </c>
      <c r="N601" s="14" t="b">
        <v>0</v>
      </c>
      <c r="O601" s="14" t="b">
        <v>1</v>
      </c>
      <c r="W601" s="3"/>
    </row>
    <row r="602" spans="1:23" x14ac:dyDescent="0.25">
      <c r="A602" s="4">
        <v>6047087004126</v>
      </c>
      <c r="B602" s="8" t="s">
        <v>287</v>
      </c>
      <c r="C602" s="8" t="s">
        <v>225</v>
      </c>
      <c r="D602" s="7" t="s">
        <v>226</v>
      </c>
      <c r="E602" s="7" t="s">
        <v>795</v>
      </c>
      <c r="F602" s="6">
        <v>2</v>
      </c>
      <c r="G602" s="8" t="s">
        <v>742</v>
      </c>
      <c r="H602" s="8" t="s">
        <v>743</v>
      </c>
      <c r="I602" s="7" t="s">
        <v>723</v>
      </c>
      <c r="J602" s="8" t="s">
        <v>791</v>
      </c>
      <c r="K602" s="14" t="b">
        <v>0</v>
      </c>
      <c r="L602" s="14" t="b">
        <v>1</v>
      </c>
      <c r="M602" s="14" t="b">
        <v>1</v>
      </c>
      <c r="N602" s="14" t="b">
        <v>0</v>
      </c>
      <c r="O602" s="14" t="b">
        <v>1</v>
      </c>
      <c r="W602" s="3"/>
    </row>
    <row r="603" spans="1:23" x14ac:dyDescent="0.25">
      <c r="A603" s="4">
        <v>6047087004126</v>
      </c>
      <c r="B603" s="8" t="s">
        <v>287</v>
      </c>
      <c r="C603" s="8" t="s">
        <v>225</v>
      </c>
      <c r="D603" s="7" t="s">
        <v>226</v>
      </c>
      <c r="E603" s="7" t="s">
        <v>795</v>
      </c>
      <c r="F603" s="6">
        <v>2</v>
      </c>
      <c r="G603" s="8" t="s">
        <v>780</v>
      </c>
      <c r="H603" s="8" t="s">
        <v>781</v>
      </c>
      <c r="I603" s="7" t="s">
        <v>739</v>
      </c>
      <c r="J603" s="8" t="s">
        <v>791</v>
      </c>
      <c r="K603" s="14" t="b">
        <v>1</v>
      </c>
      <c r="L603" s="14" t="b">
        <v>0</v>
      </c>
      <c r="M603" s="14" t="b">
        <v>0</v>
      </c>
      <c r="N603" s="14" t="b">
        <v>1</v>
      </c>
      <c r="O603" s="14" t="b">
        <v>1</v>
      </c>
      <c r="W603" s="3"/>
    </row>
    <row r="604" spans="1:23" x14ac:dyDescent="0.25">
      <c r="A604" s="4">
        <v>6047087004207</v>
      </c>
      <c r="B604" s="8" t="s">
        <v>288</v>
      </c>
      <c r="C604" s="8" t="s">
        <v>225</v>
      </c>
      <c r="D604" s="7" t="s">
        <v>226</v>
      </c>
      <c r="E604" s="7" t="s">
        <v>795</v>
      </c>
      <c r="F604" s="6">
        <v>2</v>
      </c>
      <c r="G604" s="8" t="s">
        <v>742</v>
      </c>
      <c r="H604" s="8" t="s">
        <v>743</v>
      </c>
      <c r="I604" s="7" t="s">
        <v>723</v>
      </c>
      <c r="J604" s="8" t="s">
        <v>791</v>
      </c>
      <c r="K604" s="14" t="b">
        <v>0</v>
      </c>
      <c r="L604" s="14" t="b">
        <v>1</v>
      </c>
      <c r="M604" s="14" t="b">
        <v>1</v>
      </c>
      <c r="N604" s="14" t="b">
        <v>0</v>
      </c>
      <c r="O604" s="14" t="b">
        <v>1</v>
      </c>
      <c r="W604" s="3"/>
    </row>
    <row r="605" spans="1:23" x14ac:dyDescent="0.25">
      <c r="A605" s="4">
        <v>6047087004207</v>
      </c>
      <c r="B605" s="8" t="s">
        <v>288</v>
      </c>
      <c r="C605" s="8" t="s">
        <v>225</v>
      </c>
      <c r="D605" s="7" t="s">
        <v>226</v>
      </c>
      <c r="E605" s="7" t="s">
        <v>795</v>
      </c>
      <c r="F605" s="6">
        <v>2</v>
      </c>
      <c r="G605" s="8" t="s">
        <v>780</v>
      </c>
      <c r="H605" s="8" t="s">
        <v>781</v>
      </c>
      <c r="I605" s="7" t="s">
        <v>739</v>
      </c>
      <c r="J605" s="8" t="s">
        <v>791</v>
      </c>
      <c r="K605" s="14" t="b">
        <v>1</v>
      </c>
      <c r="L605" s="14" t="b">
        <v>0</v>
      </c>
      <c r="M605" s="14" t="b">
        <v>0</v>
      </c>
      <c r="N605" s="14" t="b">
        <v>1</v>
      </c>
      <c r="O605" s="14" t="b">
        <v>1</v>
      </c>
      <c r="W605" s="3"/>
    </row>
    <row r="606" spans="1:23" x14ac:dyDescent="0.25">
      <c r="A606" s="4">
        <v>6047087009276</v>
      </c>
      <c r="B606" s="8" t="s">
        <v>423</v>
      </c>
      <c r="C606" s="8" t="s">
        <v>264</v>
      </c>
      <c r="D606" s="7" t="s">
        <v>265</v>
      </c>
      <c r="E606" s="7" t="s">
        <v>795</v>
      </c>
      <c r="F606" s="6">
        <v>2</v>
      </c>
      <c r="G606" s="8" t="s">
        <v>748</v>
      </c>
      <c r="H606" s="8" t="s">
        <v>749</v>
      </c>
      <c r="I606" s="7" t="s">
        <v>723</v>
      </c>
      <c r="J606" s="8" t="s">
        <v>791</v>
      </c>
      <c r="K606" s="14" t="b">
        <v>0</v>
      </c>
      <c r="L606" s="14" t="b">
        <v>1</v>
      </c>
      <c r="M606" s="14" t="b">
        <v>1</v>
      </c>
      <c r="N606" s="14" t="b">
        <v>0</v>
      </c>
      <c r="O606" s="14" t="b">
        <v>1</v>
      </c>
      <c r="W606" s="3"/>
    </row>
    <row r="607" spans="1:23" x14ac:dyDescent="0.25">
      <c r="A607" s="4">
        <v>6190522000180</v>
      </c>
      <c r="B607" s="8" t="s">
        <v>292</v>
      </c>
      <c r="C607" s="8" t="s">
        <v>293</v>
      </c>
      <c r="D607" s="7" t="s">
        <v>238</v>
      </c>
      <c r="E607" s="7" t="s">
        <v>795</v>
      </c>
      <c r="F607" s="6">
        <v>2</v>
      </c>
      <c r="G607" s="8" t="s">
        <v>742</v>
      </c>
      <c r="H607" s="8" t="s">
        <v>743</v>
      </c>
      <c r="I607" s="7" t="s">
        <v>723</v>
      </c>
      <c r="J607" s="8" t="s">
        <v>791</v>
      </c>
      <c r="K607" s="14" t="b">
        <v>0</v>
      </c>
      <c r="L607" s="14" t="b">
        <v>1</v>
      </c>
      <c r="M607" s="14" t="b">
        <v>1</v>
      </c>
      <c r="N607" s="14" t="b">
        <v>0</v>
      </c>
      <c r="O607" s="14" t="b">
        <v>1</v>
      </c>
      <c r="W607" s="3"/>
    </row>
    <row r="608" spans="1:23" x14ac:dyDescent="0.25">
      <c r="A608" s="4">
        <v>6190522000180</v>
      </c>
      <c r="B608" s="8" t="s">
        <v>292</v>
      </c>
      <c r="C608" s="8" t="s">
        <v>293</v>
      </c>
      <c r="D608" s="7" t="s">
        <v>238</v>
      </c>
      <c r="E608" s="7" t="s">
        <v>795</v>
      </c>
      <c r="F608" s="6">
        <v>2</v>
      </c>
      <c r="G608" s="8" t="s">
        <v>766</v>
      </c>
      <c r="H608" s="8" t="s">
        <v>767</v>
      </c>
      <c r="I608" s="7" t="s">
        <v>730</v>
      </c>
      <c r="J608" s="8" t="s">
        <v>791</v>
      </c>
      <c r="K608" s="14" t="b">
        <v>1</v>
      </c>
      <c r="L608" s="14" t="b">
        <v>0</v>
      </c>
      <c r="M608" s="14" t="b">
        <v>0</v>
      </c>
      <c r="N608" s="14" t="b">
        <v>1</v>
      </c>
      <c r="O608" s="14" t="b">
        <v>1</v>
      </c>
      <c r="W608" s="3"/>
    </row>
    <row r="609" spans="1:23" x14ac:dyDescent="0.25">
      <c r="A609" s="4">
        <v>6337035000105</v>
      </c>
      <c r="B609" s="8" t="s">
        <v>639</v>
      </c>
      <c r="C609" s="8" t="s">
        <v>237</v>
      </c>
      <c r="D609" s="7" t="s">
        <v>238</v>
      </c>
      <c r="E609" s="7" t="s">
        <v>795</v>
      </c>
      <c r="F609" s="6">
        <v>2</v>
      </c>
      <c r="G609" s="8" t="s">
        <v>742</v>
      </c>
      <c r="H609" s="8" t="s">
        <v>743</v>
      </c>
      <c r="I609" s="7" t="s">
        <v>723</v>
      </c>
      <c r="J609" s="8" t="s">
        <v>791</v>
      </c>
      <c r="K609" s="14" t="b">
        <v>0</v>
      </c>
      <c r="L609" s="14" t="b">
        <v>1</v>
      </c>
      <c r="M609" s="14" t="b">
        <v>1</v>
      </c>
      <c r="N609" s="14" t="b">
        <v>0</v>
      </c>
      <c r="O609" s="14" t="b">
        <v>1</v>
      </c>
      <c r="W609" s="3"/>
    </row>
    <row r="610" spans="1:23" x14ac:dyDescent="0.25">
      <c r="A610" s="4">
        <v>6337035000105</v>
      </c>
      <c r="B610" s="8" t="s">
        <v>639</v>
      </c>
      <c r="C610" s="8" t="s">
        <v>237</v>
      </c>
      <c r="D610" s="7" t="s">
        <v>238</v>
      </c>
      <c r="E610" s="7" t="s">
        <v>795</v>
      </c>
      <c r="F610" s="6">
        <v>2</v>
      </c>
      <c r="G610" s="8" t="s">
        <v>766</v>
      </c>
      <c r="H610" s="8" t="s">
        <v>767</v>
      </c>
      <c r="I610" s="7" t="s">
        <v>730</v>
      </c>
      <c r="J610" s="8" t="s">
        <v>791</v>
      </c>
      <c r="K610" s="14" t="b">
        <v>1</v>
      </c>
      <c r="L610" s="14" t="b">
        <v>0</v>
      </c>
      <c r="M610" s="14" t="b">
        <v>0</v>
      </c>
      <c r="N610" s="14" t="b">
        <v>1</v>
      </c>
      <c r="O610" s="14" t="b">
        <v>1</v>
      </c>
      <c r="W610" s="3"/>
    </row>
    <row r="611" spans="1:23" x14ac:dyDescent="0.25">
      <c r="A611" s="4">
        <v>6555031000276</v>
      </c>
      <c r="B611" s="8" t="s">
        <v>294</v>
      </c>
      <c r="C611" s="8" t="s">
        <v>295</v>
      </c>
      <c r="D611" s="7" t="s">
        <v>296</v>
      </c>
      <c r="E611" s="7" t="s">
        <v>795</v>
      </c>
      <c r="F611" s="6">
        <v>2</v>
      </c>
      <c r="G611" s="8" t="s">
        <v>744</v>
      </c>
      <c r="H611" s="8" t="s">
        <v>745</v>
      </c>
      <c r="I611" s="7" t="s">
        <v>723</v>
      </c>
      <c r="J611" s="8" t="s">
        <v>791</v>
      </c>
      <c r="K611" s="14" t="b">
        <v>0</v>
      </c>
      <c r="L611" s="14" t="b">
        <v>1</v>
      </c>
      <c r="M611" s="14" t="b">
        <v>1</v>
      </c>
      <c r="N611" s="14" t="b">
        <v>0</v>
      </c>
      <c r="O611" s="14" t="b">
        <v>1</v>
      </c>
      <c r="W611" s="3"/>
    </row>
    <row r="612" spans="1:23" x14ac:dyDescent="0.25">
      <c r="A612" s="4">
        <v>7245269000187</v>
      </c>
      <c r="B612" s="8" t="s">
        <v>424</v>
      </c>
      <c r="C612" s="8" t="s">
        <v>281</v>
      </c>
      <c r="D612" s="7" t="s">
        <v>282</v>
      </c>
      <c r="E612" s="7" t="s">
        <v>795</v>
      </c>
      <c r="F612" s="6">
        <v>2</v>
      </c>
      <c r="G612" s="8" t="s">
        <v>744</v>
      </c>
      <c r="H612" s="8" t="s">
        <v>745</v>
      </c>
      <c r="I612" s="7" t="s">
        <v>723</v>
      </c>
      <c r="J612" s="8" t="s">
        <v>791</v>
      </c>
      <c r="K612" s="14" t="b">
        <v>0</v>
      </c>
      <c r="L612" s="14" t="b">
        <v>1</v>
      </c>
      <c r="M612" s="14" t="b">
        <v>1</v>
      </c>
      <c r="N612" s="14" t="b">
        <v>0</v>
      </c>
      <c r="O612" s="14" t="b">
        <v>1</v>
      </c>
      <c r="W612" s="3"/>
    </row>
    <row r="613" spans="1:23" x14ac:dyDescent="0.25">
      <c r="A613" s="4">
        <v>7272404000183</v>
      </c>
      <c r="B613" s="8" t="s">
        <v>551</v>
      </c>
      <c r="C613" s="8" t="s">
        <v>281</v>
      </c>
      <c r="D613" s="7" t="s">
        <v>282</v>
      </c>
      <c r="E613" s="7" t="s">
        <v>795</v>
      </c>
      <c r="F613" s="6">
        <v>2</v>
      </c>
      <c r="G613" s="8" t="s">
        <v>744</v>
      </c>
      <c r="H613" s="8" t="s">
        <v>745</v>
      </c>
      <c r="I613" s="7" t="s">
        <v>723</v>
      </c>
      <c r="J613" s="8" t="s">
        <v>791</v>
      </c>
      <c r="K613" s="14" t="b">
        <v>0</v>
      </c>
      <c r="L613" s="14" t="b">
        <v>1</v>
      </c>
      <c r="M613" s="14" t="b">
        <v>1</v>
      </c>
      <c r="N613" s="14" t="b">
        <v>0</v>
      </c>
      <c r="O613" s="14" t="b">
        <v>1</v>
      </c>
      <c r="W613" s="3"/>
    </row>
    <row r="614" spans="1:23" x14ac:dyDescent="0.25">
      <c r="A614" s="4">
        <v>7272636000212</v>
      </c>
      <c r="B614" s="8" t="s">
        <v>297</v>
      </c>
      <c r="C614" s="8" t="s">
        <v>281</v>
      </c>
      <c r="D614" s="7" t="s">
        <v>282</v>
      </c>
      <c r="E614" s="7" t="s">
        <v>795</v>
      </c>
      <c r="F614" s="6">
        <v>2</v>
      </c>
      <c r="G614" s="8" t="s">
        <v>744</v>
      </c>
      <c r="H614" s="8" t="s">
        <v>745</v>
      </c>
      <c r="I614" s="7" t="s">
        <v>723</v>
      </c>
      <c r="J614" s="8" t="s">
        <v>791</v>
      </c>
      <c r="K614" s="14" t="b">
        <v>0</v>
      </c>
      <c r="L614" s="14" t="b">
        <v>1</v>
      </c>
      <c r="M614" s="14" t="b">
        <v>1</v>
      </c>
      <c r="N614" s="14" t="b">
        <v>0</v>
      </c>
      <c r="O614" s="14" t="b">
        <v>1</v>
      </c>
      <c r="W614" s="3"/>
    </row>
    <row r="615" spans="1:23" x14ac:dyDescent="0.25">
      <c r="A615" s="4">
        <v>7750144000104</v>
      </c>
      <c r="B615" s="8" t="s">
        <v>601</v>
      </c>
      <c r="C615" s="8" t="s">
        <v>310</v>
      </c>
      <c r="D615" s="7" t="s">
        <v>268</v>
      </c>
      <c r="E615" s="7" t="s">
        <v>795</v>
      </c>
      <c r="F615" s="6">
        <v>2</v>
      </c>
      <c r="G615" s="8" t="s">
        <v>744</v>
      </c>
      <c r="H615" s="8" t="s">
        <v>745</v>
      </c>
      <c r="I615" s="7" t="s">
        <v>723</v>
      </c>
      <c r="J615" s="8" t="s">
        <v>791</v>
      </c>
      <c r="K615" s="14" t="b">
        <v>0</v>
      </c>
      <c r="L615" s="14" t="b">
        <v>1</v>
      </c>
      <c r="M615" s="14" t="b">
        <v>1</v>
      </c>
      <c r="N615" s="14" t="b">
        <v>0</v>
      </c>
      <c r="O615" s="14" t="b">
        <v>1</v>
      </c>
      <c r="W615" s="3"/>
    </row>
    <row r="616" spans="1:23" x14ac:dyDescent="0.25">
      <c r="A616" s="4">
        <v>7775847000278</v>
      </c>
      <c r="B616" s="8" t="s">
        <v>602</v>
      </c>
      <c r="C616" s="8" t="s">
        <v>603</v>
      </c>
      <c r="D616" s="7" t="s">
        <v>250</v>
      </c>
      <c r="E616" s="7" t="s">
        <v>795</v>
      </c>
      <c r="F616" s="6">
        <v>2</v>
      </c>
      <c r="G616" s="8" t="s">
        <v>742</v>
      </c>
      <c r="H616" s="8" t="s">
        <v>743</v>
      </c>
      <c r="I616" s="7" t="s">
        <v>723</v>
      </c>
      <c r="J616" s="8" t="s">
        <v>791</v>
      </c>
      <c r="K616" s="14" t="b">
        <v>0</v>
      </c>
      <c r="L616" s="14" t="b">
        <v>1</v>
      </c>
      <c r="M616" s="14" t="b">
        <v>1</v>
      </c>
      <c r="N616" s="14" t="b">
        <v>0</v>
      </c>
      <c r="O616" s="14" t="b">
        <v>1</v>
      </c>
      <c r="W616" s="3"/>
    </row>
    <row r="617" spans="1:23" x14ac:dyDescent="0.25">
      <c r="A617" s="4">
        <v>7775847000278</v>
      </c>
      <c r="B617" s="8" t="s">
        <v>602</v>
      </c>
      <c r="C617" s="8" t="s">
        <v>603</v>
      </c>
      <c r="D617" s="7" t="s">
        <v>250</v>
      </c>
      <c r="E617" s="7" t="s">
        <v>795</v>
      </c>
      <c r="F617" s="6">
        <v>2</v>
      </c>
      <c r="G617" s="8" t="s">
        <v>766</v>
      </c>
      <c r="H617" s="8" t="s">
        <v>767</v>
      </c>
      <c r="I617" s="7" t="s">
        <v>730</v>
      </c>
      <c r="J617" s="8" t="s">
        <v>791</v>
      </c>
      <c r="K617" s="14" t="b">
        <v>1</v>
      </c>
      <c r="L617" s="14" t="b">
        <v>0</v>
      </c>
      <c r="M617" s="14" t="b">
        <v>0</v>
      </c>
      <c r="N617" s="14" t="b">
        <v>1</v>
      </c>
      <c r="O617" s="14" t="b">
        <v>1</v>
      </c>
      <c r="W617" s="3"/>
    </row>
    <row r="618" spans="1:23" x14ac:dyDescent="0.25">
      <c r="A618" s="4">
        <v>7794623005191</v>
      </c>
      <c r="B618" s="8" t="s">
        <v>554</v>
      </c>
      <c r="C618" s="8" t="s">
        <v>225</v>
      </c>
      <c r="D618" s="7" t="s">
        <v>226</v>
      </c>
      <c r="E618" s="7" t="s">
        <v>795</v>
      </c>
      <c r="F618" s="6">
        <v>2</v>
      </c>
      <c r="G618" s="8" t="s">
        <v>742</v>
      </c>
      <c r="H618" s="8" t="s">
        <v>743</v>
      </c>
      <c r="I618" s="7" t="s">
        <v>723</v>
      </c>
      <c r="J618" s="8" t="s">
        <v>791</v>
      </c>
      <c r="K618" s="14" t="b">
        <v>0</v>
      </c>
      <c r="L618" s="14" t="b">
        <v>1</v>
      </c>
      <c r="M618" s="14" t="b">
        <v>1</v>
      </c>
      <c r="N618" s="14" t="b">
        <v>0</v>
      </c>
      <c r="O618" s="14" t="b">
        <v>1</v>
      </c>
      <c r="W618" s="3"/>
    </row>
    <row r="619" spans="1:23" x14ac:dyDescent="0.25">
      <c r="A619" s="4">
        <v>7794623005191</v>
      </c>
      <c r="B619" s="8" t="s">
        <v>554</v>
      </c>
      <c r="C619" s="8" t="s">
        <v>225</v>
      </c>
      <c r="D619" s="7" t="s">
        <v>226</v>
      </c>
      <c r="E619" s="7" t="s">
        <v>795</v>
      </c>
      <c r="F619" s="6">
        <v>2</v>
      </c>
      <c r="G619" s="8" t="s">
        <v>780</v>
      </c>
      <c r="H619" s="8" t="s">
        <v>781</v>
      </c>
      <c r="I619" s="7" t="s">
        <v>739</v>
      </c>
      <c r="J619" s="8" t="s">
        <v>791</v>
      </c>
      <c r="K619" s="14" t="b">
        <v>1</v>
      </c>
      <c r="L619" s="14" t="b">
        <v>0</v>
      </c>
      <c r="M619" s="14" t="b">
        <v>0</v>
      </c>
      <c r="N619" s="14" t="b">
        <v>1</v>
      </c>
      <c r="O619" s="14" t="b">
        <v>1</v>
      </c>
      <c r="W619" s="3"/>
    </row>
    <row r="620" spans="1:23" x14ac:dyDescent="0.25">
      <c r="A620" s="4">
        <v>7835044000180</v>
      </c>
      <c r="B620" s="8" t="s">
        <v>300</v>
      </c>
      <c r="C620" s="8" t="s">
        <v>281</v>
      </c>
      <c r="D620" s="7" t="s">
        <v>282</v>
      </c>
      <c r="E620" s="7" t="s">
        <v>795</v>
      </c>
      <c r="F620" s="6">
        <v>2</v>
      </c>
      <c r="G620" s="8" t="s">
        <v>744</v>
      </c>
      <c r="H620" s="8" t="s">
        <v>745</v>
      </c>
      <c r="I620" s="7" t="s">
        <v>723</v>
      </c>
      <c r="J620" s="8" t="s">
        <v>791</v>
      </c>
      <c r="K620" s="14" t="b">
        <v>0</v>
      </c>
      <c r="L620" s="14" t="b">
        <v>1</v>
      </c>
      <c r="M620" s="14" t="b">
        <v>1</v>
      </c>
      <c r="N620" s="14" t="b">
        <v>0</v>
      </c>
      <c r="O620" s="14" t="b">
        <v>1</v>
      </c>
      <c r="W620" s="3"/>
    </row>
    <row r="621" spans="1:23" x14ac:dyDescent="0.25">
      <c r="A621" s="4">
        <v>8319329000121</v>
      </c>
      <c r="B621" s="8" t="s">
        <v>301</v>
      </c>
      <c r="C621" s="8" t="s">
        <v>246</v>
      </c>
      <c r="D621" s="7" t="s">
        <v>247</v>
      </c>
      <c r="E621" s="7" t="s">
        <v>795</v>
      </c>
      <c r="F621" s="6">
        <v>2</v>
      </c>
      <c r="G621" s="8" t="s">
        <v>748</v>
      </c>
      <c r="H621" s="8" t="s">
        <v>749</v>
      </c>
      <c r="I621" s="7" t="s">
        <v>723</v>
      </c>
      <c r="J621" s="8" t="s">
        <v>791</v>
      </c>
      <c r="K621" s="14" t="b">
        <v>0</v>
      </c>
      <c r="L621" s="14" t="b">
        <v>1</v>
      </c>
      <c r="M621" s="14" t="b">
        <v>1</v>
      </c>
      <c r="N621" s="14" t="b">
        <v>0</v>
      </c>
      <c r="O621" s="14" t="b">
        <v>1</v>
      </c>
      <c r="W621" s="3"/>
    </row>
    <row r="622" spans="1:23" x14ac:dyDescent="0.25">
      <c r="A622" s="4">
        <v>8337586000196</v>
      </c>
      <c r="B622" s="8" t="s">
        <v>302</v>
      </c>
      <c r="C622" s="8" t="s">
        <v>246</v>
      </c>
      <c r="D622" s="7" t="s">
        <v>247</v>
      </c>
      <c r="E622" s="7" t="s">
        <v>795</v>
      </c>
      <c r="F622" s="6">
        <v>2</v>
      </c>
      <c r="G622" s="8" t="s">
        <v>748</v>
      </c>
      <c r="H622" s="8" t="s">
        <v>749</v>
      </c>
      <c r="I622" s="7" t="s">
        <v>723</v>
      </c>
      <c r="J622" s="8" t="s">
        <v>791</v>
      </c>
      <c r="K622" s="14" t="b">
        <v>0</v>
      </c>
      <c r="L622" s="14" t="b">
        <v>1</v>
      </c>
      <c r="M622" s="14" t="b">
        <v>1</v>
      </c>
      <c r="N622" s="14" t="b">
        <v>0</v>
      </c>
      <c r="O622" s="14" t="b">
        <v>1</v>
      </c>
      <c r="W622" s="3"/>
    </row>
    <row r="623" spans="1:23" x14ac:dyDescent="0.25">
      <c r="A623" s="4">
        <v>8380701000610</v>
      </c>
      <c r="B623" s="8" t="s">
        <v>555</v>
      </c>
      <c r="C623" s="8" t="s">
        <v>246</v>
      </c>
      <c r="D623" s="7" t="s">
        <v>247</v>
      </c>
      <c r="E623" s="7" t="s">
        <v>795</v>
      </c>
      <c r="F623" s="6">
        <v>2</v>
      </c>
      <c r="G623" s="8" t="s">
        <v>748</v>
      </c>
      <c r="H623" s="8" t="s">
        <v>749</v>
      </c>
      <c r="I623" s="7" t="s">
        <v>723</v>
      </c>
      <c r="J623" s="8" t="s">
        <v>791</v>
      </c>
      <c r="K623" s="14" t="b">
        <v>0</v>
      </c>
      <c r="L623" s="14" t="b">
        <v>1</v>
      </c>
      <c r="M623" s="14" t="b">
        <v>1</v>
      </c>
      <c r="N623" s="14" t="b">
        <v>0</v>
      </c>
      <c r="O623" s="14" t="b">
        <v>1</v>
      </c>
      <c r="W623" s="3"/>
    </row>
    <row r="624" spans="1:23" x14ac:dyDescent="0.25">
      <c r="A624" s="4">
        <v>8380701001772</v>
      </c>
      <c r="B624" s="8" t="s">
        <v>426</v>
      </c>
      <c r="C624" s="8" t="s">
        <v>246</v>
      </c>
      <c r="D624" s="7" t="s">
        <v>247</v>
      </c>
      <c r="E624" s="7" t="s">
        <v>795</v>
      </c>
      <c r="F624" s="6">
        <v>2</v>
      </c>
      <c r="G624" s="8" t="s">
        <v>748</v>
      </c>
      <c r="H624" s="8" t="s">
        <v>749</v>
      </c>
      <c r="I624" s="7" t="s">
        <v>723</v>
      </c>
      <c r="J624" s="8" t="s">
        <v>791</v>
      </c>
      <c r="K624" s="14" t="b">
        <v>0</v>
      </c>
      <c r="L624" s="14" t="b">
        <v>1</v>
      </c>
      <c r="M624" s="14" t="b">
        <v>1</v>
      </c>
      <c r="N624" s="14" t="b">
        <v>0</v>
      </c>
      <c r="O624" s="14" t="b">
        <v>1</v>
      </c>
      <c r="W624" s="3"/>
    </row>
    <row r="625" spans="1:23" x14ac:dyDescent="0.25">
      <c r="A625" s="4">
        <v>8680639000681</v>
      </c>
      <c r="B625" s="8" t="s">
        <v>303</v>
      </c>
      <c r="C625" s="8" t="s">
        <v>228</v>
      </c>
      <c r="D625" s="7" t="s">
        <v>229</v>
      </c>
      <c r="E625" s="7" t="s">
        <v>795</v>
      </c>
      <c r="F625" s="6">
        <v>2</v>
      </c>
      <c r="G625" s="8" t="s">
        <v>748</v>
      </c>
      <c r="H625" s="8" t="s">
        <v>749</v>
      </c>
      <c r="I625" s="7" t="s">
        <v>723</v>
      </c>
      <c r="J625" s="8" t="s">
        <v>791</v>
      </c>
      <c r="K625" s="14" t="b">
        <v>0</v>
      </c>
      <c r="L625" s="14" t="b">
        <v>1</v>
      </c>
      <c r="M625" s="14" t="b">
        <v>1</v>
      </c>
      <c r="N625" s="14" t="b">
        <v>0</v>
      </c>
      <c r="O625" s="14" t="b">
        <v>1</v>
      </c>
      <c r="W625" s="3"/>
    </row>
    <row r="626" spans="1:23" x14ac:dyDescent="0.25">
      <c r="A626" s="4">
        <v>9039744000275</v>
      </c>
      <c r="B626" s="8" t="s">
        <v>429</v>
      </c>
      <c r="C626" s="8" t="s">
        <v>430</v>
      </c>
      <c r="D626" s="7" t="s">
        <v>265</v>
      </c>
      <c r="E626" s="7" t="s">
        <v>795</v>
      </c>
      <c r="F626" s="6">
        <v>2</v>
      </c>
      <c r="G626" s="8" t="s">
        <v>748</v>
      </c>
      <c r="H626" s="8" t="s">
        <v>749</v>
      </c>
      <c r="I626" s="7" t="s">
        <v>723</v>
      </c>
      <c r="J626" s="8" t="s">
        <v>791</v>
      </c>
      <c r="K626" s="14" t="b">
        <v>0</v>
      </c>
      <c r="L626" s="14" t="b">
        <v>1</v>
      </c>
      <c r="M626" s="14" t="b">
        <v>1</v>
      </c>
      <c r="N626" s="14" t="b">
        <v>0</v>
      </c>
      <c r="O626" s="14" t="b">
        <v>1</v>
      </c>
      <c r="W626" s="3"/>
    </row>
    <row r="627" spans="1:23" x14ac:dyDescent="0.25">
      <c r="A627" s="4">
        <v>9104513000974</v>
      </c>
      <c r="B627" s="8" t="s">
        <v>556</v>
      </c>
      <c r="C627" s="8" t="s">
        <v>225</v>
      </c>
      <c r="D627" s="7" t="s">
        <v>226</v>
      </c>
      <c r="E627" s="7" t="s">
        <v>795</v>
      </c>
      <c r="F627" s="6">
        <v>2</v>
      </c>
      <c r="G627" s="8" t="s">
        <v>742</v>
      </c>
      <c r="H627" s="8" t="s">
        <v>743</v>
      </c>
      <c r="I627" s="7" t="s">
        <v>723</v>
      </c>
      <c r="J627" s="8" t="s">
        <v>791</v>
      </c>
      <c r="K627" s="14" t="b">
        <v>0</v>
      </c>
      <c r="L627" s="14" t="b">
        <v>1</v>
      </c>
      <c r="M627" s="14" t="b">
        <v>1</v>
      </c>
      <c r="N627" s="14" t="b">
        <v>0</v>
      </c>
      <c r="O627" s="14" t="b">
        <v>1</v>
      </c>
      <c r="W627" s="3"/>
    </row>
    <row r="628" spans="1:23" x14ac:dyDescent="0.25">
      <c r="A628" s="4">
        <v>9104513000974</v>
      </c>
      <c r="B628" s="8" t="s">
        <v>556</v>
      </c>
      <c r="C628" s="8" t="s">
        <v>225</v>
      </c>
      <c r="D628" s="7" t="s">
        <v>226</v>
      </c>
      <c r="E628" s="7" t="s">
        <v>795</v>
      </c>
      <c r="F628" s="6">
        <v>2</v>
      </c>
      <c r="G628" s="8" t="s">
        <v>780</v>
      </c>
      <c r="H628" s="8" t="s">
        <v>781</v>
      </c>
      <c r="I628" s="7" t="s">
        <v>739</v>
      </c>
      <c r="J628" s="8" t="s">
        <v>791</v>
      </c>
      <c r="K628" s="14" t="b">
        <v>1</v>
      </c>
      <c r="L628" s="14" t="b">
        <v>0</v>
      </c>
      <c r="M628" s="14" t="b">
        <v>0</v>
      </c>
      <c r="N628" s="14" t="b">
        <v>1</v>
      </c>
      <c r="O628" s="14" t="b">
        <v>1</v>
      </c>
      <c r="W628" s="3"/>
    </row>
    <row r="629" spans="1:23" x14ac:dyDescent="0.25">
      <c r="A629" s="4">
        <v>9192098000109</v>
      </c>
      <c r="B629" s="8" t="s">
        <v>640</v>
      </c>
      <c r="C629" s="8" t="s">
        <v>641</v>
      </c>
      <c r="D629" s="7" t="s">
        <v>268</v>
      </c>
      <c r="E629" s="7" t="s">
        <v>795</v>
      </c>
      <c r="F629" s="6">
        <v>2</v>
      </c>
      <c r="G629" s="8" t="s">
        <v>744</v>
      </c>
      <c r="H629" s="8" t="s">
        <v>745</v>
      </c>
      <c r="I629" s="7" t="s">
        <v>723</v>
      </c>
      <c r="J629" s="8" t="s">
        <v>791</v>
      </c>
      <c r="K629" s="14" t="b">
        <v>0</v>
      </c>
      <c r="L629" s="14" t="b">
        <v>1</v>
      </c>
      <c r="M629" s="14" t="b">
        <v>1</v>
      </c>
      <c r="N629" s="14" t="b">
        <v>0</v>
      </c>
      <c r="O629" s="14" t="b">
        <v>1</v>
      </c>
      <c r="W629" s="3"/>
    </row>
    <row r="630" spans="1:23" x14ac:dyDescent="0.25">
      <c r="A630" s="4">
        <v>10572048000209</v>
      </c>
      <c r="B630" s="8" t="s">
        <v>560</v>
      </c>
      <c r="C630" s="8" t="s">
        <v>264</v>
      </c>
      <c r="D630" s="7" t="s">
        <v>265</v>
      </c>
      <c r="E630" s="7" t="s">
        <v>795</v>
      </c>
      <c r="F630" s="6">
        <v>2</v>
      </c>
      <c r="G630" s="8" t="s">
        <v>748</v>
      </c>
      <c r="H630" s="8" t="s">
        <v>749</v>
      </c>
      <c r="I630" s="7" t="s">
        <v>723</v>
      </c>
      <c r="J630" s="8" t="s">
        <v>791</v>
      </c>
      <c r="K630" s="14" t="b">
        <v>0</v>
      </c>
      <c r="L630" s="14" t="b">
        <v>1</v>
      </c>
      <c r="M630" s="14" t="b">
        <v>1</v>
      </c>
      <c r="N630" s="14" t="b">
        <v>0</v>
      </c>
      <c r="O630" s="14" t="b">
        <v>1</v>
      </c>
      <c r="W630" s="3"/>
    </row>
    <row r="631" spans="1:23" x14ac:dyDescent="0.25">
      <c r="A631" s="4">
        <v>10839561000132</v>
      </c>
      <c r="B631" s="8" t="s">
        <v>306</v>
      </c>
      <c r="C631" s="8" t="s">
        <v>264</v>
      </c>
      <c r="D631" s="7" t="s">
        <v>265</v>
      </c>
      <c r="E631" s="7" t="s">
        <v>795</v>
      </c>
      <c r="F631" s="6">
        <v>2</v>
      </c>
      <c r="G631" s="8" t="s">
        <v>748</v>
      </c>
      <c r="H631" s="8" t="s">
        <v>749</v>
      </c>
      <c r="I631" s="7" t="s">
        <v>723</v>
      </c>
      <c r="J631" s="8" t="s">
        <v>791</v>
      </c>
      <c r="K631" s="14" t="b">
        <v>0</v>
      </c>
      <c r="L631" s="14" t="b">
        <v>1</v>
      </c>
      <c r="M631" s="14" t="b">
        <v>1</v>
      </c>
      <c r="N631" s="14" t="b">
        <v>0</v>
      </c>
      <c r="O631" s="14" t="b">
        <v>1</v>
      </c>
      <c r="W631" s="3"/>
    </row>
    <row r="632" spans="1:23" x14ac:dyDescent="0.25">
      <c r="A632" s="4">
        <v>10892164000124</v>
      </c>
      <c r="B632" s="8" t="s">
        <v>307</v>
      </c>
      <c r="C632" s="8" t="s">
        <v>264</v>
      </c>
      <c r="D632" s="7" t="s">
        <v>265</v>
      </c>
      <c r="E632" s="7" t="s">
        <v>795</v>
      </c>
      <c r="F632" s="6">
        <v>2</v>
      </c>
      <c r="G632" s="8" t="s">
        <v>748</v>
      </c>
      <c r="H632" s="8" t="s">
        <v>749</v>
      </c>
      <c r="I632" s="7" t="s">
        <v>723</v>
      </c>
      <c r="J632" s="8" t="s">
        <v>791</v>
      </c>
      <c r="K632" s="14" t="b">
        <v>0</v>
      </c>
      <c r="L632" s="14" t="b">
        <v>1</v>
      </c>
      <c r="M632" s="14" t="b">
        <v>1</v>
      </c>
      <c r="N632" s="14" t="b">
        <v>0</v>
      </c>
      <c r="O632" s="14" t="b">
        <v>1</v>
      </c>
      <c r="W632" s="3"/>
    </row>
    <row r="633" spans="1:23" x14ac:dyDescent="0.25">
      <c r="A633" s="4">
        <v>10942995000163</v>
      </c>
      <c r="B633" s="8" t="s">
        <v>433</v>
      </c>
      <c r="C633" s="8" t="s">
        <v>225</v>
      </c>
      <c r="D633" s="7" t="s">
        <v>226</v>
      </c>
      <c r="E633" s="7" t="s">
        <v>795</v>
      </c>
      <c r="F633" s="6">
        <v>2</v>
      </c>
      <c r="G633" s="8" t="s">
        <v>742</v>
      </c>
      <c r="H633" s="8" t="s">
        <v>743</v>
      </c>
      <c r="I633" s="7" t="s">
        <v>723</v>
      </c>
      <c r="J633" s="8" t="s">
        <v>791</v>
      </c>
      <c r="K633" s="14" t="b">
        <v>0</v>
      </c>
      <c r="L633" s="14" t="b">
        <v>1</v>
      </c>
      <c r="M633" s="14" t="b">
        <v>1</v>
      </c>
      <c r="N633" s="14" t="b">
        <v>0</v>
      </c>
      <c r="O633" s="14" t="b">
        <v>1</v>
      </c>
      <c r="W633" s="3"/>
    </row>
    <row r="634" spans="1:23" x14ac:dyDescent="0.25">
      <c r="A634" s="4">
        <v>10942995000163</v>
      </c>
      <c r="B634" s="8" t="s">
        <v>433</v>
      </c>
      <c r="C634" s="8" t="s">
        <v>225</v>
      </c>
      <c r="D634" s="7" t="s">
        <v>226</v>
      </c>
      <c r="E634" s="7" t="s">
        <v>795</v>
      </c>
      <c r="F634" s="6">
        <v>2</v>
      </c>
      <c r="G634" s="8" t="s">
        <v>780</v>
      </c>
      <c r="H634" s="8" t="s">
        <v>781</v>
      </c>
      <c r="I634" s="7" t="s">
        <v>739</v>
      </c>
      <c r="J634" s="8" t="s">
        <v>791</v>
      </c>
      <c r="K634" s="14" t="b">
        <v>1</v>
      </c>
      <c r="L634" s="14" t="b">
        <v>0</v>
      </c>
      <c r="M634" s="14" t="b">
        <v>0</v>
      </c>
      <c r="N634" s="14" t="b">
        <v>1</v>
      </c>
      <c r="O634" s="14" t="b">
        <v>1</v>
      </c>
      <c r="W634" s="3"/>
    </row>
    <row r="635" spans="1:23" x14ac:dyDescent="0.25">
      <c r="A635" s="4">
        <v>10988301000129</v>
      </c>
      <c r="B635" s="8" t="s">
        <v>308</v>
      </c>
      <c r="C635" s="8" t="s">
        <v>264</v>
      </c>
      <c r="D635" s="7" t="s">
        <v>265</v>
      </c>
      <c r="E635" s="7" t="s">
        <v>795</v>
      </c>
      <c r="F635" s="6">
        <v>2</v>
      </c>
      <c r="G635" s="8" t="s">
        <v>748</v>
      </c>
      <c r="H635" s="8" t="s">
        <v>749</v>
      </c>
      <c r="I635" s="7" t="s">
        <v>723</v>
      </c>
      <c r="J635" s="8" t="s">
        <v>791</v>
      </c>
      <c r="K635" s="14" t="b">
        <v>0</v>
      </c>
      <c r="L635" s="14" t="b">
        <v>1</v>
      </c>
      <c r="M635" s="14" t="b">
        <v>1</v>
      </c>
      <c r="N635" s="14" t="b">
        <v>0</v>
      </c>
      <c r="O635" s="14" t="b">
        <v>1</v>
      </c>
      <c r="W635" s="3"/>
    </row>
    <row r="636" spans="1:23" x14ac:dyDescent="0.25">
      <c r="A636" s="4">
        <v>11006293000130</v>
      </c>
      <c r="B636" s="8" t="s">
        <v>309</v>
      </c>
      <c r="C636" s="8" t="s">
        <v>310</v>
      </c>
      <c r="D636" s="7" t="s">
        <v>268</v>
      </c>
      <c r="E636" s="7" t="s">
        <v>795</v>
      </c>
      <c r="F636" s="6">
        <v>2</v>
      </c>
      <c r="G636" s="8" t="s">
        <v>744</v>
      </c>
      <c r="H636" s="8" t="s">
        <v>745</v>
      </c>
      <c r="I636" s="7" t="s">
        <v>723</v>
      </c>
      <c r="J636" s="8" t="s">
        <v>791</v>
      </c>
      <c r="K636" s="14" t="b">
        <v>0</v>
      </c>
      <c r="L636" s="14" t="b">
        <v>1</v>
      </c>
      <c r="M636" s="14" t="b">
        <v>1</v>
      </c>
      <c r="N636" s="14" t="b">
        <v>0</v>
      </c>
      <c r="O636" s="14" t="b">
        <v>1</v>
      </c>
      <c r="W636" s="3"/>
    </row>
    <row r="637" spans="1:23" x14ac:dyDescent="0.25">
      <c r="A637" s="4">
        <v>11022597001597</v>
      </c>
      <c r="B637" s="8" t="s">
        <v>434</v>
      </c>
      <c r="C637" s="8" t="s">
        <v>264</v>
      </c>
      <c r="D637" s="7" t="s">
        <v>265</v>
      </c>
      <c r="E637" s="7" t="s">
        <v>795</v>
      </c>
      <c r="F637" s="6">
        <v>2</v>
      </c>
      <c r="G637" s="8" t="s">
        <v>748</v>
      </c>
      <c r="H637" s="8" t="s">
        <v>749</v>
      </c>
      <c r="I637" s="7" t="s">
        <v>723</v>
      </c>
      <c r="J637" s="8" t="s">
        <v>791</v>
      </c>
      <c r="K637" s="14" t="b">
        <v>0</v>
      </c>
      <c r="L637" s="14" t="b">
        <v>1</v>
      </c>
      <c r="M637" s="14" t="b">
        <v>1</v>
      </c>
      <c r="N637" s="14" t="b">
        <v>0</v>
      </c>
      <c r="O637" s="14" t="b">
        <v>1</v>
      </c>
      <c r="W637" s="3"/>
    </row>
    <row r="638" spans="1:23" x14ac:dyDescent="0.25">
      <c r="A638" s="4">
        <v>11214624000470</v>
      </c>
      <c r="B638" s="8" t="s">
        <v>607</v>
      </c>
      <c r="C638" s="8" t="s">
        <v>264</v>
      </c>
      <c r="D638" s="7" t="s">
        <v>265</v>
      </c>
      <c r="E638" s="7" t="s">
        <v>795</v>
      </c>
      <c r="F638" s="6">
        <v>2</v>
      </c>
      <c r="G638" s="8" t="s">
        <v>748</v>
      </c>
      <c r="H638" s="8" t="s">
        <v>749</v>
      </c>
      <c r="I638" s="7" t="s">
        <v>723</v>
      </c>
      <c r="J638" s="8" t="s">
        <v>791</v>
      </c>
      <c r="K638" s="14" t="b">
        <v>0</v>
      </c>
      <c r="L638" s="14" t="b">
        <v>1</v>
      </c>
      <c r="M638" s="14" t="b">
        <v>1</v>
      </c>
      <c r="N638" s="14" t="b">
        <v>0</v>
      </c>
      <c r="O638" s="14" t="b">
        <v>1</v>
      </c>
      <c r="W638" s="3"/>
    </row>
    <row r="639" spans="1:23" x14ac:dyDescent="0.25">
      <c r="A639" s="4">
        <v>11214624001957</v>
      </c>
      <c r="B639" s="8" t="s">
        <v>484</v>
      </c>
      <c r="C639" s="8" t="s">
        <v>264</v>
      </c>
      <c r="D639" s="7" t="s">
        <v>265</v>
      </c>
      <c r="E639" s="7" t="s">
        <v>795</v>
      </c>
      <c r="F639" s="6">
        <v>2</v>
      </c>
      <c r="G639" s="8" t="s">
        <v>748</v>
      </c>
      <c r="H639" s="8" t="s">
        <v>749</v>
      </c>
      <c r="I639" s="7" t="s">
        <v>723</v>
      </c>
      <c r="J639" s="8" t="s">
        <v>791</v>
      </c>
      <c r="K639" s="14" t="b">
        <v>0</v>
      </c>
      <c r="L639" s="14" t="b">
        <v>1</v>
      </c>
      <c r="M639" s="14" t="b">
        <v>1</v>
      </c>
      <c r="N639" s="14" t="b">
        <v>0</v>
      </c>
      <c r="O639" s="14" t="b">
        <v>1</v>
      </c>
      <c r="W639" s="3"/>
    </row>
    <row r="640" spans="1:23" x14ac:dyDescent="0.25">
      <c r="A640" s="4">
        <v>11273170000166</v>
      </c>
      <c r="B640" s="8" t="s">
        <v>608</v>
      </c>
      <c r="C640" s="8" t="s">
        <v>295</v>
      </c>
      <c r="D640" s="7" t="s">
        <v>296</v>
      </c>
      <c r="E640" s="7" t="s">
        <v>795</v>
      </c>
      <c r="F640" s="6">
        <v>2</v>
      </c>
      <c r="G640" s="8" t="s">
        <v>744</v>
      </c>
      <c r="H640" s="8" t="s">
        <v>745</v>
      </c>
      <c r="I640" s="7" t="s">
        <v>723</v>
      </c>
      <c r="J640" s="8" t="s">
        <v>791</v>
      </c>
      <c r="K640" s="14" t="b">
        <v>0</v>
      </c>
      <c r="L640" s="14" t="b">
        <v>1</v>
      </c>
      <c r="M640" s="14" t="b">
        <v>1</v>
      </c>
      <c r="N640" s="14" t="b">
        <v>0</v>
      </c>
      <c r="O640" s="14" t="b">
        <v>1</v>
      </c>
      <c r="W640" s="3"/>
    </row>
    <row r="641" spans="1:23" x14ac:dyDescent="0.25">
      <c r="A641" s="4">
        <v>11452240000143</v>
      </c>
      <c r="B641" s="8" t="s">
        <v>311</v>
      </c>
      <c r="C641" s="8" t="s">
        <v>264</v>
      </c>
      <c r="D641" s="7" t="s">
        <v>265</v>
      </c>
      <c r="E641" s="7" t="s">
        <v>795</v>
      </c>
      <c r="F641" s="6">
        <v>2</v>
      </c>
      <c r="G641" s="8" t="s">
        <v>748</v>
      </c>
      <c r="H641" s="8" t="s">
        <v>749</v>
      </c>
      <c r="I641" s="7" t="s">
        <v>723</v>
      </c>
      <c r="J641" s="8" t="s">
        <v>791</v>
      </c>
      <c r="K641" s="14" t="b">
        <v>0</v>
      </c>
      <c r="L641" s="14" t="b">
        <v>1</v>
      </c>
      <c r="M641" s="14" t="b">
        <v>1</v>
      </c>
      <c r="N641" s="14" t="b">
        <v>0</v>
      </c>
      <c r="O641" s="14" t="b">
        <v>1</v>
      </c>
      <c r="W641" s="3"/>
    </row>
    <row r="642" spans="1:23" x14ac:dyDescent="0.25">
      <c r="A642" s="4">
        <v>11794674000121</v>
      </c>
      <c r="B642" s="8" t="s">
        <v>435</v>
      </c>
      <c r="C642" s="8" t="s">
        <v>281</v>
      </c>
      <c r="D642" s="7" t="s">
        <v>282</v>
      </c>
      <c r="E642" s="7" t="s">
        <v>795</v>
      </c>
      <c r="F642" s="6">
        <v>2</v>
      </c>
      <c r="G642" s="8" t="s">
        <v>744</v>
      </c>
      <c r="H642" s="8" t="s">
        <v>745</v>
      </c>
      <c r="I642" s="7" t="s">
        <v>723</v>
      </c>
      <c r="J642" s="8" t="s">
        <v>791</v>
      </c>
      <c r="K642" s="14" t="b">
        <v>0</v>
      </c>
      <c r="L642" s="14" t="b">
        <v>1</v>
      </c>
      <c r="M642" s="14" t="b">
        <v>1</v>
      </c>
      <c r="N642" s="14" t="b">
        <v>0</v>
      </c>
      <c r="O642" s="14" t="b">
        <v>1</v>
      </c>
      <c r="W642" s="3"/>
    </row>
    <row r="643" spans="1:23" x14ac:dyDescent="0.25">
      <c r="A643" s="4">
        <v>11859927000106</v>
      </c>
      <c r="B643" s="8" t="s">
        <v>312</v>
      </c>
      <c r="C643" s="8" t="s">
        <v>225</v>
      </c>
      <c r="D643" s="7" t="s">
        <v>226</v>
      </c>
      <c r="E643" s="7" t="s">
        <v>795</v>
      </c>
      <c r="F643" s="6">
        <v>2</v>
      </c>
      <c r="G643" s="8" t="s">
        <v>742</v>
      </c>
      <c r="H643" s="8" t="s">
        <v>743</v>
      </c>
      <c r="I643" s="7" t="s">
        <v>723</v>
      </c>
      <c r="J643" s="8" t="s">
        <v>791</v>
      </c>
      <c r="K643" s="14" t="b">
        <v>0</v>
      </c>
      <c r="L643" s="14" t="b">
        <v>1</v>
      </c>
      <c r="M643" s="14" t="b">
        <v>1</v>
      </c>
      <c r="N643" s="14" t="b">
        <v>0</v>
      </c>
      <c r="O643" s="14" t="b">
        <v>1</v>
      </c>
      <c r="W643" s="3"/>
    </row>
    <row r="644" spans="1:23" x14ac:dyDescent="0.25">
      <c r="A644" s="4">
        <v>11859927000106</v>
      </c>
      <c r="B644" s="8" t="s">
        <v>312</v>
      </c>
      <c r="C644" s="8" t="s">
        <v>225</v>
      </c>
      <c r="D644" s="7" t="s">
        <v>226</v>
      </c>
      <c r="E644" s="7" t="s">
        <v>795</v>
      </c>
      <c r="F644" s="6">
        <v>2</v>
      </c>
      <c r="G644" s="8" t="s">
        <v>780</v>
      </c>
      <c r="H644" s="8" t="s">
        <v>781</v>
      </c>
      <c r="I644" s="7" t="s">
        <v>739</v>
      </c>
      <c r="J644" s="8" t="s">
        <v>791</v>
      </c>
      <c r="K644" s="14" t="b">
        <v>1</v>
      </c>
      <c r="L644" s="14" t="b">
        <v>0</v>
      </c>
      <c r="M644" s="14" t="b">
        <v>0</v>
      </c>
      <c r="N644" s="14" t="b">
        <v>1</v>
      </c>
      <c r="O644" s="14" t="b">
        <v>1</v>
      </c>
      <c r="W644" s="3"/>
    </row>
    <row r="645" spans="1:23" x14ac:dyDescent="0.25">
      <c r="A645" s="4">
        <v>11943553000102</v>
      </c>
      <c r="B645" s="8" t="s">
        <v>436</v>
      </c>
      <c r="C645" s="8" t="s">
        <v>278</v>
      </c>
      <c r="D645" s="7" t="s">
        <v>276</v>
      </c>
      <c r="E645" s="7" t="s">
        <v>795</v>
      </c>
      <c r="F645" s="6">
        <v>2</v>
      </c>
      <c r="G645" s="8" t="s">
        <v>746</v>
      </c>
      <c r="H645" s="8" t="s">
        <v>747</v>
      </c>
      <c r="I645" s="7" t="s">
        <v>723</v>
      </c>
      <c r="J645" s="8" t="s">
        <v>791</v>
      </c>
      <c r="K645" s="14" t="b">
        <v>0</v>
      </c>
      <c r="L645" s="14" t="b">
        <v>1</v>
      </c>
      <c r="M645" s="14" t="b">
        <v>1</v>
      </c>
      <c r="N645" s="14" t="b">
        <v>0</v>
      </c>
      <c r="O645" s="14" t="b">
        <v>1</v>
      </c>
      <c r="W645" s="3"/>
    </row>
    <row r="646" spans="1:23" x14ac:dyDescent="0.25">
      <c r="A646" s="4">
        <v>12361267000517</v>
      </c>
      <c r="B646" s="8" t="s">
        <v>486</v>
      </c>
      <c r="C646" s="8" t="s">
        <v>317</v>
      </c>
      <c r="D646" s="7" t="s">
        <v>318</v>
      </c>
      <c r="E646" s="7" t="s">
        <v>795</v>
      </c>
      <c r="F646" s="6">
        <v>2</v>
      </c>
      <c r="G646" s="8" t="s">
        <v>746</v>
      </c>
      <c r="H646" s="8" t="s">
        <v>747</v>
      </c>
      <c r="I646" s="7" t="s">
        <v>723</v>
      </c>
      <c r="J646" s="8" t="s">
        <v>791</v>
      </c>
      <c r="K646" s="14" t="b">
        <v>0</v>
      </c>
      <c r="L646" s="14" t="b">
        <v>1</v>
      </c>
      <c r="M646" s="14" t="b">
        <v>1</v>
      </c>
      <c r="N646" s="14" t="b">
        <v>0</v>
      </c>
      <c r="O646" s="14" t="b">
        <v>1</v>
      </c>
      <c r="W646" s="3"/>
    </row>
    <row r="647" spans="1:23" x14ac:dyDescent="0.25">
      <c r="A647" s="4">
        <v>12361267000789</v>
      </c>
      <c r="B647" s="8" t="s">
        <v>487</v>
      </c>
      <c r="C647" s="8" t="s">
        <v>310</v>
      </c>
      <c r="D647" s="7" t="s">
        <v>268</v>
      </c>
      <c r="E647" s="7" t="s">
        <v>795</v>
      </c>
      <c r="F647" s="6">
        <v>2</v>
      </c>
      <c r="G647" s="8" t="s">
        <v>744</v>
      </c>
      <c r="H647" s="8" t="s">
        <v>745</v>
      </c>
      <c r="I647" s="7" t="s">
        <v>723</v>
      </c>
      <c r="J647" s="8" t="s">
        <v>791</v>
      </c>
      <c r="K647" s="14" t="b">
        <v>0</v>
      </c>
      <c r="L647" s="14" t="b">
        <v>1</v>
      </c>
      <c r="M647" s="14" t="b">
        <v>1</v>
      </c>
      <c r="N647" s="14" t="b">
        <v>0</v>
      </c>
      <c r="O647" s="14" t="b">
        <v>1</v>
      </c>
      <c r="W647" s="3"/>
    </row>
    <row r="648" spans="1:23" x14ac:dyDescent="0.25">
      <c r="A648" s="4">
        <v>12361267000860</v>
      </c>
      <c r="B648" s="8" t="s">
        <v>488</v>
      </c>
      <c r="C648" s="8" t="s">
        <v>361</v>
      </c>
      <c r="D648" s="7" t="s">
        <v>362</v>
      </c>
      <c r="E648" s="7" t="s">
        <v>795</v>
      </c>
      <c r="F648" s="6">
        <v>2</v>
      </c>
      <c r="G648" s="8" t="s">
        <v>746</v>
      </c>
      <c r="H648" s="8" t="s">
        <v>747</v>
      </c>
      <c r="I648" s="7" t="s">
        <v>723</v>
      </c>
      <c r="J648" s="8" t="s">
        <v>791</v>
      </c>
      <c r="K648" s="14" t="b">
        <v>0</v>
      </c>
      <c r="L648" s="14" t="b">
        <v>1</v>
      </c>
      <c r="M648" s="14" t="b">
        <v>1</v>
      </c>
      <c r="N648" s="14" t="b">
        <v>0</v>
      </c>
      <c r="O648" s="14" t="b">
        <v>1</v>
      </c>
      <c r="W648" s="3"/>
    </row>
    <row r="649" spans="1:23" x14ac:dyDescent="0.25">
      <c r="A649" s="4">
        <v>12361267004008</v>
      </c>
      <c r="B649" s="8" t="s">
        <v>489</v>
      </c>
      <c r="C649" s="8" t="s">
        <v>295</v>
      </c>
      <c r="D649" s="7" t="s">
        <v>296</v>
      </c>
      <c r="E649" s="7" t="s">
        <v>795</v>
      </c>
      <c r="F649" s="6">
        <v>2</v>
      </c>
      <c r="G649" s="8" t="s">
        <v>744</v>
      </c>
      <c r="H649" s="8" t="s">
        <v>745</v>
      </c>
      <c r="I649" s="7" t="s">
        <v>723</v>
      </c>
      <c r="J649" s="8" t="s">
        <v>791</v>
      </c>
      <c r="K649" s="14" t="b">
        <v>0</v>
      </c>
      <c r="L649" s="14" t="b">
        <v>1</v>
      </c>
      <c r="M649" s="14" t="b">
        <v>1</v>
      </c>
      <c r="N649" s="14" t="b">
        <v>0</v>
      </c>
      <c r="O649" s="14" t="b">
        <v>1</v>
      </c>
      <c r="W649" s="3"/>
    </row>
    <row r="650" spans="1:23" x14ac:dyDescent="0.25">
      <c r="A650" s="4">
        <v>12361267007287</v>
      </c>
      <c r="B650" s="8" t="s">
        <v>490</v>
      </c>
      <c r="C650" s="8" t="s">
        <v>264</v>
      </c>
      <c r="D650" s="7" t="s">
        <v>265</v>
      </c>
      <c r="E650" s="7" t="s">
        <v>795</v>
      </c>
      <c r="F650" s="6">
        <v>2</v>
      </c>
      <c r="G650" s="8" t="s">
        <v>748</v>
      </c>
      <c r="H650" s="8" t="s">
        <v>749</v>
      </c>
      <c r="I650" s="7" t="s">
        <v>723</v>
      </c>
      <c r="J650" s="8" t="s">
        <v>791</v>
      </c>
      <c r="K650" s="14" t="b">
        <v>0</v>
      </c>
      <c r="L650" s="14" t="b">
        <v>1</v>
      </c>
      <c r="M650" s="14" t="b">
        <v>1</v>
      </c>
      <c r="N650" s="14" t="b">
        <v>0</v>
      </c>
      <c r="O650" s="14" t="b">
        <v>1</v>
      </c>
      <c r="W650" s="3"/>
    </row>
    <row r="651" spans="1:23" x14ac:dyDescent="0.25">
      <c r="A651" s="4">
        <v>12361267008410</v>
      </c>
      <c r="B651" s="8" t="s">
        <v>491</v>
      </c>
      <c r="C651" s="8" t="s">
        <v>492</v>
      </c>
      <c r="D651" s="7" t="s">
        <v>282</v>
      </c>
      <c r="E651" s="7" t="s">
        <v>795</v>
      </c>
      <c r="F651" s="6">
        <v>2</v>
      </c>
      <c r="G651" s="8" t="s">
        <v>744</v>
      </c>
      <c r="H651" s="8" t="s">
        <v>745</v>
      </c>
      <c r="I651" s="7" t="s">
        <v>723</v>
      </c>
      <c r="J651" s="8" t="s">
        <v>791</v>
      </c>
      <c r="K651" s="14" t="b">
        <v>0</v>
      </c>
      <c r="L651" s="14" t="b">
        <v>1</v>
      </c>
      <c r="M651" s="14" t="b">
        <v>1</v>
      </c>
      <c r="N651" s="14" t="b">
        <v>0</v>
      </c>
      <c r="O651" s="14" t="b">
        <v>1</v>
      </c>
      <c r="W651" s="3"/>
    </row>
    <row r="652" spans="1:23" x14ac:dyDescent="0.25">
      <c r="A652" s="4">
        <v>12361267008844</v>
      </c>
      <c r="B652" s="8" t="s">
        <v>493</v>
      </c>
      <c r="C652" s="8" t="s">
        <v>228</v>
      </c>
      <c r="D652" s="7" t="s">
        <v>229</v>
      </c>
      <c r="E652" s="7" t="s">
        <v>795</v>
      </c>
      <c r="F652" s="6">
        <v>2</v>
      </c>
      <c r="G652" s="8" t="s">
        <v>748</v>
      </c>
      <c r="H652" s="8" t="s">
        <v>749</v>
      </c>
      <c r="I652" s="7" t="s">
        <v>723</v>
      </c>
      <c r="J652" s="8" t="s">
        <v>791</v>
      </c>
      <c r="K652" s="14" t="b">
        <v>0</v>
      </c>
      <c r="L652" s="14" t="b">
        <v>1</v>
      </c>
      <c r="M652" s="14" t="b">
        <v>1</v>
      </c>
      <c r="N652" s="14" t="b">
        <v>0</v>
      </c>
      <c r="O652" s="14" t="b">
        <v>1</v>
      </c>
      <c r="W652" s="3"/>
    </row>
    <row r="653" spans="1:23" x14ac:dyDescent="0.25">
      <c r="A653" s="4">
        <v>12361267009140</v>
      </c>
      <c r="B653" s="8" t="s">
        <v>561</v>
      </c>
      <c r="C653" s="8" t="s">
        <v>562</v>
      </c>
      <c r="D653" s="7" t="s">
        <v>247</v>
      </c>
      <c r="E653" s="7" t="s">
        <v>795</v>
      </c>
      <c r="F653" s="6">
        <v>2</v>
      </c>
      <c r="G653" s="8" t="s">
        <v>748</v>
      </c>
      <c r="H653" s="8" t="s">
        <v>749</v>
      </c>
      <c r="I653" s="7" t="s">
        <v>723</v>
      </c>
      <c r="J653" s="8" t="s">
        <v>791</v>
      </c>
      <c r="K653" s="14" t="b">
        <v>0</v>
      </c>
      <c r="L653" s="14" t="b">
        <v>1</v>
      </c>
      <c r="M653" s="14" t="b">
        <v>1</v>
      </c>
      <c r="N653" s="14" t="b">
        <v>0</v>
      </c>
      <c r="O653" s="14" t="b">
        <v>1</v>
      </c>
      <c r="W653" s="3"/>
    </row>
    <row r="654" spans="1:23" x14ac:dyDescent="0.25">
      <c r="A654" s="4">
        <v>12361267009654</v>
      </c>
      <c r="B654" s="8" t="s">
        <v>494</v>
      </c>
      <c r="C654" s="8" t="s">
        <v>246</v>
      </c>
      <c r="D654" s="7" t="s">
        <v>247</v>
      </c>
      <c r="E654" s="7" t="s">
        <v>795</v>
      </c>
      <c r="F654" s="6">
        <v>2</v>
      </c>
      <c r="G654" s="8" t="s">
        <v>748</v>
      </c>
      <c r="H654" s="8" t="s">
        <v>749</v>
      </c>
      <c r="I654" s="7" t="s">
        <v>723</v>
      </c>
      <c r="J654" s="8" t="s">
        <v>791</v>
      </c>
      <c r="K654" s="14" t="b">
        <v>0</v>
      </c>
      <c r="L654" s="14" t="b">
        <v>1</v>
      </c>
      <c r="M654" s="14" t="b">
        <v>1</v>
      </c>
      <c r="N654" s="14" t="b">
        <v>0</v>
      </c>
      <c r="O654" s="14" t="b">
        <v>1</v>
      </c>
      <c r="W654" s="3"/>
    </row>
    <row r="655" spans="1:23" x14ac:dyDescent="0.25">
      <c r="A655" s="4">
        <v>12361267010318</v>
      </c>
      <c r="B655" s="8" t="s">
        <v>313</v>
      </c>
      <c r="C655" s="8" t="s">
        <v>278</v>
      </c>
      <c r="D655" s="7" t="s">
        <v>276</v>
      </c>
      <c r="E655" s="7" t="s">
        <v>795</v>
      </c>
      <c r="F655" s="6">
        <v>2</v>
      </c>
      <c r="G655" s="8" t="s">
        <v>746</v>
      </c>
      <c r="H655" s="8" t="s">
        <v>747</v>
      </c>
      <c r="I655" s="7" t="s">
        <v>723</v>
      </c>
      <c r="J655" s="8" t="s">
        <v>791</v>
      </c>
      <c r="K655" s="14" t="b">
        <v>0</v>
      </c>
      <c r="L655" s="14" t="b">
        <v>1</v>
      </c>
      <c r="M655" s="14" t="b">
        <v>1</v>
      </c>
      <c r="N655" s="14" t="b">
        <v>0</v>
      </c>
      <c r="O655" s="14" t="b">
        <v>1</v>
      </c>
      <c r="W655" s="3"/>
    </row>
    <row r="656" spans="1:23" x14ac:dyDescent="0.25">
      <c r="A656" s="4">
        <v>12361267010407</v>
      </c>
      <c r="B656" s="8" t="s">
        <v>495</v>
      </c>
      <c r="C656" s="8" t="s">
        <v>323</v>
      </c>
      <c r="D656" s="7" t="s">
        <v>276</v>
      </c>
      <c r="E656" s="7" t="s">
        <v>795</v>
      </c>
      <c r="F656" s="6">
        <v>2</v>
      </c>
      <c r="G656" s="8" t="s">
        <v>746</v>
      </c>
      <c r="H656" s="8" t="s">
        <v>747</v>
      </c>
      <c r="I656" s="7" t="s">
        <v>723</v>
      </c>
      <c r="J656" s="8" t="s">
        <v>791</v>
      </c>
      <c r="K656" s="14" t="b">
        <v>0</v>
      </c>
      <c r="L656" s="14" t="b">
        <v>1</v>
      </c>
      <c r="M656" s="14" t="b">
        <v>1</v>
      </c>
      <c r="N656" s="14" t="b">
        <v>0</v>
      </c>
      <c r="O656" s="14" t="b">
        <v>1</v>
      </c>
      <c r="W656" s="3"/>
    </row>
    <row r="657" spans="1:23" x14ac:dyDescent="0.25">
      <c r="A657" s="4">
        <v>12361267011802</v>
      </c>
      <c r="B657" s="8" t="s">
        <v>314</v>
      </c>
      <c r="C657" s="8" t="s">
        <v>281</v>
      </c>
      <c r="D657" s="7" t="s">
        <v>282</v>
      </c>
      <c r="E657" s="7" t="s">
        <v>795</v>
      </c>
      <c r="F657" s="6">
        <v>2</v>
      </c>
      <c r="G657" s="8" t="s">
        <v>744</v>
      </c>
      <c r="H657" s="8" t="s">
        <v>745</v>
      </c>
      <c r="I657" s="7" t="s">
        <v>723</v>
      </c>
      <c r="J657" s="8" t="s">
        <v>791</v>
      </c>
      <c r="K657" s="14" t="b">
        <v>0</v>
      </c>
      <c r="L657" s="14" t="b">
        <v>1</v>
      </c>
      <c r="M657" s="14" t="b">
        <v>1</v>
      </c>
      <c r="N657" s="14" t="b">
        <v>0</v>
      </c>
      <c r="O657" s="14" t="b">
        <v>1</v>
      </c>
      <c r="W657" s="3"/>
    </row>
    <row r="658" spans="1:23" x14ac:dyDescent="0.25">
      <c r="A658" s="4">
        <v>12361267014739</v>
      </c>
      <c r="B658" s="8" t="s">
        <v>510</v>
      </c>
      <c r="C658" s="8" t="s">
        <v>278</v>
      </c>
      <c r="D658" s="7" t="s">
        <v>276</v>
      </c>
      <c r="E658" s="7" t="s">
        <v>795</v>
      </c>
      <c r="F658" s="6">
        <v>2</v>
      </c>
      <c r="G658" s="8" t="s">
        <v>746</v>
      </c>
      <c r="H658" s="8" t="s">
        <v>747</v>
      </c>
      <c r="I658" s="7" t="s">
        <v>723</v>
      </c>
      <c r="J658" s="8" t="s">
        <v>791</v>
      </c>
      <c r="K658" s="14" t="b">
        <v>0</v>
      </c>
      <c r="L658" s="14" t="b">
        <v>1</v>
      </c>
      <c r="M658" s="14" t="b">
        <v>1</v>
      </c>
      <c r="N658" s="14" t="b">
        <v>0</v>
      </c>
      <c r="O658" s="14" t="b">
        <v>1</v>
      </c>
      <c r="W658" s="3"/>
    </row>
    <row r="659" spans="1:23" x14ac:dyDescent="0.25">
      <c r="A659" s="4">
        <v>12442737000496</v>
      </c>
      <c r="B659" s="8" t="s">
        <v>437</v>
      </c>
      <c r="C659" s="8" t="s">
        <v>361</v>
      </c>
      <c r="D659" s="7" t="s">
        <v>362</v>
      </c>
      <c r="E659" s="7" t="s">
        <v>795</v>
      </c>
      <c r="F659" s="6">
        <v>2</v>
      </c>
      <c r="G659" s="8" t="s">
        <v>746</v>
      </c>
      <c r="H659" s="8" t="s">
        <v>747</v>
      </c>
      <c r="I659" s="7" t="s">
        <v>723</v>
      </c>
      <c r="J659" s="8" t="s">
        <v>791</v>
      </c>
      <c r="K659" s="14" t="b">
        <v>0</v>
      </c>
      <c r="L659" s="14" t="b">
        <v>1</v>
      </c>
      <c r="M659" s="14" t="b">
        <v>1</v>
      </c>
      <c r="N659" s="14" t="b">
        <v>0</v>
      </c>
      <c r="O659" s="14" t="b">
        <v>1</v>
      </c>
      <c r="W659" s="3"/>
    </row>
    <row r="660" spans="1:23" x14ac:dyDescent="0.25">
      <c r="A660" s="4">
        <v>12568570000161</v>
      </c>
      <c r="B660" s="8" t="s">
        <v>563</v>
      </c>
      <c r="C660" s="8" t="s">
        <v>281</v>
      </c>
      <c r="D660" s="7" t="s">
        <v>282</v>
      </c>
      <c r="E660" s="7" t="s">
        <v>795</v>
      </c>
      <c r="F660" s="6">
        <v>2</v>
      </c>
      <c r="G660" s="8" t="s">
        <v>744</v>
      </c>
      <c r="H660" s="8" t="s">
        <v>745</v>
      </c>
      <c r="I660" s="7" t="s">
        <v>723</v>
      </c>
      <c r="J660" s="8" t="s">
        <v>791</v>
      </c>
      <c r="K660" s="14" t="b">
        <v>0</v>
      </c>
      <c r="L660" s="14" t="b">
        <v>1</v>
      </c>
      <c r="M660" s="14" t="b">
        <v>1</v>
      </c>
      <c r="N660" s="14" t="b">
        <v>0</v>
      </c>
      <c r="O660" s="14" t="b">
        <v>1</v>
      </c>
      <c r="W660" s="3"/>
    </row>
    <row r="661" spans="1:23" x14ac:dyDescent="0.25">
      <c r="A661" s="4">
        <v>13016092000140</v>
      </c>
      <c r="B661" s="8" t="s">
        <v>315</v>
      </c>
      <c r="C661" s="8" t="s">
        <v>278</v>
      </c>
      <c r="D661" s="7" t="s">
        <v>276</v>
      </c>
      <c r="E661" s="7" t="s">
        <v>795</v>
      </c>
      <c r="F661" s="6">
        <v>2</v>
      </c>
      <c r="G661" s="8" t="s">
        <v>746</v>
      </c>
      <c r="H661" s="8" t="s">
        <v>747</v>
      </c>
      <c r="I661" s="7" t="s">
        <v>723</v>
      </c>
      <c r="J661" s="8" t="s">
        <v>791</v>
      </c>
      <c r="K661" s="14" t="b">
        <v>0</v>
      </c>
      <c r="L661" s="14" t="b">
        <v>1</v>
      </c>
      <c r="M661" s="14" t="b">
        <v>1</v>
      </c>
      <c r="N661" s="14" t="b">
        <v>0</v>
      </c>
      <c r="O661" s="14" t="b">
        <v>1</v>
      </c>
      <c r="W661" s="3"/>
    </row>
    <row r="662" spans="1:23" x14ac:dyDescent="0.25">
      <c r="A662" s="4">
        <v>13016332000106</v>
      </c>
      <c r="B662" s="8" t="s">
        <v>316</v>
      </c>
      <c r="C662" s="8" t="s">
        <v>317</v>
      </c>
      <c r="D662" s="7" t="s">
        <v>318</v>
      </c>
      <c r="E662" s="7" t="s">
        <v>795</v>
      </c>
      <c r="F662" s="6">
        <v>2</v>
      </c>
      <c r="G662" s="8" t="s">
        <v>746</v>
      </c>
      <c r="H662" s="8" t="s">
        <v>747</v>
      </c>
      <c r="I662" s="7" t="s">
        <v>723</v>
      </c>
      <c r="J662" s="8" t="s">
        <v>791</v>
      </c>
      <c r="K662" s="14" t="b">
        <v>0</v>
      </c>
      <c r="L662" s="14" t="b">
        <v>1</v>
      </c>
      <c r="M662" s="14" t="b">
        <v>1</v>
      </c>
      <c r="N662" s="14" t="b">
        <v>0</v>
      </c>
      <c r="O662" s="14" t="b">
        <v>1</v>
      </c>
      <c r="W662" s="3"/>
    </row>
    <row r="663" spans="1:23" x14ac:dyDescent="0.25">
      <c r="A663" s="4">
        <v>13086053000119</v>
      </c>
      <c r="B663" s="8" t="s">
        <v>611</v>
      </c>
      <c r="C663" s="8" t="s">
        <v>317</v>
      </c>
      <c r="D663" s="7" t="s">
        <v>318</v>
      </c>
      <c r="E663" s="7" t="s">
        <v>795</v>
      </c>
      <c r="F663" s="6">
        <v>2</v>
      </c>
      <c r="G663" s="8" t="s">
        <v>746</v>
      </c>
      <c r="H663" s="8" t="s">
        <v>747</v>
      </c>
      <c r="I663" s="7" t="s">
        <v>723</v>
      </c>
      <c r="J663" s="8" t="s">
        <v>791</v>
      </c>
      <c r="K663" s="14" t="b">
        <v>0</v>
      </c>
      <c r="L663" s="14" t="b">
        <v>1</v>
      </c>
      <c r="M663" s="14" t="b">
        <v>1</v>
      </c>
      <c r="N663" s="14" t="b">
        <v>0</v>
      </c>
      <c r="O663" s="14" t="b">
        <v>1</v>
      </c>
      <c r="W663" s="3"/>
    </row>
    <row r="664" spans="1:23" x14ac:dyDescent="0.25">
      <c r="A664" s="4">
        <v>13131370000100</v>
      </c>
      <c r="B664" s="8" t="s">
        <v>319</v>
      </c>
      <c r="C664" s="8" t="s">
        <v>317</v>
      </c>
      <c r="D664" s="7" t="s">
        <v>318</v>
      </c>
      <c r="E664" s="7" t="s">
        <v>795</v>
      </c>
      <c r="F664" s="6">
        <v>2</v>
      </c>
      <c r="G664" s="8" t="s">
        <v>746</v>
      </c>
      <c r="H664" s="8" t="s">
        <v>747</v>
      </c>
      <c r="I664" s="7" t="s">
        <v>723</v>
      </c>
      <c r="J664" s="8" t="s">
        <v>791</v>
      </c>
      <c r="K664" s="14" t="b">
        <v>0</v>
      </c>
      <c r="L664" s="14" t="b">
        <v>1</v>
      </c>
      <c r="M664" s="14" t="b">
        <v>1</v>
      </c>
      <c r="N664" s="14" t="b">
        <v>0</v>
      </c>
      <c r="O664" s="14" t="b">
        <v>1</v>
      </c>
      <c r="W664" s="3"/>
    </row>
    <row r="665" spans="1:23" x14ac:dyDescent="0.25">
      <c r="A665" s="4">
        <v>13262578000168</v>
      </c>
      <c r="B665" s="8" t="s">
        <v>438</v>
      </c>
      <c r="C665" s="8" t="s">
        <v>246</v>
      </c>
      <c r="D665" s="7" t="s">
        <v>247</v>
      </c>
      <c r="E665" s="7" t="s">
        <v>795</v>
      </c>
      <c r="F665" s="6">
        <v>2</v>
      </c>
      <c r="G665" s="8" t="s">
        <v>748</v>
      </c>
      <c r="H665" s="8" t="s">
        <v>749</v>
      </c>
      <c r="I665" s="7" t="s">
        <v>723</v>
      </c>
      <c r="J665" s="8" t="s">
        <v>791</v>
      </c>
      <c r="K665" s="14" t="b">
        <v>0</v>
      </c>
      <c r="L665" s="14" t="b">
        <v>1</v>
      </c>
      <c r="M665" s="14" t="b">
        <v>1</v>
      </c>
      <c r="N665" s="14" t="b">
        <v>0</v>
      </c>
      <c r="O665" s="14" t="b">
        <v>1</v>
      </c>
      <c r="W665" s="3"/>
    </row>
    <row r="666" spans="1:23" x14ac:dyDescent="0.25">
      <c r="A666" s="4">
        <v>13284872000170</v>
      </c>
      <c r="B666" s="8" t="s">
        <v>564</v>
      </c>
      <c r="C666" s="8" t="s">
        <v>565</v>
      </c>
      <c r="D666" s="7" t="s">
        <v>276</v>
      </c>
      <c r="E666" s="7" t="s">
        <v>795</v>
      </c>
      <c r="F666" s="6">
        <v>2</v>
      </c>
      <c r="G666" s="8" t="s">
        <v>746</v>
      </c>
      <c r="H666" s="8" t="s">
        <v>747</v>
      </c>
      <c r="I666" s="7" t="s">
        <v>723</v>
      </c>
      <c r="J666" s="8" t="s">
        <v>791</v>
      </c>
      <c r="K666" s="14" t="b">
        <v>0</v>
      </c>
      <c r="L666" s="14" t="b">
        <v>1</v>
      </c>
      <c r="M666" s="14" t="b">
        <v>1</v>
      </c>
      <c r="N666" s="14" t="b">
        <v>0</v>
      </c>
      <c r="O666" s="14" t="b">
        <v>1</v>
      </c>
      <c r="W666" s="3"/>
    </row>
    <row r="667" spans="1:23" x14ac:dyDescent="0.25">
      <c r="A667" s="4">
        <v>13356779000124</v>
      </c>
      <c r="B667" s="8" t="s">
        <v>320</v>
      </c>
      <c r="C667" s="8" t="s">
        <v>317</v>
      </c>
      <c r="D667" s="7" t="s">
        <v>318</v>
      </c>
      <c r="E667" s="7" t="s">
        <v>795</v>
      </c>
      <c r="F667" s="6">
        <v>2</v>
      </c>
      <c r="G667" s="8" t="s">
        <v>746</v>
      </c>
      <c r="H667" s="8" t="s">
        <v>747</v>
      </c>
      <c r="I667" s="7" t="s">
        <v>723</v>
      </c>
      <c r="J667" s="8" t="s">
        <v>791</v>
      </c>
      <c r="K667" s="14" t="b">
        <v>0</v>
      </c>
      <c r="L667" s="14" t="b">
        <v>1</v>
      </c>
      <c r="M667" s="14" t="b">
        <v>1</v>
      </c>
      <c r="N667" s="14" t="b">
        <v>0</v>
      </c>
      <c r="O667" s="14" t="b">
        <v>1</v>
      </c>
      <c r="W667" s="3"/>
    </row>
    <row r="668" spans="1:23" x14ac:dyDescent="0.25">
      <c r="A668" s="4">
        <v>13952064000134</v>
      </c>
      <c r="B668" s="8" t="s">
        <v>321</v>
      </c>
      <c r="C668" s="8" t="s">
        <v>278</v>
      </c>
      <c r="D668" s="7" t="s">
        <v>276</v>
      </c>
      <c r="E668" s="7" t="s">
        <v>795</v>
      </c>
      <c r="F668" s="6">
        <v>2</v>
      </c>
      <c r="G668" s="8" t="s">
        <v>746</v>
      </c>
      <c r="H668" s="8" t="s">
        <v>747</v>
      </c>
      <c r="I668" s="7" t="s">
        <v>723</v>
      </c>
      <c r="J668" s="8" t="s">
        <v>791</v>
      </c>
      <c r="K668" s="14" t="b">
        <v>0</v>
      </c>
      <c r="L668" s="14" t="b">
        <v>1</v>
      </c>
      <c r="M668" s="14" t="b">
        <v>1</v>
      </c>
      <c r="N668" s="14" t="b">
        <v>0</v>
      </c>
      <c r="O668" s="14" t="b">
        <v>1</v>
      </c>
      <c r="W668" s="3"/>
    </row>
    <row r="669" spans="1:23" x14ac:dyDescent="0.25">
      <c r="A669" s="4">
        <v>14074546000100</v>
      </c>
      <c r="B669" s="8" t="s">
        <v>322</v>
      </c>
      <c r="C669" s="8" t="s">
        <v>323</v>
      </c>
      <c r="D669" s="7" t="s">
        <v>276</v>
      </c>
      <c r="E669" s="7" t="s">
        <v>795</v>
      </c>
      <c r="F669" s="6">
        <v>2</v>
      </c>
      <c r="G669" s="8" t="s">
        <v>746</v>
      </c>
      <c r="H669" s="8" t="s">
        <v>747</v>
      </c>
      <c r="I669" s="7" t="s">
        <v>723</v>
      </c>
      <c r="J669" s="8" t="s">
        <v>791</v>
      </c>
      <c r="K669" s="14" t="b">
        <v>0</v>
      </c>
      <c r="L669" s="14" t="b">
        <v>1</v>
      </c>
      <c r="M669" s="14" t="b">
        <v>1</v>
      </c>
      <c r="N669" s="14" t="b">
        <v>0</v>
      </c>
      <c r="O669" s="14" t="b">
        <v>1</v>
      </c>
      <c r="W669" s="3"/>
    </row>
    <row r="670" spans="1:23" x14ac:dyDescent="0.25">
      <c r="A670" s="4">
        <v>15016827000160</v>
      </c>
      <c r="B670" s="8" t="s">
        <v>326</v>
      </c>
      <c r="C670" s="8" t="s">
        <v>261</v>
      </c>
      <c r="D670" s="7" t="s">
        <v>262</v>
      </c>
      <c r="E670" s="7" t="s">
        <v>795</v>
      </c>
      <c r="F670" s="6">
        <v>2</v>
      </c>
      <c r="G670" s="8" t="s">
        <v>742</v>
      </c>
      <c r="H670" s="8" t="s">
        <v>743</v>
      </c>
      <c r="I670" s="7" t="s">
        <v>723</v>
      </c>
      <c r="J670" s="8" t="s">
        <v>791</v>
      </c>
      <c r="K670" s="14" t="b">
        <v>0</v>
      </c>
      <c r="L670" s="14" t="b">
        <v>1</v>
      </c>
      <c r="M670" s="14" t="b">
        <v>1</v>
      </c>
      <c r="N670" s="14" t="b">
        <v>0</v>
      </c>
      <c r="O670" s="14" t="b">
        <v>1</v>
      </c>
      <c r="W670" s="3"/>
    </row>
    <row r="671" spans="1:23" x14ac:dyDescent="0.25">
      <c r="A671" s="4">
        <v>15016827000160</v>
      </c>
      <c r="B671" s="8" t="s">
        <v>326</v>
      </c>
      <c r="C671" s="8" t="s">
        <v>261</v>
      </c>
      <c r="D671" s="7" t="s">
        <v>262</v>
      </c>
      <c r="E671" s="7" t="s">
        <v>795</v>
      </c>
      <c r="F671" s="6">
        <v>2</v>
      </c>
      <c r="G671" s="8" t="s">
        <v>766</v>
      </c>
      <c r="H671" s="8" t="s">
        <v>767</v>
      </c>
      <c r="I671" s="7" t="s">
        <v>730</v>
      </c>
      <c r="J671" s="8" t="s">
        <v>791</v>
      </c>
      <c r="K671" s="14" t="b">
        <v>1</v>
      </c>
      <c r="L671" s="14" t="b">
        <v>0</v>
      </c>
      <c r="M671" s="14" t="b">
        <v>0</v>
      </c>
      <c r="N671" s="14" t="b">
        <v>1</v>
      </c>
      <c r="O671" s="14" t="b">
        <v>1</v>
      </c>
      <c r="W671" s="3"/>
    </row>
    <row r="672" spans="1:23" x14ac:dyDescent="0.25">
      <c r="A672" s="4">
        <v>15126437000224</v>
      </c>
      <c r="B672" s="8" t="s">
        <v>327</v>
      </c>
      <c r="C672" s="8" t="s">
        <v>295</v>
      </c>
      <c r="D672" s="7" t="s">
        <v>296</v>
      </c>
      <c r="E672" s="7" t="s">
        <v>795</v>
      </c>
      <c r="F672" s="6">
        <v>2</v>
      </c>
      <c r="G672" s="8" t="s">
        <v>744</v>
      </c>
      <c r="H672" s="8" t="s">
        <v>745</v>
      </c>
      <c r="I672" s="7" t="s">
        <v>723</v>
      </c>
      <c r="J672" s="8" t="s">
        <v>791</v>
      </c>
      <c r="K672" s="14" t="b">
        <v>0</v>
      </c>
      <c r="L672" s="14" t="b">
        <v>1</v>
      </c>
      <c r="M672" s="14" t="b">
        <v>1</v>
      </c>
      <c r="N672" s="14" t="b">
        <v>0</v>
      </c>
      <c r="O672" s="14" t="b">
        <v>1</v>
      </c>
      <c r="W672" s="3"/>
    </row>
    <row r="673" spans="1:23" x14ac:dyDescent="0.25">
      <c r="A673" s="4">
        <v>15126437000305</v>
      </c>
      <c r="B673" s="8" t="s">
        <v>614</v>
      </c>
      <c r="C673" s="8" t="s">
        <v>225</v>
      </c>
      <c r="D673" s="7" t="s">
        <v>226</v>
      </c>
      <c r="E673" s="7" t="s">
        <v>795</v>
      </c>
      <c r="F673" s="6">
        <v>2</v>
      </c>
      <c r="G673" s="8" t="s">
        <v>742</v>
      </c>
      <c r="H673" s="8" t="s">
        <v>743</v>
      </c>
      <c r="I673" s="7" t="s">
        <v>723</v>
      </c>
      <c r="J673" s="8" t="s">
        <v>791</v>
      </c>
      <c r="K673" s="14" t="b">
        <v>0</v>
      </c>
      <c r="L673" s="14" t="b">
        <v>1</v>
      </c>
      <c r="M673" s="14" t="b">
        <v>1</v>
      </c>
      <c r="N673" s="14" t="b">
        <v>0</v>
      </c>
      <c r="O673" s="14" t="b">
        <v>1</v>
      </c>
      <c r="W673" s="3"/>
    </row>
    <row r="674" spans="1:23" x14ac:dyDescent="0.25">
      <c r="A674" s="4">
        <v>15126437000305</v>
      </c>
      <c r="B674" s="8" t="s">
        <v>614</v>
      </c>
      <c r="C674" s="8" t="s">
        <v>225</v>
      </c>
      <c r="D674" s="7" t="s">
        <v>226</v>
      </c>
      <c r="E674" s="7" t="s">
        <v>795</v>
      </c>
      <c r="F674" s="6">
        <v>2</v>
      </c>
      <c r="G674" s="8" t="s">
        <v>780</v>
      </c>
      <c r="H674" s="8" t="s">
        <v>781</v>
      </c>
      <c r="I674" s="7" t="s">
        <v>739</v>
      </c>
      <c r="J674" s="8" t="s">
        <v>791</v>
      </c>
      <c r="K674" s="14" t="b">
        <v>1</v>
      </c>
      <c r="L674" s="14" t="b">
        <v>0</v>
      </c>
      <c r="M674" s="14" t="b">
        <v>0</v>
      </c>
      <c r="N674" s="14" t="b">
        <v>1</v>
      </c>
      <c r="O674" s="14" t="b">
        <v>1</v>
      </c>
      <c r="W674" s="3"/>
    </row>
    <row r="675" spans="1:23" x14ac:dyDescent="0.25">
      <c r="A675" s="4">
        <v>15126437000496</v>
      </c>
      <c r="B675" s="8" t="s">
        <v>328</v>
      </c>
      <c r="C675" s="8" t="s">
        <v>310</v>
      </c>
      <c r="D675" s="7" t="s">
        <v>268</v>
      </c>
      <c r="E675" s="7" t="s">
        <v>795</v>
      </c>
      <c r="F675" s="6">
        <v>2</v>
      </c>
      <c r="G675" s="8" t="s">
        <v>744</v>
      </c>
      <c r="H675" s="8" t="s">
        <v>745</v>
      </c>
      <c r="I675" s="7" t="s">
        <v>723</v>
      </c>
      <c r="J675" s="8" t="s">
        <v>791</v>
      </c>
      <c r="K675" s="14" t="b">
        <v>0</v>
      </c>
      <c r="L675" s="14" t="b">
        <v>1</v>
      </c>
      <c r="M675" s="14" t="b">
        <v>1</v>
      </c>
      <c r="N675" s="14" t="b">
        <v>0</v>
      </c>
      <c r="O675" s="14" t="b">
        <v>1</v>
      </c>
      <c r="W675" s="3"/>
    </row>
    <row r="676" spans="1:23" x14ac:dyDescent="0.25">
      <c r="A676" s="4">
        <v>15126437000739</v>
      </c>
      <c r="B676" s="8" t="s">
        <v>329</v>
      </c>
      <c r="C676" s="8" t="s">
        <v>246</v>
      </c>
      <c r="D676" s="7" t="s">
        <v>247</v>
      </c>
      <c r="E676" s="7" t="s">
        <v>795</v>
      </c>
      <c r="F676" s="6">
        <v>2</v>
      </c>
      <c r="G676" s="8" t="s">
        <v>748</v>
      </c>
      <c r="H676" s="8" t="s">
        <v>749</v>
      </c>
      <c r="I676" s="7" t="s">
        <v>723</v>
      </c>
      <c r="J676" s="8" t="s">
        <v>791</v>
      </c>
      <c r="K676" s="14" t="b">
        <v>0</v>
      </c>
      <c r="L676" s="14" t="b">
        <v>1</v>
      </c>
      <c r="M676" s="14" t="b">
        <v>1</v>
      </c>
      <c r="N676" s="14" t="b">
        <v>0</v>
      </c>
      <c r="O676" s="14" t="b">
        <v>1</v>
      </c>
      <c r="W676" s="3"/>
    </row>
    <row r="677" spans="1:23" x14ac:dyDescent="0.25">
      <c r="A677" s="4">
        <v>15126437001204</v>
      </c>
      <c r="B677" s="8" t="s">
        <v>643</v>
      </c>
      <c r="C677" s="8" t="s">
        <v>261</v>
      </c>
      <c r="D677" s="7" t="s">
        <v>262</v>
      </c>
      <c r="E677" s="7" t="s">
        <v>795</v>
      </c>
      <c r="F677" s="6">
        <v>2</v>
      </c>
      <c r="G677" s="8" t="s">
        <v>742</v>
      </c>
      <c r="H677" s="8" t="s">
        <v>743</v>
      </c>
      <c r="I677" s="7" t="s">
        <v>723</v>
      </c>
      <c r="J677" s="8" t="s">
        <v>791</v>
      </c>
      <c r="K677" s="14" t="b">
        <v>0</v>
      </c>
      <c r="L677" s="14" t="b">
        <v>1</v>
      </c>
      <c r="M677" s="14" t="b">
        <v>1</v>
      </c>
      <c r="N677" s="14" t="b">
        <v>0</v>
      </c>
      <c r="O677" s="14" t="b">
        <v>1</v>
      </c>
      <c r="W677" s="3"/>
    </row>
    <row r="678" spans="1:23" x14ac:dyDescent="0.25">
      <c r="A678" s="4">
        <v>15126437001204</v>
      </c>
      <c r="B678" s="8" t="s">
        <v>643</v>
      </c>
      <c r="C678" s="8" t="s">
        <v>261</v>
      </c>
      <c r="D678" s="7" t="s">
        <v>262</v>
      </c>
      <c r="E678" s="7" t="s">
        <v>795</v>
      </c>
      <c r="F678" s="6">
        <v>2</v>
      </c>
      <c r="G678" s="8" t="s">
        <v>766</v>
      </c>
      <c r="H678" s="8" t="s">
        <v>767</v>
      </c>
      <c r="I678" s="7" t="s">
        <v>730</v>
      </c>
      <c r="J678" s="8" t="s">
        <v>791</v>
      </c>
      <c r="K678" s="14" t="b">
        <v>1</v>
      </c>
      <c r="L678" s="14" t="b">
        <v>0</v>
      </c>
      <c r="M678" s="14" t="b">
        <v>0</v>
      </c>
      <c r="N678" s="14" t="b">
        <v>1</v>
      </c>
      <c r="O678" s="14" t="b">
        <v>1</v>
      </c>
      <c r="W678" s="3"/>
    </row>
    <row r="679" spans="1:23" x14ac:dyDescent="0.25">
      <c r="A679" s="4">
        <v>15126437001468</v>
      </c>
      <c r="B679" s="8" t="s">
        <v>439</v>
      </c>
      <c r="C679" s="8" t="s">
        <v>281</v>
      </c>
      <c r="D679" s="7" t="s">
        <v>282</v>
      </c>
      <c r="E679" s="7" t="s">
        <v>795</v>
      </c>
      <c r="F679" s="6">
        <v>2</v>
      </c>
      <c r="G679" s="8" t="s">
        <v>744</v>
      </c>
      <c r="H679" s="8" t="s">
        <v>745</v>
      </c>
      <c r="I679" s="7" t="s">
        <v>723</v>
      </c>
      <c r="J679" s="8" t="s">
        <v>791</v>
      </c>
      <c r="K679" s="14" t="b">
        <v>0</v>
      </c>
      <c r="L679" s="14" t="b">
        <v>1</v>
      </c>
      <c r="M679" s="14" t="b">
        <v>1</v>
      </c>
      <c r="N679" s="14" t="b">
        <v>0</v>
      </c>
      <c r="O679" s="14" t="b">
        <v>1</v>
      </c>
      <c r="W679" s="3"/>
    </row>
    <row r="680" spans="1:23" x14ac:dyDescent="0.25">
      <c r="A680" s="4">
        <v>15140254000182</v>
      </c>
      <c r="B680" s="8" t="s">
        <v>440</v>
      </c>
      <c r="C680" s="8" t="s">
        <v>278</v>
      </c>
      <c r="D680" s="7" t="s">
        <v>276</v>
      </c>
      <c r="E680" s="7" t="s">
        <v>795</v>
      </c>
      <c r="F680" s="6">
        <v>2</v>
      </c>
      <c r="G680" s="8" t="s">
        <v>746</v>
      </c>
      <c r="H680" s="8" t="s">
        <v>747</v>
      </c>
      <c r="I680" s="7" t="s">
        <v>723</v>
      </c>
      <c r="J680" s="8" t="s">
        <v>791</v>
      </c>
      <c r="K680" s="14" t="b">
        <v>0</v>
      </c>
      <c r="L680" s="14" t="b">
        <v>1</v>
      </c>
      <c r="M680" s="14" t="b">
        <v>1</v>
      </c>
      <c r="N680" s="14" t="b">
        <v>0</v>
      </c>
      <c r="O680" s="14" t="b">
        <v>1</v>
      </c>
      <c r="W680" s="3"/>
    </row>
    <row r="681" spans="1:23" x14ac:dyDescent="0.25">
      <c r="A681" s="4">
        <v>15153745000249</v>
      </c>
      <c r="B681" s="8" t="s">
        <v>332</v>
      </c>
      <c r="C681" s="8" t="s">
        <v>278</v>
      </c>
      <c r="D681" s="7" t="s">
        <v>276</v>
      </c>
      <c r="E681" s="7" t="s">
        <v>795</v>
      </c>
      <c r="F681" s="6">
        <v>2</v>
      </c>
      <c r="G681" s="8" t="s">
        <v>746</v>
      </c>
      <c r="H681" s="8" t="s">
        <v>747</v>
      </c>
      <c r="I681" s="7" t="s">
        <v>723</v>
      </c>
      <c r="J681" s="8" t="s">
        <v>791</v>
      </c>
      <c r="K681" s="14" t="b">
        <v>0</v>
      </c>
      <c r="L681" s="14" t="b">
        <v>1</v>
      </c>
      <c r="M681" s="14" t="b">
        <v>1</v>
      </c>
      <c r="N681" s="14" t="b">
        <v>0</v>
      </c>
      <c r="O681" s="14" t="b">
        <v>1</v>
      </c>
      <c r="W681" s="3"/>
    </row>
    <row r="682" spans="1:23" x14ac:dyDescent="0.25">
      <c r="A682" s="4">
        <v>15153745002705</v>
      </c>
      <c r="B682" s="8" t="s">
        <v>333</v>
      </c>
      <c r="C682" s="8" t="s">
        <v>278</v>
      </c>
      <c r="D682" s="7" t="s">
        <v>276</v>
      </c>
      <c r="E682" s="7" t="s">
        <v>795</v>
      </c>
      <c r="F682" s="6">
        <v>2</v>
      </c>
      <c r="G682" s="8" t="s">
        <v>746</v>
      </c>
      <c r="H682" s="8" t="s">
        <v>747</v>
      </c>
      <c r="I682" s="7" t="s">
        <v>723</v>
      </c>
      <c r="J682" s="8" t="s">
        <v>791</v>
      </c>
      <c r="K682" s="14" t="b">
        <v>0</v>
      </c>
      <c r="L682" s="14" t="b">
        <v>1</v>
      </c>
      <c r="M682" s="14" t="b">
        <v>1</v>
      </c>
      <c r="N682" s="14" t="b">
        <v>0</v>
      </c>
      <c r="O682" s="14" t="b">
        <v>1</v>
      </c>
      <c r="W682" s="3"/>
    </row>
    <row r="683" spans="1:23" x14ac:dyDescent="0.25">
      <c r="A683" s="4">
        <v>15166416000151</v>
      </c>
      <c r="B683" s="8" t="s">
        <v>334</v>
      </c>
      <c r="C683" s="8" t="s">
        <v>278</v>
      </c>
      <c r="D683" s="7" t="s">
        <v>276</v>
      </c>
      <c r="E683" s="7" t="s">
        <v>795</v>
      </c>
      <c r="F683" s="6">
        <v>2</v>
      </c>
      <c r="G683" s="8" t="s">
        <v>746</v>
      </c>
      <c r="H683" s="8" t="s">
        <v>747</v>
      </c>
      <c r="I683" s="7" t="s">
        <v>723</v>
      </c>
      <c r="J683" s="8" t="s">
        <v>791</v>
      </c>
      <c r="K683" s="14" t="b">
        <v>0</v>
      </c>
      <c r="L683" s="14" t="b">
        <v>1</v>
      </c>
      <c r="M683" s="14" t="b">
        <v>1</v>
      </c>
      <c r="N683" s="14" t="b">
        <v>0</v>
      </c>
      <c r="O683" s="14" t="b">
        <v>1</v>
      </c>
      <c r="W683" s="3"/>
    </row>
    <row r="684" spans="1:23" x14ac:dyDescent="0.25">
      <c r="A684" s="4">
        <v>15170723000106</v>
      </c>
      <c r="B684" s="8" t="s">
        <v>335</v>
      </c>
      <c r="C684" s="8" t="s">
        <v>278</v>
      </c>
      <c r="D684" s="7" t="s">
        <v>276</v>
      </c>
      <c r="E684" s="7" t="s">
        <v>795</v>
      </c>
      <c r="F684" s="6">
        <v>2</v>
      </c>
      <c r="G684" s="8" t="s">
        <v>746</v>
      </c>
      <c r="H684" s="8" t="s">
        <v>747</v>
      </c>
      <c r="I684" s="7" t="s">
        <v>723</v>
      </c>
      <c r="J684" s="8" t="s">
        <v>791</v>
      </c>
      <c r="K684" s="14" t="b">
        <v>0</v>
      </c>
      <c r="L684" s="14" t="b">
        <v>1</v>
      </c>
      <c r="M684" s="14" t="b">
        <v>1</v>
      </c>
      <c r="N684" s="14" t="b">
        <v>0</v>
      </c>
      <c r="O684" s="14" t="b">
        <v>1</v>
      </c>
      <c r="W684" s="3"/>
    </row>
    <row r="685" spans="1:23" x14ac:dyDescent="0.25">
      <c r="A685" s="4">
        <v>15170723000530</v>
      </c>
      <c r="B685" s="8" t="s">
        <v>336</v>
      </c>
      <c r="C685" s="8" t="s">
        <v>323</v>
      </c>
      <c r="D685" s="7" t="s">
        <v>276</v>
      </c>
      <c r="E685" s="7" t="s">
        <v>795</v>
      </c>
      <c r="F685" s="6">
        <v>2</v>
      </c>
      <c r="G685" s="8" t="s">
        <v>746</v>
      </c>
      <c r="H685" s="8" t="s">
        <v>747</v>
      </c>
      <c r="I685" s="7" t="s">
        <v>723</v>
      </c>
      <c r="J685" s="8" t="s">
        <v>791</v>
      </c>
      <c r="K685" s="14" t="b">
        <v>0</v>
      </c>
      <c r="L685" s="14" t="b">
        <v>1</v>
      </c>
      <c r="M685" s="14" t="b">
        <v>1</v>
      </c>
      <c r="N685" s="14" t="b">
        <v>0</v>
      </c>
      <c r="O685" s="14" t="b">
        <v>1</v>
      </c>
      <c r="W685" s="3"/>
    </row>
    <row r="686" spans="1:23" x14ac:dyDescent="0.25">
      <c r="A686" s="4">
        <v>15180714000368</v>
      </c>
      <c r="B686" s="8" t="s">
        <v>337</v>
      </c>
      <c r="C686" s="8" t="s">
        <v>278</v>
      </c>
      <c r="D686" s="7" t="s">
        <v>276</v>
      </c>
      <c r="E686" s="7" t="s">
        <v>795</v>
      </c>
      <c r="F686" s="6">
        <v>2</v>
      </c>
      <c r="G686" s="8" t="s">
        <v>746</v>
      </c>
      <c r="H686" s="8" t="s">
        <v>747</v>
      </c>
      <c r="I686" s="7" t="s">
        <v>723</v>
      </c>
      <c r="J686" s="8" t="s">
        <v>791</v>
      </c>
      <c r="K686" s="14" t="b">
        <v>0</v>
      </c>
      <c r="L686" s="14" t="b">
        <v>1</v>
      </c>
      <c r="M686" s="14" t="b">
        <v>1</v>
      </c>
      <c r="N686" s="14" t="b">
        <v>0</v>
      </c>
      <c r="O686" s="14" t="b">
        <v>1</v>
      </c>
      <c r="W686" s="3"/>
    </row>
    <row r="687" spans="1:23" x14ac:dyDescent="0.25">
      <c r="A687" s="4">
        <v>15180714000520</v>
      </c>
      <c r="B687" s="8" t="s">
        <v>338</v>
      </c>
      <c r="C687" s="8" t="s">
        <v>278</v>
      </c>
      <c r="D687" s="7" t="s">
        <v>276</v>
      </c>
      <c r="E687" s="7" t="s">
        <v>795</v>
      </c>
      <c r="F687" s="6">
        <v>2</v>
      </c>
      <c r="G687" s="8" t="s">
        <v>746</v>
      </c>
      <c r="H687" s="8" t="s">
        <v>747</v>
      </c>
      <c r="I687" s="7" t="s">
        <v>723</v>
      </c>
      <c r="J687" s="8" t="s">
        <v>791</v>
      </c>
      <c r="K687" s="14" t="b">
        <v>0</v>
      </c>
      <c r="L687" s="14" t="b">
        <v>1</v>
      </c>
      <c r="M687" s="14" t="b">
        <v>1</v>
      </c>
      <c r="N687" s="14" t="b">
        <v>0</v>
      </c>
      <c r="O687" s="14" t="b">
        <v>1</v>
      </c>
      <c r="W687" s="3"/>
    </row>
    <row r="688" spans="1:23" x14ac:dyDescent="0.25">
      <c r="A688" s="4">
        <v>15194004000125</v>
      </c>
      <c r="B688" s="8" t="s">
        <v>339</v>
      </c>
      <c r="C688" s="8" t="s">
        <v>278</v>
      </c>
      <c r="D688" s="7" t="s">
        <v>276</v>
      </c>
      <c r="E688" s="7" t="s">
        <v>795</v>
      </c>
      <c r="F688" s="6">
        <v>2</v>
      </c>
      <c r="G688" s="8" t="s">
        <v>746</v>
      </c>
      <c r="H688" s="8" t="s">
        <v>747</v>
      </c>
      <c r="I688" s="7" t="s">
        <v>723</v>
      </c>
      <c r="J688" s="8" t="s">
        <v>791</v>
      </c>
      <c r="K688" s="14" t="b">
        <v>0</v>
      </c>
      <c r="L688" s="14" t="b">
        <v>1</v>
      </c>
      <c r="M688" s="14" t="b">
        <v>1</v>
      </c>
      <c r="N688" s="14" t="b">
        <v>0</v>
      </c>
      <c r="O688" s="14" t="b">
        <v>1</v>
      </c>
      <c r="W688" s="3"/>
    </row>
    <row r="689" spans="1:23" x14ac:dyDescent="0.25">
      <c r="A689" s="4">
        <v>15242761000127</v>
      </c>
      <c r="B689" s="8" t="s">
        <v>340</v>
      </c>
      <c r="C689" s="8" t="s">
        <v>278</v>
      </c>
      <c r="D689" s="7" t="s">
        <v>276</v>
      </c>
      <c r="E689" s="7" t="s">
        <v>795</v>
      </c>
      <c r="F689" s="6">
        <v>2</v>
      </c>
      <c r="G689" s="8" t="s">
        <v>746</v>
      </c>
      <c r="H689" s="8" t="s">
        <v>747</v>
      </c>
      <c r="I689" s="7" t="s">
        <v>723</v>
      </c>
      <c r="J689" s="8" t="s">
        <v>791</v>
      </c>
      <c r="K689" s="14" t="b">
        <v>0</v>
      </c>
      <c r="L689" s="14" t="b">
        <v>1</v>
      </c>
      <c r="M689" s="14" t="b">
        <v>1</v>
      </c>
      <c r="N689" s="14" t="b">
        <v>0</v>
      </c>
      <c r="O689" s="14" t="b">
        <v>1</v>
      </c>
      <c r="W689" s="3"/>
    </row>
    <row r="690" spans="1:23" x14ac:dyDescent="0.25">
      <c r="A690" s="4">
        <v>15592785000106</v>
      </c>
      <c r="B690" s="8" t="s">
        <v>566</v>
      </c>
      <c r="C690" s="8" t="s">
        <v>317</v>
      </c>
      <c r="D690" s="7" t="s">
        <v>318</v>
      </c>
      <c r="E690" s="7" t="s">
        <v>795</v>
      </c>
      <c r="F690" s="6">
        <v>2</v>
      </c>
      <c r="G690" s="8" t="s">
        <v>746</v>
      </c>
      <c r="H690" s="8" t="s">
        <v>747</v>
      </c>
      <c r="I690" s="7" t="s">
        <v>723</v>
      </c>
      <c r="J690" s="8" t="s">
        <v>791</v>
      </c>
      <c r="K690" s="14" t="b">
        <v>0</v>
      </c>
      <c r="L690" s="14" t="b">
        <v>1</v>
      </c>
      <c r="M690" s="14" t="b">
        <v>1</v>
      </c>
      <c r="N690" s="14" t="b">
        <v>0</v>
      </c>
      <c r="O690" s="14" t="b">
        <v>1</v>
      </c>
      <c r="W690" s="3"/>
    </row>
    <row r="691" spans="1:23" x14ac:dyDescent="0.25">
      <c r="A691" s="4">
        <v>16064313000577</v>
      </c>
      <c r="B691" s="8" t="s">
        <v>441</v>
      </c>
      <c r="C691" s="8" t="s">
        <v>317</v>
      </c>
      <c r="D691" s="7" t="s">
        <v>318</v>
      </c>
      <c r="E691" s="7" t="s">
        <v>795</v>
      </c>
      <c r="F691" s="6">
        <v>2</v>
      </c>
      <c r="G691" s="8" t="s">
        <v>746</v>
      </c>
      <c r="H691" s="8" t="s">
        <v>747</v>
      </c>
      <c r="I691" s="7" t="s">
        <v>723</v>
      </c>
      <c r="J691" s="8" t="s">
        <v>791</v>
      </c>
      <c r="K691" s="14" t="b">
        <v>0</v>
      </c>
      <c r="L691" s="14" t="b">
        <v>1</v>
      </c>
      <c r="M691" s="14" t="b">
        <v>1</v>
      </c>
      <c r="N691" s="14" t="b">
        <v>0</v>
      </c>
      <c r="O691" s="14" t="b">
        <v>1</v>
      </c>
      <c r="W691" s="3"/>
    </row>
    <row r="692" spans="1:23" x14ac:dyDescent="0.25">
      <c r="A692" s="4">
        <v>16475154000250</v>
      </c>
      <c r="B692" s="8" t="s">
        <v>442</v>
      </c>
      <c r="C692" s="8" t="s">
        <v>278</v>
      </c>
      <c r="D692" s="7" t="s">
        <v>276</v>
      </c>
      <c r="E692" s="7" t="s">
        <v>795</v>
      </c>
      <c r="F692" s="6">
        <v>2</v>
      </c>
      <c r="G692" s="8" t="s">
        <v>746</v>
      </c>
      <c r="H692" s="8" t="s">
        <v>747</v>
      </c>
      <c r="I692" s="7" t="s">
        <v>723</v>
      </c>
      <c r="J692" s="8" t="s">
        <v>791</v>
      </c>
      <c r="K692" s="14" t="b">
        <v>0</v>
      </c>
      <c r="L692" s="14" t="b">
        <v>1</v>
      </c>
      <c r="M692" s="14" t="b">
        <v>1</v>
      </c>
      <c r="N692" s="14" t="b">
        <v>0</v>
      </c>
      <c r="O692" s="14" t="b">
        <v>1</v>
      </c>
      <c r="W692" s="3"/>
    </row>
    <row r="693" spans="1:23" x14ac:dyDescent="0.25">
      <c r="A693" s="4">
        <v>16739984000167</v>
      </c>
      <c r="B693" s="8" t="s">
        <v>342</v>
      </c>
      <c r="C693" s="8" t="s">
        <v>225</v>
      </c>
      <c r="D693" s="7" t="s">
        <v>226</v>
      </c>
      <c r="E693" s="7" t="s">
        <v>795</v>
      </c>
      <c r="F693" s="6">
        <v>2</v>
      </c>
      <c r="G693" s="8" t="s">
        <v>742</v>
      </c>
      <c r="H693" s="8" t="s">
        <v>743</v>
      </c>
      <c r="I693" s="7" t="s">
        <v>723</v>
      </c>
      <c r="J693" s="8" t="s">
        <v>791</v>
      </c>
      <c r="K693" s="14" t="b">
        <v>0</v>
      </c>
      <c r="L693" s="14" t="b">
        <v>1</v>
      </c>
      <c r="M693" s="14" t="b">
        <v>1</v>
      </c>
      <c r="N693" s="14" t="b">
        <v>0</v>
      </c>
      <c r="O693" s="14" t="b">
        <v>1</v>
      </c>
      <c r="W693" s="3"/>
    </row>
    <row r="694" spans="1:23" x14ac:dyDescent="0.25">
      <c r="A694" s="4">
        <v>16739984000167</v>
      </c>
      <c r="B694" s="8" t="s">
        <v>342</v>
      </c>
      <c r="C694" s="8" t="s">
        <v>225</v>
      </c>
      <c r="D694" s="7" t="s">
        <v>226</v>
      </c>
      <c r="E694" s="7" t="s">
        <v>795</v>
      </c>
      <c r="F694" s="6">
        <v>2</v>
      </c>
      <c r="G694" s="8" t="s">
        <v>780</v>
      </c>
      <c r="H694" s="8" t="s">
        <v>781</v>
      </c>
      <c r="I694" s="7" t="s">
        <v>739</v>
      </c>
      <c r="J694" s="8" t="s">
        <v>791</v>
      </c>
      <c r="K694" s="14" t="b">
        <v>1</v>
      </c>
      <c r="L694" s="14" t="b">
        <v>0</v>
      </c>
      <c r="M694" s="14" t="b">
        <v>0</v>
      </c>
      <c r="N694" s="14" t="b">
        <v>1</v>
      </c>
      <c r="O694" s="14" t="b">
        <v>1</v>
      </c>
      <c r="W694" s="3"/>
    </row>
    <row r="695" spans="1:23" x14ac:dyDescent="0.25">
      <c r="A695" s="4">
        <v>21155621000114</v>
      </c>
      <c r="B695" s="8" t="s">
        <v>619</v>
      </c>
      <c r="C695" s="8" t="s">
        <v>237</v>
      </c>
      <c r="D695" s="7" t="s">
        <v>238</v>
      </c>
      <c r="E695" s="7" t="s">
        <v>795</v>
      </c>
      <c r="F695" s="6">
        <v>2</v>
      </c>
      <c r="G695" s="8" t="s">
        <v>742</v>
      </c>
      <c r="H695" s="8" t="s">
        <v>743</v>
      </c>
      <c r="I695" s="7" t="s">
        <v>723</v>
      </c>
      <c r="J695" s="8" t="s">
        <v>791</v>
      </c>
      <c r="K695" s="14" t="b">
        <v>0</v>
      </c>
      <c r="L695" s="14" t="b">
        <v>1</v>
      </c>
      <c r="M695" s="14" t="b">
        <v>1</v>
      </c>
      <c r="N695" s="14" t="b">
        <v>0</v>
      </c>
      <c r="O695" s="14" t="b">
        <v>1</v>
      </c>
      <c r="W695" s="3"/>
    </row>
    <row r="696" spans="1:23" x14ac:dyDescent="0.25">
      <c r="A696" s="4">
        <v>21155621000114</v>
      </c>
      <c r="B696" s="8" t="s">
        <v>619</v>
      </c>
      <c r="C696" s="8" t="s">
        <v>237</v>
      </c>
      <c r="D696" s="7" t="s">
        <v>238</v>
      </c>
      <c r="E696" s="7" t="s">
        <v>795</v>
      </c>
      <c r="F696" s="6">
        <v>2</v>
      </c>
      <c r="G696" s="8" t="s">
        <v>766</v>
      </c>
      <c r="H696" s="8" t="s">
        <v>767</v>
      </c>
      <c r="I696" s="7" t="s">
        <v>730</v>
      </c>
      <c r="J696" s="8" t="s">
        <v>791</v>
      </c>
      <c r="K696" s="14" t="b">
        <v>1</v>
      </c>
      <c r="L696" s="14" t="b">
        <v>0</v>
      </c>
      <c r="M696" s="14" t="b">
        <v>0</v>
      </c>
      <c r="N696" s="14" t="b">
        <v>1</v>
      </c>
      <c r="O696" s="14" t="b">
        <v>1</v>
      </c>
      <c r="W696" s="3"/>
    </row>
    <row r="697" spans="1:23" x14ac:dyDescent="0.25">
      <c r="A697" s="4">
        <v>24464109000229</v>
      </c>
      <c r="B697" s="8" t="s">
        <v>360</v>
      </c>
      <c r="C697" s="8" t="s">
        <v>361</v>
      </c>
      <c r="D697" s="7" t="s">
        <v>362</v>
      </c>
      <c r="E697" s="7" t="s">
        <v>795</v>
      </c>
      <c r="F697" s="6">
        <v>2</v>
      </c>
      <c r="G697" s="8" t="s">
        <v>746</v>
      </c>
      <c r="H697" s="8" t="s">
        <v>747</v>
      </c>
      <c r="I697" s="7" t="s">
        <v>723</v>
      </c>
      <c r="J697" s="8" t="s">
        <v>791</v>
      </c>
      <c r="K697" s="14" t="b">
        <v>0</v>
      </c>
      <c r="L697" s="14" t="b">
        <v>1</v>
      </c>
      <c r="M697" s="14" t="b">
        <v>1</v>
      </c>
      <c r="N697" s="14" t="b">
        <v>0</v>
      </c>
      <c r="O697" s="14" t="b">
        <v>1</v>
      </c>
      <c r="W697" s="3"/>
    </row>
    <row r="698" spans="1:23" x14ac:dyDescent="0.25">
      <c r="A698" s="4">
        <v>24676884000752</v>
      </c>
      <c r="B698" s="8" t="s">
        <v>571</v>
      </c>
      <c r="C698" s="8" t="s">
        <v>572</v>
      </c>
      <c r="D698" s="7" t="s">
        <v>262</v>
      </c>
      <c r="E698" s="7" t="s">
        <v>795</v>
      </c>
      <c r="F698" s="6">
        <v>2</v>
      </c>
      <c r="G698" s="8" t="s">
        <v>742</v>
      </c>
      <c r="H698" s="8" t="s">
        <v>743</v>
      </c>
      <c r="I698" s="7" t="s">
        <v>723</v>
      </c>
      <c r="J698" s="8" t="s">
        <v>791</v>
      </c>
      <c r="K698" s="14" t="b">
        <v>0</v>
      </c>
      <c r="L698" s="14" t="b">
        <v>1</v>
      </c>
      <c r="M698" s="14" t="b">
        <v>1</v>
      </c>
      <c r="N698" s="14" t="b">
        <v>0</v>
      </c>
      <c r="O698" s="14" t="b">
        <v>1</v>
      </c>
      <c r="W698" s="3"/>
    </row>
    <row r="699" spans="1:23" x14ac:dyDescent="0.25">
      <c r="A699" s="4">
        <v>24676884000752</v>
      </c>
      <c r="B699" s="8" t="s">
        <v>571</v>
      </c>
      <c r="C699" s="8" t="s">
        <v>572</v>
      </c>
      <c r="D699" s="7" t="s">
        <v>262</v>
      </c>
      <c r="E699" s="7" t="s">
        <v>795</v>
      </c>
      <c r="F699" s="6">
        <v>2</v>
      </c>
      <c r="G699" s="8" t="s">
        <v>766</v>
      </c>
      <c r="H699" s="8" t="s">
        <v>767</v>
      </c>
      <c r="I699" s="7" t="s">
        <v>730</v>
      </c>
      <c r="J699" s="8" t="s">
        <v>791</v>
      </c>
      <c r="K699" s="14" t="b">
        <v>1</v>
      </c>
      <c r="L699" s="14" t="b">
        <v>0</v>
      </c>
      <c r="M699" s="14" t="b">
        <v>0</v>
      </c>
      <c r="N699" s="14" t="b">
        <v>1</v>
      </c>
      <c r="O699" s="14" t="b">
        <v>1</v>
      </c>
      <c r="W699" s="3"/>
    </row>
    <row r="700" spans="1:23" x14ac:dyDescent="0.25">
      <c r="A700" s="4">
        <v>27372066000169</v>
      </c>
      <c r="B700" s="8" t="s">
        <v>364</v>
      </c>
      <c r="C700" s="8" t="s">
        <v>278</v>
      </c>
      <c r="D700" s="7" t="s">
        <v>276</v>
      </c>
      <c r="E700" s="7" t="s">
        <v>795</v>
      </c>
      <c r="F700" s="6">
        <v>2</v>
      </c>
      <c r="G700" s="8" t="s">
        <v>746</v>
      </c>
      <c r="H700" s="8" t="s">
        <v>747</v>
      </c>
      <c r="I700" s="7" t="s">
        <v>723</v>
      </c>
      <c r="J700" s="8" t="s">
        <v>791</v>
      </c>
      <c r="K700" s="14" t="b">
        <v>0</v>
      </c>
      <c r="L700" s="14" t="b">
        <v>1</v>
      </c>
      <c r="M700" s="14" t="b">
        <v>1</v>
      </c>
      <c r="N700" s="14" t="b">
        <v>0</v>
      </c>
      <c r="O700" s="14" t="b">
        <v>1</v>
      </c>
      <c r="W700" s="3"/>
    </row>
    <row r="701" spans="1:23" x14ac:dyDescent="0.25">
      <c r="A701" s="4">
        <v>28481233000172</v>
      </c>
      <c r="B701" s="8" t="s">
        <v>365</v>
      </c>
      <c r="C701" s="8" t="s">
        <v>225</v>
      </c>
      <c r="D701" s="7" t="s">
        <v>226</v>
      </c>
      <c r="E701" s="7" t="s">
        <v>795</v>
      </c>
      <c r="F701" s="6">
        <v>2</v>
      </c>
      <c r="G701" s="8" t="s">
        <v>742</v>
      </c>
      <c r="H701" s="8" t="s">
        <v>743</v>
      </c>
      <c r="I701" s="7" t="s">
        <v>723</v>
      </c>
      <c r="J701" s="8" t="s">
        <v>791</v>
      </c>
      <c r="K701" s="14" t="b">
        <v>0</v>
      </c>
      <c r="L701" s="14" t="b">
        <v>1</v>
      </c>
      <c r="M701" s="14" t="b">
        <v>1</v>
      </c>
      <c r="N701" s="14" t="b">
        <v>0</v>
      </c>
      <c r="O701" s="14" t="b">
        <v>1</v>
      </c>
      <c r="W701" s="3"/>
    </row>
    <row r="702" spans="1:23" x14ac:dyDescent="0.25">
      <c r="A702" s="4">
        <v>28481233000172</v>
      </c>
      <c r="B702" s="8" t="s">
        <v>365</v>
      </c>
      <c r="C702" s="8" t="s">
        <v>225</v>
      </c>
      <c r="D702" s="7" t="s">
        <v>226</v>
      </c>
      <c r="E702" s="7" t="s">
        <v>795</v>
      </c>
      <c r="F702" s="6">
        <v>2</v>
      </c>
      <c r="G702" s="8" t="s">
        <v>780</v>
      </c>
      <c r="H702" s="8" t="s">
        <v>781</v>
      </c>
      <c r="I702" s="7" t="s">
        <v>739</v>
      </c>
      <c r="J702" s="8" t="s">
        <v>791</v>
      </c>
      <c r="K702" s="14" t="b">
        <v>1</v>
      </c>
      <c r="L702" s="14" t="b">
        <v>0</v>
      </c>
      <c r="M702" s="14" t="b">
        <v>0</v>
      </c>
      <c r="N702" s="14" t="b">
        <v>1</v>
      </c>
      <c r="O702" s="14" t="b">
        <v>1</v>
      </c>
      <c r="W702" s="3"/>
    </row>
    <row r="703" spans="1:23" x14ac:dyDescent="0.25">
      <c r="A703" s="4">
        <v>29435005004620</v>
      </c>
      <c r="B703" s="8" t="s">
        <v>370</v>
      </c>
      <c r="C703" s="8" t="s">
        <v>225</v>
      </c>
      <c r="D703" s="7" t="s">
        <v>226</v>
      </c>
      <c r="E703" s="7" t="s">
        <v>795</v>
      </c>
      <c r="F703" s="6">
        <v>2</v>
      </c>
      <c r="G703" s="8" t="s">
        <v>742</v>
      </c>
      <c r="H703" s="8" t="s">
        <v>743</v>
      </c>
      <c r="I703" s="7" t="s">
        <v>723</v>
      </c>
      <c r="J703" s="8" t="s">
        <v>791</v>
      </c>
      <c r="K703" s="14" t="b">
        <v>0</v>
      </c>
      <c r="L703" s="14" t="b">
        <v>1</v>
      </c>
      <c r="M703" s="14" t="b">
        <v>1</v>
      </c>
      <c r="N703" s="14" t="b">
        <v>0</v>
      </c>
      <c r="O703" s="14" t="b">
        <v>1</v>
      </c>
      <c r="W703" s="3"/>
    </row>
    <row r="704" spans="1:23" x14ac:dyDescent="0.25">
      <c r="A704" s="4">
        <v>29435005004620</v>
      </c>
      <c r="B704" s="8" t="s">
        <v>370</v>
      </c>
      <c r="C704" s="8" t="s">
        <v>225</v>
      </c>
      <c r="D704" s="7" t="s">
        <v>226</v>
      </c>
      <c r="E704" s="7" t="s">
        <v>795</v>
      </c>
      <c r="F704" s="6">
        <v>2</v>
      </c>
      <c r="G704" s="8" t="s">
        <v>780</v>
      </c>
      <c r="H704" s="8" t="s">
        <v>781</v>
      </c>
      <c r="I704" s="7" t="s">
        <v>739</v>
      </c>
      <c r="J704" s="8" t="s">
        <v>791</v>
      </c>
      <c r="K704" s="14" t="b">
        <v>1</v>
      </c>
      <c r="L704" s="14" t="b">
        <v>0</v>
      </c>
      <c r="M704" s="14" t="b">
        <v>0</v>
      </c>
      <c r="N704" s="14" t="b">
        <v>1</v>
      </c>
      <c r="O704" s="14" t="b">
        <v>1</v>
      </c>
      <c r="W704" s="3"/>
    </row>
    <row r="705" spans="1:23" x14ac:dyDescent="0.25">
      <c r="A705" s="4">
        <v>29435005007484</v>
      </c>
      <c r="B705" s="8" t="s">
        <v>371</v>
      </c>
      <c r="C705" s="8" t="s">
        <v>281</v>
      </c>
      <c r="D705" s="7" t="s">
        <v>282</v>
      </c>
      <c r="E705" s="7" t="s">
        <v>795</v>
      </c>
      <c r="F705" s="6">
        <v>2</v>
      </c>
      <c r="G705" s="8" t="s">
        <v>744</v>
      </c>
      <c r="H705" s="8" t="s">
        <v>745</v>
      </c>
      <c r="I705" s="7" t="s">
        <v>723</v>
      </c>
      <c r="J705" s="8" t="s">
        <v>791</v>
      </c>
      <c r="K705" s="14" t="b">
        <v>0</v>
      </c>
      <c r="L705" s="14" t="b">
        <v>1</v>
      </c>
      <c r="M705" s="14" t="b">
        <v>1</v>
      </c>
      <c r="N705" s="14" t="b">
        <v>0</v>
      </c>
      <c r="O705" s="14" t="b">
        <v>1</v>
      </c>
      <c r="W705" s="3"/>
    </row>
    <row r="706" spans="1:23" x14ac:dyDescent="0.25">
      <c r="A706" s="4">
        <v>29435005009851</v>
      </c>
      <c r="B706" s="8" t="s">
        <v>372</v>
      </c>
      <c r="C706" s="8" t="s">
        <v>246</v>
      </c>
      <c r="D706" s="7" t="s">
        <v>247</v>
      </c>
      <c r="E706" s="7" t="s">
        <v>795</v>
      </c>
      <c r="F706" s="6">
        <v>2</v>
      </c>
      <c r="G706" s="8" t="s">
        <v>748</v>
      </c>
      <c r="H706" s="8" t="s">
        <v>749</v>
      </c>
      <c r="I706" s="7" t="s">
        <v>723</v>
      </c>
      <c r="J706" s="8" t="s">
        <v>791</v>
      </c>
      <c r="K706" s="14" t="b">
        <v>0</v>
      </c>
      <c r="L706" s="14" t="b">
        <v>1</v>
      </c>
      <c r="M706" s="14" t="b">
        <v>1</v>
      </c>
      <c r="N706" s="14" t="b">
        <v>0</v>
      </c>
      <c r="O706" s="14" t="b">
        <v>1</v>
      </c>
      <c r="W706" s="3"/>
    </row>
    <row r="707" spans="1:23" x14ac:dyDescent="0.25">
      <c r="A707" s="4">
        <v>30135335000188</v>
      </c>
      <c r="B707" s="8" t="s">
        <v>623</v>
      </c>
      <c r="C707" s="8" t="s">
        <v>225</v>
      </c>
      <c r="D707" s="7" t="s">
        <v>226</v>
      </c>
      <c r="E707" s="7" t="s">
        <v>795</v>
      </c>
      <c r="F707" s="6">
        <v>2</v>
      </c>
      <c r="G707" s="8" t="s">
        <v>742</v>
      </c>
      <c r="H707" s="8" t="s">
        <v>743</v>
      </c>
      <c r="I707" s="7" t="s">
        <v>723</v>
      </c>
      <c r="J707" s="8" t="s">
        <v>791</v>
      </c>
      <c r="K707" s="14" t="b">
        <v>0</v>
      </c>
      <c r="L707" s="14" t="b">
        <v>1</v>
      </c>
      <c r="M707" s="14" t="b">
        <v>1</v>
      </c>
      <c r="N707" s="14" t="b">
        <v>0</v>
      </c>
      <c r="O707" s="14" t="b">
        <v>1</v>
      </c>
      <c r="W707" s="3"/>
    </row>
    <row r="708" spans="1:23" x14ac:dyDescent="0.25">
      <c r="A708" s="4">
        <v>30135335000188</v>
      </c>
      <c r="B708" s="8" t="s">
        <v>623</v>
      </c>
      <c r="C708" s="8" t="s">
        <v>225</v>
      </c>
      <c r="D708" s="7" t="s">
        <v>226</v>
      </c>
      <c r="E708" s="7" t="s">
        <v>795</v>
      </c>
      <c r="F708" s="6">
        <v>2</v>
      </c>
      <c r="G708" s="8" t="s">
        <v>780</v>
      </c>
      <c r="H708" s="8" t="s">
        <v>781</v>
      </c>
      <c r="I708" s="7" t="s">
        <v>739</v>
      </c>
      <c r="J708" s="8" t="s">
        <v>791</v>
      </c>
      <c r="K708" s="14" t="b">
        <v>1</v>
      </c>
      <c r="L708" s="14" t="b">
        <v>0</v>
      </c>
      <c r="M708" s="14" t="b">
        <v>0</v>
      </c>
      <c r="N708" s="14" t="b">
        <v>1</v>
      </c>
      <c r="O708" s="14" t="b">
        <v>1</v>
      </c>
      <c r="W708" s="3"/>
    </row>
    <row r="709" spans="1:23" x14ac:dyDescent="0.25">
      <c r="A709" s="4">
        <v>33000167002155</v>
      </c>
      <c r="B709" s="8" t="s">
        <v>625</v>
      </c>
      <c r="C709" s="8" t="s">
        <v>626</v>
      </c>
      <c r="D709" s="7" t="s">
        <v>238</v>
      </c>
      <c r="E709" s="7" t="s">
        <v>795</v>
      </c>
      <c r="F709" s="6">
        <v>2</v>
      </c>
      <c r="G709" s="8" t="s">
        <v>742</v>
      </c>
      <c r="H709" s="8" t="s">
        <v>743</v>
      </c>
      <c r="I709" s="7" t="s">
        <v>723</v>
      </c>
      <c r="J709" s="8" t="s">
        <v>791</v>
      </c>
      <c r="K709" s="14" t="b">
        <v>0</v>
      </c>
      <c r="L709" s="14" t="b">
        <v>1</v>
      </c>
      <c r="M709" s="14" t="b">
        <v>1</v>
      </c>
      <c r="N709" s="14" t="b">
        <v>0</v>
      </c>
      <c r="O709" s="14" t="b">
        <v>1</v>
      </c>
      <c r="W709" s="3"/>
    </row>
    <row r="710" spans="1:23" x14ac:dyDescent="0.25">
      <c r="A710" s="4">
        <v>33000167002155</v>
      </c>
      <c r="B710" s="8" t="s">
        <v>625</v>
      </c>
      <c r="C710" s="8" t="s">
        <v>626</v>
      </c>
      <c r="D710" s="7" t="s">
        <v>238</v>
      </c>
      <c r="E710" s="7" t="s">
        <v>795</v>
      </c>
      <c r="F710" s="6">
        <v>2</v>
      </c>
      <c r="G710" s="8" t="s">
        <v>766</v>
      </c>
      <c r="H710" s="8" t="s">
        <v>767</v>
      </c>
      <c r="I710" s="7" t="s">
        <v>730</v>
      </c>
      <c r="J710" s="8" t="s">
        <v>791</v>
      </c>
      <c r="K710" s="14" t="b">
        <v>1</v>
      </c>
      <c r="L710" s="14" t="b">
        <v>0</v>
      </c>
      <c r="M710" s="14" t="b">
        <v>0</v>
      </c>
      <c r="N710" s="14" t="b">
        <v>1</v>
      </c>
      <c r="O710" s="14" t="b">
        <v>1</v>
      </c>
      <c r="W710" s="3"/>
    </row>
    <row r="711" spans="1:23" x14ac:dyDescent="0.25">
      <c r="A711" s="4">
        <v>37108388000159</v>
      </c>
      <c r="B711" s="8" t="s">
        <v>375</v>
      </c>
      <c r="C711" s="8" t="s">
        <v>225</v>
      </c>
      <c r="D711" s="7" t="s">
        <v>226</v>
      </c>
      <c r="E711" s="7" t="s">
        <v>795</v>
      </c>
      <c r="F711" s="6">
        <v>2</v>
      </c>
      <c r="G711" s="8" t="s">
        <v>742</v>
      </c>
      <c r="H711" s="8" t="s">
        <v>743</v>
      </c>
      <c r="I711" s="7" t="s">
        <v>723</v>
      </c>
      <c r="J711" s="8" t="s">
        <v>791</v>
      </c>
      <c r="K711" s="14" t="b">
        <v>0</v>
      </c>
      <c r="L711" s="14" t="b">
        <v>1</v>
      </c>
      <c r="M711" s="14" t="b">
        <v>1</v>
      </c>
      <c r="N711" s="14" t="b">
        <v>0</v>
      </c>
      <c r="O711" s="14" t="b">
        <v>1</v>
      </c>
      <c r="W711" s="3"/>
    </row>
    <row r="712" spans="1:23" x14ac:dyDescent="0.25">
      <c r="A712" s="4">
        <v>37108388000159</v>
      </c>
      <c r="B712" s="8" t="s">
        <v>375</v>
      </c>
      <c r="C712" s="8" t="s">
        <v>225</v>
      </c>
      <c r="D712" s="7" t="s">
        <v>226</v>
      </c>
      <c r="E712" s="7" t="s">
        <v>795</v>
      </c>
      <c r="F712" s="6">
        <v>2</v>
      </c>
      <c r="G712" s="8" t="s">
        <v>780</v>
      </c>
      <c r="H712" s="8" t="s">
        <v>781</v>
      </c>
      <c r="I712" s="7" t="s">
        <v>739</v>
      </c>
      <c r="J712" s="8" t="s">
        <v>791</v>
      </c>
      <c r="K712" s="14" t="b">
        <v>1</v>
      </c>
      <c r="L712" s="14" t="b">
        <v>0</v>
      </c>
      <c r="M712" s="14" t="b">
        <v>0</v>
      </c>
      <c r="N712" s="14" t="b">
        <v>1</v>
      </c>
      <c r="O712" s="14" t="b">
        <v>1</v>
      </c>
      <c r="W712" s="3"/>
    </row>
    <row r="713" spans="1:23" x14ac:dyDescent="0.25">
      <c r="A713" s="4">
        <v>38000485000196</v>
      </c>
      <c r="B713" s="8" t="s">
        <v>376</v>
      </c>
      <c r="C713" s="8" t="s">
        <v>225</v>
      </c>
      <c r="D713" s="7" t="s">
        <v>226</v>
      </c>
      <c r="E713" s="7" t="s">
        <v>795</v>
      </c>
      <c r="F713" s="6">
        <v>2</v>
      </c>
      <c r="G713" s="8" t="s">
        <v>742</v>
      </c>
      <c r="H713" s="8" t="s">
        <v>743</v>
      </c>
      <c r="I713" s="7" t="s">
        <v>723</v>
      </c>
      <c r="J713" s="8" t="s">
        <v>791</v>
      </c>
      <c r="K713" s="14" t="b">
        <v>0</v>
      </c>
      <c r="L713" s="14" t="b">
        <v>1</v>
      </c>
      <c r="M713" s="14" t="b">
        <v>1</v>
      </c>
      <c r="N713" s="14" t="b">
        <v>0</v>
      </c>
      <c r="O713" s="14" t="b">
        <v>1</v>
      </c>
      <c r="W713" s="3"/>
    </row>
    <row r="714" spans="1:23" x14ac:dyDescent="0.25">
      <c r="A714" s="4">
        <v>38000485000196</v>
      </c>
      <c r="B714" s="8" t="s">
        <v>376</v>
      </c>
      <c r="C714" s="8" t="s">
        <v>225</v>
      </c>
      <c r="D714" s="7" t="s">
        <v>226</v>
      </c>
      <c r="E714" s="7" t="s">
        <v>795</v>
      </c>
      <c r="F714" s="6">
        <v>2</v>
      </c>
      <c r="G714" s="8" t="s">
        <v>780</v>
      </c>
      <c r="H714" s="8" t="s">
        <v>781</v>
      </c>
      <c r="I714" s="7" t="s">
        <v>739</v>
      </c>
      <c r="J714" s="8" t="s">
        <v>791</v>
      </c>
      <c r="K714" s="14" t="b">
        <v>1</v>
      </c>
      <c r="L714" s="14" t="b">
        <v>0</v>
      </c>
      <c r="M714" s="14" t="b">
        <v>0</v>
      </c>
      <c r="N714" s="14" t="b">
        <v>1</v>
      </c>
      <c r="O714" s="14" t="b">
        <v>1</v>
      </c>
      <c r="W714" s="3"/>
    </row>
    <row r="715" spans="1:23" x14ac:dyDescent="0.25">
      <c r="A715" s="4">
        <v>41580077000165</v>
      </c>
      <c r="B715" s="8" t="s">
        <v>505</v>
      </c>
      <c r="C715" s="8" t="s">
        <v>281</v>
      </c>
      <c r="D715" s="7" t="s">
        <v>282</v>
      </c>
      <c r="E715" s="7" t="s">
        <v>795</v>
      </c>
      <c r="F715" s="6">
        <v>2</v>
      </c>
      <c r="G715" s="8" t="s">
        <v>744</v>
      </c>
      <c r="H715" s="8" t="s">
        <v>745</v>
      </c>
      <c r="I715" s="7" t="s">
        <v>723</v>
      </c>
      <c r="J715" s="8" t="s">
        <v>791</v>
      </c>
      <c r="K715" s="14" t="b">
        <v>0</v>
      </c>
      <c r="L715" s="14" t="b">
        <v>1</v>
      </c>
      <c r="M715" s="14" t="b">
        <v>1</v>
      </c>
      <c r="N715" s="14" t="b">
        <v>0</v>
      </c>
      <c r="O715" s="14" t="b">
        <v>1</v>
      </c>
      <c r="W715" s="3"/>
    </row>
    <row r="716" spans="1:23" x14ac:dyDescent="0.25">
      <c r="A716" s="4">
        <v>60884855001983</v>
      </c>
      <c r="B716" s="8" t="s">
        <v>506</v>
      </c>
      <c r="C716" s="8" t="s">
        <v>225</v>
      </c>
      <c r="D716" s="7" t="s">
        <v>226</v>
      </c>
      <c r="E716" s="7" t="s">
        <v>795</v>
      </c>
      <c r="F716" s="6">
        <v>2</v>
      </c>
      <c r="G716" s="8" t="s">
        <v>742</v>
      </c>
      <c r="H716" s="8" t="s">
        <v>743</v>
      </c>
      <c r="I716" s="7" t="s">
        <v>723</v>
      </c>
      <c r="J716" s="8" t="s">
        <v>791</v>
      </c>
      <c r="K716" s="14" t="b">
        <v>0</v>
      </c>
      <c r="L716" s="14" t="b">
        <v>1</v>
      </c>
      <c r="M716" s="14" t="b">
        <v>1</v>
      </c>
      <c r="N716" s="14" t="b">
        <v>0</v>
      </c>
      <c r="O716" s="14" t="b">
        <v>1</v>
      </c>
      <c r="W716" s="3"/>
    </row>
    <row r="717" spans="1:23" x14ac:dyDescent="0.25">
      <c r="A717" s="4">
        <v>60884855001983</v>
      </c>
      <c r="B717" s="8" t="s">
        <v>506</v>
      </c>
      <c r="C717" s="8" t="s">
        <v>225</v>
      </c>
      <c r="D717" s="7" t="s">
        <v>226</v>
      </c>
      <c r="E717" s="7" t="s">
        <v>795</v>
      </c>
      <c r="F717" s="6">
        <v>2</v>
      </c>
      <c r="G717" s="8" t="s">
        <v>780</v>
      </c>
      <c r="H717" s="8" t="s">
        <v>781</v>
      </c>
      <c r="I717" s="7" t="s">
        <v>739</v>
      </c>
      <c r="J717" s="8" t="s">
        <v>791</v>
      </c>
      <c r="K717" s="14" t="b">
        <v>1</v>
      </c>
      <c r="L717" s="14" t="b">
        <v>0</v>
      </c>
      <c r="M717" s="14" t="b">
        <v>0</v>
      </c>
      <c r="N717" s="14" t="b">
        <v>1</v>
      </c>
      <c r="O717" s="14" t="b">
        <v>1</v>
      </c>
      <c r="W717" s="3"/>
    </row>
    <row r="718" spans="1:23" x14ac:dyDescent="0.25">
      <c r="A718" s="4">
        <v>60884855002289</v>
      </c>
      <c r="B718" s="8" t="s">
        <v>378</v>
      </c>
      <c r="C718" s="8" t="s">
        <v>225</v>
      </c>
      <c r="D718" s="7" t="s">
        <v>226</v>
      </c>
      <c r="E718" s="7" t="s">
        <v>795</v>
      </c>
      <c r="F718" s="6">
        <v>2</v>
      </c>
      <c r="G718" s="8" t="s">
        <v>742</v>
      </c>
      <c r="H718" s="8" t="s">
        <v>743</v>
      </c>
      <c r="I718" s="7" t="s">
        <v>723</v>
      </c>
      <c r="J718" s="8" t="s">
        <v>791</v>
      </c>
      <c r="K718" s="14" t="b">
        <v>0</v>
      </c>
      <c r="L718" s="14" t="b">
        <v>1</v>
      </c>
      <c r="M718" s="14" t="b">
        <v>1</v>
      </c>
      <c r="N718" s="14" t="b">
        <v>0</v>
      </c>
      <c r="O718" s="14" t="b">
        <v>1</v>
      </c>
      <c r="W718" s="3"/>
    </row>
    <row r="719" spans="1:23" x14ac:dyDescent="0.25">
      <c r="A719" s="4">
        <v>60884855002289</v>
      </c>
      <c r="B719" s="8" t="s">
        <v>378</v>
      </c>
      <c r="C719" s="8" t="s">
        <v>225</v>
      </c>
      <c r="D719" s="7" t="s">
        <v>226</v>
      </c>
      <c r="E719" s="7" t="s">
        <v>795</v>
      </c>
      <c r="F719" s="6">
        <v>2</v>
      </c>
      <c r="G719" s="8" t="s">
        <v>780</v>
      </c>
      <c r="H719" s="8" t="s">
        <v>781</v>
      </c>
      <c r="I719" s="7" t="s">
        <v>739</v>
      </c>
      <c r="J719" s="8" t="s">
        <v>791</v>
      </c>
      <c r="K719" s="14" t="b">
        <v>1</v>
      </c>
      <c r="L719" s="14" t="b">
        <v>0</v>
      </c>
      <c r="M719" s="14" t="b">
        <v>0</v>
      </c>
      <c r="N719" s="14" t="b">
        <v>1</v>
      </c>
      <c r="O719" s="14" t="b">
        <v>1</v>
      </c>
      <c r="W719" s="3"/>
    </row>
    <row r="720" spans="1:23" x14ac:dyDescent="0.25">
      <c r="A720" s="4">
        <v>60975737003509</v>
      </c>
      <c r="B720" s="8" t="s">
        <v>381</v>
      </c>
      <c r="C720" s="8" t="s">
        <v>281</v>
      </c>
      <c r="D720" s="7" t="s">
        <v>282</v>
      </c>
      <c r="E720" s="7" t="s">
        <v>795</v>
      </c>
      <c r="F720" s="6">
        <v>2</v>
      </c>
      <c r="G720" s="8" t="s">
        <v>744</v>
      </c>
      <c r="H720" s="8" t="s">
        <v>745</v>
      </c>
      <c r="I720" s="7" t="s">
        <v>723</v>
      </c>
      <c r="J720" s="8" t="s">
        <v>791</v>
      </c>
      <c r="K720" s="14" t="b">
        <v>0</v>
      </c>
      <c r="L720" s="14" t="b">
        <v>1</v>
      </c>
      <c r="M720" s="14" t="b">
        <v>1</v>
      </c>
      <c r="N720" s="14" t="b">
        <v>0</v>
      </c>
      <c r="O720" s="14" t="b">
        <v>1</v>
      </c>
      <c r="W720" s="3"/>
    </row>
    <row r="721" spans="1:23" x14ac:dyDescent="0.25">
      <c r="A721" s="4">
        <v>61590410000558</v>
      </c>
      <c r="B721" s="8" t="s">
        <v>382</v>
      </c>
      <c r="C721" s="8" t="s">
        <v>225</v>
      </c>
      <c r="D721" s="7" t="s">
        <v>226</v>
      </c>
      <c r="E721" s="7" t="s">
        <v>795</v>
      </c>
      <c r="F721" s="6">
        <v>2</v>
      </c>
      <c r="G721" s="8" t="s">
        <v>742</v>
      </c>
      <c r="H721" s="8" t="s">
        <v>743</v>
      </c>
      <c r="I721" s="7" t="s">
        <v>723</v>
      </c>
      <c r="J721" s="8" t="s">
        <v>791</v>
      </c>
      <c r="K721" s="14" t="b">
        <v>0</v>
      </c>
      <c r="L721" s="14" t="b">
        <v>1</v>
      </c>
      <c r="M721" s="14" t="b">
        <v>1</v>
      </c>
      <c r="N721" s="14" t="b">
        <v>0</v>
      </c>
      <c r="O721" s="14" t="b">
        <v>1</v>
      </c>
      <c r="W721" s="3"/>
    </row>
    <row r="722" spans="1:23" x14ac:dyDescent="0.25">
      <c r="A722" s="4">
        <v>61590410000558</v>
      </c>
      <c r="B722" s="8" t="s">
        <v>382</v>
      </c>
      <c r="C722" s="8" t="s">
        <v>225</v>
      </c>
      <c r="D722" s="7" t="s">
        <v>226</v>
      </c>
      <c r="E722" s="7" t="s">
        <v>795</v>
      </c>
      <c r="F722" s="6">
        <v>2</v>
      </c>
      <c r="G722" s="8" t="s">
        <v>780</v>
      </c>
      <c r="H722" s="8" t="s">
        <v>781</v>
      </c>
      <c r="I722" s="7" t="s">
        <v>739</v>
      </c>
      <c r="J722" s="8" t="s">
        <v>791</v>
      </c>
      <c r="K722" s="14" t="b">
        <v>1</v>
      </c>
      <c r="L722" s="14" t="b">
        <v>0</v>
      </c>
      <c r="M722" s="14" t="b">
        <v>0</v>
      </c>
      <c r="N722" s="14" t="b">
        <v>1</v>
      </c>
      <c r="O722" s="14" t="b">
        <v>1</v>
      </c>
      <c r="W722" s="3"/>
    </row>
    <row r="723" spans="1:23" x14ac:dyDescent="0.25">
      <c r="A723" s="4">
        <v>61590410001287</v>
      </c>
      <c r="B723" s="8" t="s">
        <v>580</v>
      </c>
      <c r="C723" s="8" t="s">
        <v>225</v>
      </c>
      <c r="D723" s="7" t="s">
        <v>226</v>
      </c>
      <c r="E723" s="7" t="s">
        <v>795</v>
      </c>
      <c r="F723" s="6">
        <v>2</v>
      </c>
      <c r="G723" s="8" t="s">
        <v>742</v>
      </c>
      <c r="H723" s="8" t="s">
        <v>743</v>
      </c>
      <c r="I723" s="7" t="s">
        <v>723</v>
      </c>
      <c r="J723" s="8" t="s">
        <v>791</v>
      </c>
      <c r="K723" s="14" t="b">
        <v>0</v>
      </c>
      <c r="L723" s="14" t="b">
        <v>1</v>
      </c>
      <c r="M723" s="14" t="b">
        <v>1</v>
      </c>
      <c r="N723" s="14" t="b">
        <v>0</v>
      </c>
      <c r="O723" s="14" t="b">
        <v>1</v>
      </c>
      <c r="W723" s="3"/>
    </row>
    <row r="724" spans="1:23" x14ac:dyDescent="0.25">
      <c r="A724" s="4">
        <v>61590410001287</v>
      </c>
      <c r="B724" s="8" t="s">
        <v>580</v>
      </c>
      <c r="C724" s="8" t="s">
        <v>225</v>
      </c>
      <c r="D724" s="7" t="s">
        <v>226</v>
      </c>
      <c r="E724" s="7" t="s">
        <v>795</v>
      </c>
      <c r="F724" s="6">
        <v>2</v>
      </c>
      <c r="G724" s="8" t="s">
        <v>780</v>
      </c>
      <c r="H724" s="8" t="s">
        <v>781</v>
      </c>
      <c r="I724" s="7" t="s">
        <v>739</v>
      </c>
      <c r="J724" s="8" t="s">
        <v>791</v>
      </c>
      <c r="K724" s="14" t="b">
        <v>1</v>
      </c>
      <c r="L724" s="14" t="b">
        <v>0</v>
      </c>
      <c r="M724" s="14" t="b">
        <v>0</v>
      </c>
      <c r="N724" s="14" t="b">
        <v>1</v>
      </c>
      <c r="O724" s="14" t="b">
        <v>1</v>
      </c>
      <c r="W724" s="3"/>
    </row>
    <row r="725" spans="1:23" x14ac:dyDescent="0.25">
      <c r="A725" s="4">
        <v>63326243000487</v>
      </c>
      <c r="B725" s="8" t="s">
        <v>581</v>
      </c>
      <c r="C725" s="8" t="s">
        <v>295</v>
      </c>
      <c r="D725" s="7" t="s">
        <v>296</v>
      </c>
      <c r="E725" s="7" t="s">
        <v>795</v>
      </c>
      <c r="F725" s="6">
        <v>2</v>
      </c>
      <c r="G725" s="8" t="s">
        <v>744</v>
      </c>
      <c r="H725" s="8" t="s">
        <v>745</v>
      </c>
      <c r="I725" s="7" t="s">
        <v>723</v>
      </c>
      <c r="J725" s="8" t="s">
        <v>791</v>
      </c>
      <c r="K725" s="14" t="b">
        <v>0</v>
      </c>
      <c r="L725" s="14" t="b">
        <v>1</v>
      </c>
      <c r="M725" s="14" t="b">
        <v>1</v>
      </c>
      <c r="N725" s="14" t="b">
        <v>0</v>
      </c>
      <c r="O725" s="14" t="b">
        <v>1</v>
      </c>
      <c r="W725" s="3"/>
    </row>
    <row r="726" spans="1:23" x14ac:dyDescent="0.25">
      <c r="A726" s="4">
        <v>74031865000151</v>
      </c>
      <c r="B726" s="8" t="s">
        <v>383</v>
      </c>
      <c r="C726" s="8" t="s">
        <v>281</v>
      </c>
      <c r="D726" s="7" t="s">
        <v>282</v>
      </c>
      <c r="E726" s="7" t="s">
        <v>795</v>
      </c>
      <c r="F726" s="6">
        <v>2</v>
      </c>
      <c r="G726" s="8" t="s">
        <v>744</v>
      </c>
      <c r="H726" s="8" t="s">
        <v>745</v>
      </c>
      <c r="I726" s="7" t="s">
        <v>723</v>
      </c>
      <c r="J726" s="8" t="s">
        <v>791</v>
      </c>
      <c r="K726" s="14" t="b">
        <v>0</v>
      </c>
      <c r="L726" s="14" t="b">
        <v>1</v>
      </c>
      <c r="M726" s="14" t="b">
        <v>1</v>
      </c>
      <c r="N726" s="14" t="b">
        <v>0</v>
      </c>
      <c r="O726" s="14" t="b">
        <v>1</v>
      </c>
      <c r="W726" s="3"/>
    </row>
    <row r="727" spans="1:23" x14ac:dyDescent="0.25">
      <c r="A727" s="4">
        <v>92898550000600</v>
      </c>
      <c r="B727" s="8" t="s">
        <v>405</v>
      </c>
      <c r="C727" s="8" t="s">
        <v>225</v>
      </c>
      <c r="D727" s="7" t="s">
        <v>226</v>
      </c>
      <c r="E727" s="7" t="s">
        <v>795</v>
      </c>
      <c r="F727" s="6">
        <v>2</v>
      </c>
      <c r="G727" s="8" t="s">
        <v>742</v>
      </c>
      <c r="H727" s="8" t="s">
        <v>743</v>
      </c>
      <c r="I727" s="7" t="s">
        <v>723</v>
      </c>
      <c r="J727" s="8" t="s">
        <v>791</v>
      </c>
      <c r="K727" s="14" t="b">
        <v>0</v>
      </c>
      <c r="L727" s="14" t="b">
        <v>1</v>
      </c>
      <c r="M727" s="14" t="b">
        <v>1</v>
      </c>
      <c r="N727" s="14" t="b">
        <v>0</v>
      </c>
      <c r="O727" s="14" t="b">
        <v>1</v>
      </c>
      <c r="W727" s="3"/>
    </row>
    <row r="728" spans="1:23" x14ac:dyDescent="0.25">
      <c r="A728" s="4">
        <v>92898550000600</v>
      </c>
      <c r="B728" s="8" t="s">
        <v>405</v>
      </c>
      <c r="C728" s="8" t="s">
        <v>225</v>
      </c>
      <c r="D728" s="7" t="s">
        <v>226</v>
      </c>
      <c r="E728" s="7" t="s">
        <v>795</v>
      </c>
      <c r="F728" s="6">
        <v>2</v>
      </c>
      <c r="G728" s="8" t="s">
        <v>780</v>
      </c>
      <c r="H728" s="8" t="s">
        <v>781</v>
      </c>
      <c r="I728" s="7" t="s">
        <v>739</v>
      </c>
      <c r="J728" s="8" t="s">
        <v>791</v>
      </c>
      <c r="K728" s="14" t="b">
        <v>1</v>
      </c>
      <c r="L728" s="14" t="b">
        <v>0</v>
      </c>
      <c r="M728" s="14" t="b">
        <v>0</v>
      </c>
      <c r="N728" s="14" t="b">
        <v>1</v>
      </c>
      <c r="O728" s="14" t="b">
        <v>1</v>
      </c>
      <c r="W728" s="3"/>
    </row>
    <row r="729" spans="1:23" x14ac:dyDescent="0.25">
      <c r="A729" s="4">
        <v>97397848000138</v>
      </c>
      <c r="B729" s="8" t="s">
        <v>509</v>
      </c>
      <c r="C729" s="8" t="s">
        <v>278</v>
      </c>
      <c r="D729" s="7" t="s">
        <v>276</v>
      </c>
      <c r="E729" s="7" t="s">
        <v>795</v>
      </c>
      <c r="F729" s="6">
        <v>2</v>
      </c>
      <c r="G729" s="8" t="s">
        <v>746</v>
      </c>
      <c r="H729" s="8" t="s">
        <v>747</v>
      </c>
      <c r="I729" s="7" t="s">
        <v>723</v>
      </c>
      <c r="J729" s="8" t="s">
        <v>791</v>
      </c>
      <c r="K729" s="14" t="b">
        <v>0</v>
      </c>
      <c r="L729" s="14" t="b">
        <v>1</v>
      </c>
      <c r="M729" s="14" t="b">
        <v>1</v>
      </c>
      <c r="N729" s="14" t="b">
        <v>0</v>
      </c>
      <c r="O729" s="14" t="b">
        <v>1</v>
      </c>
      <c r="W729" s="3"/>
    </row>
    <row r="730" spans="1:23" x14ac:dyDescent="0.25">
      <c r="A730" s="4">
        <v>700386513</v>
      </c>
      <c r="B730" s="8" t="s">
        <v>407</v>
      </c>
      <c r="C730" s="8" t="s">
        <v>408</v>
      </c>
      <c r="D730" s="7" t="s">
        <v>318</v>
      </c>
      <c r="E730" s="7" t="s">
        <v>795</v>
      </c>
      <c r="F730" s="6">
        <v>2</v>
      </c>
      <c r="G730" s="8" t="s">
        <v>778</v>
      </c>
      <c r="H730" s="8" t="s">
        <v>779</v>
      </c>
      <c r="I730" s="7" t="s">
        <v>730</v>
      </c>
      <c r="J730" s="8" t="s">
        <v>791</v>
      </c>
      <c r="K730" s="14" t="b">
        <v>1</v>
      </c>
      <c r="L730" s="14" t="b">
        <v>0</v>
      </c>
      <c r="M730" s="14" t="b">
        <v>0</v>
      </c>
      <c r="N730" s="14" t="b">
        <v>1</v>
      </c>
      <c r="O730" s="14" t="b">
        <v>1</v>
      </c>
      <c r="W730" s="3"/>
    </row>
    <row r="731" spans="1:23" x14ac:dyDescent="0.25">
      <c r="A731" s="4">
        <v>9324322559</v>
      </c>
      <c r="B731" s="8" t="s">
        <v>466</v>
      </c>
      <c r="C731" s="8" t="s">
        <v>278</v>
      </c>
      <c r="D731" s="7" t="s">
        <v>276</v>
      </c>
      <c r="E731" s="7" t="s">
        <v>795</v>
      </c>
      <c r="F731" s="6">
        <v>2</v>
      </c>
      <c r="G731" s="8" t="s">
        <v>778</v>
      </c>
      <c r="H731" s="8" t="s">
        <v>779</v>
      </c>
      <c r="I731" s="7" t="s">
        <v>730</v>
      </c>
      <c r="J731" s="8" t="s">
        <v>791</v>
      </c>
      <c r="K731" s="14" t="b">
        <v>1</v>
      </c>
      <c r="L731" s="14" t="b">
        <v>0</v>
      </c>
      <c r="M731" s="14" t="b">
        <v>0</v>
      </c>
      <c r="N731" s="14" t="b">
        <v>1</v>
      </c>
      <c r="O731" s="14" t="b">
        <v>1</v>
      </c>
      <c r="W731" s="3"/>
    </row>
    <row r="732" spans="1:23" x14ac:dyDescent="0.25">
      <c r="A732" s="4">
        <v>44482299472</v>
      </c>
      <c r="B732" s="8" t="s">
        <v>468</v>
      </c>
      <c r="C732" s="8" t="s">
        <v>361</v>
      </c>
      <c r="D732" s="7" t="s">
        <v>362</v>
      </c>
      <c r="E732" s="7" t="s">
        <v>795</v>
      </c>
      <c r="F732" s="6">
        <v>2</v>
      </c>
      <c r="G732" s="8" t="s">
        <v>778</v>
      </c>
      <c r="H732" s="8" t="s">
        <v>779</v>
      </c>
      <c r="I732" s="7" t="s">
        <v>730</v>
      </c>
      <c r="J732" s="8" t="s">
        <v>791</v>
      </c>
      <c r="K732" s="14" t="b">
        <v>1</v>
      </c>
      <c r="L732" s="14" t="b">
        <v>0</v>
      </c>
      <c r="M732" s="14" t="b">
        <v>0</v>
      </c>
      <c r="N732" s="14" t="b">
        <v>1</v>
      </c>
      <c r="O732" s="14" t="b">
        <v>1</v>
      </c>
      <c r="W732" s="3"/>
    </row>
    <row r="733" spans="1:23" x14ac:dyDescent="0.25">
      <c r="A733" s="4">
        <v>83925694404</v>
      </c>
      <c r="B733" s="8" t="s">
        <v>227</v>
      </c>
      <c r="C733" s="8" t="s">
        <v>228</v>
      </c>
      <c r="D733" s="7" t="s">
        <v>229</v>
      </c>
      <c r="E733" s="7" t="s">
        <v>795</v>
      </c>
      <c r="F733" s="6">
        <v>2</v>
      </c>
      <c r="G733" s="8" t="s">
        <v>778</v>
      </c>
      <c r="H733" s="8" t="s">
        <v>779</v>
      </c>
      <c r="I733" s="7" t="s">
        <v>730</v>
      </c>
      <c r="J733" s="8" t="s">
        <v>791</v>
      </c>
      <c r="K733" s="14" t="b">
        <v>1</v>
      </c>
      <c r="L733" s="14" t="b">
        <v>0</v>
      </c>
      <c r="M733" s="14" t="b">
        <v>0</v>
      </c>
      <c r="N733" s="14" t="b">
        <v>1</v>
      </c>
      <c r="O733" s="14" t="b">
        <v>1</v>
      </c>
      <c r="W733" s="3"/>
    </row>
    <row r="734" spans="1:23" x14ac:dyDescent="0.25">
      <c r="A734" s="4">
        <v>820737000150</v>
      </c>
      <c r="B734" s="8" t="s">
        <v>245</v>
      </c>
      <c r="C734" s="8" t="s">
        <v>246</v>
      </c>
      <c r="D734" s="7" t="s">
        <v>247</v>
      </c>
      <c r="E734" s="7" t="s">
        <v>795</v>
      </c>
      <c r="F734" s="6">
        <v>2</v>
      </c>
      <c r="G734" s="8" t="s">
        <v>778</v>
      </c>
      <c r="H734" s="8" t="s">
        <v>779</v>
      </c>
      <c r="I734" s="7" t="s">
        <v>730</v>
      </c>
      <c r="J734" s="8" t="s">
        <v>791</v>
      </c>
      <c r="K734" s="14" t="b">
        <v>1</v>
      </c>
      <c r="L734" s="14" t="b">
        <v>0</v>
      </c>
      <c r="M734" s="14" t="b">
        <v>0</v>
      </c>
      <c r="N734" s="14" t="b">
        <v>1</v>
      </c>
      <c r="O734" s="14" t="b">
        <v>1</v>
      </c>
      <c r="W734" s="3"/>
    </row>
    <row r="735" spans="1:23" x14ac:dyDescent="0.25">
      <c r="A735" s="4">
        <v>1454407000151</v>
      </c>
      <c r="B735" s="8" t="s">
        <v>533</v>
      </c>
      <c r="C735" s="8" t="s">
        <v>361</v>
      </c>
      <c r="D735" s="7" t="s">
        <v>362</v>
      </c>
      <c r="E735" s="7" t="s">
        <v>795</v>
      </c>
      <c r="F735" s="6">
        <v>2</v>
      </c>
      <c r="G735" s="8" t="s">
        <v>778</v>
      </c>
      <c r="H735" s="8" t="s">
        <v>779</v>
      </c>
      <c r="I735" s="7" t="s">
        <v>730</v>
      </c>
      <c r="J735" s="8" t="s">
        <v>791</v>
      </c>
      <c r="K735" s="14" t="b">
        <v>1</v>
      </c>
      <c r="L735" s="14" t="b">
        <v>0</v>
      </c>
      <c r="M735" s="14" t="b">
        <v>0</v>
      </c>
      <c r="N735" s="14" t="b">
        <v>1</v>
      </c>
      <c r="O735" s="14" t="b">
        <v>1</v>
      </c>
      <c r="W735" s="3"/>
    </row>
    <row r="736" spans="1:23" x14ac:dyDescent="0.25">
      <c r="A736" s="4">
        <v>1507901000137</v>
      </c>
      <c r="B736" s="8" t="s">
        <v>256</v>
      </c>
      <c r="C736" s="8" t="s">
        <v>246</v>
      </c>
      <c r="D736" s="7" t="s">
        <v>247</v>
      </c>
      <c r="E736" s="7" t="s">
        <v>795</v>
      </c>
      <c r="F736" s="6">
        <v>2</v>
      </c>
      <c r="G736" s="8" t="s">
        <v>778</v>
      </c>
      <c r="H736" s="8" t="s">
        <v>779</v>
      </c>
      <c r="I736" s="7" t="s">
        <v>730</v>
      </c>
      <c r="J736" s="8" t="s">
        <v>791</v>
      </c>
      <c r="K736" s="14" t="b">
        <v>1</v>
      </c>
      <c r="L736" s="14" t="b">
        <v>0</v>
      </c>
      <c r="M736" s="14" t="b">
        <v>0</v>
      </c>
      <c r="N736" s="14" t="b">
        <v>1</v>
      </c>
      <c r="O736" s="14" t="b">
        <v>1</v>
      </c>
      <c r="W736" s="3"/>
    </row>
    <row r="737" spans="1:23" x14ac:dyDescent="0.25">
      <c r="A737" s="4">
        <v>1722424000122</v>
      </c>
      <c r="B737" s="8" t="s">
        <v>635</v>
      </c>
      <c r="C737" s="8" t="s">
        <v>361</v>
      </c>
      <c r="D737" s="7" t="s">
        <v>362</v>
      </c>
      <c r="E737" s="7" t="s">
        <v>795</v>
      </c>
      <c r="F737" s="6">
        <v>2</v>
      </c>
      <c r="G737" s="8" t="s">
        <v>778</v>
      </c>
      <c r="H737" s="8" t="s">
        <v>779</v>
      </c>
      <c r="I737" s="7" t="s">
        <v>730</v>
      </c>
      <c r="J737" s="8" t="s">
        <v>791</v>
      </c>
      <c r="K737" s="14" t="b">
        <v>1</v>
      </c>
      <c r="L737" s="14" t="b">
        <v>0</v>
      </c>
      <c r="M737" s="14" t="b">
        <v>0</v>
      </c>
      <c r="N737" s="14" t="b">
        <v>1</v>
      </c>
      <c r="O737" s="14" t="b">
        <v>1</v>
      </c>
      <c r="W737" s="3"/>
    </row>
    <row r="738" spans="1:23" x14ac:dyDescent="0.25">
      <c r="A738" s="4">
        <v>1837492000137</v>
      </c>
      <c r="B738" s="8" t="s">
        <v>475</v>
      </c>
      <c r="C738" s="8" t="s">
        <v>278</v>
      </c>
      <c r="D738" s="7" t="s">
        <v>276</v>
      </c>
      <c r="E738" s="7" t="s">
        <v>795</v>
      </c>
      <c r="F738" s="6">
        <v>2</v>
      </c>
      <c r="G738" s="8" t="s">
        <v>778</v>
      </c>
      <c r="H738" s="8" t="s">
        <v>779</v>
      </c>
      <c r="I738" s="7" t="s">
        <v>730</v>
      </c>
      <c r="J738" s="8" t="s">
        <v>791</v>
      </c>
      <c r="K738" s="14" t="b">
        <v>1</v>
      </c>
      <c r="L738" s="14" t="b">
        <v>0</v>
      </c>
      <c r="M738" s="14" t="b">
        <v>0</v>
      </c>
      <c r="N738" s="14" t="b">
        <v>1</v>
      </c>
      <c r="O738" s="14" t="b">
        <v>1</v>
      </c>
      <c r="W738" s="3"/>
    </row>
    <row r="739" spans="1:23" x14ac:dyDescent="0.25">
      <c r="A739" s="4">
        <v>2109397000180</v>
      </c>
      <c r="B739" s="8" t="s">
        <v>413</v>
      </c>
      <c r="C739" s="8" t="s">
        <v>246</v>
      </c>
      <c r="D739" s="7" t="s">
        <v>247</v>
      </c>
      <c r="E739" s="7" t="s">
        <v>795</v>
      </c>
      <c r="F739" s="6">
        <v>2</v>
      </c>
      <c r="G739" s="8" t="s">
        <v>778</v>
      </c>
      <c r="H739" s="8" t="s">
        <v>779</v>
      </c>
      <c r="I739" s="7" t="s">
        <v>730</v>
      </c>
      <c r="J739" s="8" t="s">
        <v>791</v>
      </c>
      <c r="K739" s="14" t="b">
        <v>1</v>
      </c>
      <c r="L739" s="14" t="b">
        <v>0</v>
      </c>
      <c r="M739" s="14" t="b">
        <v>0</v>
      </c>
      <c r="N739" s="14" t="b">
        <v>1</v>
      </c>
      <c r="O739" s="14" t="b">
        <v>1</v>
      </c>
      <c r="W739" s="3"/>
    </row>
    <row r="740" spans="1:23" x14ac:dyDescent="0.25">
      <c r="A740" s="4">
        <v>2284062000106</v>
      </c>
      <c r="B740" s="8" t="s">
        <v>414</v>
      </c>
      <c r="C740" s="8" t="s">
        <v>264</v>
      </c>
      <c r="D740" s="7" t="s">
        <v>265</v>
      </c>
      <c r="E740" s="7" t="s">
        <v>795</v>
      </c>
      <c r="F740" s="6">
        <v>2</v>
      </c>
      <c r="G740" s="8" t="s">
        <v>778</v>
      </c>
      <c r="H740" s="8" t="s">
        <v>779</v>
      </c>
      <c r="I740" s="7" t="s">
        <v>730</v>
      </c>
      <c r="J740" s="8" t="s">
        <v>791</v>
      </c>
      <c r="K740" s="14" t="b">
        <v>1</v>
      </c>
      <c r="L740" s="14" t="b">
        <v>0</v>
      </c>
      <c r="M740" s="14" t="b">
        <v>0</v>
      </c>
      <c r="N740" s="14" t="b">
        <v>1</v>
      </c>
      <c r="O740" s="14" t="b">
        <v>1</v>
      </c>
      <c r="W740" s="3"/>
    </row>
    <row r="741" spans="1:23" x14ac:dyDescent="0.25">
      <c r="A741" s="4">
        <v>2284062000440</v>
      </c>
      <c r="B741" s="8" t="s">
        <v>263</v>
      </c>
      <c r="C741" s="8" t="s">
        <v>264</v>
      </c>
      <c r="D741" s="7" t="s">
        <v>265</v>
      </c>
      <c r="E741" s="7" t="s">
        <v>795</v>
      </c>
      <c r="F741" s="6">
        <v>2</v>
      </c>
      <c r="G741" s="8" t="s">
        <v>778</v>
      </c>
      <c r="H741" s="8" t="s">
        <v>779</v>
      </c>
      <c r="I741" s="7" t="s">
        <v>730</v>
      </c>
      <c r="J741" s="8" t="s">
        <v>791</v>
      </c>
      <c r="K741" s="14" t="b">
        <v>1</v>
      </c>
      <c r="L741" s="14" t="b">
        <v>0</v>
      </c>
      <c r="M741" s="14" t="b">
        <v>0</v>
      </c>
      <c r="N741" s="14" t="b">
        <v>1</v>
      </c>
      <c r="O741" s="14" t="b">
        <v>1</v>
      </c>
      <c r="W741" s="3"/>
    </row>
    <row r="742" spans="1:23" x14ac:dyDescent="0.25">
      <c r="A742" s="4">
        <v>2284062001170</v>
      </c>
      <c r="B742" s="8" t="s">
        <v>266</v>
      </c>
      <c r="C742" s="8" t="s">
        <v>267</v>
      </c>
      <c r="D742" s="7" t="s">
        <v>268</v>
      </c>
      <c r="E742" s="7" t="s">
        <v>795</v>
      </c>
      <c r="F742" s="6">
        <v>2</v>
      </c>
      <c r="G742" s="8" t="s">
        <v>778</v>
      </c>
      <c r="H742" s="8" t="s">
        <v>779</v>
      </c>
      <c r="I742" s="7" t="s">
        <v>730</v>
      </c>
      <c r="J742" s="8" t="s">
        <v>791</v>
      </c>
      <c r="K742" s="14" t="b">
        <v>1</v>
      </c>
      <c r="L742" s="14" t="b">
        <v>0</v>
      </c>
      <c r="M742" s="14" t="b">
        <v>0</v>
      </c>
      <c r="N742" s="14" t="b">
        <v>1</v>
      </c>
      <c r="O742" s="14" t="b">
        <v>1</v>
      </c>
      <c r="W742" s="3"/>
    </row>
    <row r="743" spans="1:23" x14ac:dyDescent="0.25">
      <c r="A743" s="4">
        <v>3091003000176</v>
      </c>
      <c r="B743" s="8" t="s">
        <v>596</v>
      </c>
      <c r="C743" s="8" t="s">
        <v>317</v>
      </c>
      <c r="D743" s="7" t="s">
        <v>318</v>
      </c>
      <c r="E743" s="7" t="s">
        <v>795</v>
      </c>
      <c r="F743" s="6">
        <v>2</v>
      </c>
      <c r="G743" s="8" t="s">
        <v>778</v>
      </c>
      <c r="H743" s="8" t="s">
        <v>779</v>
      </c>
      <c r="I743" s="7" t="s">
        <v>730</v>
      </c>
      <c r="J743" s="8" t="s">
        <v>791</v>
      </c>
      <c r="K743" s="14" t="b">
        <v>1</v>
      </c>
      <c r="L743" s="14" t="b">
        <v>0</v>
      </c>
      <c r="M743" s="14" t="b">
        <v>0</v>
      </c>
      <c r="N743" s="14" t="b">
        <v>1</v>
      </c>
      <c r="O743" s="14" t="b">
        <v>1</v>
      </c>
      <c r="W743" s="3"/>
    </row>
    <row r="744" spans="1:23" x14ac:dyDescent="0.25">
      <c r="A744" s="4">
        <v>3210872000172</v>
      </c>
      <c r="B744" s="8" t="s">
        <v>597</v>
      </c>
      <c r="C744" s="8" t="s">
        <v>598</v>
      </c>
      <c r="D744" s="7" t="s">
        <v>268</v>
      </c>
      <c r="E744" s="7" t="s">
        <v>795</v>
      </c>
      <c r="F744" s="6">
        <v>2</v>
      </c>
      <c r="G744" s="8" t="s">
        <v>778</v>
      </c>
      <c r="H744" s="8" t="s">
        <v>779</v>
      </c>
      <c r="I744" s="7" t="s">
        <v>730</v>
      </c>
      <c r="J744" s="8" t="s">
        <v>791</v>
      </c>
      <c r="K744" s="14" t="b">
        <v>1</v>
      </c>
      <c r="L744" s="14" t="b">
        <v>0</v>
      </c>
      <c r="M744" s="14" t="b">
        <v>0</v>
      </c>
      <c r="N744" s="14" t="b">
        <v>1</v>
      </c>
      <c r="O744" s="14" t="b">
        <v>1</v>
      </c>
      <c r="W744" s="3"/>
    </row>
    <row r="745" spans="1:23" x14ac:dyDescent="0.25">
      <c r="A745" s="4">
        <v>3222051000156</v>
      </c>
      <c r="B745" s="8" t="s">
        <v>476</v>
      </c>
      <c r="C745" s="8" t="s">
        <v>317</v>
      </c>
      <c r="D745" s="7" t="s">
        <v>318</v>
      </c>
      <c r="E745" s="7" t="s">
        <v>795</v>
      </c>
      <c r="F745" s="6">
        <v>2</v>
      </c>
      <c r="G745" s="8" t="s">
        <v>778</v>
      </c>
      <c r="H745" s="8" t="s">
        <v>779</v>
      </c>
      <c r="I745" s="7" t="s">
        <v>730</v>
      </c>
      <c r="J745" s="8" t="s">
        <v>791</v>
      </c>
      <c r="K745" s="14" t="b">
        <v>1</v>
      </c>
      <c r="L745" s="14" t="b">
        <v>0</v>
      </c>
      <c r="M745" s="14" t="b">
        <v>0</v>
      </c>
      <c r="N745" s="14" t="b">
        <v>1</v>
      </c>
      <c r="O745" s="14" t="b">
        <v>1</v>
      </c>
      <c r="W745" s="3"/>
    </row>
    <row r="746" spans="1:23" x14ac:dyDescent="0.25">
      <c r="A746" s="4">
        <v>3376102000102</v>
      </c>
      <c r="B746" s="8" t="s">
        <v>415</v>
      </c>
      <c r="C746" s="8" t="s">
        <v>278</v>
      </c>
      <c r="D746" s="7" t="s">
        <v>276</v>
      </c>
      <c r="E746" s="7" t="s">
        <v>795</v>
      </c>
      <c r="F746" s="6">
        <v>2</v>
      </c>
      <c r="G746" s="8" t="s">
        <v>778</v>
      </c>
      <c r="H746" s="8" t="s">
        <v>779</v>
      </c>
      <c r="I746" s="7" t="s">
        <v>730</v>
      </c>
      <c r="J746" s="8" t="s">
        <v>791</v>
      </c>
      <c r="K746" s="14" t="b">
        <v>1</v>
      </c>
      <c r="L746" s="14" t="b">
        <v>0</v>
      </c>
      <c r="M746" s="14" t="b">
        <v>0</v>
      </c>
      <c r="N746" s="14" t="b">
        <v>1</v>
      </c>
      <c r="O746" s="14" t="b">
        <v>1</v>
      </c>
      <c r="W746" s="3"/>
    </row>
    <row r="747" spans="1:23" x14ac:dyDescent="0.25">
      <c r="A747" s="4">
        <v>3858924000111</v>
      </c>
      <c r="B747" s="8" t="s">
        <v>543</v>
      </c>
      <c r="C747" s="8" t="s">
        <v>544</v>
      </c>
      <c r="D747" s="7" t="s">
        <v>265</v>
      </c>
      <c r="E747" s="7" t="s">
        <v>795</v>
      </c>
      <c r="F747" s="6">
        <v>2</v>
      </c>
      <c r="G747" s="8" t="s">
        <v>778</v>
      </c>
      <c r="H747" s="8" t="s">
        <v>779</v>
      </c>
      <c r="I747" s="7" t="s">
        <v>730</v>
      </c>
      <c r="J747" s="8" t="s">
        <v>791</v>
      </c>
      <c r="K747" s="14" t="b">
        <v>1</v>
      </c>
      <c r="L747" s="14" t="b">
        <v>0</v>
      </c>
      <c r="M747" s="14" t="b">
        <v>0</v>
      </c>
      <c r="N747" s="14" t="b">
        <v>1</v>
      </c>
      <c r="O747" s="14" t="b">
        <v>1</v>
      </c>
      <c r="W747" s="3"/>
    </row>
    <row r="748" spans="1:23" x14ac:dyDescent="0.25">
      <c r="A748" s="4">
        <v>3866223000124</v>
      </c>
      <c r="B748" s="8" t="s">
        <v>599</v>
      </c>
      <c r="C748" s="8" t="s">
        <v>361</v>
      </c>
      <c r="D748" s="7" t="s">
        <v>362</v>
      </c>
      <c r="E748" s="7" t="s">
        <v>795</v>
      </c>
      <c r="F748" s="6">
        <v>2</v>
      </c>
      <c r="G748" s="8" t="s">
        <v>778</v>
      </c>
      <c r="H748" s="8" t="s">
        <v>779</v>
      </c>
      <c r="I748" s="7" t="s">
        <v>730</v>
      </c>
      <c r="J748" s="8" t="s">
        <v>791</v>
      </c>
      <c r="K748" s="14" t="b">
        <v>1</v>
      </c>
      <c r="L748" s="14" t="b">
        <v>0</v>
      </c>
      <c r="M748" s="14" t="b">
        <v>0</v>
      </c>
      <c r="N748" s="14" t="b">
        <v>1</v>
      </c>
      <c r="O748" s="14" t="b">
        <v>1</v>
      </c>
      <c r="W748" s="3"/>
    </row>
    <row r="749" spans="1:23" x14ac:dyDescent="0.25">
      <c r="A749" s="4">
        <v>3904395000145</v>
      </c>
      <c r="B749" s="8" t="s">
        <v>477</v>
      </c>
      <c r="C749" s="8" t="s">
        <v>478</v>
      </c>
      <c r="D749" s="7" t="s">
        <v>265</v>
      </c>
      <c r="E749" s="7" t="s">
        <v>795</v>
      </c>
      <c r="F749" s="6">
        <v>2</v>
      </c>
      <c r="G749" s="8" t="s">
        <v>778</v>
      </c>
      <c r="H749" s="8" t="s">
        <v>779</v>
      </c>
      <c r="I749" s="7" t="s">
        <v>730</v>
      </c>
      <c r="J749" s="8" t="s">
        <v>791</v>
      </c>
      <c r="K749" s="14" t="b">
        <v>1</v>
      </c>
      <c r="L749" s="14" t="b">
        <v>0</v>
      </c>
      <c r="M749" s="14" t="b">
        <v>0</v>
      </c>
      <c r="N749" s="14" t="b">
        <v>1</v>
      </c>
      <c r="O749" s="14" t="b">
        <v>1</v>
      </c>
      <c r="W749" s="3"/>
    </row>
    <row r="750" spans="1:23" x14ac:dyDescent="0.25">
      <c r="A750" s="4">
        <v>4602792000125</v>
      </c>
      <c r="B750" s="8" t="s">
        <v>274</v>
      </c>
      <c r="C750" s="8" t="s">
        <v>275</v>
      </c>
      <c r="D750" s="7" t="s">
        <v>276</v>
      </c>
      <c r="E750" s="7" t="s">
        <v>795</v>
      </c>
      <c r="F750" s="6">
        <v>2</v>
      </c>
      <c r="G750" s="8" t="s">
        <v>778</v>
      </c>
      <c r="H750" s="8" t="s">
        <v>779</v>
      </c>
      <c r="I750" s="7" t="s">
        <v>730</v>
      </c>
      <c r="J750" s="8" t="s">
        <v>791</v>
      </c>
      <c r="K750" s="14" t="b">
        <v>1</v>
      </c>
      <c r="L750" s="14" t="b">
        <v>0</v>
      </c>
      <c r="M750" s="14" t="b">
        <v>0</v>
      </c>
      <c r="N750" s="14" t="b">
        <v>1</v>
      </c>
      <c r="O750" s="14" t="b">
        <v>1</v>
      </c>
      <c r="W750" s="3"/>
    </row>
    <row r="751" spans="1:23" x14ac:dyDescent="0.25">
      <c r="A751" s="4">
        <v>5055128000257</v>
      </c>
      <c r="B751" s="8" t="s">
        <v>636</v>
      </c>
      <c r="C751" s="8" t="s">
        <v>637</v>
      </c>
      <c r="D751" s="7" t="s">
        <v>229</v>
      </c>
      <c r="E751" s="7" t="s">
        <v>795</v>
      </c>
      <c r="F751" s="6">
        <v>2</v>
      </c>
      <c r="G751" s="8" t="s">
        <v>778</v>
      </c>
      <c r="H751" s="8" t="s">
        <v>779</v>
      </c>
      <c r="I751" s="7" t="s">
        <v>730</v>
      </c>
      <c r="J751" s="8" t="s">
        <v>791</v>
      </c>
      <c r="K751" s="14" t="b">
        <v>1</v>
      </c>
      <c r="L751" s="14" t="b">
        <v>0</v>
      </c>
      <c r="M751" s="14" t="b">
        <v>0</v>
      </c>
      <c r="N751" s="14" t="b">
        <v>1</v>
      </c>
      <c r="O751" s="14" t="b">
        <v>1</v>
      </c>
      <c r="W751" s="3"/>
    </row>
    <row r="752" spans="1:23" x14ac:dyDescent="0.25">
      <c r="A752" s="4">
        <v>5469172000122</v>
      </c>
      <c r="B752" s="8" t="s">
        <v>277</v>
      </c>
      <c r="C752" s="8" t="s">
        <v>278</v>
      </c>
      <c r="D752" s="7" t="s">
        <v>276</v>
      </c>
      <c r="E752" s="7" t="s">
        <v>795</v>
      </c>
      <c r="F752" s="6">
        <v>2</v>
      </c>
      <c r="G752" s="8" t="s">
        <v>778</v>
      </c>
      <c r="H752" s="8" t="s">
        <v>779</v>
      </c>
      <c r="I752" s="7" t="s">
        <v>730</v>
      </c>
      <c r="J752" s="8" t="s">
        <v>791</v>
      </c>
      <c r="K752" s="14" t="b">
        <v>1</v>
      </c>
      <c r="L752" s="14" t="b">
        <v>0</v>
      </c>
      <c r="M752" s="14" t="b">
        <v>0</v>
      </c>
      <c r="N752" s="14" t="b">
        <v>1</v>
      </c>
      <c r="O752" s="14" t="b">
        <v>1</v>
      </c>
      <c r="W752" s="3"/>
    </row>
    <row r="753" spans="1:23" x14ac:dyDescent="0.25">
      <c r="A753" s="4">
        <v>5652543000107</v>
      </c>
      <c r="B753" s="8" t="s">
        <v>420</v>
      </c>
      <c r="C753" s="8" t="s">
        <v>421</v>
      </c>
      <c r="D753" s="7" t="s">
        <v>276</v>
      </c>
      <c r="E753" s="7" t="s">
        <v>795</v>
      </c>
      <c r="F753" s="6">
        <v>2</v>
      </c>
      <c r="G753" s="8" t="s">
        <v>778</v>
      </c>
      <c r="H753" s="8" t="s">
        <v>779</v>
      </c>
      <c r="I753" s="7" t="s">
        <v>730</v>
      </c>
      <c r="J753" s="8" t="s">
        <v>791</v>
      </c>
      <c r="K753" s="14" t="b">
        <v>1</v>
      </c>
      <c r="L753" s="14" t="b">
        <v>0</v>
      </c>
      <c r="M753" s="14" t="b">
        <v>0</v>
      </c>
      <c r="N753" s="14" t="b">
        <v>1</v>
      </c>
      <c r="O753" s="14" t="b">
        <v>1</v>
      </c>
      <c r="W753" s="3"/>
    </row>
    <row r="754" spans="1:23" x14ac:dyDescent="0.25">
      <c r="A754" s="4">
        <v>5816630000152</v>
      </c>
      <c r="B754" s="8" t="s">
        <v>279</v>
      </c>
      <c r="C754" s="8" t="s">
        <v>278</v>
      </c>
      <c r="D754" s="7" t="s">
        <v>276</v>
      </c>
      <c r="E754" s="7" t="s">
        <v>795</v>
      </c>
      <c r="F754" s="6">
        <v>2</v>
      </c>
      <c r="G754" s="8" t="s">
        <v>778</v>
      </c>
      <c r="H754" s="8" t="s">
        <v>779</v>
      </c>
      <c r="I754" s="7" t="s">
        <v>730</v>
      </c>
      <c r="J754" s="8" t="s">
        <v>791</v>
      </c>
      <c r="K754" s="14" t="b">
        <v>1</v>
      </c>
      <c r="L754" s="14" t="b">
        <v>0</v>
      </c>
      <c r="M754" s="14" t="b">
        <v>0</v>
      </c>
      <c r="N754" s="14" t="b">
        <v>1</v>
      </c>
      <c r="O754" s="14" t="b">
        <v>1</v>
      </c>
      <c r="W754" s="3"/>
    </row>
    <row r="755" spans="1:23" x14ac:dyDescent="0.25">
      <c r="A755" s="4">
        <v>5867015000175</v>
      </c>
      <c r="B755" s="8" t="s">
        <v>280</v>
      </c>
      <c r="C755" s="8" t="s">
        <v>281</v>
      </c>
      <c r="D755" s="7" t="s">
        <v>282</v>
      </c>
      <c r="E755" s="7" t="s">
        <v>795</v>
      </c>
      <c r="F755" s="6">
        <v>2</v>
      </c>
      <c r="G755" s="8" t="s">
        <v>778</v>
      </c>
      <c r="H755" s="8" t="s">
        <v>779</v>
      </c>
      <c r="I755" s="7" t="s">
        <v>730</v>
      </c>
      <c r="J755" s="8" t="s">
        <v>791</v>
      </c>
      <c r="K755" s="14" t="b">
        <v>1</v>
      </c>
      <c r="L755" s="14" t="b">
        <v>0</v>
      </c>
      <c r="M755" s="14" t="b">
        <v>0</v>
      </c>
      <c r="N755" s="14" t="b">
        <v>1</v>
      </c>
      <c r="O755" s="14" t="b">
        <v>1</v>
      </c>
      <c r="W755" s="3"/>
    </row>
    <row r="756" spans="1:23" x14ac:dyDescent="0.25">
      <c r="A756" s="4">
        <v>5868278000280</v>
      </c>
      <c r="B756" s="8" t="s">
        <v>283</v>
      </c>
      <c r="C756" s="8" t="s">
        <v>281</v>
      </c>
      <c r="D756" s="7" t="s">
        <v>282</v>
      </c>
      <c r="E756" s="7" t="s">
        <v>795</v>
      </c>
      <c r="F756" s="6">
        <v>2</v>
      </c>
      <c r="G756" s="8" t="s">
        <v>778</v>
      </c>
      <c r="H756" s="8" t="s">
        <v>779</v>
      </c>
      <c r="I756" s="7" t="s">
        <v>730</v>
      </c>
      <c r="J756" s="8" t="s">
        <v>791</v>
      </c>
      <c r="K756" s="14" t="b">
        <v>1</v>
      </c>
      <c r="L756" s="14" t="b">
        <v>0</v>
      </c>
      <c r="M756" s="14" t="b">
        <v>0</v>
      </c>
      <c r="N756" s="14" t="b">
        <v>1</v>
      </c>
      <c r="O756" s="14" t="b">
        <v>1</v>
      </c>
      <c r="W756" s="3"/>
    </row>
    <row r="757" spans="1:23" x14ac:dyDescent="0.25">
      <c r="A757" s="4">
        <v>5874946000109</v>
      </c>
      <c r="B757" s="8" t="s">
        <v>284</v>
      </c>
      <c r="C757" s="8" t="s">
        <v>281</v>
      </c>
      <c r="D757" s="7" t="s">
        <v>282</v>
      </c>
      <c r="E757" s="7" t="s">
        <v>795</v>
      </c>
      <c r="F757" s="6">
        <v>2</v>
      </c>
      <c r="G757" s="8" t="s">
        <v>778</v>
      </c>
      <c r="H757" s="8" t="s">
        <v>779</v>
      </c>
      <c r="I757" s="7" t="s">
        <v>730</v>
      </c>
      <c r="J757" s="8" t="s">
        <v>791</v>
      </c>
      <c r="K757" s="14" t="b">
        <v>1</v>
      </c>
      <c r="L757" s="14" t="b">
        <v>0</v>
      </c>
      <c r="M757" s="14" t="b">
        <v>0</v>
      </c>
      <c r="N757" s="14" t="b">
        <v>1</v>
      </c>
      <c r="O757" s="14" t="b">
        <v>1</v>
      </c>
      <c r="W757" s="3"/>
    </row>
    <row r="758" spans="1:23" x14ac:dyDescent="0.25">
      <c r="A758" s="4">
        <v>5874946000281</v>
      </c>
      <c r="B758" s="8" t="s">
        <v>422</v>
      </c>
      <c r="C758" s="8" t="s">
        <v>281</v>
      </c>
      <c r="D758" s="7" t="s">
        <v>282</v>
      </c>
      <c r="E758" s="7" t="s">
        <v>795</v>
      </c>
      <c r="F758" s="6">
        <v>2</v>
      </c>
      <c r="G758" s="8" t="s">
        <v>778</v>
      </c>
      <c r="H758" s="8" t="s">
        <v>779</v>
      </c>
      <c r="I758" s="7" t="s">
        <v>730</v>
      </c>
      <c r="J758" s="8" t="s">
        <v>791</v>
      </c>
      <c r="K758" s="14" t="b">
        <v>1</v>
      </c>
      <c r="L758" s="14" t="b">
        <v>0</v>
      </c>
      <c r="M758" s="14" t="b">
        <v>0</v>
      </c>
      <c r="N758" s="14" t="b">
        <v>1</v>
      </c>
      <c r="O758" s="14" t="b">
        <v>1</v>
      </c>
      <c r="W758" s="3"/>
    </row>
    <row r="759" spans="1:23" x14ac:dyDescent="0.25">
      <c r="A759" s="4">
        <v>6047087001291</v>
      </c>
      <c r="B759" s="8" t="s">
        <v>479</v>
      </c>
      <c r="C759" s="8" t="s">
        <v>480</v>
      </c>
      <c r="D759" s="7" t="s">
        <v>265</v>
      </c>
      <c r="E759" s="7" t="s">
        <v>795</v>
      </c>
      <c r="F759" s="6">
        <v>2</v>
      </c>
      <c r="G759" s="8" t="s">
        <v>778</v>
      </c>
      <c r="H759" s="8" t="s">
        <v>779</v>
      </c>
      <c r="I759" s="7" t="s">
        <v>730</v>
      </c>
      <c r="J759" s="8" t="s">
        <v>791</v>
      </c>
      <c r="K759" s="14" t="b">
        <v>1</v>
      </c>
      <c r="L759" s="14" t="b">
        <v>0</v>
      </c>
      <c r="M759" s="14" t="b">
        <v>0</v>
      </c>
      <c r="N759" s="14" t="b">
        <v>1</v>
      </c>
      <c r="O759" s="14" t="b">
        <v>1</v>
      </c>
      <c r="W759" s="3"/>
    </row>
    <row r="760" spans="1:23" x14ac:dyDescent="0.25">
      <c r="A760" s="4">
        <v>6047087009276</v>
      </c>
      <c r="B760" s="8" t="s">
        <v>423</v>
      </c>
      <c r="C760" s="8" t="s">
        <v>264</v>
      </c>
      <c r="D760" s="7" t="s">
        <v>265</v>
      </c>
      <c r="E760" s="7" t="s">
        <v>795</v>
      </c>
      <c r="F760" s="6">
        <v>2</v>
      </c>
      <c r="G760" s="8" t="s">
        <v>778</v>
      </c>
      <c r="H760" s="8" t="s">
        <v>779</v>
      </c>
      <c r="I760" s="7" t="s">
        <v>730</v>
      </c>
      <c r="J760" s="8" t="s">
        <v>791</v>
      </c>
      <c r="K760" s="14" t="b">
        <v>1</v>
      </c>
      <c r="L760" s="14" t="b">
        <v>0</v>
      </c>
      <c r="M760" s="14" t="b">
        <v>0</v>
      </c>
      <c r="N760" s="14" t="b">
        <v>1</v>
      </c>
      <c r="O760" s="14" t="b">
        <v>1</v>
      </c>
      <c r="W760" s="3"/>
    </row>
    <row r="761" spans="1:23" x14ac:dyDescent="0.25">
      <c r="A761" s="4">
        <v>6555031000276</v>
      </c>
      <c r="B761" s="8" t="s">
        <v>294</v>
      </c>
      <c r="C761" s="8" t="s">
        <v>295</v>
      </c>
      <c r="D761" s="7" t="s">
        <v>296</v>
      </c>
      <c r="E761" s="7" t="s">
        <v>795</v>
      </c>
      <c r="F761" s="6">
        <v>2</v>
      </c>
      <c r="G761" s="8" t="s">
        <v>778</v>
      </c>
      <c r="H761" s="8" t="s">
        <v>779</v>
      </c>
      <c r="I761" s="7" t="s">
        <v>730</v>
      </c>
      <c r="J761" s="8" t="s">
        <v>791</v>
      </c>
      <c r="K761" s="14" t="b">
        <v>1</v>
      </c>
      <c r="L761" s="14" t="b">
        <v>0</v>
      </c>
      <c r="M761" s="14" t="b">
        <v>0</v>
      </c>
      <c r="N761" s="14" t="b">
        <v>1</v>
      </c>
      <c r="O761" s="14" t="b">
        <v>1</v>
      </c>
      <c r="W761" s="3"/>
    </row>
    <row r="762" spans="1:23" x14ac:dyDescent="0.25">
      <c r="A762" s="4">
        <v>7245269000187</v>
      </c>
      <c r="B762" s="8" t="s">
        <v>424</v>
      </c>
      <c r="C762" s="8" t="s">
        <v>281</v>
      </c>
      <c r="D762" s="7" t="s">
        <v>282</v>
      </c>
      <c r="E762" s="7" t="s">
        <v>795</v>
      </c>
      <c r="F762" s="6">
        <v>2</v>
      </c>
      <c r="G762" s="8" t="s">
        <v>778</v>
      </c>
      <c r="H762" s="8" t="s">
        <v>779</v>
      </c>
      <c r="I762" s="7" t="s">
        <v>730</v>
      </c>
      <c r="J762" s="8" t="s">
        <v>791</v>
      </c>
      <c r="K762" s="14" t="b">
        <v>1</v>
      </c>
      <c r="L762" s="14" t="b">
        <v>0</v>
      </c>
      <c r="M762" s="14" t="b">
        <v>0</v>
      </c>
      <c r="N762" s="14" t="b">
        <v>1</v>
      </c>
      <c r="O762" s="14" t="b">
        <v>1</v>
      </c>
      <c r="W762" s="3"/>
    </row>
    <row r="763" spans="1:23" x14ac:dyDescent="0.25">
      <c r="A763" s="4">
        <v>7272404000183</v>
      </c>
      <c r="B763" s="8" t="s">
        <v>551</v>
      </c>
      <c r="C763" s="8" t="s">
        <v>281</v>
      </c>
      <c r="D763" s="7" t="s">
        <v>282</v>
      </c>
      <c r="E763" s="7" t="s">
        <v>795</v>
      </c>
      <c r="F763" s="6">
        <v>2</v>
      </c>
      <c r="G763" s="8" t="s">
        <v>778</v>
      </c>
      <c r="H763" s="8" t="s">
        <v>779</v>
      </c>
      <c r="I763" s="7" t="s">
        <v>730</v>
      </c>
      <c r="J763" s="8" t="s">
        <v>791</v>
      </c>
      <c r="K763" s="14" t="b">
        <v>1</v>
      </c>
      <c r="L763" s="14" t="b">
        <v>0</v>
      </c>
      <c r="M763" s="14" t="b">
        <v>0</v>
      </c>
      <c r="N763" s="14" t="b">
        <v>1</v>
      </c>
      <c r="O763" s="14" t="b">
        <v>1</v>
      </c>
      <c r="W763" s="3"/>
    </row>
    <row r="764" spans="1:23" x14ac:dyDescent="0.25">
      <c r="A764" s="4">
        <v>7272636000212</v>
      </c>
      <c r="B764" s="8" t="s">
        <v>297</v>
      </c>
      <c r="C764" s="8" t="s">
        <v>281</v>
      </c>
      <c r="D764" s="7" t="s">
        <v>282</v>
      </c>
      <c r="E764" s="7" t="s">
        <v>795</v>
      </c>
      <c r="F764" s="6">
        <v>2</v>
      </c>
      <c r="G764" s="8" t="s">
        <v>778</v>
      </c>
      <c r="H764" s="8" t="s">
        <v>779</v>
      </c>
      <c r="I764" s="7" t="s">
        <v>730</v>
      </c>
      <c r="J764" s="8" t="s">
        <v>791</v>
      </c>
      <c r="K764" s="14" t="b">
        <v>1</v>
      </c>
      <c r="L764" s="14" t="b">
        <v>0</v>
      </c>
      <c r="M764" s="14" t="b">
        <v>0</v>
      </c>
      <c r="N764" s="14" t="b">
        <v>1</v>
      </c>
      <c r="O764" s="14" t="b">
        <v>1</v>
      </c>
      <c r="W764" s="3"/>
    </row>
    <row r="765" spans="1:23" x14ac:dyDescent="0.25">
      <c r="A765" s="4">
        <v>7750144000104</v>
      </c>
      <c r="B765" s="8" t="s">
        <v>601</v>
      </c>
      <c r="C765" s="8" t="s">
        <v>310</v>
      </c>
      <c r="D765" s="7" t="s">
        <v>268</v>
      </c>
      <c r="E765" s="7" t="s">
        <v>795</v>
      </c>
      <c r="F765" s="6">
        <v>2</v>
      </c>
      <c r="G765" s="8" t="s">
        <v>778</v>
      </c>
      <c r="H765" s="8" t="s">
        <v>779</v>
      </c>
      <c r="I765" s="7" t="s">
        <v>730</v>
      </c>
      <c r="J765" s="8" t="s">
        <v>791</v>
      </c>
      <c r="K765" s="14" t="b">
        <v>1</v>
      </c>
      <c r="L765" s="14" t="b">
        <v>0</v>
      </c>
      <c r="M765" s="14" t="b">
        <v>0</v>
      </c>
      <c r="N765" s="14" t="b">
        <v>1</v>
      </c>
      <c r="O765" s="14" t="b">
        <v>1</v>
      </c>
      <c r="W765" s="3"/>
    </row>
    <row r="766" spans="1:23" x14ac:dyDescent="0.25">
      <c r="A766" s="4">
        <v>7835044000180</v>
      </c>
      <c r="B766" s="8" t="s">
        <v>300</v>
      </c>
      <c r="C766" s="8" t="s">
        <v>281</v>
      </c>
      <c r="D766" s="7" t="s">
        <v>282</v>
      </c>
      <c r="E766" s="7" t="s">
        <v>795</v>
      </c>
      <c r="F766" s="6">
        <v>2</v>
      </c>
      <c r="G766" s="8" t="s">
        <v>778</v>
      </c>
      <c r="H766" s="8" t="s">
        <v>779</v>
      </c>
      <c r="I766" s="7" t="s">
        <v>730</v>
      </c>
      <c r="J766" s="8" t="s">
        <v>791</v>
      </c>
      <c r="K766" s="14" t="b">
        <v>1</v>
      </c>
      <c r="L766" s="14" t="b">
        <v>0</v>
      </c>
      <c r="M766" s="14" t="b">
        <v>0</v>
      </c>
      <c r="N766" s="14" t="b">
        <v>1</v>
      </c>
      <c r="O766" s="14" t="b">
        <v>1</v>
      </c>
      <c r="W766" s="3"/>
    </row>
    <row r="767" spans="1:23" x14ac:dyDescent="0.25">
      <c r="A767" s="4">
        <v>8319329000121</v>
      </c>
      <c r="B767" s="8" t="s">
        <v>301</v>
      </c>
      <c r="C767" s="8" t="s">
        <v>246</v>
      </c>
      <c r="D767" s="7" t="s">
        <v>247</v>
      </c>
      <c r="E767" s="7" t="s">
        <v>795</v>
      </c>
      <c r="F767" s="6">
        <v>2</v>
      </c>
      <c r="G767" s="8" t="s">
        <v>778</v>
      </c>
      <c r="H767" s="8" t="s">
        <v>779</v>
      </c>
      <c r="I767" s="7" t="s">
        <v>730</v>
      </c>
      <c r="J767" s="8" t="s">
        <v>791</v>
      </c>
      <c r="K767" s="14" t="b">
        <v>1</v>
      </c>
      <c r="L767" s="14" t="b">
        <v>0</v>
      </c>
      <c r="M767" s="14" t="b">
        <v>0</v>
      </c>
      <c r="N767" s="14" t="b">
        <v>1</v>
      </c>
      <c r="O767" s="14" t="b">
        <v>1</v>
      </c>
      <c r="W767" s="3"/>
    </row>
    <row r="768" spans="1:23" x14ac:dyDescent="0.25">
      <c r="A768" s="4">
        <v>8337586000196</v>
      </c>
      <c r="B768" s="8" t="s">
        <v>302</v>
      </c>
      <c r="C768" s="8" t="s">
        <v>246</v>
      </c>
      <c r="D768" s="7" t="s">
        <v>247</v>
      </c>
      <c r="E768" s="7" t="s">
        <v>795</v>
      </c>
      <c r="F768" s="6">
        <v>2</v>
      </c>
      <c r="G768" s="8" t="s">
        <v>778</v>
      </c>
      <c r="H768" s="8" t="s">
        <v>779</v>
      </c>
      <c r="I768" s="7" t="s">
        <v>730</v>
      </c>
      <c r="J768" s="8" t="s">
        <v>791</v>
      </c>
      <c r="K768" s="14" t="b">
        <v>1</v>
      </c>
      <c r="L768" s="14" t="b">
        <v>0</v>
      </c>
      <c r="M768" s="14" t="b">
        <v>0</v>
      </c>
      <c r="N768" s="14" t="b">
        <v>1</v>
      </c>
      <c r="O768" s="14" t="b">
        <v>1</v>
      </c>
      <c r="W768" s="3"/>
    </row>
    <row r="769" spans="1:23" x14ac:dyDescent="0.25">
      <c r="A769" s="4">
        <v>8380701000610</v>
      </c>
      <c r="B769" s="8" t="s">
        <v>555</v>
      </c>
      <c r="C769" s="8" t="s">
        <v>246</v>
      </c>
      <c r="D769" s="7" t="s">
        <v>247</v>
      </c>
      <c r="E769" s="7" t="s">
        <v>795</v>
      </c>
      <c r="F769" s="6">
        <v>2</v>
      </c>
      <c r="G769" s="8" t="s">
        <v>778</v>
      </c>
      <c r="H769" s="8" t="s">
        <v>779</v>
      </c>
      <c r="I769" s="7" t="s">
        <v>730</v>
      </c>
      <c r="J769" s="8" t="s">
        <v>791</v>
      </c>
      <c r="K769" s="14" t="b">
        <v>1</v>
      </c>
      <c r="L769" s="14" t="b">
        <v>0</v>
      </c>
      <c r="M769" s="14" t="b">
        <v>0</v>
      </c>
      <c r="N769" s="14" t="b">
        <v>1</v>
      </c>
      <c r="O769" s="14" t="b">
        <v>1</v>
      </c>
      <c r="W769" s="3"/>
    </row>
    <row r="770" spans="1:23" x14ac:dyDescent="0.25">
      <c r="A770" s="4">
        <v>8380701001772</v>
      </c>
      <c r="B770" s="8" t="s">
        <v>426</v>
      </c>
      <c r="C770" s="8" t="s">
        <v>246</v>
      </c>
      <c r="D770" s="7" t="s">
        <v>247</v>
      </c>
      <c r="E770" s="7" t="s">
        <v>795</v>
      </c>
      <c r="F770" s="6">
        <v>2</v>
      </c>
      <c r="G770" s="8" t="s">
        <v>778</v>
      </c>
      <c r="H770" s="8" t="s">
        <v>779</v>
      </c>
      <c r="I770" s="7" t="s">
        <v>730</v>
      </c>
      <c r="J770" s="8" t="s">
        <v>791</v>
      </c>
      <c r="K770" s="14" t="b">
        <v>1</v>
      </c>
      <c r="L770" s="14" t="b">
        <v>0</v>
      </c>
      <c r="M770" s="14" t="b">
        <v>0</v>
      </c>
      <c r="N770" s="14" t="b">
        <v>1</v>
      </c>
      <c r="O770" s="14" t="b">
        <v>1</v>
      </c>
      <c r="W770" s="3"/>
    </row>
    <row r="771" spans="1:23" x14ac:dyDescent="0.25">
      <c r="A771" s="4">
        <v>8680639000681</v>
      </c>
      <c r="B771" s="8" t="s">
        <v>303</v>
      </c>
      <c r="C771" s="8" t="s">
        <v>228</v>
      </c>
      <c r="D771" s="7" t="s">
        <v>229</v>
      </c>
      <c r="E771" s="7" t="s">
        <v>795</v>
      </c>
      <c r="F771" s="6">
        <v>2</v>
      </c>
      <c r="G771" s="8" t="s">
        <v>778</v>
      </c>
      <c r="H771" s="8" t="s">
        <v>779</v>
      </c>
      <c r="I771" s="7" t="s">
        <v>730</v>
      </c>
      <c r="J771" s="8" t="s">
        <v>791</v>
      </c>
      <c r="K771" s="14" t="b">
        <v>1</v>
      </c>
      <c r="L771" s="14" t="b">
        <v>0</v>
      </c>
      <c r="M771" s="14" t="b">
        <v>0</v>
      </c>
      <c r="N771" s="14" t="b">
        <v>1</v>
      </c>
      <c r="O771" s="14" t="b">
        <v>1</v>
      </c>
      <c r="W771" s="3"/>
    </row>
    <row r="772" spans="1:23" x14ac:dyDescent="0.25">
      <c r="A772" s="4">
        <v>9039744000275</v>
      </c>
      <c r="B772" s="8" t="s">
        <v>429</v>
      </c>
      <c r="C772" s="8" t="s">
        <v>430</v>
      </c>
      <c r="D772" s="7" t="s">
        <v>265</v>
      </c>
      <c r="E772" s="7" t="s">
        <v>795</v>
      </c>
      <c r="F772" s="6">
        <v>2</v>
      </c>
      <c r="G772" s="8" t="s">
        <v>778</v>
      </c>
      <c r="H772" s="8" t="s">
        <v>779</v>
      </c>
      <c r="I772" s="7" t="s">
        <v>730</v>
      </c>
      <c r="J772" s="8" t="s">
        <v>791</v>
      </c>
      <c r="K772" s="14" t="b">
        <v>1</v>
      </c>
      <c r="L772" s="14" t="b">
        <v>0</v>
      </c>
      <c r="M772" s="14" t="b">
        <v>0</v>
      </c>
      <c r="N772" s="14" t="b">
        <v>1</v>
      </c>
      <c r="O772" s="14" t="b">
        <v>1</v>
      </c>
      <c r="W772" s="3"/>
    </row>
    <row r="773" spans="1:23" x14ac:dyDescent="0.25">
      <c r="A773" s="4">
        <v>9192098000109</v>
      </c>
      <c r="B773" s="8" t="s">
        <v>640</v>
      </c>
      <c r="C773" s="8" t="s">
        <v>641</v>
      </c>
      <c r="D773" s="7" t="s">
        <v>268</v>
      </c>
      <c r="E773" s="7" t="s">
        <v>795</v>
      </c>
      <c r="F773" s="6">
        <v>2</v>
      </c>
      <c r="G773" s="8" t="s">
        <v>778</v>
      </c>
      <c r="H773" s="8" t="s">
        <v>779</v>
      </c>
      <c r="I773" s="7" t="s">
        <v>730</v>
      </c>
      <c r="J773" s="8" t="s">
        <v>791</v>
      </c>
      <c r="K773" s="14" t="b">
        <v>1</v>
      </c>
      <c r="L773" s="14" t="b">
        <v>0</v>
      </c>
      <c r="M773" s="14" t="b">
        <v>0</v>
      </c>
      <c r="N773" s="14" t="b">
        <v>1</v>
      </c>
      <c r="O773" s="14" t="b">
        <v>1</v>
      </c>
      <c r="W773" s="3"/>
    </row>
    <row r="774" spans="1:23" x14ac:dyDescent="0.25">
      <c r="A774" s="4">
        <v>10572048000209</v>
      </c>
      <c r="B774" s="8" t="s">
        <v>560</v>
      </c>
      <c r="C774" s="8" t="s">
        <v>264</v>
      </c>
      <c r="D774" s="7" t="s">
        <v>265</v>
      </c>
      <c r="E774" s="7" t="s">
        <v>795</v>
      </c>
      <c r="F774" s="6">
        <v>2</v>
      </c>
      <c r="G774" s="8" t="s">
        <v>778</v>
      </c>
      <c r="H774" s="8" t="s">
        <v>779</v>
      </c>
      <c r="I774" s="7" t="s">
        <v>730</v>
      </c>
      <c r="J774" s="8" t="s">
        <v>791</v>
      </c>
      <c r="K774" s="14" t="b">
        <v>1</v>
      </c>
      <c r="L774" s="14" t="b">
        <v>0</v>
      </c>
      <c r="M774" s="14" t="b">
        <v>0</v>
      </c>
      <c r="N774" s="14" t="b">
        <v>1</v>
      </c>
      <c r="O774" s="14" t="b">
        <v>1</v>
      </c>
      <c r="W774" s="3"/>
    </row>
    <row r="775" spans="1:23" x14ac:dyDescent="0.25">
      <c r="A775" s="4">
        <v>10839561000132</v>
      </c>
      <c r="B775" s="8" t="s">
        <v>306</v>
      </c>
      <c r="C775" s="8" t="s">
        <v>264</v>
      </c>
      <c r="D775" s="7" t="s">
        <v>265</v>
      </c>
      <c r="E775" s="7" t="s">
        <v>795</v>
      </c>
      <c r="F775" s="6">
        <v>2</v>
      </c>
      <c r="G775" s="8" t="s">
        <v>778</v>
      </c>
      <c r="H775" s="8" t="s">
        <v>779</v>
      </c>
      <c r="I775" s="7" t="s">
        <v>730</v>
      </c>
      <c r="J775" s="8" t="s">
        <v>791</v>
      </c>
      <c r="K775" s="14" t="b">
        <v>1</v>
      </c>
      <c r="L775" s="14" t="b">
        <v>0</v>
      </c>
      <c r="M775" s="14" t="b">
        <v>0</v>
      </c>
      <c r="N775" s="14" t="b">
        <v>1</v>
      </c>
      <c r="O775" s="14" t="b">
        <v>1</v>
      </c>
      <c r="W775" s="3"/>
    </row>
    <row r="776" spans="1:23" x14ac:dyDescent="0.25">
      <c r="A776" s="4">
        <v>10892164000124</v>
      </c>
      <c r="B776" s="8" t="s">
        <v>307</v>
      </c>
      <c r="C776" s="8" t="s">
        <v>264</v>
      </c>
      <c r="D776" s="7" t="s">
        <v>265</v>
      </c>
      <c r="E776" s="7" t="s">
        <v>795</v>
      </c>
      <c r="F776" s="6">
        <v>2</v>
      </c>
      <c r="G776" s="8" t="s">
        <v>778</v>
      </c>
      <c r="H776" s="8" t="s">
        <v>779</v>
      </c>
      <c r="I776" s="7" t="s">
        <v>730</v>
      </c>
      <c r="J776" s="8" t="s">
        <v>791</v>
      </c>
      <c r="K776" s="14" t="b">
        <v>1</v>
      </c>
      <c r="L776" s="14" t="b">
        <v>0</v>
      </c>
      <c r="M776" s="14" t="b">
        <v>0</v>
      </c>
      <c r="N776" s="14" t="b">
        <v>1</v>
      </c>
      <c r="O776" s="14" t="b">
        <v>1</v>
      </c>
      <c r="W776" s="3"/>
    </row>
    <row r="777" spans="1:23" x14ac:dyDescent="0.25">
      <c r="A777" s="4">
        <v>10988301000129</v>
      </c>
      <c r="B777" s="8" t="s">
        <v>308</v>
      </c>
      <c r="C777" s="8" t="s">
        <v>264</v>
      </c>
      <c r="D777" s="7" t="s">
        <v>265</v>
      </c>
      <c r="E777" s="7" t="s">
        <v>795</v>
      </c>
      <c r="F777" s="6">
        <v>2</v>
      </c>
      <c r="G777" s="8" t="s">
        <v>778</v>
      </c>
      <c r="H777" s="8" t="s">
        <v>779</v>
      </c>
      <c r="I777" s="7" t="s">
        <v>730</v>
      </c>
      <c r="J777" s="8" t="s">
        <v>791</v>
      </c>
      <c r="K777" s="14" t="b">
        <v>1</v>
      </c>
      <c r="L777" s="14" t="b">
        <v>0</v>
      </c>
      <c r="M777" s="14" t="b">
        <v>0</v>
      </c>
      <c r="N777" s="14" t="b">
        <v>1</v>
      </c>
      <c r="O777" s="14" t="b">
        <v>1</v>
      </c>
      <c r="W777" s="3"/>
    </row>
    <row r="778" spans="1:23" x14ac:dyDescent="0.25">
      <c r="A778" s="4">
        <v>11006293000130</v>
      </c>
      <c r="B778" s="8" t="s">
        <v>309</v>
      </c>
      <c r="C778" s="8" t="s">
        <v>310</v>
      </c>
      <c r="D778" s="7" t="s">
        <v>268</v>
      </c>
      <c r="E778" s="7" t="s">
        <v>795</v>
      </c>
      <c r="F778" s="6">
        <v>2</v>
      </c>
      <c r="G778" s="8" t="s">
        <v>778</v>
      </c>
      <c r="H778" s="8" t="s">
        <v>779</v>
      </c>
      <c r="I778" s="7" t="s">
        <v>730</v>
      </c>
      <c r="J778" s="8" t="s">
        <v>791</v>
      </c>
      <c r="K778" s="14" t="b">
        <v>1</v>
      </c>
      <c r="L778" s="14" t="b">
        <v>0</v>
      </c>
      <c r="M778" s="14" t="b">
        <v>0</v>
      </c>
      <c r="N778" s="14" t="b">
        <v>1</v>
      </c>
      <c r="O778" s="14" t="b">
        <v>1</v>
      </c>
      <c r="W778" s="3"/>
    </row>
    <row r="779" spans="1:23" x14ac:dyDescent="0.25">
      <c r="A779" s="4">
        <v>11022597001597</v>
      </c>
      <c r="B779" s="8" t="s">
        <v>434</v>
      </c>
      <c r="C779" s="8" t="s">
        <v>264</v>
      </c>
      <c r="D779" s="7" t="s">
        <v>265</v>
      </c>
      <c r="E779" s="7" t="s">
        <v>795</v>
      </c>
      <c r="F779" s="6">
        <v>2</v>
      </c>
      <c r="G779" s="8" t="s">
        <v>778</v>
      </c>
      <c r="H779" s="8" t="s">
        <v>779</v>
      </c>
      <c r="I779" s="7" t="s">
        <v>730</v>
      </c>
      <c r="J779" s="8" t="s">
        <v>791</v>
      </c>
      <c r="K779" s="14" t="b">
        <v>1</v>
      </c>
      <c r="L779" s="14" t="b">
        <v>0</v>
      </c>
      <c r="M779" s="14" t="b">
        <v>0</v>
      </c>
      <c r="N779" s="14" t="b">
        <v>1</v>
      </c>
      <c r="O779" s="14" t="b">
        <v>1</v>
      </c>
      <c r="W779" s="3"/>
    </row>
    <row r="780" spans="1:23" x14ac:dyDescent="0.25">
      <c r="A780" s="4">
        <v>11214624000470</v>
      </c>
      <c r="B780" s="8" t="s">
        <v>607</v>
      </c>
      <c r="C780" s="8" t="s">
        <v>264</v>
      </c>
      <c r="D780" s="7" t="s">
        <v>265</v>
      </c>
      <c r="E780" s="7" t="s">
        <v>795</v>
      </c>
      <c r="F780" s="6">
        <v>2</v>
      </c>
      <c r="G780" s="8" t="s">
        <v>778</v>
      </c>
      <c r="H780" s="8" t="s">
        <v>779</v>
      </c>
      <c r="I780" s="7" t="s">
        <v>730</v>
      </c>
      <c r="J780" s="8" t="s">
        <v>791</v>
      </c>
      <c r="K780" s="14" t="b">
        <v>1</v>
      </c>
      <c r="L780" s="14" t="b">
        <v>0</v>
      </c>
      <c r="M780" s="14" t="b">
        <v>0</v>
      </c>
      <c r="N780" s="14" t="b">
        <v>1</v>
      </c>
      <c r="O780" s="14" t="b">
        <v>1</v>
      </c>
      <c r="W780" s="3"/>
    </row>
    <row r="781" spans="1:23" x14ac:dyDescent="0.25">
      <c r="A781" s="4">
        <v>11214624001957</v>
      </c>
      <c r="B781" s="8" t="s">
        <v>484</v>
      </c>
      <c r="C781" s="8" t="s">
        <v>264</v>
      </c>
      <c r="D781" s="7" t="s">
        <v>265</v>
      </c>
      <c r="E781" s="7" t="s">
        <v>795</v>
      </c>
      <c r="F781" s="6">
        <v>2</v>
      </c>
      <c r="G781" s="8" t="s">
        <v>778</v>
      </c>
      <c r="H781" s="8" t="s">
        <v>779</v>
      </c>
      <c r="I781" s="7" t="s">
        <v>730</v>
      </c>
      <c r="J781" s="8" t="s">
        <v>791</v>
      </c>
      <c r="K781" s="14" t="b">
        <v>1</v>
      </c>
      <c r="L781" s="14" t="b">
        <v>0</v>
      </c>
      <c r="M781" s="14" t="b">
        <v>0</v>
      </c>
      <c r="N781" s="14" t="b">
        <v>1</v>
      </c>
      <c r="O781" s="14" t="b">
        <v>1</v>
      </c>
      <c r="W781" s="3"/>
    </row>
    <row r="782" spans="1:23" x14ac:dyDescent="0.25">
      <c r="A782" s="4">
        <v>11273170000166</v>
      </c>
      <c r="B782" s="8" t="s">
        <v>608</v>
      </c>
      <c r="C782" s="8" t="s">
        <v>295</v>
      </c>
      <c r="D782" s="7" t="s">
        <v>296</v>
      </c>
      <c r="E782" s="7" t="s">
        <v>795</v>
      </c>
      <c r="F782" s="6">
        <v>2</v>
      </c>
      <c r="G782" s="8" t="s">
        <v>778</v>
      </c>
      <c r="H782" s="8" t="s">
        <v>779</v>
      </c>
      <c r="I782" s="7" t="s">
        <v>730</v>
      </c>
      <c r="J782" s="8" t="s">
        <v>791</v>
      </c>
      <c r="K782" s="14" t="b">
        <v>1</v>
      </c>
      <c r="L782" s="14" t="b">
        <v>0</v>
      </c>
      <c r="M782" s="14" t="b">
        <v>0</v>
      </c>
      <c r="N782" s="14" t="b">
        <v>1</v>
      </c>
      <c r="O782" s="14" t="b">
        <v>1</v>
      </c>
      <c r="W782" s="3"/>
    </row>
    <row r="783" spans="1:23" x14ac:dyDescent="0.25">
      <c r="A783" s="4">
        <v>11452240000143</v>
      </c>
      <c r="B783" s="8" t="s">
        <v>311</v>
      </c>
      <c r="C783" s="8" t="s">
        <v>264</v>
      </c>
      <c r="D783" s="7" t="s">
        <v>265</v>
      </c>
      <c r="E783" s="7" t="s">
        <v>795</v>
      </c>
      <c r="F783" s="6">
        <v>2</v>
      </c>
      <c r="G783" s="8" t="s">
        <v>778</v>
      </c>
      <c r="H783" s="8" t="s">
        <v>779</v>
      </c>
      <c r="I783" s="7" t="s">
        <v>730</v>
      </c>
      <c r="J783" s="8" t="s">
        <v>791</v>
      </c>
      <c r="K783" s="14" t="b">
        <v>1</v>
      </c>
      <c r="L783" s="14" t="b">
        <v>0</v>
      </c>
      <c r="M783" s="14" t="b">
        <v>0</v>
      </c>
      <c r="N783" s="14" t="b">
        <v>1</v>
      </c>
      <c r="O783" s="14" t="b">
        <v>1</v>
      </c>
      <c r="W783" s="3"/>
    </row>
    <row r="784" spans="1:23" x14ac:dyDescent="0.25">
      <c r="A784" s="4">
        <v>11794674000121</v>
      </c>
      <c r="B784" s="8" t="s">
        <v>435</v>
      </c>
      <c r="C784" s="8" t="s">
        <v>281</v>
      </c>
      <c r="D784" s="7" t="s">
        <v>282</v>
      </c>
      <c r="E784" s="7" t="s">
        <v>795</v>
      </c>
      <c r="F784" s="6">
        <v>2</v>
      </c>
      <c r="G784" s="8" t="s">
        <v>778</v>
      </c>
      <c r="H784" s="8" t="s">
        <v>779</v>
      </c>
      <c r="I784" s="7" t="s">
        <v>730</v>
      </c>
      <c r="J784" s="8" t="s">
        <v>791</v>
      </c>
      <c r="K784" s="14" t="b">
        <v>1</v>
      </c>
      <c r="L784" s="14" t="b">
        <v>0</v>
      </c>
      <c r="M784" s="14" t="b">
        <v>0</v>
      </c>
      <c r="N784" s="14" t="b">
        <v>1</v>
      </c>
      <c r="O784" s="14" t="b">
        <v>1</v>
      </c>
      <c r="W784" s="3"/>
    </row>
    <row r="785" spans="1:23" x14ac:dyDescent="0.25">
      <c r="A785" s="4">
        <v>11943553000102</v>
      </c>
      <c r="B785" s="8" t="s">
        <v>436</v>
      </c>
      <c r="C785" s="8" t="s">
        <v>278</v>
      </c>
      <c r="D785" s="7" t="s">
        <v>276</v>
      </c>
      <c r="E785" s="7" t="s">
        <v>795</v>
      </c>
      <c r="F785" s="6">
        <v>2</v>
      </c>
      <c r="G785" s="8" t="s">
        <v>778</v>
      </c>
      <c r="H785" s="8" t="s">
        <v>779</v>
      </c>
      <c r="I785" s="7" t="s">
        <v>730</v>
      </c>
      <c r="J785" s="8" t="s">
        <v>791</v>
      </c>
      <c r="K785" s="14" t="b">
        <v>1</v>
      </c>
      <c r="L785" s="14" t="b">
        <v>0</v>
      </c>
      <c r="M785" s="14" t="b">
        <v>0</v>
      </c>
      <c r="N785" s="14" t="b">
        <v>1</v>
      </c>
      <c r="O785" s="14" t="b">
        <v>1</v>
      </c>
      <c r="W785" s="3"/>
    </row>
    <row r="786" spans="1:23" x14ac:dyDescent="0.25">
      <c r="A786" s="4">
        <v>12361267000517</v>
      </c>
      <c r="B786" s="8" t="s">
        <v>486</v>
      </c>
      <c r="C786" s="8" t="s">
        <v>317</v>
      </c>
      <c r="D786" s="7" t="s">
        <v>318</v>
      </c>
      <c r="E786" s="7" t="s">
        <v>795</v>
      </c>
      <c r="F786" s="6">
        <v>2</v>
      </c>
      <c r="G786" s="8" t="s">
        <v>778</v>
      </c>
      <c r="H786" s="8" t="s">
        <v>779</v>
      </c>
      <c r="I786" s="7" t="s">
        <v>730</v>
      </c>
      <c r="J786" s="8" t="s">
        <v>791</v>
      </c>
      <c r="K786" s="14" t="b">
        <v>1</v>
      </c>
      <c r="L786" s="14" t="b">
        <v>0</v>
      </c>
      <c r="M786" s="14" t="b">
        <v>0</v>
      </c>
      <c r="N786" s="14" t="b">
        <v>1</v>
      </c>
      <c r="O786" s="14" t="b">
        <v>1</v>
      </c>
      <c r="W786" s="3"/>
    </row>
    <row r="787" spans="1:23" x14ac:dyDescent="0.25">
      <c r="A787" s="4">
        <v>12361267000789</v>
      </c>
      <c r="B787" s="8" t="s">
        <v>487</v>
      </c>
      <c r="C787" s="8" t="s">
        <v>310</v>
      </c>
      <c r="D787" s="7" t="s">
        <v>268</v>
      </c>
      <c r="E787" s="7" t="s">
        <v>795</v>
      </c>
      <c r="F787" s="6">
        <v>2</v>
      </c>
      <c r="G787" s="8" t="s">
        <v>778</v>
      </c>
      <c r="H787" s="8" t="s">
        <v>779</v>
      </c>
      <c r="I787" s="7" t="s">
        <v>730</v>
      </c>
      <c r="J787" s="8" t="s">
        <v>791</v>
      </c>
      <c r="K787" s="14" t="b">
        <v>1</v>
      </c>
      <c r="L787" s="14" t="b">
        <v>0</v>
      </c>
      <c r="M787" s="14" t="b">
        <v>0</v>
      </c>
      <c r="N787" s="14" t="b">
        <v>1</v>
      </c>
      <c r="O787" s="14" t="b">
        <v>1</v>
      </c>
      <c r="W787" s="3"/>
    </row>
    <row r="788" spans="1:23" x14ac:dyDescent="0.25">
      <c r="A788" s="4">
        <v>12361267000860</v>
      </c>
      <c r="B788" s="8" t="s">
        <v>488</v>
      </c>
      <c r="C788" s="8" t="s">
        <v>361</v>
      </c>
      <c r="D788" s="7" t="s">
        <v>362</v>
      </c>
      <c r="E788" s="7" t="s">
        <v>795</v>
      </c>
      <c r="F788" s="6">
        <v>2</v>
      </c>
      <c r="G788" s="8" t="s">
        <v>778</v>
      </c>
      <c r="H788" s="8" t="s">
        <v>779</v>
      </c>
      <c r="I788" s="7" t="s">
        <v>730</v>
      </c>
      <c r="J788" s="8" t="s">
        <v>791</v>
      </c>
      <c r="K788" s="14" t="b">
        <v>1</v>
      </c>
      <c r="L788" s="14" t="b">
        <v>0</v>
      </c>
      <c r="M788" s="14" t="b">
        <v>0</v>
      </c>
      <c r="N788" s="14" t="b">
        <v>1</v>
      </c>
      <c r="O788" s="14" t="b">
        <v>1</v>
      </c>
      <c r="W788" s="3"/>
    </row>
    <row r="789" spans="1:23" x14ac:dyDescent="0.25">
      <c r="A789" s="4">
        <v>12361267004008</v>
      </c>
      <c r="B789" s="8" t="s">
        <v>489</v>
      </c>
      <c r="C789" s="8" t="s">
        <v>295</v>
      </c>
      <c r="D789" s="7" t="s">
        <v>296</v>
      </c>
      <c r="E789" s="7" t="s">
        <v>795</v>
      </c>
      <c r="F789" s="6">
        <v>2</v>
      </c>
      <c r="G789" s="8" t="s">
        <v>778</v>
      </c>
      <c r="H789" s="8" t="s">
        <v>779</v>
      </c>
      <c r="I789" s="7" t="s">
        <v>730</v>
      </c>
      <c r="J789" s="8" t="s">
        <v>791</v>
      </c>
      <c r="K789" s="14" t="b">
        <v>1</v>
      </c>
      <c r="L789" s="14" t="b">
        <v>0</v>
      </c>
      <c r="M789" s="14" t="b">
        <v>0</v>
      </c>
      <c r="N789" s="14" t="b">
        <v>1</v>
      </c>
      <c r="O789" s="14" t="b">
        <v>1</v>
      </c>
      <c r="W789" s="3"/>
    </row>
    <row r="790" spans="1:23" x14ac:dyDescent="0.25">
      <c r="A790" s="4">
        <v>12361267007287</v>
      </c>
      <c r="B790" s="8" t="s">
        <v>490</v>
      </c>
      <c r="C790" s="8" t="s">
        <v>264</v>
      </c>
      <c r="D790" s="7" t="s">
        <v>265</v>
      </c>
      <c r="E790" s="7" t="s">
        <v>795</v>
      </c>
      <c r="F790" s="6">
        <v>2</v>
      </c>
      <c r="G790" s="8" t="s">
        <v>778</v>
      </c>
      <c r="H790" s="8" t="s">
        <v>779</v>
      </c>
      <c r="I790" s="7" t="s">
        <v>730</v>
      </c>
      <c r="J790" s="8" t="s">
        <v>791</v>
      </c>
      <c r="K790" s="14" t="b">
        <v>1</v>
      </c>
      <c r="L790" s="14" t="b">
        <v>0</v>
      </c>
      <c r="M790" s="14" t="b">
        <v>0</v>
      </c>
      <c r="N790" s="14" t="b">
        <v>1</v>
      </c>
      <c r="O790" s="14" t="b">
        <v>1</v>
      </c>
      <c r="W790" s="3"/>
    </row>
    <row r="791" spans="1:23" x14ac:dyDescent="0.25">
      <c r="A791" s="4">
        <v>12361267008410</v>
      </c>
      <c r="B791" s="8" t="s">
        <v>491</v>
      </c>
      <c r="C791" s="8" t="s">
        <v>492</v>
      </c>
      <c r="D791" s="7" t="s">
        <v>282</v>
      </c>
      <c r="E791" s="7" t="s">
        <v>795</v>
      </c>
      <c r="F791" s="6">
        <v>2</v>
      </c>
      <c r="G791" s="8" t="s">
        <v>778</v>
      </c>
      <c r="H791" s="8" t="s">
        <v>779</v>
      </c>
      <c r="I791" s="7" t="s">
        <v>730</v>
      </c>
      <c r="J791" s="8" t="s">
        <v>791</v>
      </c>
      <c r="K791" s="14" t="b">
        <v>1</v>
      </c>
      <c r="L791" s="14" t="b">
        <v>0</v>
      </c>
      <c r="M791" s="14" t="b">
        <v>0</v>
      </c>
      <c r="N791" s="14" t="b">
        <v>1</v>
      </c>
      <c r="O791" s="14" t="b">
        <v>1</v>
      </c>
      <c r="W791" s="3"/>
    </row>
    <row r="792" spans="1:23" x14ac:dyDescent="0.25">
      <c r="A792" s="4">
        <v>12361267008844</v>
      </c>
      <c r="B792" s="8" t="s">
        <v>493</v>
      </c>
      <c r="C792" s="8" t="s">
        <v>228</v>
      </c>
      <c r="D792" s="7" t="s">
        <v>229</v>
      </c>
      <c r="E792" s="7" t="s">
        <v>795</v>
      </c>
      <c r="F792" s="6">
        <v>2</v>
      </c>
      <c r="G792" s="8" t="s">
        <v>778</v>
      </c>
      <c r="H792" s="8" t="s">
        <v>779</v>
      </c>
      <c r="I792" s="7" t="s">
        <v>730</v>
      </c>
      <c r="J792" s="8" t="s">
        <v>791</v>
      </c>
      <c r="K792" s="14" t="b">
        <v>1</v>
      </c>
      <c r="L792" s="14" t="b">
        <v>0</v>
      </c>
      <c r="M792" s="14" t="b">
        <v>0</v>
      </c>
      <c r="N792" s="14" t="b">
        <v>1</v>
      </c>
      <c r="O792" s="14" t="b">
        <v>1</v>
      </c>
      <c r="W792" s="3"/>
    </row>
    <row r="793" spans="1:23" x14ac:dyDescent="0.25">
      <c r="A793" s="4">
        <v>12361267009140</v>
      </c>
      <c r="B793" s="8" t="s">
        <v>561</v>
      </c>
      <c r="C793" s="8" t="s">
        <v>562</v>
      </c>
      <c r="D793" s="7" t="s">
        <v>247</v>
      </c>
      <c r="E793" s="7" t="s">
        <v>795</v>
      </c>
      <c r="F793" s="6">
        <v>2</v>
      </c>
      <c r="G793" s="8" t="s">
        <v>778</v>
      </c>
      <c r="H793" s="8" t="s">
        <v>779</v>
      </c>
      <c r="I793" s="7" t="s">
        <v>730</v>
      </c>
      <c r="J793" s="8" t="s">
        <v>791</v>
      </c>
      <c r="K793" s="14" t="b">
        <v>1</v>
      </c>
      <c r="L793" s="14" t="b">
        <v>0</v>
      </c>
      <c r="M793" s="14" t="b">
        <v>0</v>
      </c>
      <c r="N793" s="14" t="b">
        <v>1</v>
      </c>
      <c r="O793" s="14" t="b">
        <v>1</v>
      </c>
      <c r="W793" s="3"/>
    </row>
    <row r="794" spans="1:23" x14ac:dyDescent="0.25">
      <c r="A794" s="4">
        <v>12361267009654</v>
      </c>
      <c r="B794" s="8" t="s">
        <v>494</v>
      </c>
      <c r="C794" s="8" t="s">
        <v>246</v>
      </c>
      <c r="D794" s="7" t="s">
        <v>247</v>
      </c>
      <c r="E794" s="7" t="s">
        <v>795</v>
      </c>
      <c r="F794" s="6">
        <v>2</v>
      </c>
      <c r="G794" s="8" t="s">
        <v>778</v>
      </c>
      <c r="H794" s="8" t="s">
        <v>779</v>
      </c>
      <c r="I794" s="7" t="s">
        <v>730</v>
      </c>
      <c r="J794" s="8" t="s">
        <v>791</v>
      </c>
      <c r="K794" s="14" t="b">
        <v>1</v>
      </c>
      <c r="L794" s="14" t="b">
        <v>0</v>
      </c>
      <c r="M794" s="14" t="b">
        <v>0</v>
      </c>
      <c r="N794" s="14" t="b">
        <v>1</v>
      </c>
      <c r="O794" s="14" t="b">
        <v>1</v>
      </c>
      <c r="W794" s="3"/>
    </row>
    <row r="795" spans="1:23" x14ac:dyDescent="0.25">
      <c r="A795" s="4">
        <v>12361267010318</v>
      </c>
      <c r="B795" s="8" t="s">
        <v>313</v>
      </c>
      <c r="C795" s="8" t="s">
        <v>278</v>
      </c>
      <c r="D795" s="7" t="s">
        <v>276</v>
      </c>
      <c r="E795" s="7" t="s">
        <v>795</v>
      </c>
      <c r="F795" s="6">
        <v>2</v>
      </c>
      <c r="G795" s="8" t="s">
        <v>778</v>
      </c>
      <c r="H795" s="8" t="s">
        <v>779</v>
      </c>
      <c r="I795" s="7" t="s">
        <v>730</v>
      </c>
      <c r="J795" s="8" t="s">
        <v>791</v>
      </c>
      <c r="K795" s="14" t="b">
        <v>1</v>
      </c>
      <c r="L795" s="14" t="b">
        <v>0</v>
      </c>
      <c r="M795" s="14" t="b">
        <v>0</v>
      </c>
      <c r="N795" s="14" t="b">
        <v>1</v>
      </c>
      <c r="O795" s="14" t="b">
        <v>1</v>
      </c>
      <c r="W795" s="3"/>
    </row>
    <row r="796" spans="1:23" x14ac:dyDescent="0.25">
      <c r="A796" s="4">
        <v>12361267010407</v>
      </c>
      <c r="B796" s="8" t="s">
        <v>495</v>
      </c>
      <c r="C796" s="8" t="s">
        <v>323</v>
      </c>
      <c r="D796" s="7" t="s">
        <v>276</v>
      </c>
      <c r="E796" s="7" t="s">
        <v>795</v>
      </c>
      <c r="F796" s="6">
        <v>2</v>
      </c>
      <c r="G796" s="8" t="s">
        <v>778</v>
      </c>
      <c r="H796" s="8" t="s">
        <v>779</v>
      </c>
      <c r="I796" s="7" t="s">
        <v>730</v>
      </c>
      <c r="J796" s="8" t="s">
        <v>791</v>
      </c>
      <c r="K796" s="14" t="b">
        <v>1</v>
      </c>
      <c r="L796" s="14" t="b">
        <v>0</v>
      </c>
      <c r="M796" s="14" t="b">
        <v>0</v>
      </c>
      <c r="N796" s="14" t="b">
        <v>1</v>
      </c>
      <c r="O796" s="14" t="b">
        <v>1</v>
      </c>
      <c r="W796" s="3"/>
    </row>
    <row r="797" spans="1:23" x14ac:dyDescent="0.25">
      <c r="A797" s="4">
        <v>12361267011802</v>
      </c>
      <c r="B797" s="8" t="s">
        <v>314</v>
      </c>
      <c r="C797" s="8" t="s">
        <v>281</v>
      </c>
      <c r="D797" s="7" t="s">
        <v>282</v>
      </c>
      <c r="E797" s="7" t="s">
        <v>795</v>
      </c>
      <c r="F797" s="6">
        <v>2</v>
      </c>
      <c r="G797" s="8" t="s">
        <v>778</v>
      </c>
      <c r="H797" s="8" t="s">
        <v>779</v>
      </c>
      <c r="I797" s="7" t="s">
        <v>730</v>
      </c>
      <c r="J797" s="8" t="s">
        <v>791</v>
      </c>
      <c r="K797" s="14" t="b">
        <v>1</v>
      </c>
      <c r="L797" s="14" t="b">
        <v>0</v>
      </c>
      <c r="M797" s="14" t="b">
        <v>0</v>
      </c>
      <c r="N797" s="14" t="b">
        <v>1</v>
      </c>
      <c r="O797" s="14" t="b">
        <v>1</v>
      </c>
      <c r="W797" s="3"/>
    </row>
    <row r="798" spans="1:23" x14ac:dyDescent="0.25">
      <c r="A798" s="4">
        <v>12361267014739</v>
      </c>
      <c r="B798" s="8" t="s">
        <v>510</v>
      </c>
      <c r="C798" s="8" t="s">
        <v>278</v>
      </c>
      <c r="D798" s="7" t="s">
        <v>276</v>
      </c>
      <c r="E798" s="7" t="s">
        <v>795</v>
      </c>
      <c r="F798" s="6">
        <v>2</v>
      </c>
      <c r="G798" s="8" t="s">
        <v>778</v>
      </c>
      <c r="H798" s="8" t="s">
        <v>779</v>
      </c>
      <c r="I798" s="7" t="s">
        <v>730</v>
      </c>
      <c r="J798" s="8" t="s">
        <v>791</v>
      </c>
      <c r="K798" s="14" t="b">
        <v>1</v>
      </c>
      <c r="L798" s="14" t="b">
        <v>0</v>
      </c>
      <c r="M798" s="14" t="b">
        <v>0</v>
      </c>
      <c r="N798" s="14" t="b">
        <v>1</v>
      </c>
      <c r="O798" s="14" t="b">
        <v>1</v>
      </c>
      <c r="W798" s="3"/>
    </row>
    <row r="799" spans="1:23" x14ac:dyDescent="0.25">
      <c r="A799" s="4">
        <v>12442737000496</v>
      </c>
      <c r="B799" s="8" t="s">
        <v>437</v>
      </c>
      <c r="C799" s="8" t="s">
        <v>361</v>
      </c>
      <c r="D799" s="7" t="s">
        <v>362</v>
      </c>
      <c r="E799" s="7" t="s">
        <v>795</v>
      </c>
      <c r="F799" s="6">
        <v>2</v>
      </c>
      <c r="G799" s="8" t="s">
        <v>778</v>
      </c>
      <c r="H799" s="8" t="s">
        <v>779</v>
      </c>
      <c r="I799" s="7" t="s">
        <v>730</v>
      </c>
      <c r="J799" s="8" t="s">
        <v>791</v>
      </c>
      <c r="K799" s="14" t="b">
        <v>1</v>
      </c>
      <c r="L799" s="14" t="b">
        <v>0</v>
      </c>
      <c r="M799" s="14" t="b">
        <v>0</v>
      </c>
      <c r="N799" s="14" t="b">
        <v>1</v>
      </c>
      <c r="O799" s="14" t="b">
        <v>1</v>
      </c>
      <c r="W799" s="3"/>
    </row>
    <row r="800" spans="1:23" x14ac:dyDescent="0.25">
      <c r="A800" s="4">
        <v>12568570000161</v>
      </c>
      <c r="B800" s="8" t="s">
        <v>563</v>
      </c>
      <c r="C800" s="8" t="s">
        <v>281</v>
      </c>
      <c r="D800" s="7" t="s">
        <v>282</v>
      </c>
      <c r="E800" s="7" t="s">
        <v>795</v>
      </c>
      <c r="F800" s="6">
        <v>2</v>
      </c>
      <c r="G800" s="8" t="s">
        <v>778</v>
      </c>
      <c r="H800" s="8" t="s">
        <v>779</v>
      </c>
      <c r="I800" s="7" t="s">
        <v>730</v>
      </c>
      <c r="J800" s="8" t="s">
        <v>791</v>
      </c>
      <c r="K800" s="14" t="b">
        <v>1</v>
      </c>
      <c r="L800" s="14" t="b">
        <v>0</v>
      </c>
      <c r="M800" s="14" t="b">
        <v>0</v>
      </c>
      <c r="N800" s="14" t="b">
        <v>1</v>
      </c>
      <c r="O800" s="14" t="b">
        <v>1</v>
      </c>
      <c r="W800" s="3"/>
    </row>
    <row r="801" spans="1:23" x14ac:dyDescent="0.25">
      <c r="A801" s="4">
        <v>13016092000140</v>
      </c>
      <c r="B801" s="8" t="s">
        <v>315</v>
      </c>
      <c r="C801" s="8" t="s">
        <v>278</v>
      </c>
      <c r="D801" s="7" t="s">
        <v>276</v>
      </c>
      <c r="E801" s="7" t="s">
        <v>795</v>
      </c>
      <c r="F801" s="6">
        <v>2</v>
      </c>
      <c r="G801" s="8" t="s">
        <v>778</v>
      </c>
      <c r="H801" s="8" t="s">
        <v>779</v>
      </c>
      <c r="I801" s="7" t="s">
        <v>730</v>
      </c>
      <c r="J801" s="8" t="s">
        <v>791</v>
      </c>
      <c r="K801" s="14" t="b">
        <v>1</v>
      </c>
      <c r="L801" s="14" t="b">
        <v>0</v>
      </c>
      <c r="M801" s="14" t="b">
        <v>0</v>
      </c>
      <c r="N801" s="14" t="b">
        <v>1</v>
      </c>
      <c r="O801" s="14" t="b">
        <v>1</v>
      </c>
      <c r="W801" s="3"/>
    </row>
    <row r="802" spans="1:23" x14ac:dyDescent="0.25">
      <c r="A802" s="4">
        <v>13016332000106</v>
      </c>
      <c r="B802" s="8" t="s">
        <v>316</v>
      </c>
      <c r="C802" s="8" t="s">
        <v>317</v>
      </c>
      <c r="D802" s="7" t="s">
        <v>318</v>
      </c>
      <c r="E802" s="7" t="s">
        <v>795</v>
      </c>
      <c r="F802" s="6">
        <v>2</v>
      </c>
      <c r="G802" s="8" t="s">
        <v>778</v>
      </c>
      <c r="H802" s="8" t="s">
        <v>779</v>
      </c>
      <c r="I802" s="7" t="s">
        <v>730</v>
      </c>
      <c r="J802" s="8" t="s">
        <v>791</v>
      </c>
      <c r="K802" s="14" t="b">
        <v>1</v>
      </c>
      <c r="L802" s="14" t="b">
        <v>0</v>
      </c>
      <c r="M802" s="14" t="b">
        <v>0</v>
      </c>
      <c r="N802" s="14" t="b">
        <v>1</v>
      </c>
      <c r="O802" s="14" t="b">
        <v>1</v>
      </c>
      <c r="W802" s="3"/>
    </row>
    <row r="803" spans="1:23" x14ac:dyDescent="0.25">
      <c r="A803" s="4">
        <v>13086053000119</v>
      </c>
      <c r="B803" s="8" t="s">
        <v>611</v>
      </c>
      <c r="C803" s="8" t="s">
        <v>317</v>
      </c>
      <c r="D803" s="7" t="s">
        <v>318</v>
      </c>
      <c r="E803" s="7" t="s">
        <v>795</v>
      </c>
      <c r="F803" s="6">
        <v>2</v>
      </c>
      <c r="G803" s="8" t="s">
        <v>778</v>
      </c>
      <c r="H803" s="8" t="s">
        <v>779</v>
      </c>
      <c r="I803" s="7" t="s">
        <v>730</v>
      </c>
      <c r="J803" s="8" t="s">
        <v>791</v>
      </c>
      <c r="K803" s="14" t="b">
        <v>1</v>
      </c>
      <c r="L803" s="14" t="b">
        <v>0</v>
      </c>
      <c r="M803" s="14" t="b">
        <v>0</v>
      </c>
      <c r="N803" s="14" t="b">
        <v>1</v>
      </c>
      <c r="O803" s="14" t="b">
        <v>1</v>
      </c>
      <c r="W803" s="3"/>
    </row>
    <row r="804" spans="1:23" x14ac:dyDescent="0.25">
      <c r="A804" s="4">
        <v>13131370000100</v>
      </c>
      <c r="B804" s="8" t="s">
        <v>319</v>
      </c>
      <c r="C804" s="8" t="s">
        <v>317</v>
      </c>
      <c r="D804" s="7" t="s">
        <v>318</v>
      </c>
      <c r="E804" s="7" t="s">
        <v>795</v>
      </c>
      <c r="F804" s="6">
        <v>2</v>
      </c>
      <c r="G804" s="8" t="s">
        <v>778</v>
      </c>
      <c r="H804" s="8" t="s">
        <v>779</v>
      </c>
      <c r="I804" s="7" t="s">
        <v>730</v>
      </c>
      <c r="J804" s="8" t="s">
        <v>791</v>
      </c>
      <c r="K804" s="14" t="b">
        <v>1</v>
      </c>
      <c r="L804" s="14" t="b">
        <v>0</v>
      </c>
      <c r="M804" s="14" t="b">
        <v>0</v>
      </c>
      <c r="N804" s="14" t="b">
        <v>1</v>
      </c>
      <c r="O804" s="14" t="b">
        <v>1</v>
      </c>
      <c r="W804" s="3"/>
    </row>
    <row r="805" spans="1:23" x14ac:dyDescent="0.25">
      <c r="A805" s="4">
        <v>13262578000168</v>
      </c>
      <c r="B805" s="8" t="s">
        <v>438</v>
      </c>
      <c r="C805" s="8" t="s">
        <v>246</v>
      </c>
      <c r="D805" s="7" t="s">
        <v>247</v>
      </c>
      <c r="E805" s="7" t="s">
        <v>795</v>
      </c>
      <c r="F805" s="6">
        <v>2</v>
      </c>
      <c r="G805" s="8" t="s">
        <v>778</v>
      </c>
      <c r="H805" s="8" t="s">
        <v>779</v>
      </c>
      <c r="I805" s="7" t="s">
        <v>730</v>
      </c>
      <c r="J805" s="8" t="s">
        <v>791</v>
      </c>
      <c r="K805" s="14" t="b">
        <v>1</v>
      </c>
      <c r="L805" s="14" t="b">
        <v>0</v>
      </c>
      <c r="M805" s="14" t="b">
        <v>0</v>
      </c>
      <c r="N805" s="14" t="b">
        <v>1</v>
      </c>
      <c r="O805" s="14" t="b">
        <v>1</v>
      </c>
      <c r="W805" s="3"/>
    </row>
    <row r="806" spans="1:23" x14ac:dyDescent="0.25">
      <c r="A806" s="4">
        <v>13284872000170</v>
      </c>
      <c r="B806" s="8" t="s">
        <v>564</v>
      </c>
      <c r="C806" s="8" t="s">
        <v>565</v>
      </c>
      <c r="D806" s="7" t="s">
        <v>276</v>
      </c>
      <c r="E806" s="7" t="s">
        <v>795</v>
      </c>
      <c r="F806" s="6">
        <v>2</v>
      </c>
      <c r="G806" s="8" t="s">
        <v>778</v>
      </c>
      <c r="H806" s="8" t="s">
        <v>779</v>
      </c>
      <c r="I806" s="7" t="s">
        <v>730</v>
      </c>
      <c r="J806" s="8" t="s">
        <v>791</v>
      </c>
      <c r="K806" s="14" t="b">
        <v>1</v>
      </c>
      <c r="L806" s="14" t="b">
        <v>0</v>
      </c>
      <c r="M806" s="14" t="b">
        <v>0</v>
      </c>
      <c r="N806" s="14" t="b">
        <v>1</v>
      </c>
      <c r="O806" s="14" t="b">
        <v>1</v>
      </c>
      <c r="W806" s="3"/>
    </row>
    <row r="807" spans="1:23" x14ac:dyDescent="0.25">
      <c r="A807" s="4">
        <v>13356779000124</v>
      </c>
      <c r="B807" s="8" t="s">
        <v>320</v>
      </c>
      <c r="C807" s="8" t="s">
        <v>317</v>
      </c>
      <c r="D807" s="7" t="s">
        <v>318</v>
      </c>
      <c r="E807" s="7" t="s">
        <v>795</v>
      </c>
      <c r="F807" s="6">
        <v>2</v>
      </c>
      <c r="G807" s="8" t="s">
        <v>778</v>
      </c>
      <c r="H807" s="8" t="s">
        <v>779</v>
      </c>
      <c r="I807" s="7" t="s">
        <v>730</v>
      </c>
      <c r="J807" s="8" t="s">
        <v>791</v>
      </c>
      <c r="K807" s="14" t="b">
        <v>1</v>
      </c>
      <c r="L807" s="14" t="b">
        <v>0</v>
      </c>
      <c r="M807" s="14" t="b">
        <v>0</v>
      </c>
      <c r="N807" s="14" t="b">
        <v>1</v>
      </c>
      <c r="O807" s="14" t="b">
        <v>1</v>
      </c>
      <c r="W807" s="3"/>
    </row>
    <row r="808" spans="1:23" x14ac:dyDescent="0.25">
      <c r="A808" s="4">
        <v>13952064000134</v>
      </c>
      <c r="B808" s="8" t="s">
        <v>321</v>
      </c>
      <c r="C808" s="8" t="s">
        <v>278</v>
      </c>
      <c r="D808" s="7" t="s">
        <v>276</v>
      </c>
      <c r="E808" s="7" t="s">
        <v>795</v>
      </c>
      <c r="F808" s="6">
        <v>2</v>
      </c>
      <c r="G808" s="8" t="s">
        <v>778</v>
      </c>
      <c r="H808" s="8" t="s">
        <v>779</v>
      </c>
      <c r="I808" s="7" t="s">
        <v>730</v>
      </c>
      <c r="J808" s="8" t="s">
        <v>791</v>
      </c>
      <c r="K808" s="14" t="b">
        <v>1</v>
      </c>
      <c r="L808" s="14" t="b">
        <v>0</v>
      </c>
      <c r="M808" s="14" t="b">
        <v>0</v>
      </c>
      <c r="N808" s="14" t="b">
        <v>1</v>
      </c>
      <c r="O808" s="14" t="b">
        <v>1</v>
      </c>
      <c r="W808" s="3"/>
    </row>
    <row r="809" spans="1:23" x14ac:dyDescent="0.25">
      <c r="A809" s="4">
        <v>14074546000100</v>
      </c>
      <c r="B809" s="8" t="s">
        <v>322</v>
      </c>
      <c r="C809" s="8" t="s">
        <v>323</v>
      </c>
      <c r="D809" s="7" t="s">
        <v>276</v>
      </c>
      <c r="E809" s="7" t="s">
        <v>795</v>
      </c>
      <c r="F809" s="6">
        <v>2</v>
      </c>
      <c r="G809" s="8" t="s">
        <v>778</v>
      </c>
      <c r="H809" s="8" t="s">
        <v>779</v>
      </c>
      <c r="I809" s="7" t="s">
        <v>730</v>
      </c>
      <c r="J809" s="8" t="s">
        <v>791</v>
      </c>
      <c r="K809" s="14" t="b">
        <v>1</v>
      </c>
      <c r="L809" s="14" t="b">
        <v>0</v>
      </c>
      <c r="M809" s="14" t="b">
        <v>0</v>
      </c>
      <c r="N809" s="14" t="b">
        <v>1</v>
      </c>
      <c r="O809" s="14" t="b">
        <v>1</v>
      </c>
      <c r="W809" s="3"/>
    </row>
    <row r="810" spans="1:23" x14ac:dyDescent="0.25">
      <c r="A810" s="4">
        <v>15126437000224</v>
      </c>
      <c r="B810" s="8" t="s">
        <v>327</v>
      </c>
      <c r="C810" s="8" t="s">
        <v>295</v>
      </c>
      <c r="D810" s="7" t="s">
        <v>296</v>
      </c>
      <c r="E810" s="7" t="s">
        <v>795</v>
      </c>
      <c r="F810" s="6">
        <v>2</v>
      </c>
      <c r="G810" s="8" t="s">
        <v>778</v>
      </c>
      <c r="H810" s="8" t="s">
        <v>779</v>
      </c>
      <c r="I810" s="7" t="s">
        <v>730</v>
      </c>
      <c r="J810" s="8" t="s">
        <v>791</v>
      </c>
      <c r="K810" s="14" t="b">
        <v>1</v>
      </c>
      <c r="L810" s="14" t="b">
        <v>0</v>
      </c>
      <c r="M810" s="14" t="b">
        <v>0</v>
      </c>
      <c r="N810" s="14" t="b">
        <v>1</v>
      </c>
      <c r="O810" s="14" t="b">
        <v>1</v>
      </c>
      <c r="W810" s="3"/>
    </row>
    <row r="811" spans="1:23" x14ac:dyDescent="0.25">
      <c r="A811" s="4">
        <v>15126437000496</v>
      </c>
      <c r="B811" s="8" t="s">
        <v>328</v>
      </c>
      <c r="C811" s="8" t="s">
        <v>310</v>
      </c>
      <c r="D811" s="7" t="s">
        <v>268</v>
      </c>
      <c r="E811" s="7" t="s">
        <v>795</v>
      </c>
      <c r="F811" s="6">
        <v>2</v>
      </c>
      <c r="G811" s="8" t="s">
        <v>778</v>
      </c>
      <c r="H811" s="8" t="s">
        <v>779</v>
      </c>
      <c r="I811" s="7" t="s">
        <v>730</v>
      </c>
      <c r="J811" s="8" t="s">
        <v>791</v>
      </c>
      <c r="K811" s="14" t="b">
        <v>1</v>
      </c>
      <c r="L811" s="14" t="b">
        <v>0</v>
      </c>
      <c r="M811" s="14" t="b">
        <v>0</v>
      </c>
      <c r="N811" s="14" t="b">
        <v>1</v>
      </c>
      <c r="O811" s="14" t="b">
        <v>1</v>
      </c>
      <c r="W811" s="3"/>
    </row>
    <row r="812" spans="1:23" x14ac:dyDescent="0.25">
      <c r="A812" s="4">
        <v>15126437000739</v>
      </c>
      <c r="B812" s="8" t="s">
        <v>329</v>
      </c>
      <c r="C812" s="8" t="s">
        <v>246</v>
      </c>
      <c r="D812" s="7" t="s">
        <v>247</v>
      </c>
      <c r="E812" s="7" t="s">
        <v>795</v>
      </c>
      <c r="F812" s="6">
        <v>2</v>
      </c>
      <c r="G812" s="8" t="s">
        <v>778</v>
      </c>
      <c r="H812" s="8" t="s">
        <v>779</v>
      </c>
      <c r="I812" s="7" t="s">
        <v>730</v>
      </c>
      <c r="J812" s="8" t="s">
        <v>791</v>
      </c>
      <c r="K812" s="14" t="b">
        <v>1</v>
      </c>
      <c r="L812" s="14" t="b">
        <v>0</v>
      </c>
      <c r="M812" s="14" t="b">
        <v>0</v>
      </c>
      <c r="N812" s="14" t="b">
        <v>1</v>
      </c>
      <c r="O812" s="14" t="b">
        <v>1</v>
      </c>
      <c r="W812" s="3"/>
    </row>
    <row r="813" spans="1:23" x14ac:dyDescent="0.25">
      <c r="A813" s="4">
        <v>15126437001468</v>
      </c>
      <c r="B813" s="8" t="s">
        <v>439</v>
      </c>
      <c r="C813" s="8" t="s">
        <v>281</v>
      </c>
      <c r="D813" s="7" t="s">
        <v>282</v>
      </c>
      <c r="E813" s="7" t="s">
        <v>795</v>
      </c>
      <c r="F813" s="6">
        <v>2</v>
      </c>
      <c r="G813" s="8" t="s">
        <v>778</v>
      </c>
      <c r="H813" s="8" t="s">
        <v>779</v>
      </c>
      <c r="I813" s="7" t="s">
        <v>730</v>
      </c>
      <c r="J813" s="8" t="s">
        <v>791</v>
      </c>
      <c r="K813" s="14" t="b">
        <v>1</v>
      </c>
      <c r="L813" s="14" t="b">
        <v>0</v>
      </c>
      <c r="M813" s="14" t="b">
        <v>0</v>
      </c>
      <c r="N813" s="14" t="b">
        <v>1</v>
      </c>
      <c r="O813" s="14" t="b">
        <v>1</v>
      </c>
      <c r="W813" s="3"/>
    </row>
    <row r="814" spans="1:23" x14ac:dyDescent="0.25">
      <c r="A814" s="4">
        <v>15140254000182</v>
      </c>
      <c r="B814" s="8" t="s">
        <v>440</v>
      </c>
      <c r="C814" s="8" t="s">
        <v>278</v>
      </c>
      <c r="D814" s="7" t="s">
        <v>276</v>
      </c>
      <c r="E814" s="7" t="s">
        <v>795</v>
      </c>
      <c r="F814" s="6">
        <v>2</v>
      </c>
      <c r="G814" s="8" t="s">
        <v>778</v>
      </c>
      <c r="H814" s="8" t="s">
        <v>779</v>
      </c>
      <c r="I814" s="7" t="s">
        <v>730</v>
      </c>
      <c r="J814" s="8" t="s">
        <v>791</v>
      </c>
      <c r="K814" s="14" t="b">
        <v>1</v>
      </c>
      <c r="L814" s="14" t="b">
        <v>0</v>
      </c>
      <c r="M814" s="14" t="b">
        <v>0</v>
      </c>
      <c r="N814" s="14" t="b">
        <v>1</v>
      </c>
      <c r="O814" s="14" t="b">
        <v>1</v>
      </c>
      <c r="W814" s="3"/>
    </row>
    <row r="815" spans="1:23" x14ac:dyDescent="0.25">
      <c r="A815" s="4">
        <v>15153745000249</v>
      </c>
      <c r="B815" s="8" t="s">
        <v>332</v>
      </c>
      <c r="C815" s="8" t="s">
        <v>278</v>
      </c>
      <c r="D815" s="7" t="s">
        <v>276</v>
      </c>
      <c r="E815" s="7" t="s">
        <v>795</v>
      </c>
      <c r="F815" s="6">
        <v>2</v>
      </c>
      <c r="G815" s="8" t="s">
        <v>778</v>
      </c>
      <c r="H815" s="8" t="s">
        <v>779</v>
      </c>
      <c r="I815" s="7" t="s">
        <v>730</v>
      </c>
      <c r="J815" s="8" t="s">
        <v>791</v>
      </c>
      <c r="K815" s="14" t="b">
        <v>1</v>
      </c>
      <c r="L815" s="14" t="b">
        <v>0</v>
      </c>
      <c r="M815" s="14" t="b">
        <v>0</v>
      </c>
      <c r="N815" s="14" t="b">
        <v>1</v>
      </c>
      <c r="O815" s="14" t="b">
        <v>1</v>
      </c>
      <c r="W815" s="3"/>
    </row>
    <row r="816" spans="1:23" x14ac:dyDescent="0.25">
      <c r="A816" s="4">
        <v>15153745002705</v>
      </c>
      <c r="B816" s="8" t="s">
        <v>333</v>
      </c>
      <c r="C816" s="8" t="s">
        <v>278</v>
      </c>
      <c r="D816" s="7" t="s">
        <v>276</v>
      </c>
      <c r="E816" s="7" t="s">
        <v>795</v>
      </c>
      <c r="F816" s="6">
        <v>2</v>
      </c>
      <c r="G816" s="8" t="s">
        <v>778</v>
      </c>
      <c r="H816" s="8" t="s">
        <v>779</v>
      </c>
      <c r="I816" s="7" t="s">
        <v>730</v>
      </c>
      <c r="J816" s="8" t="s">
        <v>791</v>
      </c>
      <c r="K816" s="14" t="b">
        <v>1</v>
      </c>
      <c r="L816" s="14" t="b">
        <v>0</v>
      </c>
      <c r="M816" s="14" t="b">
        <v>0</v>
      </c>
      <c r="N816" s="14" t="b">
        <v>1</v>
      </c>
      <c r="O816" s="14" t="b">
        <v>1</v>
      </c>
      <c r="W816" s="3"/>
    </row>
    <row r="817" spans="1:23" x14ac:dyDescent="0.25">
      <c r="A817" s="4">
        <v>15166416000151</v>
      </c>
      <c r="B817" s="8" t="s">
        <v>334</v>
      </c>
      <c r="C817" s="8" t="s">
        <v>278</v>
      </c>
      <c r="D817" s="7" t="s">
        <v>276</v>
      </c>
      <c r="E817" s="7" t="s">
        <v>795</v>
      </c>
      <c r="F817" s="6">
        <v>2</v>
      </c>
      <c r="G817" s="8" t="s">
        <v>778</v>
      </c>
      <c r="H817" s="8" t="s">
        <v>779</v>
      </c>
      <c r="I817" s="7" t="s">
        <v>730</v>
      </c>
      <c r="J817" s="8" t="s">
        <v>791</v>
      </c>
      <c r="K817" s="14" t="b">
        <v>1</v>
      </c>
      <c r="L817" s="14" t="b">
        <v>0</v>
      </c>
      <c r="M817" s="14" t="b">
        <v>0</v>
      </c>
      <c r="N817" s="14" t="b">
        <v>1</v>
      </c>
      <c r="O817" s="14" t="b">
        <v>1</v>
      </c>
      <c r="W817" s="3"/>
    </row>
    <row r="818" spans="1:23" x14ac:dyDescent="0.25">
      <c r="A818" s="4">
        <v>15170723000106</v>
      </c>
      <c r="B818" s="8" t="s">
        <v>335</v>
      </c>
      <c r="C818" s="8" t="s">
        <v>278</v>
      </c>
      <c r="D818" s="7" t="s">
        <v>276</v>
      </c>
      <c r="E818" s="7" t="s">
        <v>795</v>
      </c>
      <c r="F818" s="6">
        <v>2</v>
      </c>
      <c r="G818" s="8" t="s">
        <v>778</v>
      </c>
      <c r="H818" s="8" t="s">
        <v>779</v>
      </c>
      <c r="I818" s="7" t="s">
        <v>730</v>
      </c>
      <c r="J818" s="8" t="s">
        <v>791</v>
      </c>
      <c r="K818" s="14" t="b">
        <v>1</v>
      </c>
      <c r="L818" s="14" t="b">
        <v>0</v>
      </c>
      <c r="M818" s="14" t="b">
        <v>0</v>
      </c>
      <c r="N818" s="14" t="b">
        <v>1</v>
      </c>
      <c r="O818" s="14" t="b">
        <v>1</v>
      </c>
      <c r="W818" s="3"/>
    </row>
    <row r="819" spans="1:23" x14ac:dyDescent="0.25">
      <c r="A819" s="4">
        <v>15170723000530</v>
      </c>
      <c r="B819" s="8" t="s">
        <v>336</v>
      </c>
      <c r="C819" s="8" t="s">
        <v>323</v>
      </c>
      <c r="D819" s="7" t="s">
        <v>276</v>
      </c>
      <c r="E819" s="7" t="s">
        <v>795</v>
      </c>
      <c r="F819" s="6">
        <v>2</v>
      </c>
      <c r="G819" s="8" t="s">
        <v>778</v>
      </c>
      <c r="H819" s="8" t="s">
        <v>779</v>
      </c>
      <c r="I819" s="7" t="s">
        <v>730</v>
      </c>
      <c r="J819" s="8" t="s">
        <v>791</v>
      </c>
      <c r="K819" s="14" t="b">
        <v>1</v>
      </c>
      <c r="L819" s="14" t="b">
        <v>0</v>
      </c>
      <c r="M819" s="14" t="b">
        <v>0</v>
      </c>
      <c r="N819" s="14" t="b">
        <v>1</v>
      </c>
      <c r="O819" s="14" t="b">
        <v>1</v>
      </c>
      <c r="W819" s="3"/>
    </row>
    <row r="820" spans="1:23" x14ac:dyDescent="0.25">
      <c r="A820" s="4">
        <v>15180714000368</v>
      </c>
      <c r="B820" s="8" t="s">
        <v>337</v>
      </c>
      <c r="C820" s="8" t="s">
        <v>278</v>
      </c>
      <c r="D820" s="7" t="s">
        <v>276</v>
      </c>
      <c r="E820" s="7" t="s">
        <v>795</v>
      </c>
      <c r="F820" s="6">
        <v>2</v>
      </c>
      <c r="G820" s="8" t="s">
        <v>778</v>
      </c>
      <c r="H820" s="8" t="s">
        <v>779</v>
      </c>
      <c r="I820" s="7" t="s">
        <v>730</v>
      </c>
      <c r="J820" s="8" t="s">
        <v>791</v>
      </c>
      <c r="K820" s="14" t="b">
        <v>1</v>
      </c>
      <c r="L820" s="14" t="b">
        <v>0</v>
      </c>
      <c r="M820" s="14" t="b">
        <v>0</v>
      </c>
      <c r="N820" s="14" t="b">
        <v>1</v>
      </c>
      <c r="O820" s="14" t="b">
        <v>1</v>
      </c>
      <c r="W820" s="3"/>
    </row>
    <row r="821" spans="1:23" x14ac:dyDescent="0.25">
      <c r="A821" s="4">
        <v>15180714000520</v>
      </c>
      <c r="B821" s="8" t="s">
        <v>338</v>
      </c>
      <c r="C821" s="8" t="s">
        <v>278</v>
      </c>
      <c r="D821" s="7" t="s">
        <v>276</v>
      </c>
      <c r="E821" s="7" t="s">
        <v>795</v>
      </c>
      <c r="F821" s="6">
        <v>2</v>
      </c>
      <c r="G821" s="8" t="s">
        <v>778</v>
      </c>
      <c r="H821" s="8" t="s">
        <v>779</v>
      </c>
      <c r="I821" s="7" t="s">
        <v>730</v>
      </c>
      <c r="J821" s="8" t="s">
        <v>791</v>
      </c>
      <c r="K821" s="14" t="b">
        <v>1</v>
      </c>
      <c r="L821" s="14" t="b">
        <v>0</v>
      </c>
      <c r="M821" s="14" t="b">
        <v>0</v>
      </c>
      <c r="N821" s="14" t="b">
        <v>1</v>
      </c>
      <c r="O821" s="14" t="b">
        <v>1</v>
      </c>
      <c r="W821" s="3"/>
    </row>
    <row r="822" spans="1:23" x14ac:dyDescent="0.25">
      <c r="A822" s="4">
        <v>15194004000125</v>
      </c>
      <c r="B822" s="8" t="s">
        <v>339</v>
      </c>
      <c r="C822" s="8" t="s">
        <v>278</v>
      </c>
      <c r="D822" s="7" t="s">
        <v>276</v>
      </c>
      <c r="E822" s="7" t="s">
        <v>795</v>
      </c>
      <c r="F822" s="6">
        <v>2</v>
      </c>
      <c r="G822" s="8" t="s">
        <v>778</v>
      </c>
      <c r="H822" s="8" t="s">
        <v>779</v>
      </c>
      <c r="I822" s="7" t="s">
        <v>730</v>
      </c>
      <c r="J822" s="8" t="s">
        <v>791</v>
      </c>
      <c r="K822" s="14" t="b">
        <v>1</v>
      </c>
      <c r="L822" s="14" t="b">
        <v>0</v>
      </c>
      <c r="M822" s="14" t="b">
        <v>0</v>
      </c>
      <c r="N822" s="14" t="b">
        <v>1</v>
      </c>
      <c r="O822" s="14" t="b">
        <v>1</v>
      </c>
      <c r="W822" s="3"/>
    </row>
    <row r="823" spans="1:23" x14ac:dyDescent="0.25">
      <c r="A823" s="4">
        <v>15242761000127</v>
      </c>
      <c r="B823" s="8" t="s">
        <v>340</v>
      </c>
      <c r="C823" s="8" t="s">
        <v>278</v>
      </c>
      <c r="D823" s="7" t="s">
        <v>276</v>
      </c>
      <c r="E823" s="7" t="s">
        <v>795</v>
      </c>
      <c r="F823" s="6">
        <v>2</v>
      </c>
      <c r="G823" s="8" t="s">
        <v>778</v>
      </c>
      <c r="H823" s="8" t="s">
        <v>779</v>
      </c>
      <c r="I823" s="7" t="s">
        <v>730</v>
      </c>
      <c r="J823" s="8" t="s">
        <v>791</v>
      </c>
      <c r="K823" s="14" t="b">
        <v>1</v>
      </c>
      <c r="L823" s="14" t="b">
        <v>0</v>
      </c>
      <c r="M823" s="14" t="b">
        <v>0</v>
      </c>
      <c r="N823" s="14" t="b">
        <v>1</v>
      </c>
      <c r="O823" s="14" t="b">
        <v>1</v>
      </c>
      <c r="W823" s="3"/>
    </row>
    <row r="824" spans="1:23" x14ac:dyDescent="0.25">
      <c r="A824" s="4">
        <v>15592785000106</v>
      </c>
      <c r="B824" s="8" t="s">
        <v>566</v>
      </c>
      <c r="C824" s="8" t="s">
        <v>317</v>
      </c>
      <c r="D824" s="7" t="s">
        <v>318</v>
      </c>
      <c r="E824" s="7" t="s">
        <v>795</v>
      </c>
      <c r="F824" s="6">
        <v>2</v>
      </c>
      <c r="G824" s="8" t="s">
        <v>778</v>
      </c>
      <c r="H824" s="8" t="s">
        <v>779</v>
      </c>
      <c r="I824" s="7" t="s">
        <v>730</v>
      </c>
      <c r="J824" s="8" t="s">
        <v>791</v>
      </c>
      <c r="K824" s="14" t="b">
        <v>1</v>
      </c>
      <c r="L824" s="14" t="b">
        <v>0</v>
      </c>
      <c r="M824" s="14" t="b">
        <v>0</v>
      </c>
      <c r="N824" s="14" t="b">
        <v>1</v>
      </c>
      <c r="O824" s="14" t="b">
        <v>1</v>
      </c>
      <c r="W824" s="3"/>
    </row>
    <row r="825" spans="1:23" x14ac:dyDescent="0.25">
      <c r="A825" s="4">
        <v>16064313000577</v>
      </c>
      <c r="B825" s="8" t="s">
        <v>441</v>
      </c>
      <c r="C825" s="8" t="s">
        <v>317</v>
      </c>
      <c r="D825" s="7" t="s">
        <v>318</v>
      </c>
      <c r="E825" s="7" t="s">
        <v>795</v>
      </c>
      <c r="F825" s="6">
        <v>2</v>
      </c>
      <c r="G825" s="8" t="s">
        <v>778</v>
      </c>
      <c r="H825" s="8" t="s">
        <v>779</v>
      </c>
      <c r="I825" s="7" t="s">
        <v>730</v>
      </c>
      <c r="J825" s="8" t="s">
        <v>791</v>
      </c>
      <c r="K825" s="14" t="b">
        <v>1</v>
      </c>
      <c r="L825" s="14" t="b">
        <v>0</v>
      </c>
      <c r="M825" s="14" t="b">
        <v>0</v>
      </c>
      <c r="N825" s="14" t="b">
        <v>1</v>
      </c>
      <c r="O825" s="14" t="b">
        <v>1</v>
      </c>
      <c r="W825" s="3"/>
    </row>
    <row r="826" spans="1:23" x14ac:dyDescent="0.25">
      <c r="A826" s="4">
        <v>16475154000250</v>
      </c>
      <c r="B826" s="8" t="s">
        <v>442</v>
      </c>
      <c r="C826" s="8" t="s">
        <v>278</v>
      </c>
      <c r="D826" s="7" t="s">
        <v>276</v>
      </c>
      <c r="E826" s="7" t="s">
        <v>795</v>
      </c>
      <c r="F826" s="6">
        <v>2</v>
      </c>
      <c r="G826" s="8" t="s">
        <v>778</v>
      </c>
      <c r="H826" s="8" t="s">
        <v>779</v>
      </c>
      <c r="I826" s="7" t="s">
        <v>730</v>
      </c>
      <c r="J826" s="8" t="s">
        <v>791</v>
      </c>
      <c r="K826" s="14" t="b">
        <v>1</v>
      </c>
      <c r="L826" s="14" t="b">
        <v>0</v>
      </c>
      <c r="M826" s="14" t="b">
        <v>0</v>
      </c>
      <c r="N826" s="14" t="b">
        <v>1</v>
      </c>
      <c r="O826" s="14" t="b">
        <v>1</v>
      </c>
      <c r="W826" s="3"/>
    </row>
    <row r="827" spans="1:23" x14ac:dyDescent="0.25">
      <c r="A827" s="4">
        <v>24464109000229</v>
      </c>
      <c r="B827" s="8" t="s">
        <v>360</v>
      </c>
      <c r="C827" s="8" t="s">
        <v>361</v>
      </c>
      <c r="D827" s="7" t="s">
        <v>362</v>
      </c>
      <c r="E827" s="7" t="s">
        <v>795</v>
      </c>
      <c r="F827" s="6">
        <v>2</v>
      </c>
      <c r="G827" s="8" t="s">
        <v>778</v>
      </c>
      <c r="H827" s="8" t="s">
        <v>779</v>
      </c>
      <c r="I827" s="7" t="s">
        <v>730</v>
      </c>
      <c r="J827" s="8" t="s">
        <v>791</v>
      </c>
      <c r="K827" s="14" t="b">
        <v>1</v>
      </c>
      <c r="L827" s="14" t="b">
        <v>0</v>
      </c>
      <c r="M827" s="14" t="b">
        <v>0</v>
      </c>
      <c r="N827" s="14" t="b">
        <v>1</v>
      </c>
      <c r="O827" s="14" t="b">
        <v>1</v>
      </c>
      <c r="W827" s="3"/>
    </row>
    <row r="828" spans="1:23" x14ac:dyDescent="0.25">
      <c r="A828" s="4">
        <v>27372066000169</v>
      </c>
      <c r="B828" s="8" t="s">
        <v>364</v>
      </c>
      <c r="C828" s="8" t="s">
        <v>278</v>
      </c>
      <c r="D828" s="7" t="s">
        <v>276</v>
      </c>
      <c r="E828" s="7" t="s">
        <v>795</v>
      </c>
      <c r="F828" s="6">
        <v>2</v>
      </c>
      <c r="G828" s="8" t="s">
        <v>778</v>
      </c>
      <c r="H828" s="8" t="s">
        <v>779</v>
      </c>
      <c r="I828" s="7" t="s">
        <v>730</v>
      </c>
      <c r="J828" s="8" t="s">
        <v>791</v>
      </c>
      <c r="K828" s="14" t="b">
        <v>1</v>
      </c>
      <c r="L828" s="14" t="b">
        <v>0</v>
      </c>
      <c r="M828" s="14" t="b">
        <v>0</v>
      </c>
      <c r="N828" s="14" t="b">
        <v>1</v>
      </c>
      <c r="O828" s="14" t="b">
        <v>1</v>
      </c>
      <c r="W828" s="3"/>
    </row>
    <row r="829" spans="1:23" x14ac:dyDescent="0.25">
      <c r="A829" s="4">
        <v>29435005007484</v>
      </c>
      <c r="B829" s="8" t="s">
        <v>371</v>
      </c>
      <c r="C829" s="8" t="s">
        <v>281</v>
      </c>
      <c r="D829" s="7" t="s">
        <v>282</v>
      </c>
      <c r="E829" s="7" t="s">
        <v>795</v>
      </c>
      <c r="F829" s="6">
        <v>2</v>
      </c>
      <c r="G829" s="8" t="s">
        <v>778</v>
      </c>
      <c r="H829" s="8" t="s">
        <v>779</v>
      </c>
      <c r="I829" s="7" t="s">
        <v>730</v>
      </c>
      <c r="J829" s="8" t="s">
        <v>791</v>
      </c>
      <c r="K829" s="14" t="b">
        <v>1</v>
      </c>
      <c r="L829" s="14" t="b">
        <v>0</v>
      </c>
      <c r="M829" s="14" t="b">
        <v>0</v>
      </c>
      <c r="N829" s="14" t="b">
        <v>1</v>
      </c>
      <c r="O829" s="14" t="b">
        <v>1</v>
      </c>
      <c r="W829" s="3"/>
    </row>
    <row r="830" spans="1:23" x14ac:dyDescent="0.25">
      <c r="A830" s="4">
        <v>29435005009851</v>
      </c>
      <c r="B830" s="8" t="s">
        <v>372</v>
      </c>
      <c r="C830" s="8" t="s">
        <v>246</v>
      </c>
      <c r="D830" s="7" t="s">
        <v>247</v>
      </c>
      <c r="E830" s="7" t="s">
        <v>795</v>
      </c>
      <c r="F830" s="6">
        <v>2</v>
      </c>
      <c r="G830" s="8" t="s">
        <v>778</v>
      </c>
      <c r="H830" s="8" t="s">
        <v>779</v>
      </c>
      <c r="I830" s="7" t="s">
        <v>730</v>
      </c>
      <c r="J830" s="8" t="s">
        <v>791</v>
      </c>
      <c r="K830" s="14" t="b">
        <v>1</v>
      </c>
      <c r="L830" s="14" t="b">
        <v>0</v>
      </c>
      <c r="M830" s="14" t="b">
        <v>0</v>
      </c>
      <c r="N830" s="14" t="b">
        <v>1</v>
      </c>
      <c r="O830" s="14" t="b">
        <v>1</v>
      </c>
      <c r="W830" s="3"/>
    </row>
    <row r="831" spans="1:23" x14ac:dyDescent="0.25">
      <c r="A831" s="4">
        <v>41580077000165</v>
      </c>
      <c r="B831" s="8" t="s">
        <v>505</v>
      </c>
      <c r="C831" s="8" t="s">
        <v>281</v>
      </c>
      <c r="D831" s="7" t="s">
        <v>282</v>
      </c>
      <c r="E831" s="7" t="s">
        <v>795</v>
      </c>
      <c r="F831" s="6">
        <v>2</v>
      </c>
      <c r="G831" s="8" t="s">
        <v>778</v>
      </c>
      <c r="H831" s="8" t="s">
        <v>779</v>
      </c>
      <c r="I831" s="7" t="s">
        <v>730</v>
      </c>
      <c r="J831" s="8" t="s">
        <v>791</v>
      </c>
      <c r="K831" s="14" t="b">
        <v>1</v>
      </c>
      <c r="L831" s="14" t="b">
        <v>0</v>
      </c>
      <c r="M831" s="14" t="b">
        <v>0</v>
      </c>
      <c r="N831" s="14" t="b">
        <v>1</v>
      </c>
      <c r="O831" s="14" t="b">
        <v>1</v>
      </c>
      <c r="W831" s="3"/>
    </row>
    <row r="832" spans="1:23" x14ac:dyDescent="0.25">
      <c r="A832" s="4">
        <v>60975737003509</v>
      </c>
      <c r="B832" s="8" t="s">
        <v>381</v>
      </c>
      <c r="C832" s="8" t="s">
        <v>281</v>
      </c>
      <c r="D832" s="7" t="s">
        <v>282</v>
      </c>
      <c r="E832" s="7" t="s">
        <v>795</v>
      </c>
      <c r="F832" s="6">
        <v>2</v>
      </c>
      <c r="G832" s="8" t="s">
        <v>778</v>
      </c>
      <c r="H832" s="8" t="s">
        <v>779</v>
      </c>
      <c r="I832" s="7" t="s">
        <v>730</v>
      </c>
      <c r="J832" s="8" t="s">
        <v>791</v>
      </c>
      <c r="K832" s="14" t="b">
        <v>1</v>
      </c>
      <c r="L832" s="14" t="b">
        <v>0</v>
      </c>
      <c r="M832" s="14" t="b">
        <v>0</v>
      </c>
      <c r="N832" s="14" t="b">
        <v>1</v>
      </c>
      <c r="O832" s="14" t="b">
        <v>1</v>
      </c>
      <c r="W832" s="3"/>
    </row>
    <row r="833" spans="1:23" x14ac:dyDescent="0.25">
      <c r="A833" s="4">
        <v>63326243000487</v>
      </c>
      <c r="B833" s="8" t="s">
        <v>581</v>
      </c>
      <c r="C833" s="8" t="s">
        <v>295</v>
      </c>
      <c r="D833" s="7" t="s">
        <v>296</v>
      </c>
      <c r="E833" s="7" t="s">
        <v>795</v>
      </c>
      <c r="F833" s="6">
        <v>2</v>
      </c>
      <c r="G833" s="8" t="s">
        <v>778</v>
      </c>
      <c r="H833" s="8" t="s">
        <v>779</v>
      </c>
      <c r="I833" s="7" t="s">
        <v>730</v>
      </c>
      <c r="J833" s="8" t="s">
        <v>791</v>
      </c>
      <c r="K833" s="14" t="b">
        <v>1</v>
      </c>
      <c r="L833" s="14" t="b">
        <v>0</v>
      </c>
      <c r="M833" s="14" t="b">
        <v>0</v>
      </c>
      <c r="N833" s="14" t="b">
        <v>1</v>
      </c>
      <c r="O833" s="14" t="b">
        <v>1</v>
      </c>
      <c r="W833" s="3"/>
    </row>
    <row r="834" spans="1:23" x14ac:dyDescent="0.25">
      <c r="A834" s="4">
        <v>74031865000151</v>
      </c>
      <c r="B834" s="8" t="s">
        <v>383</v>
      </c>
      <c r="C834" s="8" t="s">
        <v>281</v>
      </c>
      <c r="D834" s="7" t="s">
        <v>282</v>
      </c>
      <c r="E834" s="7" t="s">
        <v>795</v>
      </c>
      <c r="F834" s="6">
        <v>2</v>
      </c>
      <c r="G834" s="8" t="s">
        <v>778</v>
      </c>
      <c r="H834" s="8" t="s">
        <v>779</v>
      </c>
      <c r="I834" s="7" t="s">
        <v>730</v>
      </c>
      <c r="J834" s="8" t="s">
        <v>791</v>
      </c>
      <c r="K834" s="14" t="b">
        <v>1</v>
      </c>
      <c r="L834" s="14" t="b">
        <v>0</v>
      </c>
      <c r="M834" s="14" t="b">
        <v>0</v>
      </c>
      <c r="N834" s="14" t="b">
        <v>1</v>
      </c>
      <c r="O834" s="14" t="b">
        <v>1</v>
      </c>
      <c r="W834" s="3"/>
    </row>
    <row r="835" spans="1:23" x14ac:dyDescent="0.25">
      <c r="A835" s="4">
        <v>97397848000138</v>
      </c>
      <c r="B835" s="8" t="s">
        <v>509</v>
      </c>
      <c r="C835" s="8" t="s">
        <v>278</v>
      </c>
      <c r="D835" s="7" t="s">
        <v>276</v>
      </c>
      <c r="E835" s="7" t="s">
        <v>795</v>
      </c>
      <c r="F835" s="6">
        <v>2</v>
      </c>
      <c r="G835" s="8" t="s">
        <v>778</v>
      </c>
      <c r="H835" s="8" t="s">
        <v>779</v>
      </c>
      <c r="I835" s="7" t="s">
        <v>730</v>
      </c>
      <c r="J835" s="8" t="s">
        <v>791</v>
      </c>
      <c r="K835" s="14" t="b">
        <v>1</v>
      </c>
      <c r="L835" s="14" t="b">
        <v>0</v>
      </c>
      <c r="M835" s="14" t="b">
        <v>0</v>
      </c>
      <c r="N835" s="14" t="b">
        <v>1</v>
      </c>
      <c r="O835" s="14" t="b">
        <v>1</v>
      </c>
      <c r="W835" s="3"/>
    </row>
    <row r="836" spans="1:23" x14ac:dyDescent="0.25">
      <c r="A836" s="4">
        <v>320465020</v>
      </c>
      <c r="B836" s="8" t="s">
        <v>704</v>
      </c>
      <c r="C836" s="8" t="s">
        <v>652</v>
      </c>
      <c r="D836" s="7" t="s">
        <v>241</v>
      </c>
      <c r="E836" s="7" t="s">
        <v>795</v>
      </c>
      <c r="F836" s="6">
        <v>2</v>
      </c>
      <c r="G836" s="8" t="s">
        <v>733</v>
      </c>
      <c r="H836" s="8" t="s">
        <v>734</v>
      </c>
      <c r="I836" s="7" t="s">
        <v>730</v>
      </c>
      <c r="J836" s="8" t="s">
        <v>785</v>
      </c>
      <c r="K836" s="14" t="b">
        <v>1</v>
      </c>
      <c r="L836" s="14" t="b">
        <v>0</v>
      </c>
      <c r="M836" s="14" t="b">
        <v>0</v>
      </c>
      <c r="N836" s="14" t="b">
        <v>1</v>
      </c>
      <c r="O836" s="14" t="b">
        <v>1</v>
      </c>
      <c r="W836" s="3"/>
    </row>
    <row r="837" spans="1:23" x14ac:dyDescent="0.25">
      <c r="A837" s="4">
        <v>320465020</v>
      </c>
      <c r="B837" s="8" t="s">
        <v>704</v>
      </c>
      <c r="C837" s="8" t="s">
        <v>652</v>
      </c>
      <c r="D837" s="7" t="s">
        <v>241</v>
      </c>
      <c r="E837" s="7" t="s">
        <v>795</v>
      </c>
      <c r="F837" s="6">
        <v>2</v>
      </c>
      <c r="G837" s="8" t="s">
        <v>760</v>
      </c>
      <c r="H837" s="8" t="s">
        <v>761</v>
      </c>
      <c r="I837" s="7" t="s">
        <v>723</v>
      </c>
      <c r="J837" s="8" t="s">
        <v>785</v>
      </c>
      <c r="K837" s="14" t="b">
        <v>0</v>
      </c>
      <c r="L837" s="14" t="b">
        <v>1</v>
      </c>
      <c r="M837" s="14" t="b">
        <v>1</v>
      </c>
      <c r="N837" s="14" t="b">
        <v>0</v>
      </c>
      <c r="O837" s="14" t="b">
        <v>1</v>
      </c>
      <c r="W837" s="3"/>
    </row>
    <row r="838" spans="1:23" x14ac:dyDescent="0.25">
      <c r="A838" s="4">
        <v>5371944796</v>
      </c>
      <c r="B838" s="8" t="s">
        <v>705</v>
      </c>
      <c r="C838" s="8" t="s">
        <v>652</v>
      </c>
      <c r="D838" s="7" t="s">
        <v>241</v>
      </c>
      <c r="E838" s="7" t="s">
        <v>795</v>
      </c>
      <c r="F838" s="6">
        <v>2</v>
      </c>
      <c r="G838" s="8" t="s">
        <v>733</v>
      </c>
      <c r="H838" s="8" t="s">
        <v>734</v>
      </c>
      <c r="I838" s="7" t="s">
        <v>730</v>
      </c>
      <c r="J838" s="8" t="s">
        <v>785</v>
      </c>
      <c r="K838" s="14" t="b">
        <v>1</v>
      </c>
      <c r="L838" s="14" t="b">
        <v>0</v>
      </c>
      <c r="M838" s="14" t="b">
        <v>0</v>
      </c>
      <c r="N838" s="14" t="b">
        <v>1</v>
      </c>
      <c r="O838" s="14" t="b">
        <v>1</v>
      </c>
      <c r="W838" s="3"/>
    </row>
    <row r="839" spans="1:23" x14ac:dyDescent="0.25">
      <c r="A839" s="4">
        <v>5371944796</v>
      </c>
      <c r="B839" s="8" t="s">
        <v>705</v>
      </c>
      <c r="C839" s="8" t="s">
        <v>652</v>
      </c>
      <c r="D839" s="7" t="s">
        <v>241</v>
      </c>
      <c r="E839" s="7" t="s">
        <v>795</v>
      </c>
      <c r="F839" s="6">
        <v>2</v>
      </c>
      <c r="G839" s="8" t="s">
        <v>752</v>
      </c>
      <c r="H839" s="8" t="s">
        <v>753</v>
      </c>
      <c r="I839" s="7" t="s">
        <v>723</v>
      </c>
      <c r="J839" s="8" t="s">
        <v>785</v>
      </c>
      <c r="K839" s="14" t="b">
        <v>0</v>
      </c>
      <c r="L839" s="14" t="b">
        <v>1</v>
      </c>
      <c r="M839" s="14" t="b">
        <v>1</v>
      </c>
      <c r="N839" s="14" t="b">
        <v>0</v>
      </c>
      <c r="O839" s="14" t="b">
        <v>1</v>
      </c>
      <c r="W839" s="3"/>
    </row>
    <row r="840" spans="1:23" x14ac:dyDescent="0.25">
      <c r="A840" s="4">
        <v>11114987760</v>
      </c>
      <c r="B840" s="8" t="s">
        <v>651</v>
      </c>
      <c r="C840" s="8" t="s">
        <v>652</v>
      </c>
      <c r="D840" s="7" t="s">
        <v>241</v>
      </c>
      <c r="E840" s="7" t="s">
        <v>795</v>
      </c>
      <c r="F840" s="6">
        <v>2</v>
      </c>
      <c r="G840" s="8" t="s">
        <v>733</v>
      </c>
      <c r="H840" s="8" t="s">
        <v>734</v>
      </c>
      <c r="I840" s="7" t="s">
        <v>730</v>
      </c>
      <c r="J840" s="8" t="s">
        <v>785</v>
      </c>
      <c r="K840" s="14" t="b">
        <v>1</v>
      </c>
      <c r="L840" s="14" t="b">
        <v>0</v>
      </c>
      <c r="M840" s="14" t="b">
        <v>0</v>
      </c>
      <c r="N840" s="14" t="b">
        <v>1</v>
      </c>
      <c r="O840" s="14" t="b">
        <v>1</v>
      </c>
      <c r="W840" s="3"/>
    </row>
    <row r="841" spans="1:23" x14ac:dyDescent="0.25">
      <c r="A841" s="4">
        <v>11114987760</v>
      </c>
      <c r="B841" s="8" t="s">
        <v>651</v>
      </c>
      <c r="C841" s="8" t="s">
        <v>652</v>
      </c>
      <c r="D841" s="7" t="s">
        <v>241</v>
      </c>
      <c r="E841" s="7" t="s">
        <v>795</v>
      </c>
      <c r="F841" s="6">
        <v>2</v>
      </c>
      <c r="G841" s="8" t="s">
        <v>752</v>
      </c>
      <c r="H841" s="8" t="s">
        <v>753</v>
      </c>
      <c r="I841" s="7" t="s">
        <v>723</v>
      </c>
      <c r="J841" s="8" t="s">
        <v>785</v>
      </c>
      <c r="K841" s="14" t="b">
        <v>0</v>
      </c>
      <c r="L841" s="14" t="b">
        <v>1</v>
      </c>
      <c r="M841" s="14" t="b">
        <v>1</v>
      </c>
      <c r="N841" s="14" t="b">
        <v>0</v>
      </c>
      <c r="O841" s="14" t="b">
        <v>1</v>
      </c>
      <c r="W841" s="3"/>
    </row>
    <row r="842" spans="1:23" x14ac:dyDescent="0.25">
      <c r="A842" s="4">
        <v>394502014870</v>
      </c>
      <c r="B842" s="8" t="s">
        <v>697</v>
      </c>
      <c r="C842" s="8" t="s">
        <v>652</v>
      </c>
      <c r="D842" s="7" t="s">
        <v>241</v>
      </c>
      <c r="E842" s="7" t="s">
        <v>795</v>
      </c>
      <c r="F842" s="6">
        <v>2</v>
      </c>
      <c r="G842" s="8" t="s">
        <v>733</v>
      </c>
      <c r="H842" s="8" t="s">
        <v>734</v>
      </c>
      <c r="I842" s="7" t="s">
        <v>730</v>
      </c>
      <c r="J842" s="8" t="s">
        <v>785</v>
      </c>
      <c r="K842" s="14" t="b">
        <v>1</v>
      </c>
      <c r="L842" s="14" t="b">
        <v>0</v>
      </c>
      <c r="M842" s="14" t="b">
        <v>0</v>
      </c>
      <c r="N842" s="14" t="b">
        <v>1</v>
      </c>
      <c r="O842" s="14" t="b">
        <v>1</v>
      </c>
      <c r="W842" s="3"/>
    </row>
    <row r="843" spans="1:23" x14ac:dyDescent="0.25">
      <c r="A843" s="4">
        <v>394502014870</v>
      </c>
      <c r="B843" s="8" t="s">
        <v>697</v>
      </c>
      <c r="C843" s="8" t="s">
        <v>652</v>
      </c>
      <c r="D843" s="7" t="s">
        <v>241</v>
      </c>
      <c r="E843" s="7" t="s">
        <v>795</v>
      </c>
      <c r="F843" s="6">
        <v>2</v>
      </c>
      <c r="G843" s="8" t="s">
        <v>752</v>
      </c>
      <c r="H843" s="8" t="s">
        <v>753</v>
      </c>
      <c r="I843" s="7" t="s">
        <v>723</v>
      </c>
      <c r="J843" s="8" t="s">
        <v>785</v>
      </c>
      <c r="K843" s="14" t="b">
        <v>0</v>
      </c>
      <c r="L843" s="14" t="b">
        <v>1</v>
      </c>
      <c r="M843" s="14" t="b">
        <v>1</v>
      </c>
      <c r="N843" s="14" t="b">
        <v>0</v>
      </c>
      <c r="O843" s="14" t="b">
        <v>1</v>
      </c>
      <c r="W843" s="3"/>
    </row>
    <row r="844" spans="1:23" x14ac:dyDescent="0.25">
      <c r="A844" s="4">
        <v>394544017150</v>
      </c>
      <c r="B844" s="8" t="s">
        <v>698</v>
      </c>
      <c r="C844" s="8" t="s">
        <v>652</v>
      </c>
      <c r="D844" s="7" t="s">
        <v>241</v>
      </c>
      <c r="E844" s="7" t="s">
        <v>795</v>
      </c>
      <c r="F844" s="6">
        <v>2</v>
      </c>
      <c r="G844" s="8" t="s">
        <v>733</v>
      </c>
      <c r="H844" s="8" t="s">
        <v>734</v>
      </c>
      <c r="I844" s="7" t="s">
        <v>730</v>
      </c>
      <c r="J844" s="8" t="s">
        <v>785</v>
      </c>
      <c r="K844" s="14" t="b">
        <v>1</v>
      </c>
      <c r="L844" s="14" t="b">
        <v>0</v>
      </c>
      <c r="M844" s="14" t="b">
        <v>0</v>
      </c>
      <c r="N844" s="14" t="b">
        <v>1</v>
      </c>
      <c r="O844" s="14" t="b">
        <v>1</v>
      </c>
      <c r="W844" s="3"/>
    </row>
    <row r="845" spans="1:23" x14ac:dyDescent="0.25">
      <c r="A845" s="4">
        <v>394544017150</v>
      </c>
      <c r="B845" s="8" t="s">
        <v>698</v>
      </c>
      <c r="C845" s="8" t="s">
        <v>652</v>
      </c>
      <c r="D845" s="7" t="s">
        <v>241</v>
      </c>
      <c r="E845" s="7" t="s">
        <v>795</v>
      </c>
      <c r="F845" s="6">
        <v>2</v>
      </c>
      <c r="G845" s="8" t="s">
        <v>752</v>
      </c>
      <c r="H845" s="8" t="s">
        <v>753</v>
      </c>
      <c r="I845" s="7" t="s">
        <v>723</v>
      </c>
      <c r="J845" s="8" t="s">
        <v>785</v>
      </c>
      <c r="K845" s="14" t="b">
        <v>0</v>
      </c>
      <c r="L845" s="14" t="b">
        <v>1</v>
      </c>
      <c r="M845" s="14" t="b">
        <v>1</v>
      </c>
      <c r="N845" s="14" t="b">
        <v>0</v>
      </c>
      <c r="O845" s="14" t="b">
        <v>1</v>
      </c>
      <c r="W845" s="3"/>
    </row>
    <row r="846" spans="1:23" x14ac:dyDescent="0.25">
      <c r="A846" s="4">
        <v>394544020291</v>
      </c>
      <c r="B846" s="8" t="s">
        <v>653</v>
      </c>
      <c r="C846" s="8" t="s">
        <v>652</v>
      </c>
      <c r="D846" s="7" t="s">
        <v>241</v>
      </c>
      <c r="E846" s="7" t="s">
        <v>795</v>
      </c>
      <c r="F846" s="6">
        <v>2</v>
      </c>
      <c r="G846" s="8" t="s">
        <v>733</v>
      </c>
      <c r="H846" s="8" t="s">
        <v>734</v>
      </c>
      <c r="I846" s="7" t="s">
        <v>730</v>
      </c>
      <c r="J846" s="8" t="s">
        <v>785</v>
      </c>
      <c r="K846" s="14" t="b">
        <v>1</v>
      </c>
      <c r="L846" s="14" t="b">
        <v>0</v>
      </c>
      <c r="M846" s="14" t="b">
        <v>0</v>
      </c>
      <c r="N846" s="14" t="b">
        <v>1</v>
      </c>
      <c r="O846" s="14" t="b">
        <v>1</v>
      </c>
      <c r="W846" s="3"/>
    </row>
    <row r="847" spans="1:23" x14ac:dyDescent="0.25">
      <c r="A847" s="4">
        <v>394544020291</v>
      </c>
      <c r="B847" s="8" t="s">
        <v>653</v>
      </c>
      <c r="C847" s="8" t="s">
        <v>652</v>
      </c>
      <c r="D847" s="7" t="s">
        <v>241</v>
      </c>
      <c r="E847" s="7" t="s">
        <v>795</v>
      </c>
      <c r="F847" s="6">
        <v>2</v>
      </c>
      <c r="G847" s="8" t="s">
        <v>752</v>
      </c>
      <c r="H847" s="8" t="s">
        <v>753</v>
      </c>
      <c r="I847" s="7" t="s">
        <v>723</v>
      </c>
      <c r="J847" s="8" t="s">
        <v>785</v>
      </c>
      <c r="K847" s="14" t="b">
        <v>0</v>
      </c>
      <c r="L847" s="14" t="b">
        <v>1</v>
      </c>
      <c r="M847" s="14" t="b">
        <v>1</v>
      </c>
      <c r="N847" s="14" t="b">
        <v>0</v>
      </c>
      <c r="O847" s="14" t="b">
        <v>1</v>
      </c>
      <c r="W847" s="3"/>
    </row>
    <row r="848" spans="1:23" x14ac:dyDescent="0.25">
      <c r="A848" s="4">
        <v>394544020372</v>
      </c>
      <c r="B848" s="8" t="s">
        <v>654</v>
      </c>
      <c r="C848" s="8" t="s">
        <v>652</v>
      </c>
      <c r="D848" s="7" t="s">
        <v>241</v>
      </c>
      <c r="E848" s="7" t="s">
        <v>795</v>
      </c>
      <c r="F848" s="6">
        <v>2</v>
      </c>
      <c r="G848" s="8" t="s">
        <v>733</v>
      </c>
      <c r="H848" s="8" t="s">
        <v>734</v>
      </c>
      <c r="I848" s="7" t="s">
        <v>730</v>
      </c>
      <c r="J848" s="8" t="s">
        <v>785</v>
      </c>
      <c r="K848" s="14" t="b">
        <v>1</v>
      </c>
      <c r="L848" s="14" t="b">
        <v>0</v>
      </c>
      <c r="M848" s="14" t="b">
        <v>0</v>
      </c>
      <c r="N848" s="14" t="b">
        <v>1</v>
      </c>
      <c r="O848" s="14" t="b">
        <v>1</v>
      </c>
      <c r="W848" s="3"/>
    </row>
    <row r="849" spans="1:23" x14ac:dyDescent="0.25">
      <c r="A849" s="4">
        <v>394544020372</v>
      </c>
      <c r="B849" s="8" t="s">
        <v>654</v>
      </c>
      <c r="C849" s="8" t="s">
        <v>652</v>
      </c>
      <c r="D849" s="7" t="s">
        <v>241</v>
      </c>
      <c r="E849" s="7" t="s">
        <v>795</v>
      </c>
      <c r="F849" s="6">
        <v>2</v>
      </c>
      <c r="G849" s="8" t="s">
        <v>760</v>
      </c>
      <c r="H849" s="8" t="s">
        <v>761</v>
      </c>
      <c r="I849" s="7" t="s">
        <v>723</v>
      </c>
      <c r="J849" s="8" t="s">
        <v>785</v>
      </c>
      <c r="K849" s="14" t="b">
        <v>0</v>
      </c>
      <c r="L849" s="14" t="b">
        <v>1</v>
      </c>
      <c r="M849" s="14" t="b">
        <v>1</v>
      </c>
      <c r="N849" s="14" t="b">
        <v>0</v>
      </c>
      <c r="O849" s="14" t="b">
        <v>1</v>
      </c>
      <c r="W849" s="3"/>
    </row>
    <row r="850" spans="1:23" x14ac:dyDescent="0.25">
      <c r="A850" s="4">
        <v>394544020453</v>
      </c>
      <c r="B850" s="8" t="s">
        <v>655</v>
      </c>
      <c r="C850" s="8" t="s">
        <v>652</v>
      </c>
      <c r="D850" s="7" t="s">
        <v>241</v>
      </c>
      <c r="E850" s="7" t="s">
        <v>795</v>
      </c>
      <c r="F850" s="6">
        <v>2</v>
      </c>
      <c r="G850" s="8" t="s">
        <v>733</v>
      </c>
      <c r="H850" s="8" t="s">
        <v>734</v>
      </c>
      <c r="I850" s="7" t="s">
        <v>730</v>
      </c>
      <c r="J850" s="8" t="s">
        <v>785</v>
      </c>
      <c r="K850" s="14" t="b">
        <v>1</v>
      </c>
      <c r="L850" s="14" t="b">
        <v>0</v>
      </c>
      <c r="M850" s="14" t="b">
        <v>0</v>
      </c>
      <c r="N850" s="14" t="b">
        <v>1</v>
      </c>
      <c r="O850" s="14" t="b">
        <v>1</v>
      </c>
      <c r="W850" s="3"/>
    </row>
    <row r="851" spans="1:23" x14ac:dyDescent="0.25">
      <c r="A851" s="4">
        <v>394544020453</v>
      </c>
      <c r="B851" s="8" t="s">
        <v>655</v>
      </c>
      <c r="C851" s="8" t="s">
        <v>652</v>
      </c>
      <c r="D851" s="7" t="s">
        <v>241</v>
      </c>
      <c r="E851" s="7" t="s">
        <v>795</v>
      </c>
      <c r="F851" s="6">
        <v>2</v>
      </c>
      <c r="G851" s="8" t="s">
        <v>760</v>
      </c>
      <c r="H851" s="8" t="s">
        <v>761</v>
      </c>
      <c r="I851" s="7" t="s">
        <v>723</v>
      </c>
      <c r="J851" s="8" t="s">
        <v>785</v>
      </c>
      <c r="K851" s="14" t="b">
        <v>0</v>
      </c>
      <c r="L851" s="14" t="b">
        <v>1</v>
      </c>
      <c r="M851" s="14" t="b">
        <v>1</v>
      </c>
      <c r="N851" s="14" t="b">
        <v>0</v>
      </c>
      <c r="O851" s="14" t="b">
        <v>1</v>
      </c>
      <c r="W851" s="3"/>
    </row>
    <row r="852" spans="1:23" x14ac:dyDescent="0.25">
      <c r="A852" s="4">
        <v>394544021000</v>
      </c>
      <c r="B852" s="8" t="s">
        <v>656</v>
      </c>
      <c r="C852" s="8" t="s">
        <v>652</v>
      </c>
      <c r="D852" s="7" t="s">
        <v>241</v>
      </c>
      <c r="E852" s="7" t="s">
        <v>795</v>
      </c>
      <c r="F852" s="6">
        <v>2</v>
      </c>
      <c r="G852" s="8" t="s">
        <v>733</v>
      </c>
      <c r="H852" s="8" t="s">
        <v>734</v>
      </c>
      <c r="I852" s="7" t="s">
        <v>730</v>
      </c>
      <c r="J852" s="8" t="s">
        <v>785</v>
      </c>
      <c r="K852" s="14" t="b">
        <v>1</v>
      </c>
      <c r="L852" s="14" t="b">
        <v>0</v>
      </c>
      <c r="M852" s="14" t="b">
        <v>0</v>
      </c>
      <c r="N852" s="14" t="b">
        <v>1</v>
      </c>
      <c r="O852" s="14" t="b">
        <v>1</v>
      </c>
      <c r="W852" s="3"/>
    </row>
    <row r="853" spans="1:23" x14ac:dyDescent="0.25">
      <c r="A853" s="4">
        <v>394544021000</v>
      </c>
      <c r="B853" s="8" t="s">
        <v>656</v>
      </c>
      <c r="C853" s="8" t="s">
        <v>652</v>
      </c>
      <c r="D853" s="7" t="s">
        <v>241</v>
      </c>
      <c r="E853" s="7" t="s">
        <v>795</v>
      </c>
      <c r="F853" s="6">
        <v>2</v>
      </c>
      <c r="G853" s="8" t="s">
        <v>760</v>
      </c>
      <c r="H853" s="8" t="s">
        <v>761</v>
      </c>
      <c r="I853" s="7" t="s">
        <v>723</v>
      </c>
      <c r="J853" s="8" t="s">
        <v>785</v>
      </c>
      <c r="K853" s="14" t="b">
        <v>0</v>
      </c>
      <c r="L853" s="14" t="b">
        <v>1</v>
      </c>
      <c r="M853" s="14" t="b">
        <v>1</v>
      </c>
      <c r="N853" s="14" t="b">
        <v>0</v>
      </c>
      <c r="O853" s="14" t="b">
        <v>1</v>
      </c>
      <c r="W853" s="3"/>
    </row>
    <row r="854" spans="1:23" x14ac:dyDescent="0.25">
      <c r="A854" s="4">
        <v>394544021344</v>
      </c>
      <c r="B854" s="8" t="s">
        <v>657</v>
      </c>
      <c r="C854" s="8" t="s">
        <v>652</v>
      </c>
      <c r="D854" s="7" t="s">
        <v>241</v>
      </c>
      <c r="E854" s="7" t="s">
        <v>795</v>
      </c>
      <c r="F854" s="6">
        <v>2</v>
      </c>
      <c r="G854" s="8" t="s">
        <v>733</v>
      </c>
      <c r="H854" s="8" t="s">
        <v>734</v>
      </c>
      <c r="I854" s="7" t="s">
        <v>730</v>
      </c>
      <c r="J854" s="8" t="s">
        <v>785</v>
      </c>
      <c r="K854" s="14" t="b">
        <v>1</v>
      </c>
      <c r="L854" s="14" t="b">
        <v>0</v>
      </c>
      <c r="M854" s="14" t="b">
        <v>0</v>
      </c>
      <c r="N854" s="14" t="b">
        <v>1</v>
      </c>
      <c r="O854" s="14" t="b">
        <v>1</v>
      </c>
      <c r="W854" s="3"/>
    </row>
    <row r="855" spans="1:23" x14ac:dyDescent="0.25">
      <c r="A855" s="4">
        <v>394544021344</v>
      </c>
      <c r="B855" s="8" t="s">
        <v>657</v>
      </c>
      <c r="C855" s="8" t="s">
        <v>652</v>
      </c>
      <c r="D855" s="7" t="s">
        <v>241</v>
      </c>
      <c r="E855" s="7" t="s">
        <v>795</v>
      </c>
      <c r="F855" s="6">
        <v>2</v>
      </c>
      <c r="G855" s="8" t="s">
        <v>760</v>
      </c>
      <c r="H855" s="8" t="s">
        <v>761</v>
      </c>
      <c r="I855" s="7" t="s">
        <v>723</v>
      </c>
      <c r="J855" s="8" t="s">
        <v>785</v>
      </c>
      <c r="K855" s="14" t="b">
        <v>0</v>
      </c>
      <c r="L855" s="14" t="b">
        <v>1</v>
      </c>
      <c r="M855" s="14" t="b">
        <v>1</v>
      </c>
      <c r="N855" s="14" t="b">
        <v>0</v>
      </c>
      <c r="O855" s="14" t="b">
        <v>1</v>
      </c>
      <c r="W855" s="3"/>
    </row>
    <row r="856" spans="1:23" x14ac:dyDescent="0.25">
      <c r="A856" s="4">
        <v>2284062000521</v>
      </c>
      <c r="B856" s="8" t="s">
        <v>658</v>
      </c>
      <c r="C856" s="8" t="s">
        <v>652</v>
      </c>
      <c r="D856" s="7" t="s">
        <v>241</v>
      </c>
      <c r="E856" s="7" t="s">
        <v>795</v>
      </c>
      <c r="F856" s="6">
        <v>2</v>
      </c>
      <c r="G856" s="8" t="s">
        <v>733</v>
      </c>
      <c r="H856" s="8" t="s">
        <v>734</v>
      </c>
      <c r="I856" s="7" t="s">
        <v>730</v>
      </c>
      <c r="J856" s="8" t="s">
        <v>785</v>
      </c>
      <c r="K856" s="14" t="b">
        <v>1</v>
      </c>
      <c r="L856" s="14" t="b">
        <v>0</v>
      </c>
      <c r="M856" s="14" t="b">
        <v>0</v>
      </c>
      <c r="N856" s="14" t="b">
        <v>1</v>
      </c>
      <c r="O856" s="14" t="b">
        <v>1</v>
      </c>
      <c r="W856" s="3"/>
    </row>
    <row r="857" spans="1:23" x14ac:dyDescent="0.25">
      <c r="A857" s="4">
        <v>2284062000521</v>
      </c>
      <c r="B857" s="8" t="s">
        <v>658</v>
      </c>
      <c r="C857" s="8" t="s">
        <v>652</v>
      </c>
      <c r="D857" s="7" t="s">
        <v>241</v>
      </c>
      <c r="E857" s="7" t="s">
        <v>795</v>
      </c>
      <c r="F857" s="6">
        <v>2</v>
      </c>
      <c r="G857" s="8" t="s">
        <v>752</v>
      </c>
      <c r="H857" s="8" t="s">
        <v>753</v>
      </c>
      <c r="I857" s="7" t="s">
        <v>723</v>
      </c>
      <c r="J857" s="8" t="s">
        <v>785</v>
      </c>
      <c r="K857" s="14" t="b">
        <v>0</v>
      </c>
      <c r="L857" s="14" t="b">
        <v>1</v>
      </c>
      <c r="M857" s="14" t="b">
        <v>1</v>
      </c>
      <c r="N857" s="14" t="b">
        <v>0</v>
      </c>
      <c r="O857" s="14" t="b">
        <v>1</v>
      </c>
      <c r="W857" s="3"/>
    </row>
    <row r="858" spans="1:23" x14ac:dyDescent="0.25">
      <c r="A858" s="4">
        <v>2864097000106</v>
      </c>
      <c r="B858" s="8" t="s">
        <v>659</v>
      </c>
      <c r="C858" s="8" t="s">
        <v>652</v>
      </c>
      <c r="D858" s="7" t="s">
        <v>241</v>
      </c>
      <c r="E858" s="7" t="s">
        <v>795</v>
      </c>
      <c r="F858" s="6">
        <v>2</v>
      </c>
      <c r="G858" s="8" t="s">
        <v>733</v>
      </c>
      <c r="H858" s="8" t="s">
        <v>734</v>
      </c>
      <c r="I858" s="7" t="s">
        <v>730</v>
      </c>
      <c r="J858" s="8" t="s">
        <v>785</v>
      </c>
      <c r="K858" s="14" t="b">
        <v>1</v>
      </c>
      <c r="L858" s="14" t="b">
        <v>0</v>
      </c>
      <c r="M858" s="14" t="b">
        <v>0</v>
      </c>
      <c r="N858" s="14" t="b">
        <v>1</v>
      </c>
      <c r="O858" s="14" t="b">
        <v>1</v>
      </c>
      <c r="W858" s="3"/>
    </row>
    <row r="859" spans="1:23" x14ac:dyDescent="0.25">
      <c r="A859" s="4">
        <v>2864097000106</v>
      </c>
      <c r="B859" s="8" t="s">
        <v>659</v>
      </c>
      <c r="C859" s="8" t="s">
        <v>652</v>
      </c>
      <c r="D859" s="7" t="s">
        <v>241</v>
      </c>
      <c r="E859" s="7" t="s">
        <v>795</v>
      </c>
      <c r="F859" s="6">
        <v>2</v>
      </c>
      <c r="G859" s="8" t="s">
        <v>760</v>
      </c>
      <c r="H859" s="8" t="s">
        <v>761</v>
      </c>
      <c r="I859" s="7" t="s">
        <v>723</v>
      </c>
      <c r="J859" s="8" t="s">
        <v>785</v>
      </c>
      <c r="K859" s="14" t="b">
        <v>0</v>
      </c>
      <c r="L859" s="14" t="b">
        <v>1</v>
      </c>
      <c r="M859" s="14" t="b">
        <v>1</v>
      </c>
      <c r="N859" s="14" t="b">
        <v>0</v>
      </c>
      <c r="O859" s="14" t="b">
        <v>1</v>
      </c>
      <c r="W859" s="3"/>
    </row>
    <row r="860" spans="1:23" x14ac:dyDescent="0.25">
      <c r="A860" s="4">
        <v>6047087000996</v>
      </c>
      <c r="B860" s="8" t="s">
        <v>660</v>
      </c>
      <c r="C860" s="8" t="s">
        <v>652</v>
      </c>
      <c r="D860" s="7" t="s">
        <v>241</v>
      </c>
      <c r="E860" s="7" t="s">
        <v>795</v>
      </c>
      <c r="F860" s="6">
        <v>2</v>
      </c>
      <c r="G860" s="8" t="s">
        <v>733</v>
      </c>
      <c r="H860" s="8" t="s">
        <v>734</v>
      </c>
      <c r="I860" s="7" t="s">
        <v>730</v>
      </c>
      <c r="J860" s="8" t="s">
        <v>785</v>
      </c>
      <c r="K860" s="14" t="b">
        <v>1</v>
      </c>
      <c r="L860" s="14" t="b">
        <v>0</v>
      </c>
      <c r="M860" s="14" t="b">
        <v>0</v>
      </c>
      <c r="N860" s="14" t="b">
        <v>1</v>
      </c>
      <c r="O860" s="14" t="b">
        <v>1</v>
      </c>
      <c r="W860" s="3"/>
    </row>
    <row r="861" spans="1:23" x14ac:dyDescent="0.25">
      <c r="A861" s="4">
        <v>6047087000996</v>
      </c>
      <c r="B861" s="8" t="s">
        <v>660</v>
      </c>
      <c r="C861" s="8" t="s">
        <v>652</v>
      </c>
      <c r="D861" s="7" t="s">
        <v>241</v>
      </c>
      <c r="E861" s="7" t="s">
        <v>795</v>
      </c>
      <c r="F861" s="6">
        <v>2</v>
      </c>
      <c r="G861" s="8" t="s">
        <v>760</v>
      </c>
      <c r="H861" s="8" t="s">
        <v>761</v>
      </c>
      <c r="I861" s="7" t="s">
        <v>723</v>
      </c>
      <c r="J861" s="8" t="s">
        <v>785</v>
      </c>
      <c r="K861" s="14" t="b">
        <v>0</v>
      </c>
      <c r="L861" s="14" t="b">
        <v>1</v>
      </c>
      <c r="M861" s="14" t="b">
        <v>1</v>
      </c>
      <c r="N861" s="14" t="b">
        <v>0</v>
      </c>
      <c r="O861" s="14" t="b">
        <v>1</v>
      </c>
      <c r="W861" s="3"/>
    </row>
    <row r="862" spans="1:23" x14ac:dyDescent="0.25">
      <c r="A862" s="4">
        <v>6047087001020</v>
      </c>
      <c r="B862" s="8" t="s">
        <v>661</v>
      </c>
      <c r="C862" s="8" t="s">
        <v>652</v>
      </c>
      <c r="D862" s="7" t="s">
        <v>241</v>
      </c>
      <c r="E862" s="7" t="s">
        <v>795</v>
      </c>
      <c r="F862" s="6">
        <v>2</v>
      </c>
      <c r="G862" s="8" t="s">
        <v>733</v>
      </c>
      <c r="H862" s="8" t="s">
        <v>734</v>
      </c>
      <c r="I862" s="7" t="s">
        <v>730</v>
      </c>
      <c r="J862" s="8" t="s">
        <v>785</v>
      </c>
      <c r="K862" s="14" t="b">
        <v>1</v>
      </c>
      <c r="L862" s="14" t="b">
        <v>0</v>
      </c>
      <c r="M862" s="14" t="b">
        <v>0</v>
      </c>
      <c r="N862" s="14" t="b">
        <v>1</v>
      </c>
      <c r="O862" s="14" t="b">
        <v>1</v>
      </c>
      <c r="W862" s="3"/>
    </row>
    <row r="863" spans="1:23" x14ac:dyDescent="0.25">
      <c r="A863" s="4">
        <v>6047087001020</v>
      </c>
      <c r="B863" s="8" t="s">
        <v>661</v>
      </c>
      <c r="C863" s="8" t="s">
        <v>652</v>
      </c>
      <c r="D863" s="7" t="s">
        <v>241</v>
      </c>
      <c r="E863" s="7" t="s">
        <v>795</v>
      </c>
      <c r="F863" s="6">
        <v>2</v>
      </c>
      <c r="G863" s="8" t="s">
        <v>760</v>
      </c>
      <c r="H863" s="8" t="s">
        <v>761</v>
      </c>
      <c r="I863" s="7" t="s">
        <v>723</v>
      </c>
      <c r="J863" s="8" t="s">
        <v>785</v>
      </c>
      <c r="K863" s="14" t="b">
        <v>0</v>
      </c>
      <c r="L863" s="14" t="b">
        <v>1</v>
      </c>
      <c r="M863" s="14" t="b">
        <v>1</v>
      </c>
      <c r="N863" s="14" t="b">
        <v>0</v>
      </c>
      <c r="O863" s="14" t="b">
        <v>1</v>
      </c>
      <c r="W863" s="3"/>
    </row>
    <row r="864" spans="1:23" x14ac:dyDescent="0.25">
      <c r="A864" s="4">
        <v>6047087002697</v>
      </c>
      <c r="B864" s="8" t="s">
        <v>662</v>
      </c>
      <c r="C864" s="8" t="s">
        <v>652</v>
      </c>
      <c r="D864" s="7" t="s">
        <v>241</v>
      </c>
      <c r="E864" s="7" t="s">
        <v>795</v>
      </c>
      <c r="F864" s="6">
        <v>2</v>
      </c>
      <c r="G864" s="8" t="s">
        <v>733</v>
      </c>
      <c r="H864" s="8" t="s">
        <v>734</v>
      </c>
      <c r="I864" s="7" t="s">
        <v>730</v>
      </c>
      <c r="J864" s="8" t="s">
        <v>785</v>
      </c>
      <c r="K864" s="14" t="b">
        <v>1</v>
      </c>
      <c r="L864" s="14" t="b">
        <v>0</v>
      </c>
      <c r="M864" s="14" t="b">
        <v>0</v>
      </c>
      <c r="N864" s="14" t="b">
        <v>1</v>
      </c>
      <c r="O864" s="14" t="b">
        <v>1</v>
      </c>
      <c r="W864" s="3"/>
    </row>
    <row r="865" spans="1:23" x14ac:dyDescent="0.25">
      <c r="A865" s="4">
        <v>6047087002697</v>
      </c>
      <c r="B865" s="8" t="s">
        <v>662</v>
      </c>
      <c r="C865" s="8" t="s">
        <v>652</v>
      </c>
      <c r="D865" s="7" t="s">
        <v>241</v>
      </c>
      <c r="E865" s="7" t="s">
        <v>795</v>
      </c>
      <c r="F865" s="6">
        <v>2</v>
      </c>
      <c r="G865" s="8" t="s">
        <v>760</v>
      </c>
      <c r="H865" s="8" t="s">
        <v>761</v>
      </c>
      <c r="I865" s="7" t="s">
        <v>723</v>
      </c>
      <c r="J865" s="8" t="s">
        <v>785</v>
      </c>
      <c r="K865" s="14" t="b">
        <v>0</v>
      </c>
      <c r="L865" s="14" t="b">
        <v>1</v>
      </c>
      <c r="M865" s="14" t="b">
        <v>1</v>
      </c>
      <c r="N865" s="14" t="b">
        <v>0</v>
      </c>
      <c r="O865" s="14" t="b">
        <v>1</v>
      </c>
      <c r="W865" s="3"/>
    </row>
    <row r="866" spans="1:23" x14ac:dyDescent="0.25">
      <c r="A866" s="4">
        <v>6047087003316</v>
      </c>
      <c r="B866" s="8" t="s">
        <v>663</v>
      </c>
      <c r="C866" s="8" t="s">
        <v>652</v>
      </c>
      <c r="D866" s="7" t="s">
        <v>241</v>
      </c>
      <c r="E866" s="7" t="s">
        <v>795</v>
      </c>
      <c r="F866" s="6">
        <v>2</v>
      </c>
      <c r="G866" s="8" t="s">
        <v>733</v>
      </c>
      <c r="H866" s="8" t="s">
        <v>734</v>
      </c>
      <c r="I866" s="7" t="s">
        <v>730</v>
      </c>
      <c r="J866" s="8" t="s">
        <v>785</v>
      </c>
      <c r="K866" s="14" t="b">
        <v>1</v>
      </c>
      <c r="L866" s="14" t="b">
        <v>0</v>
      </c>
      <c r="M866" s="14" t="b">
        <v>0</v>
      </c>
      <c r="N866" s="14" t="b">
        <v>1</v>
      </c>
      <c r="O866" s="14" t="b">
        <v>1</v>
      </c>
      <c r="W866" s="3"/>
    </row>
    <row r="867" spans="1:23" x14ac:dyDescent="0.25">
      <c r="A867" s="4">
        <v>6047087003316</v>
      </c>
      <c r="B867" s="8" t="s">
        <v>663</v>
      </c>
      <c r="C867" s="8" t="s">
        <v>652</v>
      </c>
      <c r="D867" s="7" t="s">
        <v>241</v>
      </c>
      <c r="E867" s="7" t="s">
        <v>795</v>
      </c>
      <c r="F867" s="6">
        <v>2</v>
      </c>
      <c r="G867" s="8" t="s">
        <v>760</v>
      </c>
      <c r="H867" s="8" t="s">
        <v>761</v>
      </c>
      <c r="I867" s="7" t="s">
        <v>723</v>
      </c>
      <c r="J867" s="8" t="s">
        <v>785</v>
      </c>
      <c r="K867" s="14" t="b">
        <v>0</v>
      </c>
      <c r="L867" s="14" t="b">
        <v>1</v>
      </c>
      <c r="M867" s="14" t="b">
        <v>1</v>
      </c>
      <c r="N867" s="14" t="b">
        <v>0</v>
      </c>
      <c r="O867" s="14" t="b">
        <v>1</v>
      </c>
      <c r="W867" s="3"/>
    </row>
    <row r="868" spans="1:23" x14ac:dyDescent="0.25">
      <c r="A868" s="4">
        <v>7794623004896</v>
      </c>
      <c r="B868" s="8" t="s">
        <v>664</v>
      </c>
      <c r="C868" s="8" t="s">
        <v>652</v>
      </c>
      <c r="D868" s="7" t="s">
        <v>241</v>
      </c>
      <c r="E868" s="7" t="s">
        <v>795</v>
      </c>
      <c r="F868" s="6">
        <v>2</v>
      </c>
      <c r="G868" s="8" t="s">
        <v>733</v>
      </c>
      <c r="H868" s="8" t="s">
        <v>734</v>
      </c>
      <c r="I868" s="7" t="s">
        <v>730</v>
      </c>
      <c r="J868" s="8" t="s">
        <v>785</v>
      </c>
      <c r="K868" s="14" t="b">
        <v>1</v>
      </c>
      <c r="L868" s="14" t="b">
        <v>0</v>
      </c>
      <c r="M868" s="14" t="b">
        <v>0</v>
      </c>
      <c r="N868" s="14" t="b">
        <v>1</v>
      </c>
      <c r="O868" s="14" t="b">
        <v>1</v>
      </c>
      <c r="W868" s="3"/>
    </row>
    <row r="869" spans="1:23" x14ac:dyDescent="0.25">
      <c r="A869" s="4">
        <v>7794623004896</v>
      </c>
      <c r="B869" s="8" t="s">
        <v>664</v>
      </c>
      <c r="C869" s="8" t="s">
        <v>652</v>
      </c>
      <c r="D869" s="7" t="s">
        <v>241</v>
      </c>
      <c r="E869" s="7" t="s">
        <v>795</v>
      </c>
      <c r="F869" s="6">
        <v>2</v>
      </c>
      <c r="G869" s="8" t="s">
        <v>760</v>
      </c>
      <c r="H869" s="8" t="s">
        <v>761</v>
      </c>
      <c r="I869" s="7" t="s">
        <v>723</v>
      </c>
      <c r="J869" s="8" t="s">
        <v>785</v>
      </c>
      <c r="K869" s="14" t="b">
        <v>0</v>
      </c>
      <c r="L869" s="14" t="b">
        <v>1</v>
      </c>
      <c r="M869" s="14" t="b">
        <v>1</v>
      </c>
      <c r="N869" s="14" t="b">
        <v>0</v>
      </c>
      <c r="O869" s="14" t="b">
        <v>1</v>
      </c>
      <c r="W869" s="3"/>
    </row>
    <row r="870" spans="1:23" x14ac:dyDescent="0.25">
      <c r="A870" s="4">
        <v>8100676002102</v>
      </c>
      <c r="B870" s="8" t="s">
        <v>665</v>
      </c>
      <c r="C870" s="8" t="s">
        <v>652</v>
      </c>
      <c r="D870" s="7" t="s">
        <v>241</v>
      </c>
      <c r="E870" s="7" t="s">
        <v>795</v>
      </c>
      <c r="F870" s="6">
        <v>2</v>
      </c>
      <c r="G870" s="8" t="s">
        <v>733</v>
      </c>
      <c r="H870" s="8" t="s">
        <v>734</v>
      </c>
      <c r="I870" s="7" t="s">
        <v>730</v>
      </c>
      <c r="J870" s="8" t="s">
        <v>785</v>
      </c>
      <c r="K870" s="14" t="b">
        <v>1</v>
      </c>
      <c r="L870" s="14" t="b">
        <v>0</v>
      </c>
      <c r="M870" s="14" t="b">
        <v>0</v>
      </c>
      <c r="N870" s="14" t="b">
        <v>1</v>
      </c>
      <c r="O870" s="14" t="b">
        <v>1</v>
      </c>
      <c r="W870" s="3"/>
    </row>
    <row r="871" spans="1:23" x14ac:dyDescent="0.25">
      <c r="A871" s="4">
        <v>8100676002102</v>
      </c>
      <c r="B871" s="8" t="s">
        <v>665</v>
      </c>
      <c r="C871" s="8" t="s">
        <v>652</v>
      </c>
      <c r="D871" s="7" t="s">
        <v>241</v>
      </c>
      <c r="E871" s="7" t="s">
        <v>795</v>
      </c>
      <c r="F871" s="6">
        <v>2</v>
      </c>
      <c r="G871" s="8" t="s">
        <v>760</v>
      </c>
      <c r="H871" s="8" t="s">
        <v>761</v>
      </c>
      <c r="I871" s="7" t="s">
        <v>723</v>
      </c>
      <c r="J871" s="8" t="s">
        <v>785</v>
      </c>
      <c r="K871" s="14" t="b">
        <v>0</v>
      </c>
      <c r="L871" s="14" t="b">
        <v>1</v>
      </c>
      <c r="M871" s="14" t="b">
        <v>1</v>
      </c>
      <c r="N871" s="14" t="b">
        <v>0</v>
      </c>
      <c r="O871" s="14" t="b">
        <v>1</v>
      </c>
      <c r="W871" s="3"/>
    </row>
    <row r="872" spans="1:23" x14ac:dyDescent="0.25">
      <c r="A872" s="4">
        <v>8850962000222</v>
      </c>
      <c r="B872" s="8" t="s">
        <v>666</v>
      </c>
      <c r="C872" s="8" t="s">
        <v>652</v>
      </c>
      <c r="D872" s="7" t="s">
        <v>241</v>
      </c>
      <c r="E872" s="7" t="s">
        <v>795</v>
      </c>
      <c r="F872" s="6">
        <v>2</v>
      </c>
      <c r="G872" s="8" t="s">
        <v>733</v>
      </c>
      <c r="H872" s="8" t="s">
        <v>734</v>
      </c>
      <c r="I872" s="7" t="s">
        <v>730</v>
      </c>
      <c r="J872" s="8" t="s">
        <v>785</v>
      </c>
      <c r="K872" s="14" t="b">
        <v>1</v>
      </c>
      <c r="L872" s="14" t="b">
        <v>0</v>
      </c>
      <c r="M872" s="14" t="b">
        <v>0</v>
      </c>
      <c r="N872" s="14" t="b">
        <v>1</v>
      </c>
      <c r="O872" s="14" t="b">
        <v>1</v>
      </c>
      <c r="W872" s="3"/>
    </row>
    <row r="873" spans="1:23" x14ac:dyDescent="0.25">
      <c r="A873" s="4">
        <v>8850962000222</v>
      </c>
      <c r="B873" s="8" t="s">
        <v>666</v>
      </c>
      <c r="C873" s="8" t="s">
        <v>652</v>
      </c>
      <c r="D873" s="7" t="s">
        <v>241</v>
      </c>
      <c r="E873" s="7" t="s">
        <v>795</v>
      </c>
      <c r="F873" s="6">
        <v>2</v>
      </c>
      <c r="G873" s="8" t="s">
        <v>760</v>
      </c>
      <c r="H873" s="8" t="s">
        <v>761</v>
      </c>
      <c r="I873" s="7" t="s">
        <v>723</v>
      </c>
      <c r="J873" s="8" t="s">
        <v>785</v>
      </c>
      <c r="K873" s="14" t="b">
        <v>0</v>
      </c>
      <c r="L873" s="14" t="b">
        <v>1</v>
      </c>
      <c r="M873" s="14" t="b">
        <v>1</v>
      </c>
      <c r="N873" s="14" t="b">
        <v>0</v>
      </c>
      <c r="O873" s="14" t="b">
        <v>1</v>
      </c>
      <c r="W873" s="3"/>
    </row>
    <row r="874" spans="1:23" x14ac:dyDescent="0.25">
      <c r="A874" s="4">
        <v>9219138000401</v>
      </c>
      <c r="B874" s="8" t="s">
        <v>706</v>
      </c>
      <c r="C874" s="8" t="s">
        <v>652</v>
      </c>
      <c r="D874" s="7" t="s">
        <v>241</v>
      </c>
      <c r="E874" s="7" t="s">
        <v>795</v>
      </c>
      <c r="F874" s="6">
        <v>2</v>
      </c>
      <c r="G874" s="8" t="s">
        <v>733</v>
      </c>
      <c r="H874" s="8" t="s">
        <v>734</v>
      </c>
      <c r="I874" s="7" t="s">
        <v>730</v>
      </c>
      <c r="J874" s="8" t="s">
        <v>785</v>
      </c>
      <c r="K874" s="14" t="b">
        <v>1</v>
      </c>
      <c r="L874" s="14" t="b">
        <v>0</v>
      </c>
      <c r="M874" s="14" t="b">
        <v>0</v>
      </c>
      <c r="N874" s="14" t="b">
        <v>1</v>
      </c>
      <c r="O874" s="14" t="b">
        <v>1</v>
      </c>
      <c r="W874" s="3"/>
    </row>
    <row r="875" spans="1:23" x14ac:dyDescent="0.25">
      <c r="A875" s="4">
        <v>9219138000401</v>
      </c>
      <c r="B875" s="8" t="s">
        <v>706</v>
      </c>
      <c r="C875" s="8" t="s">
        <v>652</v>
      </c>
      <c r="D875" s="7" t="s">
        <v>241</v>
      </c>
      <c r="E875" s="7" t="s">
        <v>795</v>
      </c>
      <c r="F875" s="6">
        <v>2</v>
      </c>
      <c r="G875" s="8" t="s">
        <v>760</v>
      </c>
      <c r="H875" s="8" t="s">
        <v>761</v>
      </c>
      <c r="I875" s="7" t="s">
        <v>723</v>
      </c>
      <c r="J875" s="8" t="s">
        <v>785</v>
      </c>
      <c r="K875" s="14" t="b">
        <v>0</v>
      </c>
      <c r="L875" s="14" t="b">
        <v>1</v>
      </c>
      <c r="M875" s="14" t="b">
        <v>1</v>
      </c>
      <c r="N875" s="14" t="b">
        <v>0</v>
      </c>
      <c r="O875" s="14" t="b">
        <v>1</v>
      </c>
      <c r="W875" s="3"/>
    </row>
    <row r="876" spans="1:23" x14ac:dyDescent="0.25">
      <c r="A876" s="4">
        <v>9219138000584</v>
      </c>
      <c r="B876" s="8" t="s">
        <v>667</v>
      </c>
      <c r="C876" s="8" t="s">
        <v>652</v>
      </c>
      <c r="D876" s="7" t="s">
        <v>241</v>
      </c>
      <c r="E876" s="7" t="s">
        <v>795</v>
      </c>
      <c r="F876" s="6">
        <v>2</v>
      </c>
      <c r="G876" s="8" t="s">
        <v>733</v>
      </c>
      <c r="H876" s="8" t="s">
        <v>734</v>
      </c>
      <c r="I876" s="7" t="s">
        <v>730</v>
      </c>
      <c r="J876" s="8" t="s">
        <v>785</v>
      </c>
      <c r="K876" s="14" t="b">
        <v>1</v>
      </c>
      <c r="L876" s="14" t="b">
        <v>0</v>
      </c>
      <c r="M876" s="14" t="b">
        <v>0</v>
      </c>
      <c r="N876" s="14" t="b">
        <v>1</v>
      </c>
      <c r="O876" s="14" t="b">
        <v>1</v>
      </c>
      <c r="W876" s="3"/>
    </row>
    <row r="877" spans="1:23" x14ac:dyDescent="0.25">
      <c r="A877" s="4">
        <v>9219138000584</v>
      </c>
      <c r="B877" s="8" t="s">
        <v>667</v>
      </c>
      <c r="C877" s="8" t="s">
        <v>652</v>
      </c>
      <c r="D877" s="7" t="s">
        <v>241</v>
      </c>
      <c r="E877" s="7" t="s">
        <v>795</v>
      </c>
      <c r="F877" s="6">
        <v>2</v>
      </c>
      <c r="G877" s="8" t="s">
        <v>752</v>
      </c>
      <c r="H877" s="8" t="s">
        <v>753</v>
      </c>
      <c r="I877" s="7" t="s">
        <v>723</v>
      </c>
      <c r="J877" s="8" t="s">
        <v>785</v>
      </c>
      <c r="K877" s="14" t="b">
        <v>0</v>
      </c>
      <c r="L877" s="14" t="b">
        <v>1</v>
      </c>
      <c r="M877" s="14" t="b">
        <v>1</v>
      </c>
      <c r="N877" s="14" t="b">
        <v>0</v>
      </c>
      <c r="O877" s="14" t="b">
        <v>1</v>
      </c>
      <c r="W877" s="3"/>
    </row>
    <row r="878" spans="1:23" x14ac:dyDescent="0.25">
      <c r="A878" s="4">
        <v>9578217000158</v>
      </c>
      <c r="B878" s="8" t="s">
        <v>668</v>
      </c>
      <c r="C878" s="8" t="s">
        <v>652</v>
      </c>
      <c r="D878" s="7" t="s">
        <v>241</v>
      </c>
      <c r="E878" s="7" t="s">
        <v>795</v>
      </c>
      <c r="F878" s="6">
        <v>2</v>
      </c>
      <c r="G878" s="8" t="s">
        <v>733</v>
      </c>
      <c r="H878" s="8" t="s">
        <v>734</v>
      </c>
      <c r="I878" s="7" t="s">
        <v>730</v>
      </c>
      <c r="J878" s="8" t="s">
        <v>785</v>
      </c>
      <c r="K878" s="14" t="b">
        <v>1</v>
      </c>
      <c r="L878" s="14" t="b">
        <v>0</v>
      </c>
      <c r="M878" s="14" t="b">
        <v>0</v>
      </c>
      <c r="N878" s="14" t="b">
        <v>1</v>
      </c>
      <c r="O878" s="14" t="b">
        <v>1</v>
      </c>
      <c r="W878" s="3"/>
    </row>
    <row r="879" spans="1:23" x14ac:dyDescent="0.25">
      <c r="A879" s="4">
        <v>9578217000158</v>
      </c>
      <c r="B879" s="8" t="s">
        <v>668</v>
      </c>
      <c r="C879" s="8" t="s">
        <v>652</v>
      </c>
      <c r="D879" s="7" t="s">
        <v>241</v>
      </c>
      <c r="E879" s="7" t="s">
        <v>795</v>
      </c>
      <c r="F879" s="6">
        <v>2</v>
      </c>
      <c r="G879" s="8" t="s">
        <v>760</v>
      </c>
      <c r="H879" s="8" t="s">
        <v>761</v>
      </c>
      <c r="I879" s="7" t="s">
        <v>723</v>
      </c>
      <c r="J879" s="8" t="s">
        <v>785</v>
      </c>
      <c r="K879" s="14" t="b">
        <v>0</v>
      </c>
      <c r="L879" s="14" t="b">
        <v>1</v>
      </c>
      <c r="M879" s="14" t="b">
        <v>1</v>
      </c>
      <c r="N879" s="14" t="b">
        <v>0</v>
      </c>
      <c r="O879" s="14" t="b">
        <v>1</v>
      </c>
      <c r="W879" s="3"/>
    </row>
    <row r="880" spans="1:23" x14ac:dyDescent="0.25">
      <c r="A880" s="4">
        <v>9609235000230</v>
      </c>
      <c r="B880" s="8" t="s">
        <v>669</v>
      </c>
      <c r="C880" s="8" t="s">
        <v>652</v>
      </c>
      <c r="D880" s="7" t="s">
        <v>241</v>
      </c>
      <c r="E880" s="7" t="s">
        <v>795</v>
      </c>
      <c r="F880" s="6">
        <v>2</v>
      </c>
      <c r="G880" s="8" t="s">
        <v>733</v>
      </c>
      <c r="H880" s="8" t="s">
        <v>734</v>
      </c>
      <c r="I880" s="7" t="s">
        <v>730</v>
      </c>
      <c r="J880" s="8" t="s">
        <v>785</v>
      </c>
      <c r="K880" s="14" t="b">
        <v>1</v>
      </c>
      <c r="L880" s="14" t="b">
        <v>0</v>
      </c>
      <c r="M880" s="14" t="b">
        <v>0</v>
      </c>
      <c r="N880" s="14" t="b">
        <v>1</v>
      </c>
      <c r="O880" s="14" t="b">
        <v>1</v>
      </c>
      <c r="W880" s="3"/>
    </row>
    <row r="881" spans="1:23" x14ac:dyDescent="0.25">
      <c r="A881" s="4">
        <v>9609235000230</v>
      </c>
      <c r="B881" s="8" t="s">
        <v>669</v>
      </c>
      <c r="C881" s="8" t="s">
        <v>652</v>
      </c>
      <c r="D881" s="7" t="s">
        <v>241</v>
      </c>
      <c r="E881" s="7" t="s">
        <v>795</v>
      </c>
      <c r="F881" s="6">
        <v>2</v>
      </c>
      <c r="G881" s="8" t="s">
        <v>752</v>
      </c>
      <c r="H881" s="8" t="s">
        <v>753</v>
      </c>
      <c r="I881" s="7" t="s">
        <v>723</v>
      </c>
      <c r="J881" s="8" t="s">
        <v>785</v>
      </c>
      <c r="K881" s="14" t="b">
        <v>0</v>
      </c>
      <c r="L881" s="14" t="b">
        <v>1</v>
      </c>
      <c r="M881" s="14" t="b">
        <v>1</v>
      </c>
      <c r="N881" s="14" t="b">
        <v>0</v>
      </c>
      <c r="O881" s="14" t="b">
        <v>1</v>
      </c>
      <c r="W881" s="3"/>
    </row>
    <row r="882" spans="1:23" x14ac:dyDescent="0.25">
      <c r="A882" s="4">
        <v>11279865000155</v>
      </c>
      <c r="B882" s="8" t="s">
        <v>670</v>
      </c>
      <c r="C882" s="8" t="s">
        <v>652</v>
      </c>
      <c r="D882" s="7" t="s">
        <v>241</v>
      </c>
      <c r="E882" s="7" t="s">
        <v>795</v>
      </c>
      <c r="F882" s="6">
        <v>2</v>
      </c>
      <c r="G882" s="8" t="s">
        <v>733</v>
      </c>
      <c r="H882" s="8" t="s">
        <v>734</v>
      </c>
      <c r="I882" s="7" t="s">
        <v>730</v>
      </c>
      <c r="J882" s="8" t="s">
        <v>785</v>
      </c>
      <c r="K882" s="14" t="b">
        <v>1</v>
      </c>
      <c r="L882" s="14" t="b">
        <v>0</v>
      </c>
      <c r="M882" s="14" t="b">
        <v>0</v>
      </c>
      <c r="N882" s="14" t="b">
        <v>1</v>
      </c>
      <c r="O882" s="14" t="b">
        <v>1</v>
      </c>
      <c r="W882" s="3"/>
    </row>
    <row r="883" spans="1:23" x14ac:dyDescent="0.25">
      <c r="A883" s="4">
        <v>11279865000155</v>
      </c>
      <c r="B883" s="8" t="s">
        <v>670</v>
      </c>
      <c r="C883" s="8" t="s">
        <v>652</v>
      </c>
      <c r="D883" s="7" t="s">
        <v>241</v>
      </c>
      <c r="E883" s="7" t="s">
        <v>795</v>
      </c>
      <c r="F883" s="6">
        <v>2</v>
      </c>
      <c r="G883" s="8" t="s">
        <v>752</v>
      </c>
      <c r="H883" s="8" t="s">
        <v>753</v>
      </c>
      <c r="I883" s="7" t="s">
        <v>723</v>
      </c>
      <c r="J883" s="8" t="s">
        <v>785</v>
      </c>
      <c r="K883" s="14" t="b">
        <v>0</v>
      </c>
      <c r="L883" s="14" t="b">
        <v>1</v>
      </c>
      <c r="M883" s="14" t="b">
        <v>1</v>
      </c>
      <c r="N883" s="14" t="b">
        <v>0</v>
      </c>
      <c r="O883" s="14" t="b">
        <v>1</v>
      </c>
      <c r="W883" s="3"/>
    </row>
    <row r="884" spans="1:23" x14ac:dyDescent="0.25">
      <c r="A884" s="4">
        <v>18010750000100</v>
      </c>
      <c r="B884" s="8" t="s">
        <v>671</v>
      </c>
      <c r="C884" s="8" t="s">
        <v>652</v>
      </c>
      <c r="D884" s="7" t="s">
        <v>241</v>
      </c>
      <c r="E884" s="7" t="s">
        <v>795</v>
      </c>
      <c r="F884" s="6">
        <v>2</v>
      </c>
      <c r="G884" s="8" t="s">
        <v>733</v>
      </c>
      <c r="H884" s="8" t="s">
        <v>734</v>
      </c>
      <c r="I884" s="7" t="s">
        <v>730</v>
      </c>
      <c r="J884" s="8" t="s">
        <v>785</v>
      </c>
      <c r="K884" s="14" t="b">
        <v>1</v>
      </c>
      <c r="L884" s="14" t="b">
        <v>0</v>
      </c>
      <c r="M884" s="14" t="b">
        <v>0</v>
      </c>
      <c r="N884" s="14" t="b">
        <v>1</v>
      </c>
      <c r="O884" s="14" t="b">
        <v>1</v>
      </c>
      <c r="W884" s="3"/>
    </row>
    <row r="885" spans="1:23" x14ac:dyDescent="0.25">
      <c r="A885" s="4">
        <v>18010750000100</v>
      </c>
      <c r="B885" s="8" t="s">
        <v>671</v>
      </c>
      <c r="C885" s="8" t="s">
        <v>652</v>
      </c>
      <c r="D885" s="7" t="s">
        <v>241</v>
      </c>
      <c r="E885" s="7" t="s">
        <v>795</v>
      </c>
      <c r="F885" s="6">
        <v>2</v>
      </c>
      <c r="G885" s="8" t="s">
        <v>752</v>
      </c>
      <c r="H885" s="8" t="s">
        <v>753</v>
      </c>
      <c r="I885" s="7" t="s">
        <v>723</v>
      </c>
      <c r="J885" s="8" t="s">
        <v>785</v>
      </c>
      <c r="K885" s="14" t="b">
        <v>0</v>
      </c>
      <c r="L885" s="14" t="b">
        <v>1</v>
      </c>
      <c r="M885" s="14" t="b">
        <v>1</v>
      </c>
      <c r="N885" s="14" t="b">
        <v>0</v>
      </c>
      <c r="O885" s="14" t="b">
        <v>1</v>
      </c>
      <c r="W885" s="3"/>
    </row>
    <row r="886" spans="1:23" x14ac:dyDescent="0.25">
      <c r="A886" s="4">
        <v>21109731000140</v>
      </c>
      <c r="B886" s="8" t="s">
        <v>672</v>
      </c>
      <c r="C886" s="8" t="s">
        <v>652</v>
      </c>
      <c r="D886" s="7" t="s">
        <v>241</v>
      </c>
      <c r="E886" s="7" t="s">
        <v>795</v>
      </c>
      <c r="F886" s="6">
        <v>2</v>
      </c>
      <c r="G886" s="8" t="s">
        <v>733</v>
      </c>
      <c r="H886" s="8" t="s">
        <v>734</v>
      </c>
      <c r="I886" s="7" t="s">
        <v>730</v>
      </c>
      <c r="J886" s="8" t="s">
        <v>785</v>
      </c>
      <c r="K886" s="14" t="b">
        <v>1</v>
      </c>
      <c r="L886" s="14" t="b">
        <v>0</v>
      </c>
      <c r="M886" s="14" t="b">
        <v>0</v>
      </c>
      <c r="N886" s="14" t="b">
        <v>1</v>
      </c>
      <c r="O886" s="14" t="b">
        <v>1</v>
      </c>
      <c r="W886" s="3"/>
    </row>
    <row r="887" spans="1:23" x14ac:dyDescent="0.25">
      <c r="A887" s="4">
        <v>21109731000140</v>
      </c>
      <c r="B887" s="8" t="s">
        <v>672</v>
      </c>
      <c r="C887" s="8" t="s">
        <v>652</v>
      </c>
      <c r="D887" s="7" t="s">
        <v>241</v>
      </c>
      <c r="E887" s="7" t="s">
        <v>795</v>
      </c>
      <c r="F887" s="6">
        <v>2</v>
      </c>
      <c r="G887" s="8" t="s">
        <v>760</v>
      </c>
      <c r="H887" s="8" t="s">
        <v>761</v>
      </c>
      <c r="I887" s="7" t="s">
        <v>723</v>
      </c>
      <c r="J887" s="8" t="s">
        <v>785</v>
      </c>
      <c r="K887" s="14" t="b">
        <v>0</v>
      </c>
      <c r="L887" s="14" t="b">
        <v>1</v>
      </c>
      <c r="M887" s="14" t="b">
        <v>1</v>
      </c>
      <c r="N887" s="14" t="b">
        <v>0</v>
      </c>
      <c r="O887" s="14" t="b">
        <v>1</v>
      </c>
      <c r="W887" s="3"/>
    </row>
    <row r="888" spans="1:23" x14ac:dyDescent="0.25">
      <c r="A888" s="4">
        <v>21265360000195</v>
      </c>
      <c r="B888" s="8" t="s">
        <v>673</v>
      </c>
      <c r="C888" s="8" t="s">
        <v>652</v>
      </c>
      <c r="D888" s="7" t="s">
        <v>241</v>
      </c>
      <c r="E888" s="7" t="s">
        <v>795</v>
      </c>
      <c r="F888" s="6">
        <v>2</v>
      </c>
      <c r="G888" s="8" t="s">
        <v>733</v>
      </c>
      <c r="H888" s="8" t="s">
        <v>734</v>
      </c>
      <c r="I888" s="7" t="s">
        <v>730</v>
      </c>
      <c r="J888" s="8" t="s">
        <v>785</v>
      </c>
      <c r="K888" s="14" t="b">
        <v>1</v>
      </c>
      <c r="L888" s="14" t="b">
        <v>0</v>
      </c>
      <c r="M888" s="14" t="b">
        <v>0</v>
      </c>
      <c r="N888" s="14" t="b">
        <v>1</v>
      </c>
      <c r="O888" s="14" t="b">
        <v>1</v>
      </c>
      <c r="W888" s="3"/>
    </row>
    <row r="889" spans="1:23" x14ac:dyDescent="0.25">
      <c r="A889" s="4">
        <v>21265360000195</v>
      </c>
      <c r="B889" s="8" t="s">
        <v>673</v>
      </c>
      <c r="C889" s="8" t="s">
        <v>652</v>
      </c>
      <c r="D889" s="7" t="s">
        <v>241</v>
      </c>
      <c r="E889" s="7" t="s">
        <v>795</v>
      </c>
      <c r="F889" s="6">
        <v>2</v>
      </c>
      <c r="G889" s="8" t="s">
        <v>752</v>
      </c>
      <c r="H889" s="8" t="s">
        <v>753</v>
      </c>
      <c r="I889" s="7" t="s">
        <v>723</v>
      </c>
      <c r="J889" s="8" t="s">
        <v>785</v>
      </c>
      <c r="K889" s="14" t="b">
        <v>0</v>
      </c>
      <c r="L889" s="14" t="b">
        <v>1</v>
      </c>
      <c r="M889" s="14" t="b">
        <v>1</v>
      </c>
      <c r="N889" s="14" t="b">
        <v>0</v>
      </c>
      <c r="O889" s="14" t="b">
        <v>1</v>
      </c>
      <c r="W889" s="3"/>
    </row>
    <row r="890" spans="1:23" x14ac:dyDescent="0.25">
      <c r="A890" s="4">
        <v>22400856000197</v>
      </c>
      <c r="B890" s="8" t="s">
        <v>699</v>
      </c>
      <c r="C890" s="8" t="s">
        <v>652</v>
      </c>
      <c r="D890" s="7" t="s">
        <v>241</v>
      </c>
      <c r="E890" s="7" t="s">
        <v>795</v>
      </c>
      <c r="F890" s="6">
        <v>2</v>
      </c>
      <c r="G890" s="8" t="s">
        <v>733</v>
      </c>
      <c r="H890" s="8" t="s">
        <v>734</v>
      </c>
      <c r="I890" s="7" t="s">
        <v>730</v>
      </c>
      <c r="J890" s="8" t="s">
        <v>785</v>
      </c>
      <c r="K890" s="14" t="b">
        <v>1</v>
      </c>
      <c r="L890" s="14" t="b">
        <v>0</v>
      </c>
      <c r="M890" s="14" t="b">
        <v>0</v>
      </c>
      <c r="N890" s="14" t="b">
        <v>1</v>
      </c>
      <c r="O890" s="14" t="b">
        <v>1</v>
      </c>
      <c r="W890" s="3"/>
    </row>
    <row r="891" spans="1:23" x14ac:dyDescent="0.25">
      <c r="A891" s="4">
        <v>22400856000197</v>
      </c>
      <c r="B891" s="8" t="s">
        <v>699</v>
      </c>
      <c r="C891" s="8" t="s">
        <v>652</v>
      </c>
      <c r="D891" s="7" t="s">
        <v>241</v>
      </c>
      <c r="E891" s="7" t="s">
        <v>795</v>
      </c>
      <c r="F891" s="6">
        <v>2</v>
      </c>
      <c r="G891" s="8" t="s">
        <v>752</v>
      </c>
      <c r="H891" s="8" t="s">
        <v>753</v>
      </c>
      <c r="I891" s="7" t="s">
        <v>723</v>
      </c>
      <c r="J891" s="8" t="s">
        <v>785</v>
      </c>
      <c r="K891" s="14" t="b">
        <v>0</v>
      </c>
      <c r="L891" s="14" t="b">
        <v>1</v>
      </c>
      <c r="M891" s="14" t="b">
        <v>1</v>
      </c>
      <c r="N891" s="14" t="b">
        <v>0</v>
      </c>
      <c r="O891" s="14" t="b">
        <v>1</v>
      </c>
      <c r="W891" s="3"/>
    </row>
    <row r="892" spans="1:23" x14ac:dyDescent="0.25">
      <c r="A892" s="4">
        <v>24217779000160</v>
      </c>
      <c r="B892" s="8" t="s">
        <v>674</v>
      </c>
      <c r="C892" s="8" t="s">
        <v>652</v>
      </c>
      <c r="D892" s="7" t="s">
        <v>241</v>
      </c>
      <c r="E892" s="7" t="s">
        <v>795</v>
      </c>
      <c r="F892" s="6">
        <v>2</v>
      </c>
      <c r="G892" s="8" t="s">
        <v>733</v>
      </c>
      <c r="H892" s="8" t="s">
        <v>734</v>
      </c>
      <c r="I892" s="7" t="s">
        <v>730</v>
      </c>
      <c r="J892" s="8" t="s">
        <v>785</v>
      </c>
      <c r="K892" s="14" t="b">
        <v>1</v>
      </c>
      <c r="L892" s="14" t="b">
        <v>0</v>
      </c>
      <c r="M892" s="14" t="b">
        <v>0</v>
      </c>
      <c r="N892" s="14" t="b">
        <v>1</v>
      </c>
      <c r="O892" s="14" t="b">
        <v>1</v>
      </c>
      <c r="W892" s="3"/>
    </row>
    <row r="893" spans="1:23" x14ac:dyDescent="0.25">
      <c r="A893" s="4">
        <v>24217779000160</v>
      </c>
      <c r="B893" s="8" t="s">
        <v>674</v>
      </c>
      <c r="C893" s="8" t="s">
        <v>652</v>
      </c>
      <c r="D893" s="7" t="s">
        <v>241</v>
      </c>
      <c r="E893" s="7" t="s">
        <v>795</v>
      </c>
      <c r="F893" s="6">
        <v>2</v>
      </c>
      <c r="G893" s="8" t="s">
        <v>752</v>
      </c>
      <c r="H893" s="8" t="s">
        <v>753</v>
      </c>
      <c r="I893" s="7" t="s">
        <v>723</v>
      </c>
      <c r="J893" s="8" t="s">
        <v>785</v>
      </c>
      <c r="K893" s="14" t="b">
        <v>0</v>
      </c>
      <c r="L893" s="14" t="b">
        <v>1</v>
      </c>
      <c r="M893" s="14" t="b">
        <v>1</v>
      </c>
      <c r="N893" s="14" t="b">
        <v>0</v>
      </c>
      <c r="O893" s="14" t="b">
        <v>1</v>
      </c>
      <c r="W893" s="3"/>
    </row>
    <row r="894" spans="1:23" x14ac:dyDescent="0.25">
      <c r="A894" s="4">
        <v>27901222000131</v>
      </c>
      <c r="B894" s="8" t="s">
        <v>675</v>
      </c>
      <c r="C894" s="8" t="s">
        <v>652</v>
      </c>
      <c r="D894" s="7" t="s">
        <v>241</v>
      </c>
      <c r="E894" s="7" t="s">
        <v>795</v>
      </c>
      <c r="F894" s="6">
        <v>2</v>
      </c>
      <c r="G894" s="8" t="s">
        <v>733</v>
      </c>
      <c r="H894" s="8" t="s">
        <v>734</v>
      </c>
      <c r="I894" s="7" t="s">
        <v>730</v>
      </c>
      <c r="J894" s="8" t="s">
        <v>785</v>
      </c>
      <c r="K894" s="14" t="b">
        <v>1</v>
      </c>
      <c r="L894" s="14" t="b">
        <v>0</v>
      </c>
      <c r="M894" s="14" t="b">
        <v>0</v>
      </c>
      <c r="N894" s="14" t="b">
        <v>1</v>
      </c>
      <c r="O894" s="14" t="b">
        <v>1</v>
      </c>
      <c r="W894" s="3"/>
    </row>
    <row r="895" spans="1:23" x14ac:dyDescent="0.25">
      <c r="A895" s="4">
        <v>27901222000131</v>
      </c>
      <c r="B895" s="8" t="s">
        <v>675</v>
      </c>
      <c r="C895" s="8" t="s">
        <v>652</v>
      </c>
      <c r="D895" s="7" t="s">
        <v>241</v>
      </c>
      <c r="E895" s="7" t="s">
        <v>795</v>
      </c>
      <c r="F895" s="6">
        <v>2</v>
      </c>
      <c r="G895" s="8" t="s">
        <v>760</v>
      </c>
      <c r="H895" s="8" t="s">
        <v>761</v>
      </c>
      <c r="I895" s="7" t="s">
        <v>723</v>
      </c>
      <c r="J895" s="8" t="s">
        <v>785</v>
      </c>
      <c r="K895" s="14" t="b">
        <v>0</v>
      </c>
      <c r="L895" s="14" t="b">
        <v>1</v>
      </c>
      <c r="M895" s="14" t="b">
        <v>1</v>
      </c>
      <c r="N895" s="14" t="b">
        <v>0</v>
      </c>
      <c r="O895" s="14" t="b">
        <v>1</v>
      </c>
      <c r="W895" s="3"/>
    </row>
    <row r="896" spans="1:23" x14ac:dyDescent="0.25">
      <c r="A896" s="4">
        <v>28000107000159</v>
      </c>
      <c r="B896" s="8" t="s">
        <v>676</v>
      </c>
      <c r="C896" s="8" t="s">
        <v>652</v>
      </c>
      <c r="D896" s="7" t="s">
        <v>241</v>
      </c>
      <c r="E896" s="7" t="s">
        <v>795</v>
      </c>
      <c r="F896" s="6">
        <v>2</v>
      </c>
      <c r="G896" s="8" t="s">
        <v>733</v>
      </c>
      <c r="H896" s="8" t="s">
        <v>734</v>
      </c>
      <c r="I896" s="7" t="s">
        <v>730</v>
      </c>
      <c r="J896" s="8" t="s">
        <v>785</v>
      </c>
      <c r="K896" s="14" t="b">
        <v>1</v>
      </c>
      <c r="L896" s="14" t="b">
        <v>0</v>
      </c>
      <c r="M896" s="14" t="b">
        <v>0</v>
      </c>
      <c r="N896" s="14" t="b">
        <v>1</v>
      </c>
      <c r="O896" s="14" t="b">
        <v>1</v>
      </c>
      <c r="W896" s="3"/>
    </row>
    <row r="897" spans="1:23" x14ac:dyDescent="0.25">
      <c r="A897" s="4">
        <v>28000107000159</v>
      </c>
      <c r="B897" s="8" t="s">
        <v>676</v>
      </c>
      <c r="C897" s="8" t="s">
        <v>652</v>
      </c>
      <c r="D897" s="7" t="s">
        <v>241</v>
      </c>
      <c r="E897" s="7" t="s">
        <v>795</v>
      </c>
      <c r="F897" s="6">
        <v>2</v>
      </c>
      <c r="G897" s="8" t="s">
        <v>760</v>
      </c>
      <c r="H897" s="8" t="s">
        <v>761</v>
      </c>
      <c r="I897" s="7" t="s">
        <v>723</v>
      </c>
      <c r="J897" s="8" t="s">
        <v>785</v>
      </c>
      <c r="K897" s="14" t="b">
        <v>0</v>
      </c>
      <c r="L897" s="14" t="b">
        <v>1</v>
      </c>
      <c r="M897" s="14" t="b">
        <v>1</v>
      </c>
      <c r="N897" s="14" t="b">
        <v>0</v>
      </c>
      <c r="O897" s="14" t="b">
        <v>1</v>
      </c>
      <c r="W897" s="3"/>
    </row>
    <row r="898" spans="1:23" x14ac:dyDescent="0.25">
      <c r="A898" s="4">
        <v>28602407000108</v>
      </c>
      <c r="B898" s="8" t="s">
        <v>677</v>
      </c>
      <c r="C898" s="8" t="s">
        <v>652</v>
      </c>
      <c r="D898" s="7" t="s">
        <v>241</v>
      </c>
      <c r="E898" s="7" t="s">
        <v>795</v>
      </c>
      <c r="F898" s="6">
        <v>2</v>
      </c>
      <c r="G898" s="8" t="s">
        <v>733</v>
      </c>
      <c r="H898" s="8" t="s">
        <v>734</v>
      </c>
      <c r="I898" s="7" t="s">
        <v>730</v>
      </c>
      <c r="J898" s="8" t="s">
        <v>785</v>
      </c>
      <c r="K898" s="14" t="b">
        <v>1</v>
      </c>
      <c r="L898" s="14" t="b">
        <v>0</v>
      </c>
      <c r="M898" s="14" t="b">
        <v>0</v>
      </c>
      <c r="N898" s="14" t="b">
        <v>1</v>
      </c>
      <c r="O898" s="14" t="b">
        <v>1</v>
      </c>
      <c r="W898" s="3"/>
    </row>
    <row r="899" spans="1:23" x14ac:dyDescent="0.25">
      <c r="A899" s="4">
        <v>28602407000108</v>
      </c>
      <c r="B899" s="8" t="s">
        <v>677</v>
      </c>
      <c r="C899" s="8" t="s">
        <v>652</v>
      </c>
      <c r="D899" s="7" t="s">
        <v>241</v>
      </c>
      <c r="E899" s="7" t="s">
        <v>795</v>
      </c>
      <c r="F899" s="6">
        <v>2</v>
      </c>
      <c r="G899" s="8" t="s">
        <v>760</v>
      </c>
      <c r="H899" s="8" t="s">
        <v>761</v>
      </c>
      <c r="I899" s="7" t="s">
        <v>723</v>
      </c>
      <c r="J899" s="8" t="s">
        <v>785</v>
      </c>
      <c r="K899" s="14" t="b">
        <v>0</v>
      </c>
      <c r="L899" s="14" t="b">
        <v>1</v>
      </c>
      <c r="M899" s="14" t="b">
        <v>1</v>
      </c>
      <c r="N899" s="14" t="b">
        <v>0</v>
      </c>
      <c r="O899" s="14" t="b">
        <v>1</v>
      </c>
      <c r="W899" s="3"/>
    </row>
    <row r="900" spans="1:23" x14ac:dyDescent="0.25">
      <c r="A900" s="4">
        <v>29259736000403</v>
      </c>
      <c r="B900" s="8" t="s">
        <v>678</v>
      </c>
      <c r="C900" s="8" t="s">
        <v>652</v>
      </c>
      <c r="D900" s="7" t="s">
        <v>241</v>
      </c>
      <c r="E900" s="7" t="s">
        <v>795</v>
      </c>
      <c r="F900" s="6">
        <v>2</v>
      </c>
      <c r="G900" s="8" t="s">
        <v>733</v>
      </c>
      <c r="H900" s="8" t="s">
        <v>734</v>
      </c>
      <c r="I900" s="7" t="s">
        <v>730</v>
      </c>
      <c r="J900" s="8" t="s">
        <v>785</v>
      </c>
      <c r="K900" s="14" t="b">
        <v>1</v>
      </c>
      <c r="L900" s="14" t="b">
        <v>0</v>
      </c>
      <c r="M900" s="14" t="b">
        <v>0</v>
      </c>
      <c r="N900" s="14" t="b">
        <v>1</v>
      </c>
      <c r="O900" s="14" t="b">
        <v>1</v>
      </c>
      <c r="W900" s="3"/>
    </row>
    <row r="901" spans="1:23" x14ac:dyDescent="0.25">
      <c r="A901" s="4">
        <v>29259736000403</v>
      </c>
      <c r="B901" s="8" t="s">
        <v>678</v>
      </c>
      <c r="C901" s="8" t="s">
        <v>652</v>
      </c>
      <c r="D901" s="7" t="s">
        <v>241</v>
      </c>
      <c r="E901" s="7" t="s">
        <v>795</v>
      </c>
      <c r="F901" s="6">
        <v>2</v>
      </c>
      <c r="G901" s="8" t="s">
        <v>760</v>
      </c>
      <c r="H901" s="8" t="s">
        <v>761</v>
      </c>
      <c r="I901" s="7" t="s">
        <v>723</v>
      </c>
      <c r="J901" s="8" t="s">
        <v>785</v>
      </c>
      <c r="K901" s="14" t="b">
        <v>0</v>
      </c>
      <c r="L901" s="14" t="b">
        <v>1</v>
      </c>
      <c r="M901" s="14" t="b">
        <v>1</v>
      </c>
      <c r="N901" s="14" t="b">
        <v>0</v>
      </c>
      <c r="O901" s="14" t="b">
        <v>1</v>
      </c>
      <c r="W901" s="3"/>
    </row>
    <row r="902" spans="1:23" x14ac:dyDescent="0.25">
      <c r="A902" s="4">
        <v>29435005005198</v>
      </c>
      <c r="B902" s="8" t="s">
        <v>679</v>
      </c>
      <c r="C902" s="8" t="s">
        <v>652</v>
      </c>
      <c r="D902" s="7" t="s">
        <v>241</v>
      </c>
      <c r="E902" s="7" t="s">
        <v>795</v>
      </c>
      <c r="F902" s="6">
        <v>2</v>
      </c>
      <c r="G902" s="8" t="s">
        <v>733</v>
      </c>
      <c r="H902" s="8" t="s">
        <v>734</v>
      </c>
      <c r="I902" s="7" t="s">
        <v>730</v>
      </c>
      <c r="J902" s="8" t="s">
        <v>785</v>
      </c>
      <c r="K902" s="14" t="b">
        <v>1</v>
      </c>
      <c r="L902" s="14" t="b">
        <v>0</v>
      </c>
      <c r="M902" s="14" t="b">
        <v>0</v>
      </c>
      <c r="N902" s="14" t="b">
        <v>1</v>
      </c>
      <c r="O902" s="14" t="b">
        <v>1</v>
      </c>
      <c r="W902" s="3"/>
    </row>
    <row r="903" spans="1:23" x14ac:dyDescent="0.25">
      <c r="A903" s="4">
        <v>29435005005198</v>
      </c>
      <c r="B903" s="8" t="s">
        <v>679</v>
      </c>
      <c r="C903" s="8" t="s">
        <v>652</v>
      </c>
      <c r="D903" s="7" t="s">
        <v>241</v>
      </c>
      <c r="E903" s="7" t="s">
        <v>795</v>
      </c>
      <c r="F903" s="6">
        <v>2</v>
      </c>
      <c r="G903" s="8" t="s">
        <v>760</v>
      </c>
      <c r="H903" s="8" t="s">
        <v>761</v>
      </c>
      <c r="I903" s="7" t="s">
        <v>723</v>
      </c>
      <c r="J903" s="8" t="s">
        <v>785</v>
      </c>
      <c r="K903" s="14" t="b">
        <v>0</v>
      </c>
      <c r="L903" s="14" t="b">
        <v>1</v>
      </c>
      <c r="M903" s="14" t="b">
        <v>1</v>
      </c>
      <c r="N903" s="14" t="b">
        <v>0</v>
      </c>
      <c r="O903" s="14" t="b">
        <v>1</v>
      </c>
      <c r="W903" s="3"/>
    </row>
    <row r="904" spans="1:23" x14ac:dyDescent="0.25">
      <c r="A904" s="4">
        <v>29435005005279</v>
      </c>
      <c r="B904" s="8" t="s">
        <v>700</v>
      </c>
      <c r="C904" s="8" t="s">
        <v>652</v>
      </c>
      <c r="D904" s="7" t="s">
        <v>241</v>
      </c>
      <c r="E904" s="7" t="s">
        <v>795</v>
      </c>
      <c r="F904" s="6">
        <v>2</v>
      </c>
      <c r="G904" s="8" t="s">
        <v>733</v>
      </c>
      <c r="H904" s="8" t="s">
        <v>734</v>
      </c>
      <c r="I904" s="7" t="s">
        <v>730</v>
      </c>
      <c r="J904" s="8" t="s">
        <v>785</v>
      </c>
      <c r="K904" s="14" t="b">
        <v>1</v>
      </c>
      <c r="L904" s="14" t="b">
        <v>0</v>
      </c>
      <c r="M904" s="14" t="b">
        <v>0</v>
      </c>
      <c r="N904" s="14" t="b">
        <v>1</v>
      </c>
      <c r="O904" s="14" t="b">
        <v>1</v>
      </c>
      <c r="W904" s="3"/>
    </row>
    <row r="905" spans="1:23" x14ac:dyDescent="0.25">
      <c r="A905" s="4">
        <v>29435005005279</v>
      </c>
      <c r="B905" s="8" t="s">
        <v>700</v>
      </c>
      <c r="C905" s="8" t="s">
        <v>652</v>
      </c>
      <c r="D905" s="7" t="s">
        <v>241</v>
      </c>
      <c r="E905" s="7" t="s">
        <v>795</v>
      </c>
      <c r="F905" s="6">
        <v>2</v>
      </c>
      <c r="G905" s="8" t="s">
        <v>760</v>
      </c>
      <c r="H905" s="8" t="s">
        <v>761</v>
      </c>
      <c r="I905" s="7" t="s">
        <v>723</v>
      </c>
      <c r="J905" s="8" t="s">
        <v>785</v>
      </c>
      <c r="K905" s="14" t="b">
        <v>0</v>
      </c>
      <c r="L905" s="14" t="b">
        <v>1</v>
      </c>
      <c r="M905" s="14" t="b">
        <v>1</v>
      </c>
      <c r="N905" s="14" t="b">
        <v>0</v>
      </c>
      <c r="O905" s="14" t="b">
        <v>1</v>
      </c>
      <c r="W905" s="3"/>
    </row>
    <row r="906" spans="1:23" x14ac:dyDescent="0.25">
      <c r="A906" s="4">
        <v>29435005005783</v>
      </c>
      <c r="B906" s="8" t="s">
        <v>680</v>
      </c>
      <c r="C906" s="8" t="s">
        <v>652</v>
      </c>
      <c r="D906" s="7" t="s">
        <v>241</v>
      </c>
      <c r="E906" s="7" t="s">
        <v>795</v>
      </c>
      <c r="F906" s="6">
        <v>2</v>
      </c>
      <c r="G906" s="8" t="s">
        <v>733</v>
      </c>
      <c r="H906" s="8" t="s">
        <v>734</v>
      </c>
      <c r="I906" s="7" t="s">
        <v>730</v>
      </c>
      <c r="J906" s="8" t="s">
        <v>785</v>
      </c>
      <c r="K906" s="14" t="b">
        <v>1</v>
      </c>
      <c r="L906" s="14" t="b">
        <v>0</v>
      </c>
      <c r="M906" s="14" t="b">
        <v>0</v>
      </c>
      <c r="N906" s="14" t="b">
        <v>1</v>
      </c>
      <c r="O906" s="14" t="b">
        <v>1</v>
      </c>
      <c r="W906" s="3"/>
    </row>
    <row r="907" spans="1:23" x14ac:dyDescent="0.25">
      <c r="A907" s="4">
        <v>29435005005783</v>
      </c>
      <c r="B907" s="8" t="s">
        <v>680</v>
      </c>
      <c r="C907" s="8" t="s">
        <v>652</v>
      </c>
      <c r="D907" s="7" t="s">
        <v>241</v>
      </c>
      <c r="E907" s="7" t="s">
        <v>795</v>
      </c>
      <c r="F907" s="6">
        <v>2</v>
      </c>
      <c r="G907" s="8" t="s">
        <v>752</v>
      </c>
      <c r="H907" s="8" t="s">
        <v>753</v>
      </c>
      <c r="I907" s="7" t="s">
        <v>723</v>
      </c>
      <c r="J907" s="8" t="s">
        <v>785</v>
      </c>
      <c r="K907" s="14" t="b">
        <v>0</v>
      </c>
      <c r="L907" s="14" t="b">
        <v>1</v>
      </c>
      <c r="M907" s="14" t="b">
        <v>1</v>
      </c>
      <c r="N907" s="14" t="b">
        <v>0</v>
      </c>
      <c r="O907" s="14" t="b">
        <v>1</v>
      </c>
      <c r="W907" s="3"/>
    </row>
    <row r="908" spans="1:23" x14ac:dyDescent="0.25">
      <c r="A908" s="4">
        <v>29435005006160</v>
      </c>
      <c r="B908" s="8" t="s">
        <v>681</v>
      </c>
      <c r="C908" s="8" t="s">
        <v>652</v>
      </c>
      <c r="D908" s="7" t="s">
        <v>241</v>
      </c>
      <c r="E908" s="7" t="s">
        <v>795</v>
      </c>
      <c r="F908" s="6">
        <v>2</v>
      </c>
      <c r="G908" s="8" t="s">
        <v>733</v>
      </c>
      <c r="H908" s="8" t="s">
        <v>734</v>
      </c>
      <c r="I908" s="7" t="s">
        <v>730</v>
      </c>
      <c r="J908" s="8" t="s">
        <v>785</v>
      </c>
      <c r="K908" s="14" t="b">
        <v>1</v>
      </c>
      <c r="L908" s="14" t="b">
        <v>0</v>
      </c>
      <c r="M908" s="14" t="b">
        <v>0</v>
      </c>
      <c r="N908" s="14" t="b">
        <v>1</v>
      </c>
      <c r="O908" s="14" t="b">
        <v>1</v>
      </c>
      <c r="W908" s="3"/>
    </row>
    <row r="909" spans="1:23" x14ac:dyDescent="0.25">
      <c r="A909" s="4">
        <v>29435005006160</v>
      </c>
      <c r="B909" s="8" t="s">
        <v>681</v>
      </c>
      <c r="C909" s="8" t="s">
        <v>652</v>
      </c>
      <c r="D909" s="7" t="s">
        <v>241</v>
      </c>
      <c r="E909" s="7" t="s">
        <v>795</v>
      </c>
      <c r="F909" s="6">
        <v>2</v>
      </c>
      <c r="G909" s="8" t="s">
        <v>760</v>
      </c>
      <c r="H909" s="8" t="s">
        <v>761</v>
      </c>
      <c r="I909" s="7" t="s">
        <v>723</v>
      </c>
      <c r="J909" s="8" t="s">
        <v>785</v>
      </c>
      <c r="K909" s="14" t="b">
        <v>0</v>
      </c>
      <c r="L909" s="14" t="b">
        <v>1</v>
      </c>
      <c r="M909" s="14" t="b">
        <v>1</v>
      </c>
      <c r="N909" s="14" t="b">
        <v>0</v>
      </c>
      <c r="O909" s="14" t="b">
        <v>1</v>
      </c>
      <c r="W909" s="3"/>
    </row>
    <row r="910" spans="1:23" x14ac:dyDescent="0.25">
      <c r="A910" s="4">
        <v>31635857000101</v>
      </c>
      <c r="B910" s="8" t="s">
        <v>682</v>
      </c>
      <c r="C910" s="8" t="s">
        <v>652</v>
      </c>
      <c r="D910" s="7" t="s">
        <v>241</v>
      </c>
      <c r="E910" s="7" t="s">
        <v>795</v>
      </c>
      <c r="F910" s="6">
        <v>2</v>
      </c>
      <c r="G910" s="8" t="s">
        <v>733</v>
      </c>
      <c r="H910" s="8" t="s">
        <v>734</v>
      </c>
      <c r="I910" s="7" t="s">
        <v>730</v>
      </c>
      <c r="J910" s="8" t="s">
        <v>785</v>
      </c>
      <c r="K910" s="14" t="b">
        <v>1</v>
      </c>
      <c r="L910" s="14" t="b">
        <v>0</v>
      </c>
      <c r="M910" s="14" t="b">
        <v>0</v>
      </c>
      <c r="N910" s="14" t="b">
        <v>1</v>
      </c>
      <c r="O910" s="14" t="b">
        <v>1</v>
      </c>
      <c r="W910" s="3"/>
    </row>
    <row r="911" spans="1:23" x14ac:dyDescent="0.25">
      <c r="A911" s="4">
        <v>31635857000101</v>
      </c>
      <c r="B911" s="8" t="s">
        <v>682</v>
      </c>
      <c r="C911" s="8" t="s">
        <v>652</v>
      </c>
      <c r="D911" s="7" t="s">
        <v>241</v>
      </c>
      <c r="E911" s="7" t="s">
        <v>795</v>
      </c>
      <c r="F911" s="6">
        <v>2</v>
      </c>
      <c r="G911" s="8" t="s">
        <v>752</v>
      </c>
      <c r="H911" s="8" t="s">
        <v>753</v>
      </c>
      <c r="I911" s="7" t="s">
        <v>723</v>
      </c>
      <c r="J911" s="8" t="s">
        <v>785</v>
      </c>
      <c r="K911" s="14" t="b">
        <v>0</v>
      </c>
      <c r="L911" s="14" t="b">
        <v>1</v>
      </c>
      <c r="M911" s="14" t="b">
        <v>1</v>
      </c>
      <c r="N911" s="14" t="b">
        <v>0</v>
      </c>
      <c r="O911" s="14" t="b">
        <v>1</v>
      </c>
      <c r="W911" s="3"/>
    </row>
    <row r="912" spans="1:23" x14ac:dyDescent="0.25">
      <c r="A912" s="4">
        <v>31635857000292</v>
      </c>
      <c r="B912" s="8" t="s">
        <v>683</v>
      </c>
      <c r="C912" s="8" t="s">
        <v>652</v>
      </c>
      <c r="D912" s="7" t="s">
        <v>241</v>
      </c>
      <c r="E912" s="7" t="s">
        <v>795</v>
      </c>
      <c r="F912" s="6">
        <v>2</v>
      </c>
      <c r="G912" s="8" t="s">
        <v>733</v>
      </c>
      <c r="H912" s="8" t="s">
        <v>734</v>
      </c>
      <c r="I912" s="7" t="s">
        <v>730</v>
      </c>
      <c r="J912" s="8" t="s">
        <v>785</v>
      </c>
      <c r="K912" s="14" t="b">
        <v>1</v>
      </c>
      <c r="L912" s="14" t="b">
        <v>0</v>
      </c>
      <c r="M912" s="14" t="b">
        <v>0</v>
      </c>
      <c r="N912" s="14" t="b">
        <v>1</v>
      </c>
      <c r="O912" s="14" t="b">
        <v>1</v>
      </c>
      <c r="W912" s="3"/>
    </row>
    <row r="913" spans="1:23" x14ac:dyDescent="0.25">
      <c r="A913" s="4">
        <v>31635857000292</v>
      </c>
      <c r="B913" s="8" t="s">
        <v>683</v>
      </c>
      <c r="C913" s="8" t="s">
        <v>652</v>
      </c>
      <c r="D913" s="7" t="s">
        <v>241</v>
      </c>
      <c r="E913" s="7" t="s">
        <v>795</v>
      </c>
      <c r="F913" s="6">
        <v>2</v>
      </c>
      <c r="G913" s="8" t="s">
        <v>760</v>
      </c>
      <c r="H913" s="8" t="s">
        <v>761</v>
      </c>
      <c r="I913" s="7" t="s">
        <v>723</v>
      </c>
      <c r="J913" s="8" t="s">
        <v>785</v>
      </c>
      <c r="K913" s="14" t="b">
        <v>0</v>
      </c>
      <c r="L913" s="14" t="b">
        <v>1</v>
      </c>
      <c r="M913" s="14" t="b">
        <v>1</v>
      </c>
      <c r="N913" s="14" t="b">
        <v>0</v>
      </c>
      <c r="O913" s="14" t="b">
        <v>1</v>
      </c>
      <c r="W913" s="3"/>
    </row>
    <row r="914" spans="1:23" x14ac:dyDescent="0.25">
      <c r="A914" s="4">
        <v>32154700000127</v>
      </c>
      <c r="B914" s="8" t="s">
        <v>684</v>
      </c>
      <c r="C914" s="8" t="s">
        <v>652</v>
      </c>
      <c r="D914" s="7" t="s">
        <v>241</v>
      </c>
      <c r="E914" s="7" t="s">
        <v>795</v>
      </c>
      <c r="F914" s="6">
        <v>2</v>
      </c>
      <c r="G914" s="8" t="s">
        <v>733</v>
      </c>
      <c r="H914" s="8" t="s">
        <v>734</v>
      </c>
      <c r="I914" s="7" t="s">
        <v>730</v>
      </c>
      <c r="J914" s="8" t="s">
        <v>785</v>
      </c>
      <c r="K914" s="14" t="b">
        <v>1</v>
      </c>
      <c r="L914" s="14" t="b">
        <v>0</v>
      </c>
      <c r="M914" s="14" t="b">
        <v>0</v>
      </c>
      <c r="N914" s="14" t="b">
        <v>1</v>
      </c>
      <c r="O914" s="14" t="b">
        <v>1</v>
      </c>
      <c r="W914" s="3"/>
    </row>
    <row r="915" spans="1:23" x14ac:dyDescent="0.25">
      <c r="A915" s="4">
        <v>32154700000127</v>
      </c>
      <c r="B915" s="8" t="s">
        <v>684</v>
      </c>
      <c r="C915" s="8" t="s">
        <v>652</v>
      </c>
      <c r="D915" s="7" t="s">
        <v>241</v>
      </c>
      <c r="E915" s="7" t="s">
        <v>795</v>
      </c>
      <c r="F915" s="6">
        <v>2</v>
      </c>
      <c r="G915" s="8" t="s">
        <v>760</v>
      </c>
      <c r="H915" s="8" t="s">
        <v>761</v>
      </c>
      <c r="I915" s="7" t="s">
        <v>723</v>
      </c>
      <c r="J915" s="8" t="s">
        <v>785</v>
      </c>
      <c r="K915" s="14" t="b">
        <v>0</v>
      </c>
      <c r="L915" s="14" t="b">
        <v>1</v>
      </c>
      <c r="M915" s="14" t="b">
        <v>1</v>
      </c>
      <c r="N915" s="14" t="b">
        <v>0</v>
      </c>
      <c r="O915" s="14" t="b">
        <v>1</v>
      </c>
      <c r="W915" s="3"/>
    </row>
    <row r="916" spans="1:23" x14ac:dyDescent="0.25">
      <c r="A916" s="4">
        <v>33000167000101</v>
      </c>
      <c r="B916" s="8" t="s">
        <v>685</v>
      </c>
      <c r="C916" s="8" t="s">
        <v>652</v>
      </c>
      <c r="D916" s="7" t="s">
        <v>241</v>
      </c>
      <c r="E916" s="7" t="s">
        <v>795</v>
      </c>
      <c r="F916" s="6">
        <v>2</v>
      </c>
      <c r="G916" s="8" t="s">
        <v>733</v>
      </c>
      <c r="H916" s="8" t="s">
        <v>734</v>
      </c>
      <c r="I916" s="7" t="s">
        <v>730</v>
      </c>
      <c r="J916" s="8" t="s">
        <v>785</v>
      </c>
      <c r="K916" s="14" t="b">
        <v>1</v>
      </c>
      <c r="L916" s="14" t="b">
        <v>0</v>
      </c>
      <c r="M916" s="14" t="b">
        <v>0</v>
      </c>
      <c r="N916" s="14" t="b">
        <v>1</v>
      </c>
      <c r="O916" s="14" t="b">
        <v>1</v>
      </c>
      <c r="W916" s="3"/>
    </row>
    <row r="917" spans="1:23" x14ac:dyDescent="0.25">
      <c r="A917" s="4">
        <v>33000167000101</v>
      </c>
      <c r="B917" s="8" t="s">
        <v>685</v>
      </c>
      <c r="C917" s="8" t="s">
        <v>652</v>
      </c>
      <c r="D917" s="7" t="s">
        <v>241</v>
      </c>
      <c r="E917" s="7" t="s">
        <v>795</v>
      </c>
      <c r="F917" s="6">
        <v>2</v>
      </c>
      <c r="G917" s="8" t="s">
        <v>760</v>
      </c>
      <c r="H917" s="8" t="s">
        <v>761</v>
      </c>
      <c r="I917" s="7" t="s">
        <v>723</v>
      </c>
      <c r="J917" s="8" t="s">
        <v>785</v>
      </c>
      <c r="K917" s="14" t="b">
        <v>0</v>
      </c>
      <c r="L917" s="14" t="b">
        <v>1</v>
      </c>
      <c r="M917" s="14" t="b">
        <v>1</v>
      </c>
      <c r="N917" s="14" t="b">
        <v>0</v>
      </c>
      <c r="O917" s="14" t="b">
        <v>1</v>
      </c>
      <c r="W917" s="3"/>
    </row>
    <row r="918" spans="1:23" x14ac:dyDescent="0.25">
      <c r="A918" s="4">
        <v>33419482000259</v>
      </c>
      <c r="B918" s="8" t="s">
        <v>686</v>
      </c>
      <c r="C918" s="8" t="s">
        <v>652</v>
      </c>
      <c r="D918" s="7" t="s">
        <v>241</v>
      </c>
      <c r="E918" s="7" t="s">
        <v>795</v>
      </c>
      <c r="F918" s="6">
        <v>2</v>
      </c>
      <c r="G918" s="8" t="s">
        <v>733</v>
      </c>
      <c r="H918" s="8" t="s">
        <v>734</v>
      </c>
      <c r="I918" s="7" t="s">
        <v>730</v>
      </c>
      <c r="J918" s="8" t="s">
        <v>785</v>
      </c>
      <c r="K918" s="14" t="b">
        <v>1</v>
      </c>
      <c r="L918" s="14" t="b">
        <v>0</v>
      </c>
      <c r="M918" s="14" t="b">
        <v>0</v>
      </c>
      <c r="N918" s="14" t="b">
        <v>1</v>
      </c>
      <c r="O918" s="14" t="b">
        <v>1</v>
      </c>
      <c r="W918" s="3"/>
    </row>
    <row r="919" spans="1:23" x14ac:dyDescent="0.25">
      <c r="A919" s="4">
        <v>33419482000259</v>
      </c>
      <c r="B919" s="8" t="s">
        <v>686</v>
      </c>
      <c r="C919" s="8" t="s">
        <v>652</v>
      </c>
      <c r="D919" s="7" t="s">
        <v>241</v>
      </c>
      <c r="E919" s="7" t="s">
        <v>795</v>
      </c>
      <c r="F919" s="6">
        <v>2</v>
      </c>
      <c r="G919" s="8" t="s">
        <v>760</v>
      </c>
      <c r="H919" s="8" t="s">
        <v>761</v>
      </c>
      <c r="I919" s="7" t="s">
        <v>723</v>
      </c>
      <c r="J919" s="8" t="s">
        <v>785</v>
      </c>
      <c r="K919" s="14" t="b">
        <v>0</v>
      </c>
      <c r="L919" s="14" t="b">
        <v>1</v>
      </c>
      <c r="M919" s="14" t="b">
        <v>1</v>
      </c>
      <c r="N919" s="14" t="b">
        <v>0</v>
      </c>
      <c r="O919" s="14" t="b">
        <v>1</v>
      </c>
      <c r="W919" s="3"/>
    </row>
    <row r="920" spans="1:23" x14ac:dyDescent="0.25">
      <c r="A920" s="4">
        <v>33663683002674</v>
      </c>
      <c r="B920" s="8" t="s">
        <v>687</v>
      </c>
      <c r="C920" s="8" t="s">
        <v>652</v>
      </c>
      <c r="D920" s="7" t="s">
        <v>241</v>
      </c>
      <c r="E920" s="7" t="s">
        <v>795</v>
      </c>
      <c r="F920" s="6">
        <v>2</v>
      </c>
      <c r="G920" s="8" t="s">
        <v>733</v>
      </c>
      <c r="H920" s="8" t="s">
        <v>734</v>
      </c>
      <c r="I920" s="7" t="s">
        <v>730</v>
      </c>
      <c r="J920" s="8" t="s">
        <v>785</v>
      </c>
      <c r="K920" s="14" t="b">
        <v>1</v>
      </c>
      <c r="L920" s="14" t="b">
        <v>0</v>
      </c>
      <c r="M920" s="14" t="b">
        <v>0</v>
      </c>
      <c r="N920" s="14" t="b">
        <v>1</v>
      </c>
      <c r="O920" s="14" t="b">
        <v>1</v>
      </c>
      <c r="W920" s="3"/>
    </row>
    <row r="921" spans="1:23" x14ac:dyDescent="0.25">
      <c r="A921" s="4">
        <v>33663683002674</v>
      </c>
      <c r="B921" s="8" t="s">
        <v>687</v>
      </c>
      <c r="C921" s="8" t="s">
        <v>652</v>
      </c>
      <c r="D921" s="7" t="s">
        <v>241</v>
      </c>
      <c r="E921" s="7" t="s">
        <v>795</v>
      </c>
      <c r="F921" s="6">
        <v>2</v>
      </c>
      <c r="G921" s="8" t="s">
        <v>760</v>
      </c>
      <c r="H921" s="8" t="s">
        <v>761</v>
      </c>
      <c r="I921" s="7" t="s">
        <v>723</v>
      </c>
      <c r="J921" s="8" t="s">
        <v>785</v>
      </c>
      <c r="K921" s="14" t="b">
        <v>0</v>
      </c>
      <c r="L921" s="14" t="b">
        <v>1</v>
      </c>
      <c r="M921" s="14" t="b">
        <v>1</v>
      </c>
      <c r="N921" s="14" t="b">
        <v>0</v>
      </c>
      <c r="O921" s="14" t="b">
        <v>1</v>
      </c>
      <c r="W921" s="3"/>
    </row>
    <row r="922" spans="1:23" x14ac:dyDescent="0.25">
      <c r="A922" s="4">
        <v>33663683005347</v>
      </c>
      <c r="B922" s="8" t="s">
        <v>688</v>
      </c>
      <c r="C922" s="8" t="s">
        <v>652</v>
      </c>
      <c r="D922" s="7" t="s">
        <v>241</v>
      </c>
      <c r="E922" s="7" t="s">
        <v>795</v>
      </c>
      <c r="F922" s="6">
        <v>2</v>
      </c>
      <c r="G922" s="8" t="s">
        <v>733</v>
      </c>
      <c r="H922" s="8" t="s">
        <v>734</v>
      </c>
      <c r="I922" s="7" t="s">
        <v>730</v>
      </c>
      <c r="J922" s="8" t="s">
        <v>785</v>
      </c>
      <c r="K922" s="14" t="b">
        <v>1</v>
      </c>
      <c r="L922" s="14" t="b">
        <v>0</v>
      </c>
      <c r="M922" s="14" t="b">
        <v>0</v>
      </c>
      <c r="N922" s="14" t="b">
        <v>1</v>
      </c>
      <c r="O922" s="14" t="b">
        <v>1</v>
      </c>
      <c r="W922" s="3"/>
    </row>
    <row r="923" spans="1:23" x14ac:dyDescent="0.25">
      <c r="A923" s="4">
        <v>33663683005347</v>
      </c>
      <c r="B923" s="8" t="s">
        <v>688</v>
      </c>
      <c r="C923" s="8" t="s">
        <v>652</v>
      </c>
      <c r="D923" s="7" t="s">
        <v>241</v>
      </c>
      <c r="E923" s="7" t="s">
        <v>795</v>
      </c>
      <c r="F923" s="6">
        <v>2</v>
      </c>
      <c r="G923" s="8" t="s">
        <v>752</v>
      </c>
      <c r="H923" s="8" t="s">
        <v>753</v>
      </c>
      <c r="I923" s="7" t="s">
        <v>723</v>
      </c>
      <c r="J923" s="8" t="s">
        <v>785</v>
      </c>
      <c r="K923" s="14" t="b">
        <v>0</v>
      </c>
      <c r="L923" s="14" t="b">
        <v>1</v>
      </c>
      <c r="M923" s="14" t="b">
        <v>1</v>
      </c>
      <c r="N923" s="14" t="b">
        <v>0</v>
      </c>
      <c r="O923" s="14" t="b">
        <v>1</v>
      </c>
      <c r="W923" s="3"/>
    </row>
    <row r="924" spans="1:23" x14ac:dyDescent="0.25">
      <c r="A924" s="4">
        <v>33781055000216</v>
      </c>
      <c r="B924" s="8" t="s">
        <v>689</v>
      </c>
      <c r="C924" s="8" t="s">
        <v>652</v>
      </c>
      <c r="D924" s="7" t="s">
        <v>241</v>
      </c>
      <c r="E924" s="7" t="s">
        <v>795</v>
      </c>
      <c r="F924" s="6">
        <v>2</v>
      </c>
      <c r="G924" s="8" t="s">
        <v>733</v>
      </c>
      <c r="H924" s="8" t="s">
        <v>734</v>
      </c>
      <c r="I924" s="7" t="s">
        <v>730</v>
      </c>
      <c r="J924" s="8" t="s">
        <v>785</v>
      </c>
      <c r="K924" s="14" t="b">
        <v>1</v>
      </c>
      <c r="L924" s="14" t="b">
        <v>0</v>
      </c>
      <c r="M924" s="14" t="b">
        <v>0</v>
      </c>
      <c r="N924" s="14" t="b">
        <v>1</v>
      </c>
      <c r="O924" s="14" t="b">
        <v>1</v>
      </c>
      <c r="W924" s="3"/>
    </row>
    <row r="925" spans="1:23" x14ac:dyDescent="0.25">
      <c r="A925" s="4">
        <v>33781055000216</v>
      </c>
      <c r="B925" s="8" t="s">
        <v>689</v>
      </c>
      <c r="C925" s="8" t="s">
        <v>652</v>
      </c>
      <c r="D925" s="7" t="s">
        <v>241</v>
      </c>
      <c r="E925" s="7" t="s">
        <v>795</v>
      </c>
      <c r="F925" s="6">
        <v>2</v>
      </c>
      <c r="G925" s="8" t="s">
        <v>760</v>
      </c>
      <c r="H925" s="8" t="s">
        <v>761</v>
      </c>
      <c r="I925" s="7" t="s">
        <v>723</v>
      </c>
      <c r="J925" s="8" t="s">
        <v>785</v>
      </c>
      <c r="K925" s="14" t="b">
        <v>0</v>
      </c>
      <c r="L925" s="14" t="b">
        <v>1</v>
      </c>
      <c r="M925" s="14" t="b">
        <v>1</v>
      </c>
      <c r="N925" s="14" t="b">
        <v>0</v>
      </c>
      <c r="O925" s="14" t="b">
        <v>1</v>
      </c>
      <c r="W925" s="3"/>
    </row>
    <row r="926" spans="1:23" x14ac:dyDescent="0.25">
      <c r="A926" s="4">
        <v>33927377000140</v>
      </c>
      <c r="B926" s="8" t="s">
        <v>690</v>
      </c>
      <c r="C926" s="8" t="s">
        <v>652</v>
      </c>
      <c r="D926" s="7" t="s">
        <v>241</v>
      </c>
      <c r="E926" s="7" t="s">
        <v>795</v>
      </c>
      <c r="F926" s="6">
        <v>2</v>
      </c>
      <c r="G926" s="8" t="s">
        <v>733</v>
      </c>
      <c r="H926" s="8" t="s">
        <v>734</v>
      </c>
      <c r="I926" s="7" t="s">
        <v>730</v>
      </c>
      <c r="J926" s="8" t="s">
        <v>785</v>
      </c>
      <c r="K926" s="14" t="b">
        <v>1</v>
      </c>
      <c r="L926" s="14" t="b">
        <v>0</v>
      </c>
      <c r="M926" s="14" t="b">
        <v>0</v>
      </c>
      <c r="N926" s="14" t="b">
        <v>1</v>
      </c>
      <c r="O926" s="14" t="b">
        <v>1</v>
      </c>
      <c r="W926" s="3"/>
    </row>
    <row r="927" spans="1:23" x14ac:dyDescent="0.25">
      <c r="A927" s="4">
        <v>33927377000140</v>
      </c>
      <c r="B927" s="8" t="s">
        <v>690</v>
      </c>
      <c r="C927" s="8" t="s">
        <v>652</v>
      </c>
      <c r="D927" s="7" t="s">
        <v>241</v>
      </c>
      <c r="E927" s="7" t="s">
        <v>795</v>
      </c>
      <c r="F927" s="6">
        <v>2</v>
      </c>
      <c r="G927" s="8" t="s">
        <v>760</v>
      </c>
      <c r="H927" s="8" t="s">
        <v>761</v>
      </c>
      <c r="I927" s="7" t="s">
        <v>723</v>
      </c>
      <c r="J927" s="8" t="s">
        <v>785</v>
      </c>
      <c r="K927" s="14" t="b">
        <v>0</v>
      </c>
      <c r="L927" s="14" t="b">
        <v>1</v>
      </c>
      <c r="M927" s="14" t="b">
        <v>1</v>
      </c>
      <c r="N927" s="14" t="b">
        <v>0</v>
      </c>
      <c r="O927" s="14" t="b">
        <v>1</v>
      </c>
      <c r="W927" s="3"/>
    </row>
    <row r="928" spans="1:23" x14ac:dyDescent="0.25">
      <c r="A928" s="4">
        <v>34058123000103</v>
      </c>
      <c r="B928" s="8" t="s">
        <v>701</v>
      </c>
      <c r="C928" s="8" t="s">
        <v>652</v>
      </c>
      <c r="D928" s="7" t="s">
        <v>241</v>
      </c>
      <c r="E928" s="7" t="s">
        <v>795</v>
      </c>
      <c r="F928" s="6">
        <v>2</v>
      </c>
      <c r="G928" s="8" t="s">
        <v>733</v>
      </c>
      <c r="H928" s="8" t="s">
        <v>734</v>
      </c>
      <c r="I928" s="7" t="s">
        <v>730</v>
      </c>
      <c r="J928" s="8" t="s">
        <v>785</v>
      </c>
      <c r="K928" s="14" t="b">
        <v>1</v>
      </c>
      <c r="L928" s="14" t="b">
        <v>0</v>
      </c>
      <c r="M928" s="14" t="b">
        <v>0</v>
      </c>
      <c r="N928" s="14" t="b">
        <v>1</v>
      </c>
      <c r="O928" s="14" t="b">
        <v>1</v>
      </c>
      <c r="W928" s="3"/>
    </row>
    <row r="929" spans="1:23" x14ac:dyDescent="0.25">
      <c r="A929" s="4">
        <v>34058123000103</v>
      </c>
      <c r="B929" s="8" t="s">
        <v>701</v>
      </c>
      <c r="C929" s="8" t="s">
        <v>652</v>
      </c>
      <c r="D929" s="7" t="s">
        <v>241</v>
      </c>
      <c r="E929" s="7" t="s">
        <v>795</v>
      </c>
      <c r="F929" s="6">
        <v>2</v>
      </c>
      <c r="G929" s="8" t="s">
        <v>760</v>
      </c>
      <c r="H929" s="8" t="s">
        <v>761</v>
      </c>
      <c r="I929" s="7" t="s">
        <v>723</v>
      </c>
      <c r="J929" s="8" t="s">
        <v>785</v>
      </c>
      <c r="K929" s="14" t="b">
        <v>0</v>
      </c>
      <c r="L929" s="14" t="b">
        <v>1</v>
      </c>
      <c r="M929" s="14" t="b">
        <v>1</v>
      </c>
      <c r="N929" s="14" t="b">
        <v>0</v>
      </c>
      <c r="O929" s="14" t="b">
        <v>1</v>
      </c>
      <c r="W929" s="3"/>
    </row>
    <row r="930" spans="1:23" x14ac:dyDescent="0.25">
      <c r="A930" s="4">
        <v>39086160000130</v>
      </c>
      <c r="B930" s="8" t="s">
        <v>691</v>
      </c>
      <c r="C930" s="8" t="s">
        <v>652</v>
      </c>
      <c r="D930" s="7" t="s">
        <v>241</v>
      </c>
      <c r="E930" s="7" t="s">
        <v>795</v>
      </c>
      <c r="F930" s="6">
        <v>2</v>
      </c>
      <c r="G930" s="8" t="s">
        <v>733</v>
      </c>
      <c r="H930" s="8" t="s">
        <v>734</v>
      </c>
      <c r="I930" s="7" t="s">
        <v>730</v>
      </c>
      <c r="J930" s="8" t="s">
        <v>785</v>
      </c>
      <c r="K930" s="14" t="b">
        <v>1</v>
      </c>
      <c r="L930" s="14" t="b">
        <v>0</v>
      </c>
      <c r="M930" s="14" t="b">
        <v>0</v>
      </c>
      <c r="N930" s="14" t="b">
        <v>1</v>
      </c>
      <c r="O930" s="14" t="b">
        <v>1</v>
      </c>
      <c r="W930" s="3"/>
    </row>
    <row r="931" spans="1:23" x14ac:dyDescent="0.25">
      <c r="A931" s="4">
        <v>39086160000130</v>
      </c>
      <c r="B931" s="8" t="s">
        <v>691</v>
      </c>
      <c r="C931" s="8" t="s">
        <v>652</v>
      </c>
      <c r="D931" s="7" t="s">
        <v>241</v>
      </c>
      <c r="E931" s="7" t="s">
        <v>795</v>
      </c>
      <c r="F931" s="6">
        <v>2</v>
      </c>
      <c r="G931" s="8" t="s">
        <v>760</v>
      </c>
      <c r="H931" s="8" t="s">
        <v>761</v>
      </c>
      <c r="I931" s="7" t="s">
        <v>723</v>
      </c>
      <c r="J931" s="8" t="s">
        <v>785</v>
      </c>
      <c r="K931" s="14" t="b">
        <v>0</v>
      </c>
      <c r="L931" s="14" t="b">
        <v>1</v>
      </c>
      <c r="M931" s="14" t="b">
        <v>1</v>
      </c>
      <c r="N931" s="14" t="b">
        <v>0</v>
      </c>
      <c r="O931" s="14" t="b">
        <v>1</v>
      </c>
      <c r="W931" s="3"/>
    </row>
    <row r="932" spans="1:23" x14ac:dyDescent="0.25">
      <c r="A932" s="4">
        <v>40226946000276</v>
      </c>
      <c r="B932" s="8" t="s">
        <v>707</v>
      </c>
      <c r="C932" s="8" t="s">
        <v>652</v>
      </c>
      <c r="D932" s="7" t="s">
        <v>241</v>
      </c>
      <c r="E932" s="7" t="s">
        <v>795</v>
      </c>
      <c r="F932" s="6">
        <v>2</v>
      </c>
      <c r="G932" s="8" t="s">
        <v>733</v>
      </c>
      <c r="H932" s="8" t="s">
        <v>734</v>
      </c>
      <c r="I932" s="7" t="s">
        <v>730</v>
      </c>
      <c r="J932" s="8" t="s">
        <v>785</v>
      </c>
      <c r="K932" s="14" t="b">
        <v>1</v>
      </c>
      <c r="L932" s="14" t="b">
        <v>0</v>
      </c>
      <c r="M932" s="14" t="b">
        <v>0</v>
      </c>
      <c r="N932" s="14" t="b">
        <v>1</v>
      </c>
      <c r="O932" s="14" t="b">
        <v>1</v>
      </c>
      <c r="W932" s="3"/>
    </row>
    <row r="933" spans="1:23" x14ac:dyDescent="0.25">
      <c r="A933" s="4">
        <v>40226946000276</v>
      </c>
      <c r="B933" s="8" t="s">
        <v>707</v>
      </c>
      <c r="C933" s="8" t="s">
        <v>652</v>
      </c>
      <c r="D933" s="7" t="s">
        <v>241</v>
      </c>
      <c r="E933" s="7" t="s">
        <v>795</v>
      </c>
      <c r="F933" s="6">
        <v>2</v>
      </c>
      <c r="G933" s="8" t="s">
        <v>760</v>
      </c>
      <c r="H933" s="8" t="s">
        <v>761</v>
      </c>
      <c r="I933" s="7" t="s">
        <v>723</v>
      </c>
      <c r="J933" s="8" t="s">
        <v>785</v>
      </c>
      <c r="K933" s="14" t="b">
        <v>0</v>
      </c>
      <c r="L933" s="14" t="b">
        <v>1</v>
      </c>
      <c r="M933" s="14" t="b">
        <v>1</v>
      </c>
      <c r="N933" s="14" t="b">
        <v>0</v>
      </c>
      <c r="O933" s="14" t="b">
        <v>1</v>
      </c>
      <c r="W933" s="3"/>
    </row>
    <row r="934" spans="1:23" x14ac:dyDescent="0.25">
      <c r="A934" s="4">
        <v>40320103000153</v>
      </c>
      <c r="B934" s="8" t="s">
        <v>702</v>
      </c>
      <c r="C934" s="8" t="s">
        <v>652</v>
      </c>
      <c r="D934" s="7" t="s">
        <v>241</v>
      </c>
      <c r="E934" s="7" t="s">
        <v>795</v>
      </c>
      <c r="F934" s="6">
        <v>2</v>
      </c>
      <c r="G934" s="8" t="s">
        <v>733</v>
      </c>
      <c r="H934" s="8" t="s">
        <v>734</v>
      </c>
      <c r="I934" s="7" t="s">
        <v>730</v>
      </c>
      <c r="J934" s="8" t="s">
        <v>785</v>
      </c>
      <c r="K934" s="14" t="b">
        <v>1</v>
      </c>
      <c r="L934" s="14" t="b">
        <v>0</v>
      </c>
      <c r="M934" s="14" t="b">
        <v>0</v>
      </c>
      <c r="N934" s="14" t="b">
        <v>1</v>
      </c>
      <c r="O934" s="14" t="b">
        <v>1</v>
      </c>
      <c r="W934" s="3"/>
    </row>
    <row r="935" spans="1:23" x14ac:dyDescent="0.25">
      <c r="A935" s="4">
        <v>40320103000153</v>
      </c>
      <c r="B935" s="8" t="s">
        <v>702</v>
      </c>
      <c r="C935" s="8" t="s">
        <v>652</v>
      </c>
      <c r="D935" s="7" t="s">
        <v>241</v>
      </c>
      <c r="E935" s="7" t="s">
        <v>795</v>
      </c>
      <c r="F935" s="6">
        <v>2</v>
      </c>
      <c r="G935" s="8" t="s">
        <v>752</v>
      </c>
      <c r="H935" s="8" t="s">
        <v>753</v>
      </c>
      <c r="I935" s="7" t="s">
        <v>723</v>
      </c>
      <c r="J935" s="8" t="s">
        <v>785</v>
      </c>
      <c r="K935" s="14" t="b">
        <v>0</v>
      </c>
      <c r="L935" s="14" t="b">
        <v>1</v>
      </c>
      <c r="M935" s="14" t="b">
        <v>1</v>
      </c>
      <c r="N935" s="14" t="b">
        <v>0</v>
      </c>
      <c r="O935" s="14" t="b">
        <v>1</v>
      </c>
      <c r="W935" s="3"/>
    </row>
    <row r="936" spans="1:23" x14ac:dyDescent="0.25">
      <c r="A936" s="4">
        <v>42297507000107</v>
      </c>
      <c r="B936" s="8" t="s">
        <v>703</v>
      </c>
      <c r="C936" s="8" t="s">
        <v>652</v>
      </c>
      <c r="D936" s="7" t="s">
        <v>241</v>
      </c>
      <c r="E936" s="7" t="s">
        <v>795</v>
      </c>
      <c r="F936" s="6">
        <v>2</v>
      </c>
      <c r="G936" s="8" t="s">
        <v>733</v>
      </c>
      <c r="H936" s="8" t="s">
        <v>734</v>
      </c>
      <c r="I936" s="7" t="s">
        <v>730</v>
      </c>
      <c r="J936" s="8" t="s">
        <v>785</v>
      </c>
      <c r="K936" s="14" t="b">
        <v>1</v>
      </c>
      <c r="L936" s="14" t="b">
        <v>0</v>
      </c>
      <c r="M936" s="14" t="b">
        <v>0</v>
      </c>
      <c r="N936" s="14" t="b">
        <v>1</v>
      </c>
      <c r="O936" s="14" t="b">
        <v>1</v>
      </c>
      <c r="W936" s="3"/>
    </row>
    <row r="937" spans="1:23" x14ac:dyDescent="0.25">
      <c r="A937" s="4">
        <v>42297507000107</v>
      </c>
      <c r="B937" s="8" t="s">
        <v>703</v>
      </c>
      <c r="C937" s="8" t="s">
        <v>652</v>
      </c>
      <c r="D937" s="7" t="s">
        <v>241</v>
      </c>
      <c r="E937" s="7" t="s">
        <v>795</v>
      </c>
      <c r="F937" s="6">
        <v>2</v>
      </c>
      <c r="G937" s="8" t="s">
        <v>760</v>
      </c>
      <c r="H937" s="8" t="s">
        <v>761</v>
      </c>
      <c r="I937" s="7" t="s">
        <v>723</v>
      </c>
      <c r="J937" s="8" t="s">
        <v>785</v>
      </c>
      <c r="K937" s="14" t="b">
        <v>0</v>
      </c>
      <c r="L937" s="14" t="b">
        <v>1</v>
      </c>
      <c r="M937" s="14" t="b">
        <v>1</v>
      </c>
      <c r="N937" s="14" t="b">
        <v>0</v>
      </c>
      <c r="O937" s="14" t="b">
        <v>1</v>
      </c>
      <c r="W937" s="3"/>
    </row>
    <row r="938" spans="1:23" x14ac:dyDescent="0.25">
      <c r="A938" s="4">
        <v>53221255004995</v>
      </c>
      <c r="B938" s="8" t="s">
        <v>692</v>
      </c>
      <c r="C938" s="8" t="s">
        <v>652</v>
      </c>
      <c r="D938" s="7" t="s">
        <v>241</v>
      </c>
      <c r="E938" s="7" t="s">
        <v>795</v>
      </c>
      <c r="F938" s="6">
        <v>2</v>
      </c>
      <c r="G938" s="8" t="s">
        <v>733</v>
      </c>
      <c r="H938" s="8" t="s">
        <v>734</v>
      </c>
      <c r="I938" s="7" t="s">
        <v>730</v>
      </c>
      <c r="J938" s="8" t="s">
        <v>785</v>
      </c>
      <c r="K938" s="14" t="b">
        <v>1</v>
      </c>
      <c r="L938" s="14" t="b">
        <v>0</v>
      </c>
      <c r="M938" s="14" t="b">
        <v>0</v>
      </c>
      <c r="N938" s="14" t="b">
        <v>1</v>
      </c>
      <c r="O938" s="14" t="b">
        <v>1</v>
      </c>
      <c r="W938" s="3"/>
    </row>
    <row r="939" spans="1:23" x14ac:dyDescent="0.25">
      <c r="A939" s="4">
        <v>53221255004995</v>
      </c>
      <c r="B939" s="8" t="s">
        <v>692</v>
      </c>
      <c r="C939" s="8" t="s">
        <v>652</v>
      </c>
      <c r="D939" s="7" t="s">
        <v>241</v>
      </c>
      <c r="E939" s="7" t="s">
        <v>795</v>
      </c>
      <c r="F939" s="6">
        <v>2</v>
      </c>
      <c r="G939" s="8" t="s">
        <v>760</v>
      </c>
      <c r="H939" s="8" t="s">
        <v>761</v>
      </c>
      <c r="I939" s="7" t="s">
        <v>723</v>
      </c>
      <c r="J939" s="8" t="s">
        <v>785</v>
      </c>
      <c r="K939" s="14" t="b">
        <v>0</v>
      </c>
      <c r="L939" s="14" t="b">
        <v>1</v>
      </c>
      <c r="M939" s="14" t="b">
        <v>1</v>
      </c>
      <c r="N939" s="14" t="b">
        <v>0</v>
      </c>
      <c r="O939" s="14" t="b">
        <v>1</v>
      </c>
      <c r="W939" s="3"/>
    </row>
    <row r="940" spans="1:23" x14ac:dyDescent="0.25">
      <c r="A940" s="4">
        <v>60884855001630</v>
      </c>
      <c r="B940" s="8" t="s">
        <v>693</v>
      </c>
      <c r="C940" s="8" t="s">
        <v>652</v>
      </c>
      <c r="D940" s="7" t="s">
        <v>241</v>
      </c>
      <c r="E940" s="7" t="s">
        <v>795</v>
      </c>
      <c r="F940" s="6">
        <v>2</v>
      </c>
      <c r="G940" s="8" t="s">
        <v>733</v>
      </c>
      <c r="H940" s="8" t="s">
        <v>734</v>
      </c>
      <c r="I940" s="7" t="s">
        <v>730</v>
      </c>
      <c r="J940" s="8" t="s">
        <v>785</v>
      </c>
      <c r="K940" s="14" t="b">
        <v>1</v>
      </c>
      <c r="L940" s="14" t="b">
        <v>0</v>
      </c>
      <c r="M940" s="14" t="b">
        <v>0</v>
      </c>
      <c r="N940" s="14" t="b">
        <v>1</v>
      </c>
      <c r="O940" s="14" t="b">
        <v>1</v>
      </c>
      <c r="W940" s="3"/>
    </row>
    <row r="941" spans="1:23" x14ac:dyDescent="0.25">
      <c r="A941" s="4">
        <v>60884855001630</v>
      </c>
      <c r="B941" s="8" t="s">
        <v>693</v>
      </c>
      <c r="C941" s="8" t="s">
        <v>652</v>
      </c>
      <c r="D941" s="7" t="s">
        <v>241</v>
      </c>
      <c r="E941" s="7" t="s">
        <v>795</v>
      </c>
      <c r="F941" s="6">
        <v>2</v>
      </c>
      <c r="G941" s="8" t="s">
        <v>752</v>
      </c>
      <c r="H941" s="8" t="s">
        <v>753</v>
      </c>
      <c r="I941" s="7" t="s">
        <v>723</v>
      </c>
      <c r="J941" s="8" t="s">
        <v>785</v>
      </c>
      <c r="K941" s="14" t="b">
        <v>0</v>
      </c>
      <c r="L941" s="14" t="b">
        <v>1</v>
      </c>
      <c r="M941" s="14" t="b">
        <v>1</v>
      </c>
      <c r="N941" s="14" t="b">
        <v>0</v>
      </c>
      <c r="O941" s="14" t="b">
        <v>1</v>
      </c>
      <c r="W941" s="3"/>
    </row>
    <row r="942" spans="1:23" x14ac:dyDescent="0.25">
      <c r="A942" s="4">
        <v>60922168000348</v>
      </c>
      <c r="B942" s="8" t="s">
        <v>694</v>
      </c>
      <c r="C942" s="8" t="s">
        <v>652</v>
      </c>
      <c r="D942" s="7" t="s">
        <v>241</v>
      </c>
      <c r="E942" s="7" t="s">
        <v>795</v>
      </c>
      <c r="F942" s="6">
        <v>2</v>
      </c>
      <c r="G942" s="8" t="s">
        <v>733</v>
      </c>
      <c r="H942" s="8" t="s">
        <v>734</v>
      </c>
      <c r="I942" s="7" t="s">
        <v>730</v>
      </c>
      <c r="J942" s="8" t="s">
        <v>785</v>
      </c>
      <c r="K942" s="14" t="b">
        <v>1</v>
      </c>
      <c r="L942" s="14" t="b">
        <v>0</v>
      </c>
      <c r="M942" s="14" t="b">
        <v>0</v>
      </c>
      <c r="N942" s="14" t="b">
        <v>1</v>
      </c>
      <c r="O942" s="14" t="b">
        <v>1</v>
      </c>
      <c r="W942" s="3"/>
    </row>
    <row r="943" spans="1:23" x14ac:dyDescent="0.25">
      <c r="A943" s="4">
        <v>60922168000348</v>
      </c>
      <c r="B943" s="8" t="s">
        <v>694</v>
      </c>
      <c r="C943" s="8" t="s">
        <v>652</v>
      </c>
      <c r="D943" s="7" t="s">
        <v>241</v>
      </c>
      <c r="E943" s="7" t="s">
        <v>795</v>
      </c>
      <c r="F943" s="6">
        <v>2</v>
      </c>
      <c r="G943" s="8" t="s">
        <v>760</v>
      </c>
      <c r="H943" s="8" t="s">
        <v>761</v>
      </c>
      <c r="I943" s="7" t="s">
        <v>723</v>
      </c>
      <c r="J943" s="8" t="s">
        <v>785</v>
      </c>
      <c r="K943" s="14" t="b">
        <v>0</v>
      </c>
      <c r="L943" s="14" t="b">
        <v>1</v>
      </c>
      <c r="M943" s="14" t="b">
        <v>1</v>
      </c>
      <c r="N943" s="14" t="b">
        <v>0</v>
      </c>
      <c r="O943" s="14" t="b">
        <v>1</v>
      </c>
      <c r="W943" s="3"/>
    </row>
    <row r="944" spans="1:23" x14ac:dyDescent="0.25">
      <c r="A944" s="4">
        <v>72101124000506</v>
      </c>
      <c r="B944" s="8" t="s">
        <v>695</v>
      </c>
      <c r="C944" s="8" t="s">
        <v>652</v>
      </c>
      <c r="D944" s="7" t="s">
        <v>241</v>
      </c>
      <c r="E944" s="7" t="s">
        <v>795</v>
      </c>
      <c r="F944" s="6">
        <v>2</v>
      </c>
      <c r="G944" s="8" t="s">
        <v>733</v>
      </c>
      <c r="H944" s="8" t="s">
        <v>734</v>
      </c>
      <c r="I944" s="7" t="s">
        <v>730</v>
      </c>
      <c r="J944" s="8" t="s">
        <v>785</v>
      </c>
      <c r="K944" s="14" t="b">
        <v>1</v>
      </c>
      <c r="L944" s="14" t="b">
        <v>0</v>
      </c>
      <c r="M944" s="14" t="b">
        <v>0</v>
      </c>
      <c r="N944" s="14" t="b">
        <v>1</v>
      </c>
      <c r="O944" s="14" t="b">
        <v>1</v>
      </c>
      <c r="W944" s="3"/>
    </row>
    <row r="945" spans="1:23" x14ac:dyDescent="0.25">
      <c r="A945" s="4">
        <v>72101124000506</v>
      </c>
      <c r="B945" s="8" t="s">
        <v>695</v>
      </c>
      <c r="C945" s="8" t="s">
        <v>652</v>
      </c>
      <c r="D945" s="7" t="s">
        <v>241</v>
      </c>
      <c r="E945" s="7" t="s">
        <v>795</v>
      </c>
      <c r="F945" s="6">
        <v>2</v>
      </c>
      <c r="G945" s="8" t="s">
        <v>760</v>
      </c>
      <c r="H945" s="8" t="s">
        <v>761</v>
      </c>
      <c r="I945" s="7" t="s">
        <v>723</v>
      </c>
      <c r="J945" s="8" t="s">
        <v>785</v>
      </c>
      <c r="K945" s="14" t="b">
        <v>0</v>
      </c>
      <c r="L945" s="14" t="b">
        <v>1</v>
      </c>
      <c r="M945" s="14" t="b">
        <v>1</v>
      </c>
      <c r="N945" s="14" t="b">
        <v>0</v>
      </c>
      <c r="O945" s="14" t="b">
        <v>1</v>
      </c>
      <c r="W945" s="3"/>
    </row>
    <row r="946" spans="1:23" x14ac:dyDescent="0.25">
      <c r="A946" s="4">
        <v>73696718000219</v>
      </c>
      <c r="B946" s="8" t="s">
        <v>696</v>
      </c>
      <c r="C946" s="8" t="s">
        <v>652</v>
      </c>
      <c r="D946" s="7" t="s">
        <v>241</v>
      </c>
      <c r="E946" s="7" t="s">
        <v>795</v>
      </c>
      <c r="F946" s="6">
        <v>2</v>
      </c>
      <c r="G946" s="8" t="s">
        <v>733</v>
      </c>
      <c r="H946" s="8" t="s">
        <v>734</v>
      </c>
      <c r="I946" s="7" t="s">
        <v>730</v>
      </c>
      <c r="J946" s="8" t="s">
        <v>785</v>
      </c>
      <c r="K946" s="14" t="b">
        <v>1</v>
      </c>
      <c r="L946" s="14" t="b">
        <v>0</v>
      </c>
      <c r="M946" s="14" t="b">
        <v>0</v>
      </c>
      <c r="N946" s="14" t="b">
        <v>1</v>
      </c>
      <c r="O946" s="14" t="b">
        <v>1</v>
      </c>
      <c r="W946" s="3"/>
    </row>
    <row r="947" spans="1:23" x14ac:dyDescent="0.25">
      <c r="A947" s="4">
        <v>73696718000219</v>
      </c>
      <c r="B947" s="8" t="s">
        <v>696</v>
      </c>
      <c r="C947" s="8" t="s">
        <v>652</v>
      </c>
      <c r="D947" s="7" t="s">
        <v>241</v>
      </c>
      <c r="E947" s="7" t="s">
        <v>795</v>
      </c>
      <c r="F947" s="6">
        <v>2</v>
      </c>
      <c r="G947" s="8" t="s">
        <v>752</v>
      </c>
      <c r="H947" s="8" t="s">
        <v>753</v>
      </c>
      <c r="I947" s="7" t="s">
        <v>723</v>
      </c>
      <c r="J947" s="8" t="s">
        <v>785</v>
      </c>
      <c r="K947" s="14" t="b">
        <v>0</v>
      </c>
      <c r="L947" s="14" t="b">
        <v>1</v>
      </c>
      <c r="M947" s="14" t="b">
        <v>1</v>
      </c>
      <c r="N947" s="14" t="b">
        <v>0</v>
      </c>
      <c r="O947" s="14" t="b">
        <v>1</v>
      </c>
      <c r="W947" s="3"/>
    </row>
    <row r="948" spans="1:23" x14ac:dyDescent="0.25">
      <c r="A948" s="4">
        <v>12371009253</v>
      </c>
      <c r="B948" s="8" t="s">
        <v>218</v>
      </c>
      <c r="C948" s="8" t="s">
        <v>219</v>
      </c>
      <c r="D948" s="7" t="s">
        <v>220</v>
      </c>
      <c r="E948" s="7" t="s">
        <v>795</v>
      </c>
      <c r="F948" s="6">
        <v>1</v>
      </c>
      <c r="G948" s="8" t="s">
        <v>780</v>
      </c>
      <c r="H948" s="8" t="s">
        <v>781</v>
      </c>
      <c r="I948" s="7" t="s">
        <v>739</v>
      </c>
      <c r="J948" s="8" t="s">
        <v>791</v>
      </c>
      <c r="K948" s="14" t="b">
        <v>1</v>
      </c>
      <c r="L948" s="14" t="b">
        <v>1</v>
      </c>
      <c r="M948" s="14" t="b">
        <v>1</v>
      </c>
      <c r="N948" s="14" t="b">
        <v>1</v>
      </c>
      <c r="O948" s="14" t="b">
        <v>1</v>
      </c>
      <c r="W948" s="3"/>
    </row>
    <row r="949" spans="1:23" x14ac:dyDescent="0.25">
      <c r="A949" s="4">
        <v>17376968601</v>
      </c>
      <c r="B949" s="8" t="s">
        <v>221</v>
      </c>
      <c r="C949" s="8" t="s">
        <v>222</v>
      </c>
      <c r="D949" s="7" t="s">
        <v>223</v>
      </c>
      <c r="E949" s="7" t="s">
        <v>795</v>
      </c>
      <c r="F949" s="6">
        <v>1</v>
      </c>
      <c r="G949" s="8" t="s">
        <v>737</v>
      </c>
      <c r="H949" s="8" t="s">
        <v>738</v>
      </c>
      <c r="I949" s="7" t="s">
        <v>739</v>
      </c>
      <c r="J949" s="8" t="s">
        <v>785</v>
      </c>
      <c r="K949" s="14" t="b">
        <v>1</v>
      </c>
      <c r="L949" s="14" t="b">
        <v>1</v>
      </c>
      <c r="M949" s="14" t="b">
        <v>1</v>
      </c>
      <c r="N949" s="14" t="b">
        <v>1</v>
      </c>
      <c r="O949" s="14" t="b">
        <v>1</v>
      </c>
      <c r="W949" s="3"/>
    </row>
    <row r="950" spans="1:23" x14ac:dyDescent="0.25">
      <c r="A950" s="4">
        <v>70306453673</v>
      </c>
      <c r="B950" s="8" t="s">
        <v>409</v>
      </c>
      <c r="C950" s="8" t="s">
        <v>410</v>
      </c>
      <c r="D950" s="7" t="s">
        <v>223</v>
      </c>
      <c r="E950" s="7" t="s">
        <v>795</v>
      </c>
      <c r="F950" s="6">
        <v>1</v>
      </c>
      <c r="G950" s="8" t="s">
        <v>737</v>
      </c>
      <c r="H950" s="8" t="s">
        <v>738</v>
      </c>
      <c r="I950" s="7" t="s">
        <v>739</v>
      </c>
      <c r="J950" s="8" t="s">
        <v>785</v>
      </c>
      <c r="K950" s="14" t="b">
        <v>1</v>
      </c>
      <c r="L950" s="14" t="b">
        <v>1</v>
      </c>
      <c r="M950" s="14" t="b">
        <v>1</v>
      </c>
      <c r="N950" s="14" t="b">
        <v>1</v>
      </c>
      <c r="O950" s="14" t="b">
        <v>1</v>
      </c>
      <c r="W950" s="3"/>
    </row>
    <row r="951" spans="1:23" x14ac:dyDescent="0.25">
      <c r="A951" s="4">
        <v>91777186234</v>
      </c>
      <c r="B951" s="8" t="s">
        <v>230</v>
      </c>
      <c r="C951" s="8" t="s">
        <v>219</v>
      </c>
      <c r="D951" s="7" t="s">
        <v>220</v>
      </c>
      <c r="E951" s="7" t="s">
        <v>795</v>
      </c>
      <c r="F951" s="6">
        <v>1</v>
      </c>
      <c r="G951" s="8" t="s">
        <v>780</v>
      </c>
      <c r="H951" s="8" t="s">
        <v>781</v>
      </c>
      <c r="I951" s="7" t="s">
        <v>739</v>
      </c>
      <c r="J951" s="8" t="s">
        <v>791</v>
      </c>
      <c r="K951" s="14" t="b">
        <v>1</v>
      </c>
      <c r="L951" s="14" t="b">
        <v>1</v>
      </c>
      <c r="M951" s="14" t="b">
        <v>1</v>
      </c>
      <c r="N951" s="14" t="b">
        <v>1</v>
      </c>
      <c r="O951" s="14" t="b">
        <v>1</v>
      </c>
      <c r="W951" s="3"/>
    </row>
    <row r="952" spans="1:23" x14ac:dyDescent="0.25">
      <c r="A952" s="4">
        <v>93326645287</v>
      </c>
      <c r="B952" s="8" t="s">
        <v>471</v>
      </c>
      <c r="C952" s="8" t="s">
        <v>219</v>
      </c>
      <c r="D952" s="7" t="s">
        <v>220</v>
      </c>
      <c r="E952" s="7" t="s">
        <v>795</v>
      </c>
      <c r="F952" s="6">
        <v>1</v>
      </c>
      <c r="G952" s="8" t="s">
        <v>780</v>
      </c>
      <c r="H952" s="8" t="s">
        <v>781</v>
      </c>
      <c r="I952" s="7" t="s">
        <v>739</v>
      </c>
      <c r="J952" s="8" t="s">
        <v>791</v>
      </c>
      <c r="K952" s="14" t="b">
        <v>1</v>
      </c>
      <c r="L952" s="14" t="b">
        <v>1</v>
      </c>
      <c r="M952" s="14" t="b">
        <v>1</v>
      </c>
      <c r="N952" s="14" t="b">
        <v>1</v>
      </c>
      <c r="O952" s="14" t="b">
        <v>1</v>
      </c>
      <c r="W952" s="3"/>
    </row>
    <row r="953" spans="1:23" x14ac:dyDescent="0.25">
      <c r="A953" s="4">
        <v>132229000180</v>
      </c>
      <c r="B953" s="8" t="s">
        <v>525</v>
      </c>
      <c r="C953" s="8" t="s">
        <v>235</v>
      </c>
      <c r="D953" s="7" t="s">
        <v>223</v>
      </c>
      <c r="E953" s="7" t="s">
        <v>795</v>
      </c>
      <c r="F953" s="6">
        <v>1</v>
      </c>
      <c r="G953" s="8" t="s">
        <v>737</v>
      </c>
      <c r="H953" s="8" t="s">
        <v>738</v>
      </c>
      <c r="I953" s="7" t="s">
        <v>739</v>
      </c>
      <c r="J953" s="8" t="s">
        <v>785</v>
      </c>
      <c r="K953" s="14" t="b">
        <v>1</v>
      </c>
      <c r="L953" s="14" t="b">
        <v>1</v>
      </c>
      <c r="M953" s="14" t="b">
        <v>1</v>
      </c>
      <c r="N953" s="14" t="b">
        <v>1</v>
      </c>
      <c r="O953" s="14" t="b">
        <v>1</v>
      </c>
      <c r="W953" s="3"/>
    </row>
    <row r="954" spans="1:23" x14ac:dyDescent="0.25">
      <c r="A954" s="4">
        <v>410960000120</v>
      </c>
      <c r="B954" s="8" t="s">
        <v>234</v>
      </c>
      <c r="C954" s="8" t="s">
        <v>235</v>
      </c>
      <c r="D954" s="7" t="s">
        <v>223</v>
      </c>
      <c r="E954" s="7" t="s">
        <v>795</v>
      </c>
      <c r="F954" s="6">
        <v>1</v>
      </c>
      <c r="G954" s="8" t="s">
        <v>737</v>
      </c>
      <c r="H954" s="8" t="s">
        <v>738</v>
      </c>
      <c r="I954" s="7" t="s">
        <v>739</v>
      </c>
      <c r="J954" s="8" t="s">
        <v>785</v>
      </c>
      <c r="K954" s="14" t="b">
        <v>1</v>
      </c>
      <c r="L954" s="14" t="b">
        <v>1</v>
      </c>
      <c r="M954" s="14" t="b">
        <v>1</v>
      </c>
      <c r="N954" s="14" t="b">
        <v>1</v>
      </c>
      <c r="O954" s="14" t="b">
        <v>1</v>
      </c>
      <c r="W954" s="3"/>
    </row>
    <row r="955" spans="1:23" x14ac:dyDescent="0.25">
      <c r="A955" s="4">
        <v>1396804000114</v>
      </c>
      <c r="B955" s="8" t="s">
        <v>532</v>
      </c>
      <c r="C955" s="8" t="s">
        <v>417</v>
      </c>
      <c r="D955" s="7" t="s">
        <v>418</v>
      </c>
      <c r="E955" s="7" t="s">
        <v>795</v>
      </c>
      <c r="F955" s="6">
        <v>1</v>
      </c>
      <c r="G955" s="8" t="s">
        <v>737</v>
      </c>
      <c r="H955" s="8" t="s">
        <v>738</v>
      </c>
      <c r="I955" s="7" t="s">
        <v>739</v>
      </c>
      <c r="J955" s="8" t="s">
        <v>785</v>
      </c>
      <c r="K955" s="14" t="b">
        <v>1</v>
      </c>
      <c r="L955" s="14" t="b">
        <v>1</v>
      </c>
      <c r="M955" s="14" t="b">
        <v>1</v>
      </c>
      <c r="N955" s="14" t="b">
        <v>1</v>
      </c>
      <c r="O955" s="14" t="b">
        <v>1</v>
      </c>
      <c r="W955" s="3"/>
    </row>
    <row r="956" spans="1:23" x14ac:dyDescent="0.25">
      <c r="A956" s="4">
        <v>1444455000169</v>
      </c>
      <c r="B956" s="8" t="s">
        <v>1024</v>
      </c>
      <c r="C956" s="8" t="s">
        <v>235</v>
      </c>
      <c r="D956" s="7" t="s">
        <v>223</v>
      </c>
      <c r="E956" s="7" t="s">
        <v>1014</v>
      </c>
      <c r="F956" s="6">
        <v>0</v>
      </c>
      <c r="G956" s="8"/>
      <c r="H956" s="8"/>
      <c r="I956" s="7"/>
      <c r="J956" s="8"/>
      <c r="K956" s="14"/>
      <c r="L956" s="14"/>
      <c r="M956" s="14"/>
      <c r="W956" s="3"/>
    </row>
    <row r="957" spans="1:23" x14ac:dyDescent="0.25">
      <c r="A957" s="4">
        <v>2623693000102</v>
      </c>
      <c r="B957" s="8" t="s">
        <v>538</v>
      </c>
      <c r="C957" s="8" t="s">
        <v>235</v>
      </c>
      <c r="D957" s="7" t="s">
        <v>223</v>
      </c>
      <c r="E957" s="7" t="s">
        <v>795</v>
      </c>
      <c r="F957" s="6">
        <v>1</v>
      </c>
      <c r="G957" s="8" t="s">
        <v>737</v>
      </c>
      <c r="H957" s="8" t="s">
        <v>738</v>
      </c>
      <c r="I957" s="7" t="s">
        <v>739</v>
      </c>
      <c r="J957" s="8" t="s">
        <v>785</v>
      </c>
      <c r="K957" s="14" t="b">
        <v>1</v>
      </c>
      <c r="L957" s="14" t="b">
        <v>1</v>
      </c>
      <c r="M957" s="14" t="b">
        <v>1</v>
      </c>
      <c r="N957" s="14" t="b">
        <v>1</v>
      </c>
      <c r="O957" s="14" t="b">
        <v>1</v>
      </c>
      <c r="W957" s="3"/>
    </row>
    <row r="958" spans="1:23" x14ac:dyDescent="0.25">
      <c r="A958" s="4">
        <v>4159778000107</v>
      </c>
      <c r="B958" s="8" t="s">
        <v>1012</v>
      </c>
      <c r="C958" s="8" t="s">
        <v>497</v>
      </c>
      <c r="D958" s="7" t="s">
        <v>498</v>
      </c>
      <c r="E958" s="7" t="s">
        <v>1014</v>
      </c>
      <c r="F958" s="6">
        <v>0</v>
      </c>
      <c r="G958" s="8"/>
      <c r="H958" s="8"/>
      <c r="I958" s="7"/>
      <c r="J958" s="8"/>
      <c r="K958" s="14"/>
      <c r="L958" s="14"/>
      <c r="M958" s="14"/>
      <c r="W958" s="3"/>
    </row>
    <row r="959" spans="1:23" x14ac:dyDescent="0.25">
      <c r="A959" s="4">
        <v>4201372001028</v>
      </c>
      <c r="B959" s="8" t="s">
        <v>273</v>
      </c>
      <c r="C959" s="8" t="s">
        <v>219</v>
      </c>
      <c r="D959" s="7" t="s">
        <v>220</v>
      </c>
      <c r="E959" s="7" t="s">
        <v>795</v>
      </c>
      <c r="F959" s="6">
        <v>1</v>
      </c>
      <c r="G959" s="8" t="s">
        <v>780</v>
      </c>
      <c r="H959" s="8" t="s">
        <v>781</v>
      </c>
      <c r="I959" s="7" t="s">
        <v>739</v>
      </c>
      <c r="J959" s="8" t="s">
        <v>791</v>
      </c>
      <c r="K959" s="14" t="b">
        <v>1</v>
      </c>
      <c r="L959" s="14" t="b">
        <v>1</v>
      </c>
      <c r="M959" s="14" t="b">
        <v>1</v>
      </c>
      <c r="N959" s="14" t="b">
        <v>1</v>
      </c>
      <c r="O959" s="14" t="b">
        <v>1</v>
      </c>
      <c r="W959" s="3"/>
    </row>
    <row r="960" spans="1:23" x14ac:dyDescent="0.25">
      <c r="A960" s="4">
        <v>4786490000154</v>
      </c>
      <c r="B960" s="8" t="s">
        <v>416</v>
      </c>
      <c r="C960" s="8" t="s">
        <v>417</v>
      </c>
      <c r="D960" s="7" t="s">
        <v>418</v>
      </c>
      <c r="E960" s="7" t="s">
        <v>795</v>
      </c>
      <c r="F960" s="6">
        <v>1</v>
      </c>
      <c r="G960" s="8" t="s">
        <v>737</v>
      </c>
      <c r="H960" s="8" t="s">
        <v>738</v>
      </c>
      <c r="I960" s="7" t="s">
        <v>739</v>
      </c>
      <c r="J960" s="8" t="s">
        <v>785</v>
      </c>
      <c r="K960" s="14" t="b">
        <v>1</v>
      </c>
      <c r="L960" s="14" t="b">
        <v>1</v>
      </c>
      <c r="M960" s="14" t="b">
        <v>1</v>
      </c>
      <c r="N960" s="14" t="b">
        <v>1</v>
      </c>
      <c r="O960" s="14" t="b">
        <v>1</v>
      </c>
      <c r="W960" s="3"/>
    </row>
    <row r="961" spans="1:23" x14ac:dyDescent="0.25">
      <c r="A961" s="4">
        <v>4966545000370</v>
      </c>
      <c r="B961" s="8" t="s">
        <v>546</v>
      </c>
      <c r="C961" s="8" t="s">
        <v>219</v>
      </c>
      <c r="D961" s="7" t="s">
        <v>220</v>
      </c>
      <c r="E961" s="7" t="s">
        <v>795</v>
      </c>
      <c r="F961" s="6">
        <v>1</v>
      </c>
      <c r="G961" s="8" t="s">
        <v>780</v>
      </c>
      <c r="H961" s="8" t="s">
        <v>781</v>
      </c>
      <c r="I961" s="7" t="s">
        <v>739</v>
      </c>
      <c r="J961" s="8" t="s">
        <v>791</v>
      </c>
      <c r="K961" s="14" t="b">
        <v>1</v>
      </c>
      <c r="L961" s="14" t="b">
        <v>1</v>
      </c>
      <c r="M961" s="14" t="b">
        <v>1</v>
      </c>
      <c r="N961" s="14" t="b">
        <v>1</v>
      </c>
      <c r="O961" s="14" t="b">
        <v>1</v>
      </c>
      <c r="W961" s="3"/>
    </row>
    <row r="962" spans="1:23" x14ac:dyDescent="0.25">
      <c r="A962" s="4">
        <v>5054929000117</v>
      </c>
      <c r="B962" s="8" t="s">
        <v>419</v>
      </c>
      <c r="C962" s="8" t="s">
        <v>219</v>
      </c>
      <c r="D962" s="7" t="s">
        <v>220</v>
      </c>
      <c r="E962" s="7" t="s">
        <v>795</v>
      </c>
      <c r="F962" s="6">
        <v>1</v>
      </c>
      <c r="G962" s="8" t="s">
        <v>780</v>
      </c>
      <c r="H962" s="8" t="s">
        <v>781</v>
      </c>
      <c r="I962" s="7" t="s">
        <v>739</v>
      </c>
      <c r="J962" s="8" t="s">
        <v>791</v>
      </c>
      <c r="K962" s="14" t="b">
        <v>1</v>
      </c>
      <c r="L962" s="14" t="b">
        <v>1</v>
      </c>
      <c r="M962" s="14" t="b">
        <v>1</v>
      </c>
      <c r="N962" s="14" t="b">
        <v>1</v>
      </c>
      <c r="O962" s="14" t="b">
        <v>1</v>
      </c>
      <c r="W962" s="3"/>
    </row>
    <row r="963" spans="1:23" x14ac:dyDescent="0.25">
      <c r="A963" s="4">
        <v>5612725000154</v>
      </c>
      <c r="B963" s="8" t="s">
        <v>1025</v>
      </c>
      <c r="C963" s="8" t="s">
        <v>361</v>
      </c>
      <c r="D963" s="7" t="s">
        <v>362</v>
      </c>
      <c r="E963" s="7" t="s">
        <v>1014</v>
      </c>
      <c r="F963" s="6">
        <v>0</v>
      </c>
      <c r="G963" s="8"/>
      <c r="H963" s="8"/>
      <c r="I963" s="7"/>
      <c r="J963" s="8"/>
      <c r="K963" s="14"/>
      <c r="L963" s="14"/>
      <c r="M963" s="14"/>
      <c r="W963" s="3"/>
    </row>
    <row r="964" spans="1:23" x14ac:dyDescent="0.25">
      <c r="A964" s="4">
        <v>6070425000153</v>
      </c>
      <c r="B964" s="8" t="s">
        <v>289</v>
      </c>
      <c r="C964" s="8" t="s">
        <v>290</v>
      </c>
      <c r="D964" s="7" t="s">
        <v>291</v>
      </c>
      <c r="E964" s="7" t="s">
        <v>795</v>
      </c>
      <c r="F964" s="6">
        <v>1</v>
      </c>
      <c r="G964" s="8" t="s">
        <v>780</v>
      </c>
      <c r="H964" s="8" t="s">
        <v>781</v>
      </c>
      <c r="I964" s="7" t="s">
        <v>739</v>
      </c>
      <c r="J964" s="8" t="s">
        <v>791</v>
      </c>
      <c r="K964" s="14" t="b">
        <v>1</v>
      </c>
      <c r="L964" s="14" t="b">
        <v>1</v>
      </c>
      <c r="M964" s="14" t="b">
        <v>1</v>
      </c>
      <c r="N964" s="14" t="b">
        <v>1</v>
      </c>
      <c r="O964" s="14" t="b">
        <v>1</v>
      </c>
      <c r="W964" s="3"/>
    </row>
    <row r="965" spans="1:23" x14ac:dyDescent="0.25">
      <c r="A965" s="4">
        <v>7039651000134</v>
      </c>
      <c r="B965" s="8" t="s">
        <v>547</v>
      </c>
      <c r="C965" s="8" t="s">
        <v>548</v>
      </c>
      <c r="D965" s="7" t="s">
        <v>418</v>
      </c>
      <c r="E965" s="7" t="s">
        <v>795</v>
      </c>
      <c r="F965" s="6">
        <v>1</v>
      </c>
      <c r="G965" s="8" t="s">
        <v>737</v>
      </c>
      <c r="H965" s="8" t="s">
        <v>738</v>
      </c>
      <c r="I965" s="7" t="s">
        <v>739</v>
      </c>
      <c r="J965" s="8" t="s">
        <v>785</v>
      </c>
      <c r="K965" s="14" t="b">
        <v>1</v>
      </c>
      <c r="L965" s="14" t="b">
        <v>1</v>
      </c>
      <c r="M965" s="14" t="b">
        <v>1</v>
      </c>
      <c r="N965" s="14" t="b">
        <v>1</v>
      </c>
      <c r="O965" s="14" t="b">
        <v>1</v>
      </c>
      <c r="W965" s="3"/>
    </row>
    <row r="966" spans="1:23" x14ac:dyDescent="0.25">
      <c r="A966" s="4">
        <v>10586940000168</v>
      </c>
      <c r="B966" s="8" t="s">
        <v>483</v>
      </c>
      <c r="C966" s="8" t="s">
        <v>451</v>
      </c>
      <c r="D966" s="7" t="s">
        <v>418</v>
      </c>
      <c r="E966" s="7" t="s">
        <v>795</v>
      </c>
      <c r="F966" s="6">
        <v>1</v>
      </c>
      <c r="G966" s="8" t="s">
        <v>737</v>
      </c>
      <c r="H966" s="8" t="s">
        <v>738</v>
      </c>
      <c r="I966" s="7" t="s">
        <v>739</v>
      </c>
      <c r="J966" s="8" t="s">
        <v>785</v>
      </c>
      <c r="K966" s="14" t="b">
        <v>1</v>
      </c>
      <c r="L966" s="14" t="b">
        <v>1</v>
      </c>
      <c r="M966" s="14" t="b">
        <v>1</v>
      </c>
      <c r="N966" s="14" t="b">
        <v>1</v>
      </c>
      <c r="O966" s="14" t="b">
        <v>1</v>
      </c>
      <c r="W966" s="3"/>
    </row>
    <row r="967" spans="1:23" x14ac:dyDescent="0.25">
      <c r="A967" s="4">
        <v>12361267000274</v>
      </c>
      <c r="B967" s="8" t="s">
        <v>485</v>
      </c>
      <c r="C967" s="8" t="s">
        <v>219</v>
      </c>
      <c r="D967" s="7" t="s">
        <v>220</v>
      </c>
      <c r="E967" s="7" t="s">
        <v>795</v>
      </c>
      <c r="F967" s="6">
        <v>1</v>
      </c>
      <c r="G967" s="8" t="s">
        <v>780</v>
      </c>
      <c r="H967" s="8" t="s">
        <v>781</v>
      </c>
      <c r="I967" s="7" t="s">
        <v>739</v>
      </c>
      <c r="J967" s="8" t="s">
        <v>791</v>
      </c>
      <c r="K967" s="14" t="b">
        <v>1</v>
      </c>
      <c r="L967" s="14" t="b">
        <v>1</v>
      </c>
      <c r="M967" s="14" t="b">
        <v>1</v>
      </c>
      <c r="N967" s="14" t="b">
        <v>1</v>
      </c>
      <c r="O967" s="14" t="b">
        <v>1</v>
      </c>
      <c r="W967" s="3"/>
    </row>
    <row r="968" spans="1:23" x14ac:dyDescent="0.25">
      <c r="A968" s="4">
        <v>12361267011632</v>
      </c>
      <c r="B968" s="8" t="s">
        <v>496</v>
      </c>
      <c r="C968" s="8" t="s">
        <v>497</v>
      </c>
      <c r="D968" s="7" t="s">
        <v>498</v>
      </c>
      <c r="E968" s="7" t="s">
        <v>795</v>
      </c>
      <c r="F968" s="6">
        <v>1</v>
      </c>
      <c r="G968" s="8" t="s">
        <v>780</v>
      </c>
      <c r="H968" s="8" t="s">
        <v>781</v>
      </c>
      <c r="I968" s="7" t="s">
        <v>739</v>
      </c>
      <c r="J968" s="8" t="s">
        <v>791</v>
      </c>
      <c r="K968" s="14" t="b">
        <v>1</v>
      </c>
      <c r="L968" s="14" t="b">
        <v>1</v>
      </c>
      <c r="M968" s="14" t="b">
        <v>1</v>
      </c>
      <c r="N968" s="14" t="b">
        <v>1</v>
      </c>
      <c r="O968" s="14" t="b">
        <v>1</v>
      </c>
      <c r="W968" s="3"/>
    </row>
    <row r="969" spans="1:23" x14ac:dyDescent="0.25">
      <c r="A969" s="4">
        <v>14112023000100</v>
      </c>
      <c r="B969" s="8" t="s">
        <v>612</v>
      </c>
      <c r="C969" s="8" t="s">
        <v>613</v>
      </c>
      <c r="D969" s="7" t="s">
        <v>220</v>
      </c>
      <c r="E969" s="7" t="s">
        <v>795</v>
      </c>
      <c r="F969" s="6">
        <v>1</v>
      </c>
      <c r="G969" s="8" t="s">
        <v>780</v>
      </c>
      <c r="H969" s="8" t="s">
        <v>781</v>
      </c>
      <c r="I969" s="7" t="s">
        <v>739</v>
      </c>
      <c r="J969" s="8" t="s">
        <v>791</v>
      </c>
      <c r="K969" s="14" t="b">
        <v>1</v>
      </c>
      <c r="L969" s="14" t="b">
        <v>1</v>
      </c>
      <c r="M969" s="14" t="b">
        <v>1</v>
      </c>
      <c r="N969" s="14" t="b">
        <v>1</v>
      </c>
      <c r="O969" s="14" t="b">
        <v>1</v>
      </c>
      <c r="W969" s="3"/>
    </row>
    <row r="970" spans="1:23" x14ac:dyDescent="0.25">
      <c r="A970" s="4">
        <v>14408631000159</v>
      </c>
      <c r="B970" s="8" t="s">
        <v>324</v>
      </c>
      <c r="C970" s="8" t="s">
        <v>325</v>
      </c>
      <c r="D970" s="7" t="s">
        <v>223</v>
      </c>
      <c r="E970" s="7" t="s">
        <v>795</v>
      </c>
      <c r="F970" s="6">
        <v>1</v>
      </c>
      <c r="G970" s="8" t="s">
        <v>737</v>
      </c>
      <c r="H970" s="8" t="s">
        <v>738</v>
      </c>
      <c r="I970" s="7" t="s">
        <v>739</v>
      </c>
      <c r="J970" s="8" t="s">
        <v>785</v>
      </c>
      <c r="K970" s="14" t="b">
        <v>1</v>
      </c>
      <c r="L970" s="14" t="b">
        <v>1</v>
      </c>
      <c r="M970" s="14" t="b">
        <v>1</v>
      </c>
      <c r="N970" s="14" t="b">
        <v>1</v>
      </c>
      <c r="O970" s="14" t="b">
        <v>1</v>
      </c>
      <c r="W970" s="3"/>
    </row>
    <row r="971" spans="1:23" x14ac:dyDescent="0.25">
      <c r="A971" s="4">
        <v>16676520000159</v>
      </c>
      <c r="B971" s="8" t="s">
        <v>341</v>
      </c>
      <c r="C971" s="8" t="s">
        <v>235</v>
      </c>
      <c r="D971" s="7" t="s">
        <v>223</v>
      </c>
      <c r="E971" s="7" t="s">
        <v>795</v>
      </c>
      <c r="F971" s="6">
        <v>1</v>
      </c>
      <c r="G971" s="8" t="s">
        <v>737</v>
      </c>
      <c r="H971" s="8" t="s">
        <v>738</v>
      </c>
      <c r="I971" s="7" t="s">
        <v>739</v>
      </c>
      <c r="J971" s="8" t="s">
        <v>785</v>
      </c>
      <c r="K971" s="14" t="b">
        <v>1</v>
      </c>
      <c r="L971" s="14" t="b">
        <v>1</v>
      </c>
      <c r="M971" s="14" t="b">
        <v>1</v>
      </c>
      <c r="N971" s="14" t="b">
        <v>1</v>
      </c>
      <c r="O971" s="14" t="b">
        <v>1</v>
      </c>
      <c r="W971" s="3"/>
    </row>
    <row r="972" spans="1:23" x14ac:dyDescent="0.25">
      <c r="A972" s="4">
        <v>17087591000189</v>
      </c>
      <c r="B972" s="8" t="s">
        <v>345</v>
      </c>
      <c r="C972" s="8" t="s">
        <v>346</v>
      </c>
      <c r="D972" s="7" t="s">
        <v>223</v>
      </c>
      <c r="E972" s="7" t="s">
        <v>795</v>
      </c>
      <c r="F972" s="6">
        <v>1</v>
      </c>
      <c r="G972" s="8" t="s">
        <v>737</v>
      </c>
      <c r="H972" s="8" t="s">
        <v>738</v>
      </c>
      <c r="I972" s="7" t="s">
        <v>739</v>
      </c>
      <c r="J972" s="8" t="s">
        <v>785</v>
      </c>
      <c r="K972" s="14" t="b">
        <v>1</v>
      </c>
      <c r="L972" s="14" t="b">
        <v>1</v>
      </c>
      <c r="M972" s="14" t="b">
        <v>1</v>
      </c>
      <c r="N972" s="14" t="b">
        <v>1</v>
      </c>
      <c r="O972" s="14" t="b">
        <v>1</v>
      </c>
      <c r="W972" s="3"/>
    </row>
    <row r="973" spans="1:23" x14ac:dyDescent="0.25">
      <c r="A973" s="4">
        <v>17214149000176</v>
      </c>
      <c r="B973" s="8" t="s">
        <v>347</v>
      </c>
      <c r="C973" s="8" t="s">
        <v>235</v>
      </c>
      <c r="D973" s="7" t="s">
        <v>223</v>
      </c>
      <c r="E973" s="7" t="s">
        <v>795</v>
      </c>
      <c r="F973" s="6">
        <v>1</v>
      </c>
      <c r="G973" s="8" t="s">
        <v>737</v>
      </c>
      <c r="H973" s="8" t="s">
        <v>738</v>
      </c>
      <c r="I973" s="7" t="s">
        <v>739</v>
      </c>
      <c r="J973" s="8" t="s">
        <v>785</v>
      </c>
      <c r="K973" s="14" t="b">
        <v>1</v>
      </c>
      <c r="L973" s="14" t="b">
        <v>1</v>
      </c>
      <c r="M973" s="14" t="b">
        <v>1</v>
      </c>
      <c r="N973" s="14" t="b">
        <v>1</v>
      </c>
      <c r="O973" s="14" t="b">
        <v>1</v>
      </c>
      <c r="W973" s="3"/>
    </row>
    <row r="974" spans="1:23" x14ac:dyDescent="0.25">
      <c r="A974" s="4">
        <v>17689407000928</v>
      </c>
      <c r="B974" s="8" t="s">
        <v>348</v>
      </c>
      <c r="C974" s="8" t="s">
        <v>349</v>
      </c>
      <c r="D974" s="7" t="s">
        <v>223</v>
      </c>
      <c r="E974" s="7" t="s">
        <v>795</v>
      </c>
      <c r="F974" s="6">
        <v>1</v>
      </c>
      <c r="G974" s="8" t="s">
        <v>737</v>
      </c>
      <c r="H974" s="8" t="s">
        <v>738</v>
      </c>
      <c r="I974" s="7" t="s">
        <v>739</v>
      </c>
      <c r="J974" s="8" t="s">
        <v>785</v>
      </c>
      <c r="K974" s="14" t="b">
        <v>1</v>
      </c>
      <c r="L974" s="14" t="b">
        <v>1</v>
      </c>
      <c r="M974" s="14" t="b">
        <v>1</v>
      </c>
      <c r="N974" s="14" t="b">
        <v>1</v>
      </c>
      <c r="O974" s="14" t="b">
        <v>1</v>
      </c>
      <c r="W974" s="3"/>
    </row>
    <row r="975" spans="1:23" x14ac:dyDescent="0.25">
      <c r="A975" s="4">
        <v>17774738000613</v>
      </c>
      <c r="B975" s="8" t="s">
        <v>615</v>
      </c>
      <c r="C975" s="8" t="s">
        <v>616</v>
      </c>
      <c r="D975" s="7" t="s">
        <v>223</v>
      </c>
      <c r="E975" s="7" t="s">
        <v>795</v>
      </c>
      <c r="F975" s="6">
        <v>1</v>
      </c>
      <c r="G975" s="8" t="s">
        <v>737</v>
      </c>
      <c r="H975" s="8" t="s">
        <v>738</v>
      </c>
      <c r="I975" s="7" t="s">
        <v>739</v>
      </c>
      <c r="J975" s="8" t="s">
        <v>785</v>
      </c>
      <c r="K975" s="14" t="b">
        <v>1</v>
      </c>
      <c r="L975" s="14" t="b">
        <v>1</v>
      </c>
      <c r="M975" s="14" t="b">
        <v>1</v>
      </c>
      <c r="N975" s="14" t="b">
        <v>1</v>
      </c>
      <c r="O975" s="14" t="b">
        <v>1</v>
      </c>
      <c r="W975" s="3"/>
    </row>
    <row r="976" spans="1:23" x14ac:dyDescent="0.25">
      <c r="A976" s="4">
        <v>18484378000173</v>
      </c>
      <c r="B976" s="8" t="s">
        <v>350</v>
      </c>
      <c r="C976" s="8" t="s">
        <v>346</v>
      </c>
      <c r="D976" s="7" t="s">
        <v>223</v>
      </c>
      <c r="E976" s="7" t="s">
        <v>795</v>
      </c>
      <c r="F976" s="6">
        <v>1</v>
      </c>
      <c r="G976" s="8" t="s">
        <v>737</v>
      </c>
      <c r="H976" s="8" t="s">
        <v>738</v>
      </c>
      <c r="I976" s="7" t="s">
        <v>739</v>
      </c>
      <c r="J976" s="8" t="s">
        <v>785</v>
      </c>
      <c r="K976" s="14" t="b">
        <v>1</v>
      </c>
      <c r="L976" s="14" t="b">
        <v>1</v>
      </c>
      <c r="M976" s="14" t="b">
        <v>1</v>
      </c>
      <c r="N976" s="14" t="b">
        <v>1</v>
      </c>
      <c r="O976" s="14" t="b">
        <v>1</v>
      </c>
      <c r="W976" s="3"/>
    </row>
    <row r="977" spans="1:23" x14ac:dyDescent="0.25">
      <c r="A977" s="4">
        <v>18836965000184</v>
      </c>
      <c r="B977" s="8" t="s">
        <v>499</v>
      </c>
      <c r="C977" s="8" t="s">
        <v>500</v>
      </c>
      <c r="D977" s="7" t="s">
        <v>223</v>
      </c>
      <c r="E977" s="7" t="s">
        <v>795</v>
      </c>
      <c r="F977" s="6">
        <v>1</v>
      </c>
      <c r="G977" s="8" t="s">
        <v>737</v>
      </c>
      <c r="H977" s="8" t="s">
        <v>738</v>
      </c>
      <c r="I977" s="7" t="s">
        <v>739</v>
      </c>
      <c r="J977" s="8" t="s">
        <v>785</v>
      </c>
      <c r="K977" s="14" t="b">
        <v>1</v>
      </c>
      <c r="L977" s="14" t="b">
        <v>1</v>
      </c>
      <c r="M977" s="14" t="b">
        <v>1</v>
      </c>
      <c r="N977" s="14" t="b">
        <v>1</v>
      </c>
      <c r="O977" s="14" t="b">
        <v>1</v>
      </c>
      <c r="W977" s="3"/>
    </row>
    <row r="978" spans="1:23" x14ac:dyDescent="0.25">
      <c r="A978" s="4">
        <v>19274091000181</v>
      </c>
      <c r="B978" s="8" t="s">
        <v>617</v>
      </c>
      <c r="C978" s="8" t="s">
        <v>618</v>
      </c>
      <c r="D978" s="7" t="s">
        <v>223</v>
      </c>
      <c r="E978" s="7" t="s">
        <v>795</v>
      </c>
      <c r="F978" s="6">
        <v>1</v>
      </c>
      <c r="G978" s="8" t="s">
        <v>737</v>
      </c>
      <c r="H978" s="8" t="s">
        <v>738</v>
      </c>
      <c r="I978" s="7" t="s">
        <v>739</v>
      </c>
      <c r="J978" s="8" t="s">
        <v>785</v>
      </c>
      <c r="K978" s="14" t="b">
        <v>1</v>
      </c>
      <c r="L978" s="14" t="b">
        <v>1</v>
      </c>
      <c r="M978" s="14" t="b">
        <v>1</v>
      </c>
      <c r="N978" s="14" t="b">
        <v>1</v>
      </c>
      <c r="O978" s="14" t="b">
        <v>1</v>
      </c>
      <c r="W978" s="3"/>
    </row>
    <row r="979" spans="1:23" x14ac:dyDescent="0.25">
      <c r="A979" s="4">
        <v>19878404000100</v>
      </c>
      <c r="B979" s="8" t="s">
        <v>351</v>
      </c>
      <c r="C979" s="8" t="s">
        <v>352</v>
      </c>
      <c r="D979" s="7" t="s">
        <v>223</v>
      </c>
      <c r="E979" s="7" t="s">
        <v>795</v>
      </c>
      <c r="F979" s="6">
        <v>1</v>
      </c>
      <c r="G979" s="8" t="s">
        <v>737</v>
      </c>
      <c r="H979" s="8" t="s">
        <v>738</v>
      </c>
      <c r="I979" s="7" t="s">
        <v>739</v>
      </c>
      <c r="J979" s="8" t="s">
        <v>785</v>
      </c>
      <c r="K979" s="14" t="b">
        <v>1</v>
      </c>
      <c r="L979" s="14" t="b">
        <v>1</v>
      </c>
      <c r="M979" s="14" t="b">
        <v>1</v>
      </c>
      <c r="N979" s="14" t="b">
        <v>1</v>
      </c>
      <c r="O979" s="14" t="b">
        <v>1</v>
      </c>
      <c r="W979" s="3"/>
    </row>
    <row r="980" spans="1:23" x14ac:dyDescent="0.25">
      <c r="A980" s="4">
        <v>20150900000122</v>
      </c>
      <c r="B980" s="8" t="s">
        <v>353</v>
      </c>
      <c r="C980" s="8" t="s">
        <v>346</v>
      </c>
      <c r="D980" s="7" t="s">
        <v>223</v>
      </c>
      <c r="E980" s="7" t="s">
        <v>795</v>
      </c>
      <c r="F980" s="6">
        <v>1</v>
      </c>
      <c r="G980" s="8" t="s">
        <v>737</v>
      </c>
      <c r="H980" s="8" t="s">
        <v>738</v>
      </c>
      <c r="I980" s="7" t="s">
        <v>739</v>
      </c>
      <c r="J980" s="8" t="s">
        <v>785</v>
      </c>
      <c r="K980" s="14" t="b">
        <v>1</v>
      </c>
      <c r="L980" s="14" t="b">
        <v>1</v>
      </c>
      <c r="M980" s="14" t="b">
        <v>1</v>
      </c>
      <c r="N980" s="14" t="b">
        <v>1</v>
      </c>
      <c r="O980" s="14" t="b">
        <v>1</v>
      </c>
      <c r="W980" s="3"/>
    </row>
    <row r="981" spans="1:23" x14ac:dyDescent="0.25">
      <c r="A981" s="4">
        <v>20207543000191</v>
      </c>
      <c r="B981" s="8" t="s">
        <v>567</v>
      </c>
      <c r="C981" s="8" t="s">
        <v>346</v>
      </c>
      <c r="D981" s="7" t="s">
        <v>223</v>
      </c>
      <c r="E981" s="7" t="s">
        <v>795</v>
      </c>
      <c r="F981" s="6">
        <v>1</v>
      </c>
      <c r="G981" s="8" t="s">
        <v>737</v>
      </c>
      <c r="H981" s="8" t="s">
        <v>738</v>
      </c>
      <c r="I981" s="7" t="s">
        <v>739</v>
      </c>
      <c r="J981" s="8" t="s">
        <v>785</v>
      </c>
      <c r="K981" s="14" t="b">
        <v>1</v>
      </c>
      <c r="L981" s="14" t="b">
        <v>1</v>
      </c>
      <c r="M981" s="14" t="b">
        <v>1</v>
      </c>
      <c r="N981" s="14" t="b">
        <v>1</v>
      </c>
      <c r="O981" s="14" t="b">
        <v>1</v>
      </c>
      <c r="W981" s="3"/>
    </row>
    <row r="982" spans="1:23" x14ac:dyDescent="0.25">
      <c r="A982" s="4">
        <v>20909271000171</v>
      </c>
      <c r="B982" s="8" t="s">
        <v>443</v>
      </c>
      <c r="C982" s="8" t="s">
        <v>444</v>
      </c>
      <c r="D982" s="7" t="s">
        <v>223</v>
      </c>
      <c r="E982" s="7" t="s">
        <v>795</v>
      </c>
      <c r="F982" s="6">
        <v>1</v>
      </c>
      <c r="G982" s="8" t="s">
        <v>737</v>
      </c>
      <c r="H982" s="8" t="s">
        <v>738</v>
      </c>
      <c r="I982" s="7" t="s">
        <v>739</v>
      </c>
      <c r="J982" s="8" t="s">
        <v>785</v>
      </c>
      <c r="K982" s="14" t="b">
        <v>1</v>
      </c>
      <c r="L982" s="14" t="b">
        <v>1</v>
      </c>
      <c r="M982" s="14" t="b">
        <v>1</v>
      </c>
      <c r="N982" s="14" t="b">
        <v>1</v>
      </c>
      <c r="O982" s="14" t="b">
        <v>1</v>
      </c>
      <c r="W982" s="3"/>
    </row>
    <row r="983" spans="1:23" x14ac:dyDescent="0.25">
      <c r="A983" s="4">
        <v>21040696000311</v>
      </c>
      <c r="B983" s="8" t="s">
        <v>354</v>
      </c>
      <c r="C983" s="8" t="s">
        <v>355</v>
      </c>
      <c r="D983" s="7" t="s">
        <v>223</v>
      </c>
      <c r="E983" s="7" t="s">
        <v>795</v>
      </c>
      <c r="F983" s="6">
        <v>1</v>
      </c>
      <c r="G983" s="8" t="s">
        <v>737</v>
      </c>
      <c r="H983" s="8" t="s">
        <v>738</v>
      </c>
      <c r="I983" s="7" t="s">
        <v>739</v>
      </c>
      <c r="J983" s="8" t="s">
        <v>785</v>
      </c>
      <c r="K983" s="14" t="b">
        <v>1</v>
      </c>
      <c r="L983" s="14" t="b">
        <v>1</v>
      </c>
      <c r="M983" s="14" t="b">
        <v>1</v>
      </c>
      <c r="N983" s="14" t="b">
        <v>1</v>
      </c>
      <c r="O983" s="14" t="b">
        <v>1</v>
      </c>
      <c r="W983" s="3"/>
    </row>
    <row r="984" spans="1:23" x14ac:dyDescent="0.25">
      <c r="A984" s="4">
        <v>21299615000130</v>
      </c>
      <c r="B984" s="8" t="s">
        <v>445</v>
      </c>
      <c r="C984" s="8" t="s">
        <v>446</v>
      </c>
      <c r="D984" s="7" t="s">
        <v>223</v>
      </c>
      <c r="E984" s="7" t="s">
        <v>795</v>
      </c>
      <c r="F984" s="6">
        <v>1</v>
      </c>
      <c r="G984" s="8" t="s">
        <v>737</v>
      </c>
      <c r="H984" s="8" t="s">
        <v>738</v>
      </c>
      <c r="I984" s="7" t="s">
        <v>739</v>
      </c>
      <c r="J984" s="8" t="s">
        <v>785</v>
      </c>
      <c r="K984" s="14" t="b">
        <v>1</v>
      </c>
      <c r="L984" s="14" t="b">
        <v>1</v>
      </c>
      <c r="M984" s="14" t="b">
        <v>1</v>
      </c>
      <c r="N984" s="14" t="b">
        <v>1</v>
      </c>
      <c r="O984" s="14" t="b">
        <v>1</v>
      </c>
      <c r="W984" s="3"/>
    </row>
    <row r="985" spans="1:23" x14ac:dyDescent="0.25">
      <c r="A985" s="4">
        <v>23278898000160</v>
      </c>
      <c r="B985" s="8" t="s">
        <v>569</v>
      </c>
      <c r="C985" s="8" t="s">
        <v>570</v>
      </c>
      <c r="D985" s="7" t="s">
        <v>223</v>
      </c>
      <c r="E985" s="7" t="s">
        <v>795</v>
      </c>
      <c r="F985" s="6">
        <v>1</v>
      </c>
      <c r="G985" s="8" t="s">
        <v>737</v>
      </c>
      <c r="H985" s="8" t="s">
        <v>738</v>
      </c>
      <c r="I985" s="7" t="s">
        <v>739</v>
      </c>
      <c r="J985" s="8" t="s">
        <v>785</v>
      </c>
      <c r="K985" s="14" t="b">
        <v>1</v>
      </c>
      <c r="L985" s="14" t="b">
        <v>1</v>
      </c>
      <c r="M985" s="14" t="b">
        <v>1</v>
      </c>
      <c r="N985" s="14" t="b">
        <v>1</v>
      </c>
      <c r="O985" s="14" t="b">
        <v>1</v>
      </c>
      <c r="W985" s="3"/>
    </row>
    <row r="986" spans="1:23" x14ac:dyDescent="0.25">
      <c r="A986" s="4">
        <v>23338387000196</v>
      </c>
      <c r="B986" s="8" t="s">
        <v>356</v>
      </c>
      <c r="C986" s="8" t="s">
        <v>357</v>
      </c>
      <c r="D986" s="7" t="s">
        <v>223</v>
      </c>
      <c r="E986" s="7" t="s">
        <v>795</v>
      </c>
      <c r="F986" s="6">
        <v>1</v>
      </c>
      <c r="G986" s="8" t="s">
        <v>737</v>
      </c>
      <c r="H986" s="8" t="s">
        <v>738</v>
      </c>
      <c r="I986" s="7" t="s">
        <v>739</v>
      </c>
      <c r="J986" s="8" t="s">
        <v>785</v>
      </c>
      <c r="K986" s="14" t="b">
        <v>1</v>
      </c>
      <c r="L986" s="14" t="b">
        <v>1</v>
      </c>
      <c r="M986" s="14" t="b">
        <v>1</v>
      </c>
      <c r="N986" s="14" t="b">
        <v>1</v>
      </c>
      <c r="O986" s="14" t="b">
        <v>1</v>
      </c>
      <c r="W986" s="3"/>
    </row>
    <row r="987" spans="1:23" x14ac:dyDescent="0.25">
      <c r="A987" s="4">
        <v>23406564000124</v>
      </c>
      <c r="B987" s="8" t="s">
        <v>447</v>
      </c>
      <c r="C987" s="8" t="s">
        <v>448</v>
      </c>
      <c r="D987" s="7" t="s">
        <v>223</v>
      </c>
      <c r="E987" s="7" t="s">
        <v>795</v>
      </c>
      <c r="F987" s="6">
        <v>1</v>
      </c>
      <c r="G987" s="8" t="s">
        <v>737</v>
      </c>
      <c r="H987" s="8" t="s">
        <v>738</v>
      </c>
      <c r="I987" s="7" t="s">
        <v>739</v>
      </c>
      <c r="J987" s="8" t="s">
        <v>785</v>
      </c>
      <c r="K987" s="14" t="b">
        <v>1</v>
      </c>
      <c r="L987" s="14" t="b">
        <v>1</v>
      </c>
      <c r="M987" s="14" t="b">
        <v>1</v>
      </c>
      <c r="N987" s="14" t="b">
        <v>1</v>
      </c>
      <c r="O987" s="14" t="b">
        <v>1</v>
      </c>
      <c r="W987" s="3"/>
    </row>
    <row r="988" spans="1:23" x14ac:dyDescent="0.25">
      <c r="A988" s="4">
        <v>24232886008303</v>
      </c>
      <c r="B988" s="8" t="s">
        <v>358</v>
      </c>
      <c r="C988" s="8" t="s">
        <v>359</v>
      </c>
      <c r="D988" s="7" t="s">
        <v>220</v>
      </c>
      <c r="E988" s="7" t="s">
        <v>795</v>
      </c>
      <c r="F988" s="6">
        <v>1</v>
      </c>
      <c r="G988" s="8" t="s">
        <v>780</v>
      </c>
      <c r="H988" s="8" t="s">
        <v>781</v>
      </c>
      <c r="I988" s="7" t="s">
        <v>739</v>
      </c>
      <c r="J988" s="8" t="s">
        <v>791</v>
      </c>
      <c r="K988" s="14" t="b">
        <v>1</v>
      </c>
      <c r="L988" s="14" t="b">
        <v>1</v>
      </c>
      <c r="M988" s="14" t="b">
        <v>1</v>
      </c>
      <c r="N988" s="14" t="b">
        <v>1</v>
      </c>
      <c r="O988" s="14" t="b">
        <v>1</v>
      </c>
      <c r="W988" s="3"/>
    </row>
    <row r="989" spans="1:23" x14ac:dyDescent="0.25">
      <c r="A989" s="4">
        <v>25648387000207</v>
      </c>
      <c r="B989" s="8" t="s">
        <v>573</v>
      </c>
      <c r="C989" s="8" t="s">
        <v>346</v>
      </c>
      <c r="D989" s="7" t="s">
        <v>223</v>
      </c>
      <c r="E989" s="7" t="s">
        <v>795</v>
      </c>
      <c r="F989" s="6">
        <v>1</v>
      </c>
      <c r="G989" s="8" t="s">
        <v>737</v>
      </c>
      <c r="H989" s="8" t="s">
        <v>738</v>
      </c>
      <c r="I989" s="7" t="s">
        <v>739</v>
      </c>
      <c r="J989" s="8" t="s">
        <v>785</v>
      </c>
      <c r="K989" s="14" t="b">
        <v>1</v>
      </c>
      <c r="L989" s="14" t="b">
        <v>1</v>
      </c>
      <c r="M989" s="14" t="b">
        <v>1</v>
      </c>
      <c r="N989" s="14" t="b">
        <v>1</v>
      </c>
      <c r="O989" s="14" t="b">
        <v>1</v>
      </c>
      <c r="W989" s="3"/>
    </row>
    <row r="990" spans="1:23" x14ac:dyDescent="0.25">
      <c r="A990" s="4">
        <v>25761040000187</v>
      </c>
      <c r="B990" s="8" t="s">
        <v>449</v>
      </c>
      <c r="C990" s="8" t="s">
        <v>346</v>
      </c>
      <c r="D990" s="7" t="s">
        <v>223</v>
      </c>
      <c r="E990" s="7" t="s">
        <v>795</v>
      </c>
      <c r="F990" s="6">
        <v>1</v>
      </c>
      <c r="G990" s="8" t="s">
        <v>737</v>
      </c>
      <c r="H990" s="8" t="s">
        <v>738</v>
      </c>
      <c r="I990" s="7" t="s">
        <v>739</v>
      </c>
      <c r="J990" s="8" t="s">
        <v>785</v>
      </c>
      <c r="K990" s="14" t="b">
        <v>1</v>
      </c>
      <c r="L990" s="14" t="b">
        <v>1</v>
      </c>
      <c r="M990" s="14" t="b">
        <v>1</v>
      </c>
      <c r="N990" s="14" t="b">
        <v>1</v>
      </c>
      <c r="O990" s="14" t="b">
        <v>1</v>
      </c>
      <c r="W990" s="3"/>
    </row>
    <row r="991" spans="1:23" x14ac:dyDescent="0.25">
      <c r="A991" s="4">
        <v>25910449000460</v>
      </c>
      <c r="B991" s="8" t="s">
        <v>644</v>
      </c>
      <c r="C991" s="8" t="s">
        <v>645</v>
      </c>
      <c r="D991" s="7" t="s">
        <v>223</v>
      </c>
      <c r="E991" s="7" t="s">
        <v>795</v>
      </c>
      <c r="F991" s="6">
        <v>1</v>
      </c>
      <c r="G991" s="8" t="s">
        <v>737</v>
      </c>
      <c r="H991" s="8" t="s">
        <v>738</v>
      </c>
      <c r="I991" s="7" t="s">
        <v>739</v>
      </c>
      <c r="J991" s="8" t="s">
        <v>785</v>
      </c>
      <c r="K991" s="14" t="b">
        <v>1</v>
      </c>
      <c r="L991" s="14" t="b">
        <v>1</v>
      </c>
      <c r="M991" s="14" t="b">
        <v>1</v>
      </c>
      <c r="N991" s="14" t="b">
        <v>1</v>
      </c>
      <c r="O991" s="14" t="b">
        <v>1</v>
      </c>
      <c r="W991" s="3"/>
    </row>
    <row r="992" spans="1:23" x14ac:dyDescent="0.25">
      <c r="A992" s="4">
        <v>27080605000358</v>
      </c>
      <c r="B992" s="8" t="s">
        <v>620</v>
      </c>
      <c r="C992" s="8" t="s">
        <v>621</v>
      </c>
      <c r="D992" s="7" t="s">
        <v>418</v>
      </c>
      <c r="E992" s="7" t="s">
        <v>795</v>
      </c>
      <c r="F992" s="6">
        <v>1</v>
      </c>
      <c r="G992" s="8" t="s">
        <v>737</v>
      </c>
      <c r="H992" s="8" t="s">
        <v>738</v>
      </c>
      <c r="I992" s="7" t="s">
        <v>739</v>
      </c>
      <c r="J992" s="8" t="s">
        <v>785</v>
      </c>
      <c r="K992" s="14" t="b">
        <v>1</v>
      </c>
      <c r="L992" s="14" t="b">
        <v>1</v>
      </c>
      <c r="M992" s="14" t="b">
        <v>1</v>
      </c>
      <c r="N992" s="14" t="b">
        <v>1</v>
      </c>
      <c r="O992" s="14" t="b">
        <v>1</v>
      </c>
      <c r="W992" s="3"/>
    </row>
    <row r="993" spans="1:23" x14ac:dyDescent="0.25">
      <c r="A993" s="4">
        <v>27080605001591</v>
      </c>
      <c r="B993" s="8" t="s">
        <v>574</v>
      </c>
      <c r="C993" s="8" t="s">
        <v>417</v>
      </c>
      <c r="D993" s="7" t="s">
        <v>418</v>
      </c>
      <c r="E993" s="7" t="s">
        <v>795</v>
      </c>
      <c r="F993" s="6">
        <v>1</v>
      </c>
      <c r="G993" s="8" t="s">
        <v>737</v>
      </c>
      <c r="H993" s="8" t="s">
        <v>738</v>
      </c>
      <c r="I993" s="7" t="s">
        <v>739</v>
      </c>
      <c r="J993" s="8" t="s">
        <v>785</v>
      </c>
      <c r="K993" s="14" t="b">
        <v>1</v>
      </c>
      <c r="L993" s="14" t="b">
        <v>1</v>
      </c>
      <c r="M993" s="14" t="b">
        <v>1</v>
      </c>
      <c r="N993" s="14" t="b">
        <v>1</v>
      </c>
      <c r="O993" s="14" t="b">
        <v>1</v>
      </c>
      <c r="W993" s="3"/>
    </row>
    <row r="994" spans="1:23" x14ac:dyDescent="0.25">
      <c r="A994" s="4">
        <v>27578434001525</v>
      </c>
      <c r="B994" s="8" t="s">
        <v>450</v>
      </c>
      <c r="C994" s="8" t="s">
        <v>451</v>
      </c>
      <c r="D994" s="7" t="s">
        <v>418</v>
      </c>
      <c r="E994" s="7" t="s">
        <v>795</v>
      </c>
      <c r="F994" s="6">
        <v>1</v>
      </c>
      <c r="G994" s="8" t="s">
        <v>737</v>
      </c>
      <c r="H994" s="8" t="s">
        <v>738</v>
      </c>
      <c r="I994" s="7" t="s">
        <v>739</v>
      </c>
      <c r="J994" s="8" t="s">
        <v>785</v>
      </c>
      <c r="K994" s="14" t="b">
        <v>1</v>
      </c>
      <c r="L994" s="14" t="b">
        <v>1</v>
      </c>
      <c r="M994" s="14" t="b">
        <v>1</v>
      </c>
      <c r="N994" s="14" t="b">
        <v>1</v>
      </c>
      <c r="O994" s="14" t="b">
        <v>1</v>
      </c>
      <c r="W994" s="3"/>
    </row>
    <row r="995" spans="1:23" x14ac:dyDescent="0.25">
      <c r="A995" s="4">
        <v>28137925000106</v>
      </c>
      <c r="B995" s="8" t="s">
        <v>575</v>
      </c>
      <c r="C995" s="8" t="s">
        <v>451</v>
      </c>
      <c r="D995" s="7" t="s">
        <v>418</v>
      </c>
      <c r="E995" s="7" t="s">
        <v>795</v>
      </c>
      <c r="F995" s="6">
        <v>1</v>
      </c>
      <c r="G995" s="8" t="s">
        <v>737</v>
      </c>
      <c r="H995" s="8" t="s">
        <v>738</v>
      </c>
      <c r="I995" s="7" t="s">
        <v>739</v>
      </c>
      <c r="J995" s="8" t="s">
        <v>785</v>
      </c>
      <c r="K995" s="14" t="b">
        <v>1</v>
      </c>
      <c r="L995" s="14" t="b">
        <v>1</v>
      </c>
      <c r="M995" s="14" t="b">
        <v>1</v>
      </c>
      <c r="N995" s="14" t="b">
        <v>1</v>
      </c>
      <c r="O995" s="14" t="b">
        <v>1</v>
      </c>
      <c r="W995" s="3"/>
    </row>
    <row r="996" spans="1:23" x14ac:dyDescent="0.25">
      <c r="A996" s="4">
        <v>33722224000166</v>
      </c>
      <c r="B996" s="8" t="s">
        <v>1026</v>
      </c>
      <c r="C996" s="8" t="s">
        <v>652</v>
      </c>
      <c r="D996" s="7" t="s">
        <v>241</v>
      </c>
      <c r="E996" s="7" t="s">
        <v>1014</v>
      </c>
      <c r="F996" s="6">
        <v>0</v>
      </c>
      <c r="G996" s="8"/>
      <c r="H996" s="8"/>
      <c r="I996" s="7"/>
      <c r="J996" s="8"/>
      <c r="K996" s="14"/>
      <c r="L996" s="14"/>
      <c r="M996" s="14"/>
      <c r="T996" s="12"/>
      <c r="W996" s="3"/>
    </row>
    <row r="997" spans="1:23" x14ac:dyDescent="0.25">
      <c r="A997" s="4">
        <v>39387477000107</v>
      </c>
      <c r="B997" s="8" t="s">
        <v>579</v>
      </c>
      <c r="C997" s="8" t="s">
        <v>451</v>
      </c>
      <c r="D997" s="7" t="s">
        <v>418</v>
      </c>
      <c r="E997" s="7" t="s">
        <v>795</v>
      </c>
      <c r="F997" s="6">
        <v>1</v>
      </c>
      <c r="G997" s="8" t="s">
        <v>737</v>
      </c>
      <c r="H997" s="8" t="s">
        <v>738</v>
      </c>
      <c r="I997" s="7" t="s">
        <v>739</v>
      </c>
      <c r="J997" s="8" t="s">
        <v>785</v>
      </c>
      <c r="K997" s="14" t="b">
        <v>1</v>
      </c>
      <c r="L997" s="14" t="b">
        <v>1</v>
      </c>
      <c r="M997" s="14" t="b">
        <v>1</v>
      </c>
      <c r="N997" s="14" t="b">
        <v>1</v>
      </c>
      <c r="O997" s="14" t="b">
        <v>1</v>
      </c>
    </row>
    <row r="998" spans="1:23" x14ac:dyDescent="0.25">
      <c r="A998" s="4">
        <v>41781949000234</v>
      </c>
      <c r="B998" s="8" t="s">
        <v>519</v>
      </c>
      <c r="C998" s="8" t="s">
        <v>520</v>
      </c>
      <c r="D998" s="7" t="s">
        <v>223</v>
      </c>
      <c r="E998" s="7" t="s">
        <v>795</v>
      </c>
      <c r="F998" s="6">
        <v>1</v>
      </c>
      <c r="G998" s="8" t="s">
        <v>737</v>
      </c>
      <c r="H998" s="8" t="s">
        <v>738</v>
      </c>
      <c r="I998" s="7" t="s">
        <v>739</v>
      </c>
      <c r="J998" s="8" t="s">
        <v>785</v>
      </c>
      <c r="K998" s="14" t="b">
        <v>1</v>
      </c>
      <c r="L998" s="14" t="b">
        <v>1</v>
      </c>
      <c r="M998" s="14" t="b">
        <v>1</v>
      </c>
      <c r="N998" s="14" t="b">
        <v>1</v>
      </c>
      <c r="O998" s="14" t="b">
        <v>1</v>
      </c>
    </row>
    <row r="999" spans="1:23" x14ac:dyDescent="0.25">
      <c r="A999" s="4">
        <v>70524145000177</v>
      </c>
      <c r="B999" s="8" t="s">
        <v>1013</v>
      </c>
      <c r="C999" s="8" t="s">
        <v>261</v>
      </c>
      <c r="D999" s="7" t="s">
        <v>262</v>
      </c>
      <c r="E999" s="7" t="s">
        <v>1014</v>
      </c>
      <c r="F999" s="6">
        <v>0</v>
      </c>
      <c r="G999" s="8"/>
      <c r="H999" s="8"/>
      <c r="I999" s="7"/>
      <c r="J999" s="8"/>
      <c r="K999" s="14"/>
      <c r="L999" s="14"/>
      <c r="M999" s="14"/>
    </row>
    <row r="1000" spans="1:23" x14ac:dyDescent="0.25">
      <c r="A1000" s="4">
        <v>83367342000252</v>
      </c>
      <c r="B1000" s="8" t="s">
        <v>590</v>
      </c>
      <c r="C1000" s="8" t="s">
        <v>219</v>
      </c>
      <c r="D1000" s="7" t="s">
        <v>220</v>
      </c>
      <c r="E1000" s="7" t="s">
        <v>795</v>
      </c>
      <c r="F1000" s="6">
        <v>1</v>
      </c>
      <c r="G1000" s="8" t="s">
        <v>780</v>
      </c>
      <c r="H1000" s="8" t="s">
        <v>781</v>
      </c>
      <c r="I1000" s="7" t="s">
        <v>739</v>
      </c>
      <c r="J1000" s="8" t="s">
        <v>791</v>
      </c>
      <c r="K1000" s="14" t="b">
        <v>1</v>
      </c>
      <c r="L1000" s="14" t="b">
        <v>1</v>
      </c>
      <c r="M1000" s="14" t="b">
        <v>1</v>
      </c>
      <c r="N1000" s="14" t="b">
        <v>1</v>
      </c>
      <c r="O1000" s="14" t="b">
        <v>1</v>
      </c>
    </row>
  </sheetData>
  <conditionalFormatting sqref="N1001:O1048576 K6:O1000">
    <cfRule type="cellIs" dxfId="698" priority="5" operator="equal">
      <formula>TRUE</formula>
    </cfRule>
  </conditionalFormatting>
  <conditionalFormatting sqref="N1001:O1048576 K6:O1000">
    <cfRule type="cellIs" dxfId="697" priority="4" operator="equal">
      <formula>FALSE</formula>
    </cfRule>
  </conditionalFormatting>
  <conditionalFormatting sqref="E6:E1000">
    <cfRule type="cellIs" dxfId="696" priority="1" operator="equal">
      <formula>"0-Setorizar"</formula>
    </cfRule>
    <cfRule type="cellIs" dxfId="695" priority="2" operator="equal">
      <formula>"1-Setorizado"</formula>
    </cfRule>
  </conditionalFormatting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8C6DC5-8238-4FFC-8967-CE0A74ACA5A8}">
  <sheetPr>
    <tabColor rgb="FFFF9933"/>
  </sheetPr>
  <dimension ref="A1:Q22"/>
  <sheetViews>
    <sheetView showGridLines="0" workbookViewId="0"/>
  </sheetViews>
  <sheetFormatPr defaultRowHeight="12.75" x14ac:dyDescent="0.25"/>
  <cols>
    <col min="1" max="1" width="12.28515625" style="3" bestFit="1" customWidth="1"/>
    <col min="2" max="2" width="12.42578125" style="3" bestFit="1" customWidth="1"/>
    <col min="3" max="3" width="13.28515625" style="3" bestFit="1" customWidth="1"/>
    <col min="4" max="4" width="13.42578125" style="3" bestFit="1" customWidth="1"/>
    <col min="5" max="5" width="12.140625" style="3" bestFit="1" customWidth="1"/>
    <col min="6" max="6" width="13.85546875" style="3" bestFit="1" customWidth="1"/>
    <col min="7" max="7" width="15.5703125" style="3" bestFit="1" customWidth="1"/>
    <col min="8" max="8" width="17.140625" style="3" bestFit="1" customWidth="1"/>
    <col min="9" max="9" width="19.7109375" style="3" bestFit="1" customWidth="1"/>
    <col min="10" max="10" width="16" style="3" bestFit="1" customWidth="1"/>
    <col min="11" max="11" width="14.7109375" style="3" bestFit="1" customWidth="1"/>
    <col min="12" max="12" width="19.140625" style="3" bestFit="1" customWidth="1"/>
    <col min="13" max="13" width="19.5703125" style="3" bestFit="1" customWidth="1"/>
    <col min="14" max="14" width="18.7109375" style="3" bestFit="1" customWidth="1"/>
    <col min="15" max="16384" width="9.140625" style="3"/>
  </cols>
  <sheetData>
    <row r="1" spans="1:17" ht="42.75" customHeight="1" x14ac:dyDescent="0.25">
      <c r="A1" s="48" t="s">
        <v>1022</v>
      </c>
    </row>
    <row r="2" spans="1:17" x14ac:dyDescent="0.25">
      <c r="A2" s="64"/>
    </row>
    <row r="3" spans="1:17" x14ac:dyDescent="0.25">
      <c r="A3" s="64"/>
      <c r="C3" s="6"/>
      <c r="D3" s="6"/>
      <c r="E3" s="6"/>
    </row>
    <row r="4" spans="1:17" ht="15" customHeight="1" x14ac:dyDescent="0.25">
      <c r="A4" s="172" t="s">
        <v>1023</v>
      </c>
      <c r="B4" s="172"/>
      <c r="C4" s="156" t="str">
        <f>C6</f>
        <v>2019/2020</v>
      </c>
      <c r="D4" s="156" t="str">
        <f>VLOOKUP(SUBTOTAL(4,TBL_IV_PERIODOS[Mes-Unv]),TBL_IV_PERIODOS[[Mes-Unv]:[Data-Pagamento]],3,0)</f>
        <v>03-Set</v>
      </c>
      <c r="E4" s="156" t="str">
        <f>VLOOKUP(SUBTOTAL(4,TBL_IV_PERIODOS[Mes-Unv]),TBL_IV_PERIODOS[[Mes-Unv]:[Data-Pagamento]],4,0)</f>
        <v>01-Tri</v>
      </c>
      <c r="F4" s="157"/>
      <c r="G4" s="157"/>
      <c r="H4" s="156" t="str" cm="1">
        <f t="array" ref="H4">IF(VLOOKUP(SUBTOTAL(4,TBL_IV_PERIODOS[Mes-Unv]),TBL_IV_PERIODOS[[Mes-Unv]:[Data-Pagamento]],7,0)=TRUE,"Sim","Não")</f>
        <v>Sim</v>
      </c>
      <c r="I4" s="156" t="str" cm="1">
        <f t="array" ref="I4">IF(VLOOKUP(SUBTOTAL(4,TBL_IV_PERIODOS[Mes-Unv]),TBL_IV_PERIODOS[[Mes-Unv]:[Data-Pagamento]],8,0)=TRUE,"Sim","Não")</f>
        <v>Sim</v>
      </c>
    </row>
    <row r="5" spans="1:17" ht="15" x14ac:dyDescent="0.25">
      <c r="A5" s="6" t="s">
        <v>0</v>
      </c>
      <c r="B5" s="6" t="s">
        <v>1</v>
      </c>
      <c r="C5" s="6" t="s">
        <v>2</v>
      </c>
      <c r="D5" s="6" t="s">
        <v>3</v>
      </c>
      <c r="E5" s="6" t="s">
        <v>4</v>
      </c>
      <c r="F5" s="6" t="s">
        <v>5</v>
      </c>
      <c r="G5" s="6" t="s">
        <v>807</v>
      </c>
      <c r="H5" s="6" t="s">
        <v>6</v>
      </c>
      <c r="I5" s="6" t="s">
        <v>7</v>
      </c>
      <c r="J5" s="6" t="s">
        <v>8</v>
      </c>
      <c r="K5" s="6" t="s">
        <v>953</v>
      </c>
      <c r="L5" s="6" t="s">
        <v>954</v>
      </c>
      <c r="M5" s="6" t="s">
        <v>955</v>
      </c>
      <c r="N5" s="6" t="s">
        <v>956</v>
      </c>
      <c r="P5"/>
      <c r="Q5"/>
    </row>
    <row r="6" spans="1:17" ht="15" hidden="1" x14ac:dyDescent="0.25">
      <c r="A6" s="6">
        <v>2019</v>
      </c>
      <c r="B6" s="6">
        <v>7</v>
      </c>
      <c r="C6" s="7" t="s">
        <v>16</v>
      </c>
      <c r="D6" s="7" t="s">
        <v>17</v>
      </c>
      <c r="E6" s="7" t="s">
        <v>18</v>
      </c>
      <c r="F6" s="7" t="s">
        <v>16</v>
      </c>
      <c r="G6" s="14" t="b">
        <v>1</v>
      </c>
      <c r="H6" s="14" t="b">
        <v>1</v>
      </c>
      <c r="I6" s="14" t="b">
        <v>0</v>
      </c>
      <c r="J6" s="14" t="b">
        <v>0</v>
      </c>
      <c r="K6" s="80"/>
      <c r="L6" s="80"/>
      <c r="M6" s="80"/>
      <c r="N6" s="80"/>
      <c r="P6"/>
      <c r="Q6"/>
    </row>
    <row r="7" spans="1:17" ht="15" hidden="1" x14ac:dyDescent="0.25">
      <c r="A7" s="6">
        <v>2019</v>
      </c>
      <c r="B7" s="6">
        <v>8</v>
      </c>
      <c r="C7" s="7" t="s">
        <v>16</v>
      </c>
      <c r="D7" s="7" t="s">
        <v>55</v>
      </c>
      <c r="E7" s="7" t="s">
        <v>18</v>
      </c>
      <c r="F7" s="7" t="s">
        <v>16</v>
      </c>
      <c r="G7" s="14" t="b">
        <v>1</v>
      </c>
      <c r="H7" s="14" t="b">
        <v>1</v>
      </c>
      <c r="I7" s="14" t="b">
        <v>0</v>
      </c>
      <c r="J7" s="14" t="b">
        <v>0</v>
      </c>
      <c r="K7" s="80"/>
      <c r="L7" s="80"/>
      <c r="M7" s="80"/>
      <c r="N7" s="80"/>
      <c r="P7"/>
      <c r="Q7"/>
    </row>
    <row r="8" spans="1:17" ht="15" x14ac:dyDescent="0.25">
      <c r="A8" s="6">
        <v>2019</v>
      </c>
      <c r="B8" s="6">
        <v>9</v>
      </c>
      <c r="C8" s="7" t="s">
        <v>16</v>
      </c>
      <c r="D8" s="7" t="s">
        <v>60</v>
      </c>
      <c r="E8" s="7" t="s">
        <v>18</v>
      </c>
      <c r="F8" s="7" t="s">
        <v>16</v>
      </c>
      <c r="G8" s="14" t="b">
        <v>1</v>
      </c>
      <c r="H8" s="14" t="b">
        <v>1</v>
      </c>
      <c r="I8" s="14" t="b">
        <v>1</v>
      </c>
      <c r="J8" s="14" t="b">
        <v>0</v>
      </c>
      <c r="K8" s="80"/>
      <c r="L8" s="80"/>
      <c r="M8" s="80"/>
      <c r="N8" s="80"/>
      <c r="P8"/>
      <c r="Q8"/>
    </row>
    <row r="9" spans="1:17" ht="15" hidden="1" x14ac:dyDescent="0.25">
      <c r="A9" s="6">
        <v>2019</v>
      </c>
      <c r="B9" s="6">
        <v>10</v>
      </c>
      <c r="C9" s="7" t="s">
        <v>16</v>
      </c>
      <c r="D9" s="7" t="s">
        <v>65</v>
      </c>
      <c r="E9" s="7" t="s">
        <v>66</v>
      </c>
      <c r="F9" s="7" t="s">
        <v>16</v>
      </c>
      <c r="G9" s="14" t="b">
        <v>1</v>
      </c>
      <c r="H9" s="14" t="b">
        <v>1</v>
      </c>
      <c r="I9" s="14" t="b">
        <v>0</v>
      </c>
      <c r="J9" s="14" t="b">
        <v>0</v>
      </c>
      <c r="K9" s="80"/>
      <c r="L9" s="80"/>
      <c r="M9" s="80"/>
      <c r="N9" s="80"/>
      <c r="P9"/>
      <c r="Q9"/>
    </row>
    <row r="10" spans="1:17" ht="15" hidden="1" x14ac:dyDescent="0.25">
      <c r="A10" s="6">
        <v>2019</v>
      </c>
      <c r="B10" s="6">
        <v>11</v>
      </c>
      <c r="C10" s="7" t="s">
        <v>16</v>
      </c>
      <c r="D10" s="7" t="s">
        <v>813</v>
      </c>
      <c r="E10" s="7" t="s">
        <v>66</v>
      </c>
      <c r="F10" s="7" t="s">
        <v>16</v>
      </c>
      <c r="G10" s="14" t="b">
        <v>1</v>
      </c>
      <c r="H10" s="14" t="b">
        <v>1</v>
      </c>
      <c r="I10" s="14" t="b">
        <v>0</v>
      </c>
      <c r="J10" s="14" t="b">
        <v>0</v>
      </c>
      <c r="K10" s="80"/>
      <c r="L10" s="80"/>
      <c r="M10" s="80"/>
      <c r="N10" s="80"/>
      <c r="P10"/>
      <c r="Q10"/>
    </row>
    <row r="11" spans="1:17" ht="15" hidden="1" x14ac:dyDescent="0.25">
      <c r="A11" s="6">
        <v>2019</v>
      </c>
      <c r="B11" s="6">
        <v>12</v>
      </c>
      <c r="C11" s="7" t="s">
        <v>16</v>
      </c>
      <c r="D11" s="7" t="s">
        <v>814</v>
      </c>
      <c r="E11" s="7" t="s">
        <v>66</v>
      </c>
      <c r="F11" s="7" t="s">
        <v>16</v>
      </c>
      <c r="G11" s="14" t="b">
        <v>1</v>
      </c>
      <c r="H11" s="14" t="b">
        <v>1</v>
      </c>
      <c r="I11" s="14" t="b">
        <v>1</v>
      </c>
      <c r="J11" s="14" t="b">
        <v>0</v>
      </c>
      <c r="K11" s="80"/>
      <c r="L11" s="80"/>
      <c r="M11" s="80"/>
      <c r="N11" s="80"/>
      <c r="P11"/>
      <c r="Q11"/>
    </row>
    <row r="12" spans="1:17" ht="15" hidden="1" x14ac:dyDescent="0.25">
      <c r="A12" s="6">
        <v>2020</v>
      </c>
      <c r="B12" s="6">
        <v>1</v>
      </c>
      <c r="C12" s="7" t="s">
        <v>16</v>
      </c>
      <c r="D12" s="7" t="s">
        <v>957</v>
      </c>
      <c r="E12" s="7" t="s">
        <v>958</v>
      </c>
      <c r="F12" s="7" t="s">
        <v>16</v>
      </c>
      <c r="G12" s="14" t="b">
        <v>1</v>
      </c>
      <c r="H12" s="14" t="b">
        <v>1</v>
      </c>
      <c r="I12" s="14" t="b">
        <v>0</v>
      </c>
      <c r="J12" s="14" t="b">
        <v>0</v>
      </c>
      <c r="K12" s="80"/>
      <c r="L12" s="80"/>
      <c r="M12" s="80"/>
      <c r="N12" s="80"/>
      <c r="P12"/>
      <c r="Q12"/>
    </row>
    <row r="13" spans="1:17" ht="15" hidden="1" x14ac:dyDescent="0.25">
      <c r="A13" s="6">
        <v>2020</v>
      </c>
      <c r="B13" s="6">
        <v>2</v>
      </c>
      <c r="C13" s="7" t="s">
        <v>16</v>
      </c>
      <c r="D13" s="7" t="s">
        <v>959</v>
      </c>
      <c r="E13" s="7" t="s">
        <v>958</v>
      </c>
      <c r="F13" s="7" t="s">
        <v>16</v>
      </c>
      <c r="G13" s="14" t="b">
        <v>1</v>
      </c>
      <c r="H13" s="14" t="b">
        <v>1</v>
      </c>
      <c r="I13" s="14" t="b">
        <v>0</v>
      </c>
      <c r="J13" s="14" t="b">
        <v>0</v>
      </c>
      <c r="K13" s="80"/>
      <c r="L13" s="80"/>
      <c r="M13" s="80"/>
      <c r="N13" s="80"/>
      <c r="P13"/>
      <c r="Q13"/>
    </row>
    <row r="14" spans="1:17" ht="15" hidden="1" x14ac:dyDescent="0.25">
      <c r="A14" s="6">
        <v>2020</v>
      </c>
      <c r="B14" s="6">
        <v>3</v>
      </c>
      <c r="C14" s="7" t="s">
        <v>16</v>
      </c>
      <c r="D14" s="7" t="s">
        <v>960</v>
      </c>
      <c r="E14" s="7" t="s">
        <v>958</v>
      </c>
      <c r="F14" s="7" t="s">
        <v>16</v>
      </c>
      <c r="G14" s="14" t="b">
        <v>1</v>
      </c>
      <c r="H14" s="14" t="b">
        <v>1</v>
      </c>
      <c r="I14" s="14" t="b">
        <v>1</v>
      </c>
      <c r="J14" s="14" t="b">
        <v>0</v>
      </c>
      <c r="K14" s="80"/>
      <c r="L14" s="80"/>
      <c r="M14" s="80"/>
      <c r="N14" s="80"/>
      <c r="P14"/>
      <c r="Q14"/>
    </row>
    <row r="15" spans="1:17" ht="15" hidden="1" x14ac:dyDescent="0.25">
      <c r="A15" s="6">
        <v>2020</v>
      </c>
      <c r="B15" s="6">
        <v>4</v>
      </c>
      <c r="C15" s="7" t="s">
        <v>16</v>
      </c>
      <c r="D15" s="7" t="s">
        <v>961</v>
      </c>
      <c r="E15" s="7" t="s">
        <v>962</v>
      </c>
      <c r="F15" s="7" t="s">
        <v>16</v>
      </c>
      <c r="G15" s="14" t="b">
        <v>1</v>
      </c>
      <c r="H15" s="14" t="b">
        <v>1</v>
      </c>
      <c r="I15" s="14" t="b">
        <v>0</v>
      </c>
      <c r="J15" s="14" t="b">
        <v>0</v>
      </c>
      <c r="K15" s="80"/>
      <c r="L15" s="80"/>
      <c r="M15" s="80"/>
      <c r="N15" s="80"/>
      <c r="P15"/>
      <c r="Q15"/>
    </row>
    <row r="16" spans="1:17" ht="15" hidden="1" x14ac:dyDescent="0.25">
      <c r="A16" s="6">
        <v>2020</v>
      </c>
      <c r="B16" s="6">
        <v>5</v>
      </c>
      <c r="C16" s="7" t="s">
        <v>16</v>
      </c>
      <c r="D16" s="7" t="s">
        <v>963</v>
      </c>
      <c r="E16" s="7" t="s">
        <v>962</v>
      </c>
      <c r="F16" s="7" t="s">
        <v>16</v>
      </c>
      <c r="G16" s="14" t="b">
        <v>1</v>
      </c>
      <c r="H16" s="14" t="b">
        <v>1</v>
      </c>
      <c r="I16" s="14" t="b">
        <v>0</v>
      </c>
      <c r="J16" s="14" t="b">
        <v>0</v>
      </c>
      <c r="K16" s="80"/>
      <c r="L16" s="80"/>
      <c r="M16" s="80"/>
      <c r="N16" s="80"/>
      <c r="P16"/>
      <c r="Q16"/>
    </row>
    <row r="17" spans="1:17" ht="15" hidden="1" x14ac:dyDescent="0.25">
      <c r="A17" s="6">
        <v>2020</v>
      </c>
      <c r="B17" s="6">
        <v>6</v>
      </c>
      <c r="C17" s="7" t="s">
        <v>16</v>
      </c>
      <c r="D17" s="7" t="s">
        <v>964</v>
      </c>
      <c r="E17" s="7" t="s">
        <v>962</v>
      </c>
      <c r="F17" s="7" t="s">
        <v>16</v>
      </c>
      <c r="G17" s="14" t="b">
        <v>1</v>
      </c>
      <c r="H17" s="14" t="b">
        <v>1</v>
      </c>
      <c r="I17" s="14" t="b">
        <v>1</v>
      </c>
      <c r="J17" s="14" t="b">
        <v>1</v>
      </c>
      <c r="K17" s="80"/>
      <c r="L17" s="80"/>
      <c r="M17" s="80"/>
      <c r="N17" s="80"/>
      <c r="P17"/>
      <c r="Q17"/>
    </row>
    <row r="18" spans="1:17" ht="15" x14ac:dyDescent="0.25">
      <c r="P18"/>
      <c r="Q18"/>
    </row>
    <row r="19" spans="1:17" ht="15" x14ac:dyDescent="0.25">
      <c r="P19"/>
      <c r="Q19"/>
    </row>
    <row r="20" spans="1:17" ht="15" x14ac:dyDescent="0.25">
      <c r="P20"/>
      <c r="Q20"/>
    </row>
    <row r="21" spans="1:17" ht="15" x14ac:dyDescent="0.25">
      <c r="P21"/>
      <c r="Q21"/>
    </row>
    <row r="22" spans="1:17" ht="15" x14ac:dyDescent="0.25">
      <c r="P22"/>
      <c r="Q22"/>
    </row>
  </sheetData>
  <mergeCells count="1">
    <mergeCell ref="A4:B4"/>
  </mergeCells>
  <conditionalFormatting sqref="G6:I17">
    <cfRule type="cellIs" dxfId="677" priority="3" operator="equal">
      <formula>FALSE</formula>
    </cfRule>
    <cfRule type="cellIs" dxfId="676" priority="4" operator="equal">
      <formula>TRUE</formula>
    </cfRule>
  </conditionalFormatting>
  <conditionalFormatting sqref="J6:J17">
    <cfRule type="cellIs" dxfId="675" priority="1" operator="equal">
      <formula>FALSE</formula>
    </cfRule>
    <cfRule type="cellIs" dxfId="674" priority="2" operator="equal">
      <formula>TRUE</formula>
    </cfRule>
  </conditionalFormatting>
  <pageMargins left="0.511811024" right="0.511811024" top="0.78740157499999996" bottom="0.78740157499999996" header="0.31496062000000002" footer="0.31496062000000002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09B1F2-9ACF-4778-BBDF-55B8EEE97F34}">
  <dimension ref="A1:L38"/>
  <sheetViews>
    <sheetView showGridLines="0" workbookViewId="0">
      <selection activeCell="B4" sqref="B4"/>
    </sheetView>
  </sheetViews>
  <sheetFormatPr defaultRowHeight="12.75" x14ac:dyDescent="0.25"/>
  <cols>
    <col min="1" max="1" width="27.28515625" style="3" bestFit="1" customWidth="1"/>
    <col min="2" max="2" width="25" style="3" bestFit="1" customWidth="1"/>
    <col min="3" max="3" width="18.85546875" style="3" bestFit="1" customWidth="1"/>
    <col min="4" max="4" width="16.28515625" style="3" bestFit="1" customWidth="1"/>
    <col min="5" max="5" width="16.42578125" style="3" bestFit="1" customWidth="1"/>
    <col min="6" max="6" width="23.140625" style="3" bestFit="1" customWidth="1"/>
    <col min="7" max="7" width="15.42578125" style="6" bestFit="1" customWidth="1"/>
    <col min="8" max="8" width="15.140625" style="6" bestFit="1" customWidth="1"/>
    <col min="9" max="9" width="16.7109375" style="6" bestFit="1" customWidth="1"/>
    <col min="10" max="10" width="15.7109375" style="6" bestFit="1" customWidth="1"/>
    <col min="11" max="11" width="18.140625" style="3" bestFit="1" customWidth="1"/>
    <col min="12" max="12" width="15.42578125" style="3" bestFit="1" customWidth="1"/>
    <col min="13" max="13" width="45.28515625" style="3" customWidth="1"/>
    <col min="14" max="14" width="14.5703125" style="3" customWidth="1"/>
    <col min="15" max="15" width="18.140625" style="3" bestFit="1" customWidth="1"/>
    <col min="16" max="16" width="38.140625" style="3" customWidth="1"/>
    <col min="17" max="16384" width="9.140625" style="3"/>
  </cols>
  <sheetData>
    <row r="1" spans="1:12" ht="18.75" x14ac:dyDescent="0.25">
      <c r="A1" s="48" t="s">
        <v>991</v>
      </c>
      <c r="H1" s="6" t="str">
        <f>SegmentaçãodeDados_Ano_Fiscal</f>
        <v/>
      </c>
    </row>
    <row r="3" spans="1:12" x14ac:dyDescent="0.25">
      <c r="I3" s="6" t="str">
        <f>SegmentaçãodeDados_Ano_Fiscal</f>
        <v/>
      </c>
    </row>
    <row r="4" spans="1:12" x14ac:dyDescent="0.25">
      <c r="A4" s="50" t="s">
        <v>965</v>
      </c>
      <c r="B4" s="155" t="str">
        <f>Filtro_IV_Ano</f>
        <v>2019/2020</v>
      </c>
    </row>
    <row r="5" spans="1:12" x14ac:dyDescent="0.25">
      <c r="A5" s="50" t="s">
        <v>966</v>
      </c>
      <c r="B5" s="86" t="str">
        <f>Filtro_IV_Mes</f>
        <v>03-Set</v>
      </c>
    </row>
    <row r="6" spans="1:12" x14ac:dyDescent="0.25">
      <c r="A6" s="50" t="s">
        <v>967</v>
      </c>
      <c r="B6" s="86" t="str">
        <f>Filtro_IV_Tri</f>
        <v>01-Tri</v>
      </c>
    </row>
    <row r="7" spans="1:12" x14ac:dyDescent="0.25">
      <c r="A7" s="50" t="s">
        <v>983</v>
      </c>
      <c r="B7" s="86" t="str">
        <f>Filtro_IV_Tri_Recuperavel</f>
        <v>Sim</v>
      </c>
    </row>
    <row r="9" spans="1:12" x14ac:dyDescent="0.25">
      <c r="A9" s="173" t="s">
        <v>987</v>
      </c>
      <c r="B9" s="174"/>
      <c r="C9" s="101">
        <f>C11+C18</f>
        <v>44880.910120364439</v>
      </c>
      <c r="D9" s="101">
        <f t="shared" ref="D9:K9" si="0">D11+D18</f>
        <v>22680.02587288386</v>
      </c>
      <c r="E9" s="101">
        <f t="shared" si="0"/>
        <v>2521.9760403411474</v>
      </c>
      <c r="F9" s="101">
        <f t="shared" si="0"/>
        <v>4236.7971510896068</v>
      </c>
      <c r="G9" s="101">
        <f t="shared" si="0"/>
        <v>23581.830886889755</v>
      </c>
      <c r="H9" s="101">
        <f t="shared" si="0"/>
        <v>11197.718932242517</v>
      </c>
      <c r="I9" s="101">
        <f t="shared" si="0"/>
        <v>0</v>
      </c>
      <c r="J9" s="101">
        <f t="shared" si="0"/>
        <v>0</v>
      </c>
      <c r="K9" s="101">
        <f t="shared" si="0"/>
        <v>109099.25900381133</v>
      </c>
    </row>
    <row r="11" spans="1:12" x14ac:dyDescent="0.25">
      <c r="A11" s="173" t="s">
        <v>992</v>
      </c>
      <c r="B11" s="174"/>
      <c r="C11" s="101">
        <f>SUM(VIEW_IV_2019_GERENTES[IV Demanda Mês (70%)])</f>
        <v>7091.3135584483935</v>
      </c>
      <c r="D11" s="101">
        <f>SUM(VIEW_IV_2019_GERENTES[IV Venda Mês (20%)])</f>
        <v>6724.0675126399174</v>
      </c>
      <c r="E11" s="101">
        <f>SUM(VIEW_IV_2019_GERENTES[IV Visitas (5%)])</f>
        <v>463.52363725325017</v>
      </c>
      <c r="F11" s="101">
        <f>SUM(VIEW_IV_2019_GERENTES[IV Conhecimento (5%)])</f>
        <v>811.30158212354172</v>
      </c>
      <c r="G11" s="101">
        <f>SUM(VIEW_IV_2019_GERENTES[Recuperavel Demanda Tri])</f>
        <v>4970.5356336813929</v>
      </c>
      <c r="H11" s="101">
        <f>SUM(VIEW_IV_2019_GERENTES[Recuperavel Venda Tri])</f>
        <v>0</v>
      </c>
      <c r="I11" s="101">
        <f>SUM(VIEW_IV_2019_GERENTES[Acréscimos (+)])</f>
        <v>0</v>
      </c>
      <c r="J11" s="101">
        <f>SUM(VIEW_IV_2019_GERENTES[Descontos (-)])</f>
        <v>0</v>
      </c>
      <c r="K11" s="101">
        <f>SUM(VIEW_IV_2019_GERENTES[Total Premiação])</f>
        <v>20060.741924146496</v>
      </c>
    </row>
    <row r="12" spans="1:12" ht="25.5" x14ac:dyDescent="0.25">
      <c r="A12" s="98" t="s">
        <v>990</v>
      </c>
      <c r="B12" s="3" t="s">
        <v>709</v>
      </c>
      <c r="C12" s="98" t="s">
        <v>979</v>
      </c>
      <c r="D12" s="98" t="s">
        <v>982</v>
      </c>
      <c r="E12" s="98" t="s">
        <v>980</v>
      </c>
      <c r="F12" s="98" t="s">
        <v>981</v>
      </c>
      <c r="G12" s="98" t="s">
        <v>984</v>
      </c>
      <c r="H12" s="98" t="s">
        <v>985</v>
      </c>
      <c r="I12" s="107" t="s">
        <v>988</v>
      </c>
      <c r="J12" s="108" t="s">
        <v>989</v>
      </c>
      <c r="K12" s="98" t="s">
        <v>987</v>
      </c>
      <c r="L12" s="98" t="s">
        <v>986</v>
      </c>
    </row>
    <row r="13" spans="1:12" x14ac:dyDescent="0.25">
      <c r="A13" s="8" t="s">
        <v>786</v>
      </c>
      <c r="B13" s="8" t="s">
        <v>787</v>
      </c>
      <c r="C13" s="65">
        <f>SUMIFS(VIEW_IV_2019_GR_COTA_DEMANDA[Premio.Total],VIEW_IV_2019_GR_COTA_DEMANDA[Ano-Fiscal],Demostrativo_Ano,VIEW_IV_2019_GR_COTA_DEMANDA[Mes-Fiscal],Demonstrativo_Mes,VIEW_IV_2019_GR_COTA_DEMANDA['#FK-Email-Gerente],VIEW_IV_2019_GERENTES[[#This Row],[Email]])</f>
        <v>1884.9186004564822</v>
      </c>
      <c r="D13" s="65">
        <f>SUMIFS(VIEW_IV_2019_VENDA[Premio-TOTAL-GR],VIEW_IV_2019_VENDA[Ano-Fiscal],Demostrativo_Ano,VIEW_IV_2019_VENDA[Mes-Fiscal],Demonstrativo_Mes)</f>
        <v>2241.3558375466391</v>
      </c>
      <c r="E13" s="65">
        <f>SUMIFS(VIEW_IV_2019_VISITAS_GR[Visitas-Premio],VIEW_IV_2019_VISITAS_GR[Ano-Fiscal],Demostrativo_Ano,VIEW_IV_2019_VISITAS_GR[Mes-Fiscal],Demonstrativo_Mes,VIEW_IV_2019_VISITAS_GR['#FK-Email-Gerente],VIEW_IV_2019_GERENTES[[#This Row],[Email]])</f>
        <v>270.43386070784726</v>
      </c>
      <c r="F13" s="65">
        <f>Vlr_100_GR*0.05</f>
        <v>270.43386070784726</v>
      </c>
      <c r="G13" s="65" cm="1">
        <f t="array" ref="G13">IF(Demonstrativo_Calcular_Recuperavel_Tri="Não",0,SUMIFS(VIEW_IV_2019_GR_COTA_DEMANDA_TRI[Recuperavel-Total],VIEW_IV_2019_GR_COTA_DEMANDA_TRI[Ano-Fiscal],Demostrativo_Ano,VIEW_IV_2019_GR_COTA_DEMANDA_TRI[Tri-Fiscal],Demonstrativo_Tri,VIEW_IV_2019_GR_COTA_DEMANDA_TRI['#FK-Email-Gerente],VIEW_IV_2019_GERENTES[[#This Row],[Email]]))</f>
        <v>725.82090030721224</v>
      </c>
      <c r="H13" s="65" cm="1">
        <f t="array" ref="H13">IF(Demonstrativo_Calcular_Recuperavel_Tri="Não",0,SUMIFS(VIEW_IV_2019_VENDA_TRI[Recuperavel-TOTAL-GR],VIEW_IV_2019_VENDA_TRI[Ano-Fiscal],Demostrativo_Ano,VIEW_IV_2019_VENDA_TRI[Tri-Fiscal],Demonstrativo_Tri))</f>
        <v>0</v>
      </c>
      <c r="I13" s="65"/>
      <c r="J13" s="65"/>
      <c r="K13" s="65">
        <f>SUM(VIEW_IV_2019_GERENTES[[#This Row],[IV Demanda Mês (70%)]:[Acréscimos (+)]])-VIEW_IV_2019_GERENTES[[#This Row],[Descontos (-)]]</f>
        <v>5392.9630597260284</v>
      </c>
      <c r="L13" s="109"/>
    </row>
    <row r="14" spans="1:12" x14ac:dyDescent="0.25">
      <c r="A14" s="8" t="s">
        <v>790</v>
      </c>
      <c r="B14" s="8" t="s">
        <v>791</v>
      </c>
      <c r="C14" s="65">
        <f>SUMIFS(VIEW_IV_2019_GR_COTA_DEMANDA[Premio.Total],VIEW_IV_2019_GR_COTA_DEMANDA[Ano-Fiscal],Demostrativo_Ano,VIEW_IV_2019_GR_COTA_DEMANDA[Mes-Fiscal],Demonstrativo_Mes,VIEW_IV_2019_GR_COTA_DEMANDA['#FK-Email-Gerente],VIEW_IV_2019_GERENTES[[#This Row],[Email]])</f>
        <v>2260.8270755176072</v>
      </c>
      <c r="D14" s="65">
        <f>SUMIFS(VIEW_IV_2019_VENDA[Premio-TOTAL-GR],VIEW_IV_2019_VENDA[Ano-Fiscal],Demostrativo_Ano,VIEW_IV_2019_VENDA[Mes-Fiscal],Demonstrativo_Mes)</f>
        <v>2241.3558375466391</v>
      </c>
      <c r="E14" s="65">
        <f>SUMIFS(VIEW_IV_2019_VISITAS_GR[Visitas-Premio],VIEW_IV_2019_VISITAS_GR[Ano-Fiscal],Demostrativo_Ano,VIEW_IV_2019_VISITAS_GR[Mes-Fiscal],Demonstrativo_Mes,VIEW_IV_2019_VISITAS_GR['#FK-Email-Gerente],VIEW_IV_2019_GERENTES[[#This Row],[Email]])</f>
        <v>193.08977654540288</v>
      </c>
      <c r="F14" s="65">
        <f>Vlr_100_GR*0.05</f>
        <v>270.43386070784726</v>
      </c>
      <c r="G14" s="65" cm="1">
        <f t="array" ref="G14">IF(Demonstrativo_Calcular_Recuperavel_Tri="Não",0,SUMIFS(VIEW_IV_2019_GR_COTA_DEMANDA_TRI[Recuperavel-Total],VIEW_IV_2019_GR_COTA_DEMANDA_TRI[Ano-Fiscal],Demostrativo_Ano,VIEW_IV_2019_GR_COTA_DEMANDA_TRI[Tri-Fiscal],Demonstrativo_Tri,VIEW_IV_2019_GR_COTA_DEMANDA_TRI['#FK-Email-Gerente],VIEW_IV_2019_GERENTES[[#This Row],[Email]]))</f>
        <v>3857.591474283045</v>
      </c>
      <c r="H14" s="65" cm="1">
        <f t="array" ref="H14">IF(Demonstrativo_Calcular_Recuperavel_Tri="Não",0,SUMIFS(VIEW_IV_2019_VENDA_TRI[Recuperavel-TOTAL-GR],VIEW_IV_2019_VENDA_TRI[Ano-Fiscal],Demostrativo_Ano,VIEW_IV_2019_VENDA_TRI[Tri-Fiscal],Demonstrativo_Tri))</f>
        <v>0</v>
      </c>
      <c r="I14" s="65"/>
      <c r="J14" s="65"/>
      <c r="K14" s="65">
        <f>SUM(VIEW_IV_2019_GERENTES[[#This Row],[IV Demanda Mês (70%)]:[Acréscimos (+)]])-VIEW_IV_2019_GERENTES[[#This Row],[Descontos (-)]]</f>
        <v>8823.2980246005409</v>
      </c>
      <c r="L14" s="8"/>
    </row>
    <row r="15" spans="1:12" x14ac:dyDescent="0.25">
      <c r="A15" s="8" t="s">
        <v>784</v>
      </c>
      <c r="B15" s="8" t="s">
        <v>785</v>
      </c>
      <c r="C15" s="65">
        <f>SUMIFS(VIEW_IV_2019_GR_COTA_DEMANDA[Premio.Total],VIEW_IV_2019_GR_COTA_DEMANDA[Ano-Fiscal],Demostrativo_Ano,VIEW_IV_2019_GR_COTA_DEMANDA[Mes-Fiscal],Demonstrativo_Mes,VIEW_IV_2019_GR_COTA_DEMANDA['#FK-Email-Gerente],VIEW_IV_2019_GERENTES[[#This Row],[Email]])</f>
        <v>2945.5678824743045</v>
      </c>
      <c r="D15" s="65">
        <f>SUMIFS(VIEW_IV_2019_VENDA[Premio-TOTAL-GR],VIEW_IV_2019_VENDA[Ano-Fiscal],Demostrativo_Ano,VIEW_IV_2019_VENDA[Mes-Fiscal],Demonstrativo_Mes)</f>
        <v>2241.3558375466391</v>
      </c>
      <c r="E15" s="65">
        <f>SUMIFS(VIEW_IV_2019_VISITAS_GR[Visitas-Premio],VIEW_IV_2019_VISITAS_GR[Ano-Fiscal],Demostrativo_Ano,VIEW_IV_2019_VISITAS_GR[Mes-Fiscal],Demonstrativo_Mes,VIEW_IV_2019_VISITAS_GR['#FK-Email-Gerente],VIEW_IV_2019_GERENTES[[#This Row],[Email]])</f>
        <v>0</v>
      </c>
      <c r="F15" s="65">
        <f>Vlr_100_GR*0.05</f>
        <v>270.43386070784726</v>
      </c>
      <c r="G15" s="65" cm="1">
        <f t="array" ref="G15">IF(Demonstrativo_Calcular_Recuperavel_Tri="Não",0,SUMIFS(VIEW_IV_2019_GR_COTA_DEMANDA_TRI[Recuperavel-Total],VIEW_IV_2019_GR_COTA_DEMANDA_TRI[Ano-Fiscal],Demostrativo_Ano,VIEW_IV_2019_GR_COTA_DEMANDA_TRI[Tri-Fiscal],Demonstrativo_Tri,VIEW_IV_2019_GR_COTA_DEMANDA_TRI['#FK-Email-Gerente],VIEW_IV_2019_GERENTES[[#This Row],[Email]]))</f>
        <v>387.12325909113565</v>
      </c>
      <c r="H15" s="65" cm="1">
        <f t="array" ref="H15">IF(Demonstrativo_Calcular_Recuperavel_Tri="Não",0,SUMIFS(VIEW_IV_2019_VENDA_TRI[Recuperavel-TOTAL-GR],VIEW_IV_2019_VENDA_TRI[Ano-Fiscal],Demostrativo_Ano,VIEW_IV_2019_VENDA_TRI[Tri-Fiscal],Demonstrativo_Tri))</f>
        <v>0</v>
      </c>
      <c r="I15" s="65"/>
      <c r="J15" s="65"/>
      <c r="K15" s="65">
        <f>SUM(VIEW_IV_2019_GERENTES[[#This Row],[IV Demanda Mês (70%)]:[Acréscimos (+)]])-VIEW_IV_2019_GERENTES[[#This Row],[Descontos (-)]]</f>
        <v>5844.4808398199266</v>
      </c>
      <c r="L15" s="8"/>
    </row>
    <row r="16" spans="1:12" x14ac:dyDescent="0.25">
      <c r="G16" s="3"/>
      <c r="H16" s="3"/>
      <c r="I16" s="3"/>
      <c r="J16" s="3"/>
    </row>
    <row r="18" spans="1:12" x14ac:dyDescent="0.25">
      <c r="A18" s="173" t="s">
        <v>833</v>
      </c>
      <c r="B18" s="174"/>
      <c r="C18" s="101">
        <f>SUM(VIEW_IV_2019_REPRESENTANTES[IV Demanda Mês (70%)])</f>
        <v>37789.596561916049</v>
      </c>
      <c r="D18" s="101">
        <f>SUM(VIEW_IV_2019_REPRESENTANTES[IV Venda Mês (20%)])</f>
        <v>15955.958360243943</v>
      </c>
      <c r="E18" s="101">
        <f>SUM(VIEW_IV_2019_REPRESENTANTES[IV Visitas (5%)])</f>
        <v>2058.452403087897</v>
      </c>
      <c r="F18" s="101">
        <f>SUM(VIEW_IV_2019_REPRESENTANTES[IV Conhecimento (5%)])</f>
        <v>3425.4955689660651</v>
      </c>
      <c r="G18" s="101">
        <f>SUM(VIEW_IV_2019_REPRESENTANTES[Recuperavel Demanda Tri])</f>
        <v>18611.295253208362</v>
      </c>
      <c r="H18" s="101">
        <f>SUM(VIEW_IV_2019_REPRESENTANTES[Recuperavel Venda Tri])</f>
        <v>11197.718932242517</v>
      </c>
      <c r="I18" s="101">
        <f>SUM(VIEW_IV_2019_REPRESENTANTES[Acréscimos (+)])</f>
        <v>0</v>
      </c>
      <c r="J18" s="101">
        <f>SUM(VIEW_IV_2019_REPRESENTANTES[Descontos (-)])</f>
        <v>0</v>
      </c>
      <c r="K18" s="101">
        <f>SUM(VIEW_IV_2019_REPRESENTANTES[Total Premiação])</f>
        <v>89038.517079664831</v>
      </c>
    </row>
    <row r="19" spans="1:12" ht="25.5" x14ac:dyDescent="0.25">
      <c r="A19" s="98" t="s">
        <v>973</v>
      </c>
      <c r="B19" s="3" t="s">
        <v>709</v>
      </c>
      <c r="C19" s="98" t="s">
        <v>979</v>
      </c>
      <c r="D19" s="98" t="s">
        <v>982</v>
      </c>
      <c r="E19" s="98" t="s">
        <v>980</v>
      </c>
      <c r="F19" s="98" t="s">
        <v>981</v>
      </c>
      <c r="G19" s="98" t="s">
        <v>984</v>
      </c>
      <c r="H19" s="98" t="s">
        <v>985</v>
      </c>
      <c r="I19" s="107" t="s">
        <v>988</v>
      </c>
      <c r="J19" s="108" t="s">
        <v>989</v>
      </c>
      <c r="K19" s="98" t="s">
        <v>987</v>
      </c>
      <c r="L19" s="98" t="s">
        <v>986</v>
      </c>
    </row>
    <row r="20" spans="1:12" x14ac:dyDescent="0.25">
      <c r="A20" s="8" t="s">
        <v>728</v>
      </c>
      <c r="B20" s="8" t="s">
        <v>729</v>
      </c>
      <c r="C20" s="99">
        <f>SUMIFS(VIEW_IV_2019_REP_CALCULO[Premio-Total],VIEW_IV_2019_REP_CALCULO[Ano-Fiscal],Demostrativo_Ano,VIEW_IV_2019_REP_CALCULO[Mes-Fiscal],Demonstrativo_Mes,VIEW_IV_2019_REP_CALCULO['#PK-Email],VIEW_IV_2019_REPRESENTANTES[[#This Row],[E-mail]])</f>
        <v>1059.3074613166852</v>
      </c>
      <c r="D20" s="99">
        <f>SUMIFS(VIEW_IV_2019_VENDA[Premio-Total-REP],VIEW_IV_2019_VENDA[Ano-Fiscal],Demostrativo_Ano,VIEW_IV_2019_VENDA[Mes-Fiscal],Demonstrativo_Mes)</f>
        <v>839.7872821181021</v>
      </c>
      <c r="E20" s="99">
        <f>SUMIFS(VIEW_IV_2019_VISITAS_REP[Visitas-Premio],VIEW_IV_2019_VISITAS_REP[Ano-Fiscal],Demostrativo_Ano,VIEW_IV_2019_VISITAS_REP[Mes-Fiscal],Demonstrativo_Mes,VIEW_IV_2019_VISITAS_REP['#PK-Email],VIEW_IV_2019_REPRESENTANTES[[#This Row],[E-mail]])</f>
        <v>180.2892404718981</v>
      </c>
      <c r="F20" s="100">
        <f t="shared" ref="F20:F38" si="1">Vlr_100_REP*0.05</f>
        <v>180.2892404718981</v>
      </c>
      <c r="G20" s="65" cm="1">
        <f t="array" ref="G20">IF(Demonstrativo_Calcular_Recuperavel_Tri="Não",0,SUMIFS(VIEW_IV_2019_REP_CALCULO_TRI[Recuperavel-Total],VIEW_IV_2019_REP_CALCULO_TRI[Ano-Fiscal],Demostrativo_Ano,VIEW_IV_2019_REP_CALCULO_TRI[Tri-Fiscal],Demonstrativo_Tri,VIEW_IV_2019_REP_CALCULO_TRI['#PK-Email],VIEW_IV_2019_REPRESENTANTES[[#This Row],[E-mail]]))</f>
        <v>139.48617956830003</v>
      </c>
      <c r="H20" s="65" cm="1">
        <f t="array" ref="H20">IF(Demonstrativo_Calcular_Recuperavel_Tri="Não",0,SUMIFS(VIEW_IV_2019_VENDA_TRI[Recuperavel-Total-REP],VIEW_IV_2019_VENDA_TRI[Ano-Fiscal],Demostrativo_Ano,VIEW_IV_2019_VENDA_TRI[Tri-Fiscal],Demonstrativo_Tri))</f>
        <v>589.35362801276392</v>
      </c>
      <c r="I20" s="65"/>
      <c r="J20" s="65"/>
      <c r="K20" s="65">
        <f>SUM(VIEW_IV_2019_REPRESENTANTES[[#This Row],[IV Demanda Mês (70%)]:[Acréscimos (+)]])-VIEW_IV_2019_REPRESENTANTES[[#This Row],[Descontos (-)]]</f>
        <v>2988.5130319596474</v>
      </c>
      <c r="L20" s="91"/>
    </row>
    <row r="21" spans="1:12" x14ac:dyDescent="0.25">
      <c r="A21" s="8" t="s">
        <v>733</v>
      </c>
      <c r="B21" s="8" t="s">
        <v>734</v>
      </c>
      <c r="C21" s="99">
        <f>SUMIFS(VIEW_IV_2019_REP_CALCULO[Premio-Total],VIEW_IV_2019_REP_CALCULO[Ano-Fiscal],Demostrativo_Ano,VIEW_IV_2019_REP_CALCULO[Mes-Fiscal],Demonstrativo_Mes,VIEW_IV_2019_REP_CALCULO['#PK-Email],VIEW_IV_2019_REPRESENTANTES[[#This Row],[E-mail]])</f>
        <v>2264.4328603270433</v>
      </c>
      <c r="D21" s="99">
        <f>SUMIFS(VIEW_IV_2019_VENDA[Premio-Total-REP],VIEW_IV_2019_VENDA[Ano-Fiscal],Demostrativo_Ano,VIEW_IV_2019_VENDA[Mes-Fiscal],Demonstrativo_Mes)</f>
        <v>839.7872821181021</v>
      </c>
      <c r="E21" s="99">
        <f>SUMIFS(VIEW_IV_2019_VISITAS_REP[Visitas-Premio],VIEW_IV_2019_VISITAS_REP[Ano-Fiscal],Demostrativo_Ano,VIEW_IV_2019_VISITAS_REP[Mes-Fiscal],Demonstrativo_Mes,VIEW_IV_2019_VISITAS_REP['#PK-Email],VIEW_IV_2019_REPRESENTANTES[[#This Row],[E-mail]])</f>
        <v>126.83348067198027</v>
      </c>
      <c r="F21" s="100">
        <f t="shared" si="1"/>
        <v>180.2892404718981</v>
      </c>
      <c r="G21" s="65" cm="1">
        <f t="array" ref="G21">IF(Demonstrativo_Calcular_Recuperavel_Tri="Não",0,SUMIFS(VIEW_IV_2019_REP_CALCULO_TRI[Recuperavel-Total],VIEW_IV_2019_REP_CALCULO_TRI[Ano-Fiscal],Demostrativo_Ano,VIEW_IV_2019_REP_CALCULO_TRI[Tri-Fiscal],Demonstrativo_Tri,VIEW_IV_2019_REP_CALCULO_TRI['#PK-Email],VIEW_IV_2019_REPRESENTANTES[[#This Row],[E-mail]]))</f>
        <v>297.83205600387646</v>
      </c>
      <c r="H21" s="65" cm="1">
        <f t="array" ref="H21">IF(Demonstrativo_Calcular_Recuperavel_Tri="Não",0,SUMIFS(VIEW_IV_2019_VENDA_TRI[Recuperavel-Total-REP],VIEW_IV_2019_VENDA_TRI[Ano-Fiscal],Demostrativo_Ano,VIEW_IV_2019_VENDA_TRI[Tri-Fiscal],Demonstrativo_Tri))</f>
        <v>589.35362801276392</v>
      </c>
      <c r="I21" s="65"/>
      <c r="J21" s="65"/>
      <c r="K21" s="65">
        <f>SUM(VIEW_IV_2019_REPRESENTANTES[[#This Row],[IV Demanda Mês (70%)]:[Acréscimos (+)]])-VIEW_IV_2019_REPRESENTANTES[[#This Row],[Descontos (-)]]</f>
        <v>4298.5285476056642</v>
      </c>
      <c r="L21" s="91"/>
    </row>
    <row r="22" spans="1:12" x14ac:dyDescent="0.25">
      <c r="A22" s="8" t="s">
        <v>740</v>
      </c>
      <c r="B22" s="8" t="s">
        <v>741</v>
      </c>
      <c r="C22" s="99">
        <f>SUMIFS(VIEW_IV_2019_REP_CALCULO[Premio-Total],VIEW_IV_2019_REP_CALCULO[Ano-Fiscal],Demostrativo_Ano,VIEW_IV_2019_REP_CALCULO[Mes-Fiscal],Demonstrativo_Mes,VIEW_IV_2019_REP_CALCULO['#PK-Email],VIEW_IV_2019_REPRESENTANTES[[#This Row],[E-mail]])</f>
        <v>1629.8147338659624</v>
      </c>
      <c r="D22" s="99">
        <f>SUMIFS(VIEW_IV_2019_VENDA[Premio-Total-REP],VIEW_IV_2019_VENDA[Ano-Fiscal],Demostrativo_Ano,VIEW_IV_2019_VENDA[Mes-Fiscal],Demonstrativo_Mes)</f>
        <v>839.7872821181021</v>
      </c>
      <c r="E22" s="99">
        <f>SUMIFS(VIEW_IV_2019_VISITAS_REP[Visitas-Premio],VIEW_IV_2019_VISITAS_REP[Ano-Fiscal],Demostrativo_Ano,VIEW_IV_2019_VISITAS_REP[Mes-Fiscal],Demonstrativo_Mes,VIEW_IV_2019_VISITAS_REP['#PK-Email],VIEW_IV_2019_REPRESENTANTES[[#This Row],[E-mail]])</f>
        <v>180.2892404718981</v>
      </c>
      <c r="F22" s="100">
        <f t="shared" si="1"/>
        <v>180.2892404718981</v>
      </c>
      <c r="G22" s="65" cm="1">
        <f t="array" ref="G22">IF(Demonstrativo_Calcular_Recuperavel_Tri="Não",0,SUMIFS(VIEW_IV_2019_REP_CALCULO_TRI[Recuperavel-Total],VIEW_IV_2019_REP_CALCULO_TRI[Ano-Fiscal],Demostrativo_Ano,VIEW_IV_2019_REP_CALCULO_TRI[Tri-Fiscal],Demonstrativo_Tri,VIEW_IV_2019_REP_CALCULO_TRI['#PK-Email],VIEW_IV_2019_REPRESENTANTES[[#This Row],[E-mail]]))</f>
        <v>0</v>
      </c>
      <c r="H22" s="65" cm="1">
        <f t="array" ref="H22">IF(Demonstrativo_Calcular_Recuperavel_Tri="Não",0,SUMIFS(VIEW_IV_2019_VENDA_TRI[Recuperavel-Total-REP],VIEW_IV_2019_VENDA_TRI[Ano-Fiscal],Demostrativo_Ano,VIEW_IV_2019_VENDA_TRI[Tri-Fiscal],Demonstrativo_Tri))</f>
        <v>589.35362801276392</v>
      </c>
      <c r="I22" s="65"/>
      <c r="J22" s="65"/>
      <c r="K22" s="65">
        <f>SUM(VIEW_IV_2019_REPRESENTANTES[[#This Row],[IV Demanda Mês (70%)]:[Acréscimos (+)]])-VIEW_IV_2019_REPRESENTANTES[[#This Row],[Descontos (-)]]</f>
        <v>3419.5341249406247</v>
      </c>
      <c r="L22" s="91"/>
    </row>
    <row r="23" spans="1:12" x14ac:dyDescent="0.25">
      <c r="A23" s="8" t="s">
        <v>754</v>
      </c>
      <c r="B23" s="8" t="s">
        <v>755</v>
      </c>
      <c r="C23" s="99">
        <f>SUMIFS(VIEW_IV_2019_REP_CALCULO[Premio-Total],VIEW_IV_2019_REP_CALCULO[Ano-Fiscal],Demostrativo_Ano,VIEW_IV_2019_REP_CALCULO[Mes-Fiscal],Demonstrativo_Mes,VIEW_IV_2019_REP_CALCULO['#PK-Email],VIEW_IV_2019_REPRESENTANTES[[#This Row],[E-mail]])</f>
        <v>2245.7909528622499</v>
      </c>
      <c r="D23" s="99">
        <f>SUMIFS(VIEW_IV_2019_VENDA[Premio-Total-REP],VIEW_IV_2019_VENDA[Ano-Fiscal],Demostrativo_Ano,VIEW_IV_2019_VENDA[Mes-Fiscal],Demonstrativo_Mes)</f>
        <v>839.7872821181021</v>
      </c>
      <c r="E23" s="99">
        <f>SUMIFS(VIEW_IV_2019_VISITAS_REP[Visitas-Premio],VIEW_IV_2019_VISITAS_REP[Ano-Fiscal],Demostrativo_Ano,VIEW_IV_2019_VISITAS_REP[Mes-Fiscal],Demonstrativo_Mes,VIEW_IV_2019_VISITAS_REP['#PK-Email],VIEW_IV_2019_REPRESENTANTES[[#This Row],[E-mail]])</f>
        <v>180.2892404718981</v>
      </c>
      <c r="F23" s="100">
        <f t="shared" si="1"/>
        <v>180.2892404718981</v>
      </c>
      <c r="G23" s="65" cm="1">
        <f t="array" ref="G23">IF(Demonstrativo_Calcular_Recuperavel_Tri="Não",0,SUMIFS(VIEW_IV_2019_REP_CALCULO_TRI[Recuperavel-Total],VIEW_IV_2019_REP_CALCULO_TRI[Ano-Fiscal],Demostrativo_Ano,VIEW_IV_2019_REP_CALCULO_TRI[Tri-Fiscal],Demonstrativo_Tri,VIEW_IV_2019_REP_CALCULO_TRI['#PK-Email],VIEW_IV_2019_REPRESENTANTES[[#This Row],[E-mail]]))</f>
        <v>198.93114793669429</v>
      </c>
      <c r="H23" s="65" cm="1">
        <f t="array" ref="H23">IF(Demonstrativo_Calcular_Recuperavel_Tri="Não",0,SUMIFS(VIEW_IV_2019_VENDA_TRI[Recuperavel-Total-REP],VIEW_IV_2019_VENDA_TRI[Ano-Fiscal],Demostrativo_Ano,VIEW_IV_2019_VENDA_TRI[Tri-Fiscal],Demonstrativo_Tri))</f>
        <v>589.35362801276392</v>
      </c>
      <c r="I23" s="65"/>
      <c r="J23" s="65"/>
      <c r="K23" s="65">
        <f>SUM(VIEW_IV_2019_REPRESENTANTES[[#This Row],[IV Demanda Mês (70%)]:[Acréscimos (+)]])-VIEW_IV_2019_REPRESENTANTES[[#This Row],[Descontos (-)]]</f>
        <v>4234.4414918736065</v>
      </c>
      <c r="L23" s="91"/>
    </row>
    <row r="24" spans="1:12" x14ac:dyDescent="0.25">
      <c r="A24" s="8" t="s">
        <v>778</v>
      </c>
      <c r="B24" s="8" t="s">
        <v>779</v>
      </c>
      <c r="C24" s="99">
        <f>SUMIFS(VIEW_IV_2019_REP_CALCULO[Premio-Total],VIEW_IV_2019_REP_CALCULO[Ano-Fiscal],Demostrativo_Ano,VIEW_IV_2019_REP_CALCULO[Mes-Fiscal],Demonstrativo_Mes,VIEW_IV_2019_REP_CALCULO['#PK-Email],VIEW_IV_2019_REPRESENTANTES[[#This Row],[E-mail]])</f>
        <v>814.90736693298118</v>
      </c>
      <c r="D24" s="99">
        <f>SUMIFS(VIEW_IV_2019_VENDA[Premio-Total-REP],VIEW_IV_2019_VENDA[Ano-Fiscal],Demostrativo_Ano,VIEW_IV_2019_VENDA[Mes-Fiscal],Demonstrativo_Mes)</f>
        <v>839.7872821181021</v>
      </c>
      <c r="E24" s="99">
        <f>SUMIFS(VIEW_IV_2019_VISITAS_REP[Visitas-Premio],VIEW_IV_2019_VISITAS_REP[Ano-Fiscal],Demostrativo_Ano,VIEW_IV_2019_VISITAS_REP[Mes-Fiscal],Demonstrativo_Mes,VIEW_IV_2019_VISITAS_REP['#PK-Email],VIEW_IV_2019_REPRESENTANTES[[#This Row],[E-mail]])</f>
        <v>0</v>
      </c>
      <c r="F24" s="100">
        <f t="shared" si="1"/>
        <v>180.2892404718981</v>
      </c>
      <c r="G24" s="65" cm="1">
        <f t="array" ref="G24">IF(Demonstrativo_Calcular_Recuperavel_Tri="Não",0,SUMIFS(VIEW_IV_2019_REP_CALCULO_TRI[Recuperavel-Total],VIEW_IV_2019_REP_CALCULO_TRI[Ano-Fiscal],Demostrativo_Ano,VIEW_IV_2019_REP_CALCULO_TRI[Tri-Fiscal],Demonstrativo_Tri,VIEW_IV_2019_REP_CALCULO_TRI['#PK-Email],VIEW_IV_2019_REPRESENTANTES[[#This Row],[E-mail]]))</f>
        <v>2152.1148269839373</v>
      </c>
      <c r="H24" s="65" cm="1">
        <f t="array" ref="H24">IF(Demonstrativo_Calcular_Recuperavel_Tri="Não",0,SUMIFS(VIEW_IV_2019_VENDA_TRI[Recuperavel-Total-REP],VIEW_IV_2019_VENDA_TRI[Ano-Fiscal],Demostrativo_Ano,VIEW_IV_2019_VENDA_TRI[Tri-Fiscal],Demonstrativo_Tri))</f>
        <v>589.35362801276392</v>
      </c>
      <c r="I24" s="65"/>
      <c r="J24" s="65"/>
      <c r="K24" s="65">
        <f>SUM(VIEW_IV_2019_REPRESENTANTES[[#This Row],[IV Demanda Mês (70%)]:[Acréscimos (+)]])-VIEW_IV_2019_REPRESENTANTES[[#This Row],[Descontos (-)]]</f>
        <v>4576.4523445196828</v>
      </c>
      <c r="L24" s="91"/>
    </row>
    <row r="25" spans="1:12" x14ac:dyDescent="0.25">
      <c r="A25" s="8" t="s">
        <v>737</v>
      </c>
      <c r="B25" s="8" t="s">
        <v>738</v>
      </c>
      <c r="C25" s="99">
        <f>SUMIFS(VIEW_IV_2019_REP_CALCULO[Premio-Total],VIEW_IV_2019_REP_CALCULO[Ano-Fiscal],Demostrativo_Ano,VIEW_IV_2019_REP_CALCULO[Mes-Fiscal],Demonstrativo_Mes,VIEW_IV_2019_REP_CALCULO['#PK-Email],VIEW_IV_2019_REPRESENTANTES[[#This Row],[E-mail]])</f>
        <v>2654.4940407652102</v>
      </c>
      <c r="D25" s="99">
        <f>SUMIFS(VIEW_IV_2019_VENDA[Premio-Total-REP],VIEW_IV_2019_VENDA[Ano-Fiscal],Demostrativo_Ano,VIEW_IV_2019_VENDA[Mes-Fiscal],Demonstrativo_Mes)</f>
        <v>839.7872821181021</v>
      </c>
      <c r="E25" s="99">
        <f>SUMIFS(VIEW_IV_2019_VISITAS_REP[Visitas-Premio],VIEW_IV_2019_VISITAS_REP[Ano-Fiscal],Demostrativo_Ano,VIEW_IV_2019_VISITAS_REP[Mes-Fiscal],Demonstrativo_Mes,VIEW_IV_2019_VISITAS_REP['#PK-Email],VIEW_IV_2019_REPRESENTANTES[[#This Row],[E-mail]])</f>
        <v>0</v>
      </c>
      <c r="F25" s="100">
        <f t="shared" si="1"/>
        <v>180.2892404718981</v>
      </c>
      <c r="G25" s="65" cm="1">
        <f t="array" ref="G25">IF(Demonstrativo_Calcular_Recuperavel_Tri="Não",0,SUMIFS(VIEW_IV_2019_REP_CALCULO_TRI[Recuperavel-Total],VIEW_IV_2019_REP_CALCULO_TRI[Ano-Fiscal],Demostrativo_Ano,VIEW_IV_2019_REP_CALCULO_TRI[Tri-Fiscal],Demonstrativo_Tri,VIEW_IV_2019_REP_CALCULO_TRI['#PK-Email],VIEW_IV_2019_REPRESENTANTES[[#This Row],[E-mail]]))</f>
        <v>411.27491391829221</v>
      </c>
      <c r="H25" s="65" cm="1">
        <f t="array" ref="H25">IF(Demonstrativo_Calcular_Recuperavel_Tri="Não",0,SUMIFS(VIEW_IV_2019_VENDA_TRI[Recuperavel-Total-REP],VIEW_IV_2019_VENDA_TRI[Ano-Fiscal],Demostrativo_Ano,VIEW_IV_2019_VENDA_TRI[Tri-Fiscal],Demonstrativo_Tri))</f>
        <v>589.35362801276392</v>
      </c>
      <c r="I25" s="65"/>
      <c r="J25" s="65"/>
      <c r="K25" s="65">
        <f>SUM(VIEW_IV_2019_REPRESENTANTES[[#This Row],[IV Demanda Mês (70%)]:[Acréscimos (+)]])-VIEW_IV_2019_REPRESENTANTES[[#This Row],[Descontos (-)]]</f>
        <v>4675.1991052862668</v>
      </c>
      <c r="L25" s="91"/>
    </row>
    <row r="26" spans="1:12" x14ac:dyDescent="0.25">
      <c r="A26" s="110" t="s">
        <v>780</v>
      </c>
      <c r="B26" s="110" t="s">
        <v>781</v>
      </c>
      <c r="C26" s="111">
        <f>SUMIFS(VIEW_IV_2019_REP_CALCULO[Premio-Total],VIEW_IV_2019_REP_CALCULO[Ano-Fiscal],Demostrativo_Ano,VIEW_IV_2019_REP_CALCULO[Mes-Fiscal],Demonstrativo_Mes,VIEW_IV_2019_REP_CALCULO['#PK-Email],VIEW_IV_2019_REPRESENTANTES[[#This Row],[E-mail]])</f>
        <v>1222.3610503994717</v>
      </c>
      <c r="D26" s="111">
        <f>SUMIFS(VIEW_IV_2019_VENDA[Premio-Total-REP],VIEW_IV_2019_VENDA[Ano-Fiscal],Demostrativo_Ano,VIEW_IV_2019_VENDA[Mes-Fiscal],Demonstrativo_Mes)</f>
        <v>839.7872821181021</v>
      </c>
      <c r="E26" s="111">
        <f>SUMIFS(VIEW_IV_2019_VISITAS_REP[Visitas-Premio],VIEW_IV_2019_VISITAS_REP[Ano-Fiscal],Demostrativo_Ano,VIEW_IV_2019_VISITAS_REP[Mes-Fiscal],Demonstrativo_Mes,VIEW_IV_2019_VISITAS_REP['#PK-Email],VIEW_IV_2019_REPRESENTANTES[[#This Row],[E-mail]])</f>
        <v>128.72651769693525</v>
      </c>
      <c r="F26" s="112">
        <f t="shared" si="1"/>
        <v>180.2892404718981</v>
      </c>
      <c r="G26" s="113" cm="1">
        <f t="array" ref="G26">IF(Demonstrativo_Calcular_Recuperavel_Tri="Não",0,SUMIFS(VIEW_IV_2019_REP_CALCULO_TRI[Recuperavel-Total],VIEW_IV_2019_REP_CALCULO_TRI[Ano-Fiscal],Demostrativo_Ano,VIEW_IV_2019_REP_CALCULO_TRI[Tri-Fiscal],Demonstrativo_Tri,VIEW_IV_2019_REP_CALCULO_TRI['#PK-Email],VIEW_IV_2019_REPRESENTANTES[[#This Row],[E-mail]]))</f>
        <v>0</v>
      </c>
      <c r="H26" s="113" cm="1">
        <f t="array" ref="H26">IF(Demonstrativo_Calcular_Recuperavel_Tri="Não",0,SUMIFS(VIEW_IV_2019_VENDA_TRI[Recuperavel-Total-REP],VIEW_IV_2019_VENDA_TRI[Ano-Fiscal],Demostrativo_Ano,VIEW_IV_2019_VENDA_TRI[Tri-Fiscal],Demonstrativo_Tri))</f>
        <v>589.35362801276392</v>
      </c>
      <c r="I26" s="113"/>
      <c r="J26" s="113"/>
      <c r="K26" s="113">
        <f>SUM(VIEW_IV_2019_REPRESENTANTES[[#This Row],[IV Demanda Mês (70%)]:[Acréscimos (+)]])-VIEW_IV_2019_REPRESENTANTES[[#This Row],[Descontos (-)]]</f>
        <v>2960.5177186991714</v>
      </c>
      <c r="L26" s="114"/>
    </row>
    <row r="27" spans="1:12" x14ac:dyDescent="0.25">
      <c r="A27" s="8" t="s">
        <v>720</v>
      </c>
      <c r="B27" s="8" t="s">
        <v>721</v>
      </c>
      <c r="C27" s="99">
        <f>SUMIFS(VIEW_IV_2019_REP_CALCULO[Premio-Total],VIEW_IV_2019_REP_CALCULO[Ano-Fiscal],Demostrativo_Ano,VIEW_IV_2019_REP_CALCULO[Mes-Fiscal],Demonstrativo_Mes,VIEW_IV_2019_REP_CALCULO['#PK-Email],VIEW_IV_2019_REPRESENTANTES[[#This Row],[E-mail]])</f>
        <v>0</v>
      </c>
      <c r="D27" s="99">
        <f>SUMIFS(VIEW_IV_2019_VENDA[Premio-Total-REP],VIEW_IV_2019_VENDA[Ano-Fiscal],Demostrativo_Ano,VIEW_IV_2019_VENDA[Mes-Fiscal],Demonstrativo_Mes)</f>
        <v>839.7872821181021</v>
      </c>
      <c r="E27" s="99">
        <f>SUMIFS(VIEW_IV_2019_VISITAS_REP[Visitas-Premio],VIEW_IV_2019_VISITAS_REP[Ano-Fiscal],Demostrativo_Ano,VIEW_IV_2019_VISITAS_REP[Mes-Fiscal],Demonstrativo_Mes,VIEW_IV_2019_VISITAS_REP['#PK-Email],VIEW_IV_2019_REPRESENTANTES[[#This Row],[E-mail]])</f>
        <v>0</v>
      </c>
      <c r="F27" s="100">
        <f t="shared" si="1"/>
        <v>180.2892404718981</v>
      </c>
      <c r="G27" s="65" cm="1">
        <f t="array" ref="G27">IF(Demonstrativo_Calcular_Recuperavel_Tri="Não",0,SUMIFS(VIEW_IV_2019_REP_CALCULO_TRI[Recuperavel-Total],VIEW_IV_2019_REP_CALCULO_TRI[Ano-Fiscal],Demostrativo_Ano,VIEW_IV_2019_REP_CALCULO_TRI[Tri-Fiscal],Demonstrativo_Tri,VIEW_IV_2019_REP_CALCULO_TRI['#PK-Email],VIEW_IV_2019_REPRESENTANTES[[#This Row],[E-mail]]))</f>
        <v>7.0673382264940301</v>
      </c>
      <c r="H27" s="65" cm="1">
        <f t="array" ref="H27">IF(Demonstrativo_Calcular_Recuperavel_Tri="Não",0,SUMIFS(VIEW_IV_2019_VENDA_TRI[Recuperavel-Total-REP],VIEW_IV_2019_VENDA_TRI[Ano-Fiscal],Demostrativo_Ano,VIEW_IV_2019_VENDA_TRI[Tri-Fiscal],Demonstrativo_Tri))</f>
        <v>589.35362801276392</v>
      </c>
      <c r="I27" s="65"/>
      <c r="J27" s="65"/>
      <c r="K27" s="65">
        <f>SUM(VIEW_IV_2019_REPRESENTANTES[[#This Row],[IV Demanda Mês (70%)]:[Acréscimos (+)]])-VIEW_IV_2019_REPRESENTANTES[[#This Row],[Descontos (-)]]</f>
        <v>1616.4974888292581</v>
      </c>
      <c r="L27" s="91"/>
    </row>
    <row r="28" spans="1:12" x14ac:dyDescent="0.25">
      <c r="A28" s="8" t="s">
        <v>724</v>
      </c>
      <c r="B28" s="8" t="s">
        <v>725</v>
      </c>
      <c r="C28" s="99">
        <f>SUMIFS(VIEW_IV_2019_REP_CALCULO[Premio-Total],VIEW_IV_2019_REP_CALCULO[Ano-Fiscal],Demostrativo_Ano,VIEW_IV_2019_REP_CALCULO[Mes-Fiscal],Demonstrativo_Mes,VIEW_IV_2019_REP_CALCULO['#PK-Email],VIEW_IV_2019_REPRESENTANTES[[#This Row],[E-mail]])</f>
        <v>1650.0071287988126</v>
      </c>
      <c r="D28" s="99">
        <f>SUMIFS(VIEW_IV_2019_VENDA[Premio-Total-REP],VIEW_IV_2019_VENDA[Ano-Fiscal],Demostrativo_Ano,VIEW_IV_2019_VENDA[Mes-Fiscal],Demonstrativo_Mes)</f>
        <v>839.7872821181021</v>
      </c>
      <c r="E28" s="99">
        <f>SUMIFS(VIEW_IV_2019_VISITAS_REP[Visitas-Premio],VIEW_IV_2019_VISITAS_REP[Ano-Fiscal],Demostrativo_Ano,VIEW_IV_2019_VISITAS_REP[Mes-Fiscal],Demonstrativo_Mes,VIEW_IV_2019_VISITAS_REP['#PK-Email],VIEW_IV_2019_REPRESENTANTES[[#This Row],[E-mail]])</f>
        <v>180.2892404718981</v>
      </c>
      <c r="F28" s="100">
        <f t="shared" si="1"/>
        <v>180.2892404718981</v>
      </c>
      <c r="G28" s="65" cm="1">
        <f t="array" ref="G28">IF(Demonstrativo_Calcular_Recuperavel_Tri="Não",0,SUMIFS(VIEW_IV_2019_REP_CALCULO_TRI[Recuperavel-Total],VIEW_IV_2019_REP_CALCULO_TRI[Ano-Fiscal],Demostrativo_Ano,VIEW_IV_2019_REP_CALCULO_TRI[Tri-Fiscal],Demonstrativo_Tri,VIEW_IV_2019_REP_CALCULO_TRI['#PK-Email],VIEW_IV_2019_REPRESENTANTES[[#This Row],[E-mail]]))</f>
        <v>0</v>
      </c>
      <c r="H28" s="65" cm="1">
        <f t="array" ref="H28">IF(Demonstrativo_Calcular_Recuperavel_Tri="Não",0,SUMIFS(VIEW_IV_2019_VENDA_TRI[Recuperavel-Total-REP],VIEW_IV_2019_VENDA_TRI[Ano-Fiscal],Demostrativo_Ano,VIEW_IV_2019_VENDA_TRI[Tri-Fiscal],Demonstrativo_Tri))</f>
        <v>589.35362801276392</v>
      </c>
      <c r="I28" s="65"/>
      <c r="J28" s="65"/>
      <c r="K28" s="65">
        <f>SUM(VIEW_IV_2019_REPRESENTANTES[[#This Row],[IV Demanda Mês (70%)]:[Acréscimos (+)]])-VIEW_IV_2019_REPRESENTANTES[[#This Row],[Descontos (-)]]</f>
        <v>3439.7265198734749</v>
      </c>
      <c r="L28" s="91"/>
    </row>
    <row r="29" spans="1:12" x14ac:dyDescent="0.25">
      <c r="A29" s="8" t="s">
        <v>726</v>
      </c>
      <c r="B29" s="8" t="s">
        <v>727</v>
      </c>
      <c r="C29" s="99">
        <f>SUMIFS(VIEW_IV_2019_REP_CALCULO[Premio-Total],VIEW_IV_2019_REP_CALCULO[Ano-Fiscal],Demostrativo_Ano,VIEW_IV_2019_REP_CALCULO[Mes-Fiscal],Demonstrativo_Mes,VIEW_IV_2019_REP_CALCULO['#PK-Email],VIEW_IV_2019_REPRESENTANTES[[#This Row],[E-mail]])</f>
        <v>1466.7755679224153</v>
      </c>
      <c r="D29" s="99">
        <f>SUMIFS(VIEW_IV_2019_VENDA[Premio-Total-REP],VIEW_IV_2019_VENDA[Ano-Fiscal],Demostrativo_Ano,VIEW_IV_2019_VENDA[Mes-Fiscal],Demonstrativo_Mes)</f>
        <v>839.7872821181021</v>
      </c>
      <c r="E29" s="99">
        <f>SUMIFS(VIEW_IV_2019_VISITAS_REP[Visitas-Premio],VIEW_IV_2019_VISITAS_REP[Ano-Fiscal],Demostrativo_Ano,VIEW_IV_2019_VISITAS_REP[Mes-Fiscal],Demonstrativo_Mes,VIEW_IV_2019_VISITAS_REP['#PK-Email],VIEW_IV_2019_REPRESENTANTES[[#This Row],[E-mail]])</f>
        <v>180.2892404718981</v>
      </c>
      <c r="F29" s="100">
        <f t="shared" si="1"/>
        <v>180.2892404718981</v>
      </c>
      <c r="G29" s="65" cm="1">
        <f t="array" ref="G29">IF(Demonstrativo_Calcular_Recuperavel_Tri="Não",0,SUMIFS(VIEW_IV_2019_REP_CALCULO_TRI[Recuperavel-Total],VIEW_IV_2019_REP_CALCULO_TRI[Ano-Fiscal],Demostrativo_Ano,VIEW_IV_2019_REP_CALCULO_TRI[Tri-Fiscal],Demonstrativo_Tri,VIEW_IV_2019_REP_CALCULO_TRI['#PK-Email],VIEW_IV_2019_REPRESENTANTES[[#This Row],[E-mail]]))</f>
        <v>200.08644138963518</v>
      </c>
      <c r="H29" s="65" cm="1">
        <f t="array" ref="H29">IF(Demonstrativo_Calcular_Recuperavel_Tri="Não",0,SUMIFS(VIEW_IV_2019_VENDA_TRI[Recuperavel-Total-REP],VIEW_IV_2019_VENDA_TRI[Ano-Fiscal],Demostrativo_Ano,VIEW_IV_2019_VENDA_TRI[Tri-Fiscal],Demonstrativo_Tri))</f>
        <v>589.35362801276392</v>
      </c>
      <c r="I29" s="65"/>
      <c r="J29" s="65"/>
      <c r="K29" s="65">
        <f>SUM(VIEW_IV_2019_REPRESENTANTES[[#This Row],[IV Demanda Mês (70%)]:[Acréscimos (+)]])-VIEW_IV_2019_REPRESENTANTES[[#This Row],[Descontos (-)]]</f>
        <v>3456.5814003867126</v>
      </c>
      <c r="L29" s="91"/>
    </row>
    <row r="30" spans="1:12" x14ac:dyDescent="0.25">
      <c r="A30" s="8" t="s">
        <v>735</v>
      </c>
      <c r="B30" s="8" t="s">
        <v>736</v>
      </c>
      <c r="C30" s="99">
        <f>SUMIFS(VIEW_IV_2019_REP_CALCULO[Premio-Total],VIEW_IV_2019_REP_CALCULO[Ano-Fiscal],Demostrativo_Ano,VIEW_IV_2019_REP_CALCULO[Mes-Fiscal],Demonstrativo_Mes,VIEW_IV_2019_REP_CALCULO['#PK-Email],VIEW_IV_2019_REPRESENTANTES[[#This Row],[E-mail]])</f>
        <v>1629.8147338659624</v>
      </c>
      <c r="D30" s="99">
        <f>SUMIFS(VIEW_IV_2019_VENDA[Premio-Total-REP],VIEW_IV_2019_VENDA[Ano-Fiscal],Demostrativo_Ano,VIEW_IV_2019_VENDA[Mes-Fiscal],Demonstrativo_Mes)</f>
        <v>839.7872821181021</v>
      </c>
      <c r="E30" s="99">
        <f>SUMIFS(VIEW_IV_2019_VISITAS_REP[Visitas-Premio],VIEW_IV_2019_VISITAS_REP[Ano-Fiscal],Demostrativo_Ano,VIEW_IV_2019_VISITAS_REP[Mes-Fiscal],Demonstrativo_Mes,VIEW_IV_2019_VISITAS_REP['#PK-Email],VIEW_IV_2019_REPRESENTANTES[[#This Row],[E-mail]])</f>
        <v>0</v>
      </c>
      <c r="F30" s="100">
        <f t="shared" si="1"/>
        <v>180.2892404718981</v>
      </c>
      <c r="G30" s="65" cm="1">
        <f t="array" ref="G30">IF(Demonstrativo_Calcular_Recuperavel_Tri="Não",0,SUMIFS(VIEW_IV_2019_REP_CALCULO_TRI[Recuperavel-Total],VIEW_IV_2019_REP_CALCULO_TRI[Ano-Fiscal],Demostrativo_Ano,VIEW_IV_2019_REP_CALCULO_TRI[Tri-Fiscal],Demonstrativo_Tri,VIEW_IV_2019_REP_CALCULO_TRI['#PK-Email],VIEW_IV_2019_REPRESENTANTES[[#This Row],[E-mail]]))</f>
        <v>0</v>
      </c>
      <c r="H30" s="65" cm="1">
        <f t="array" ref="H30">IF(Demonstrativo_Calcular_Recuperavel_Tri="Não",0,SUMIFS(VIEW_IV_2019_VENDA_TRI[Recuperavel-Total-REP],VIEW_IV_2019_VENDA_TRI[Ano-Fiscal],Demostrativo_Ano,VIEW_IV_2019_VENDA_TRI[Tri-Fiscal],Demonstrativo_Tri))</f>
        <v>589.35362801276392</v>
      </c>
      <c r="I30" s="65"/>
      <c r="J30" s="65"/>
      <c r="K30" s="65">
        <f>SUM(VIEW_IV_2019_REPRESENTANTES[[#This Row],[IV Demanda Mês (70%)]:[Acréscimos (+)]])-VIEW_IV_2019_REPRESENTANTES[[#This Row],[Descontos (-)]]</f>
        <v>3239.2448844687269</v>
      </c>
      <c r="L30" s="91"/>
    </row>
    <row r="31" spans="1:12" x14ac:dyDescent="0.25">
      <c r="A31" s="8" t="s">
        <v>742</v>
      </c>
      <c r="B31" s="8" t="s">
        <v>743</v>
      </c>
      <c r="C31" s="99">
        <f>SUMIFS(VIEW_IV_2019_REP_CALCULO[Premio-Total],VIEW_IV_2019_REP_CALCULO[Ano-Fiscal],Demostrativo_Ano,VIEW_IV_2019_REP_CALCULO[Mes-Fiscal],Demonstrativo_Mes,VIEW_IV_2019_REP_CALCULO['#PK-Email],VIEW_IV_2019_REPRESENTANTES[[#This Row],[E-mail]])</f>
        <v>2927.8972652636285</v>
      </c>
      <c r="D31" s="99">
        <f>SUMIFS(VIEW_IV_2019_VENDA[Premio-Total-REP],VIEW_IV_2019_VENDA[Ano-Fiscal],Demostrativo_Ano,VIEW_IV_2019_VENDA[Mes-Fiscal],Demonstrativo_Mes)</f>
        <v>839.7872821181021</v>
      </c>
      <c r="E31" s="99">
        <f>SUMIFS(VIEW_IV_2019_VISITAS_REP[Visitas-Premio],VIEW_IV_2019_VISITAS_REP[Ano-Fiscal],Demostrativo_Ano,VIEW_IV_2019_VISITAS_REP[Mes-Fiscal],Demonstrativo_Mes,VIEW_IV_2019_VISITAS_REP['#PK-Email],VIEW_IV_2019_REPRESENTANTES[[#This Row],[E-mail]])</f>
        <v>180.2892404718981</v>
      </c>
      <c r="F31" s="100">
        <f t="shared" si="1"/>
        <v>180.2892404718981</v>
      </c>
      <c r="G31" s="65" cm="1">
        <f t="array" ref="G31">IF(Demonstrativo_Calcular_Recuperavel_Tri="Não",0,SUMIFS(VIEW_IV_2019_REP_CALCULO_TRI[Recuperavel-Total],VIEW_IV_2019_REP_CALCULO_TRI[Ano-Fiscal],Demostrativo_Ano,VIEW_IV_2019_REP_CALCULO_TRI[Tri-Fiscal],Demonstrativo_Tri,VIEW_IV_2019_REP_CALCULO_TRI['#PK-Email],VIEW_IV_2019_REPRESENTANTES[[#This Row],[E-mail]]))</f>
        <v>3188.974114390991</v>
      </c>
      <c r="H31" s="65" cm="1">
        <f t="array" ref="H31">IF(Demonstrativo_Calcular_Recuperavel_Tri="Não",0,SUMIFS(VIEW_IV_2019_VENDA_TRI[Recuperavel-Total-REP],VIEW_IV_2019_VENDA_TRI[Ano-Fiscal],Demostrativo_Ano,VIEW_IV_2019_VENDA_TRI[Tri-Fiscal],Demonstrativo_Tri))</f>
        <v>589.35362801276392</v>
      </c>
      <c r="I31" s="65"/>
      <c r="J31" s="65"/>
      <c r="K31" s="65">
        <f>SUM(VIEW_IV_2019_REPRESENTANTES[[#This Row],[IV Demanda Mês (70%)]:[Acréscimos (+)]])-VIEW_IV_2019_REPRESENTANTES[[#This Row],[Descontos (-)]]</f>
        <v>7906.5907707292818</v>
      </c>
      <c r="L31" s="91"/>
    </row>
    <row r="32" spans="1:12" x14ac:dyDescent="0.25">
      <c r="A32" s="8" t="s">
        <v>744</v>
      </c>
      <c r="B32" s="8" t="s">
        <v>745</v>
      </c>
      <c r="C32" s="99">
        <f>SUMIFS(VIEW_IV_2019_REP_CALCULO[Premio-Total],VIEW_IV_2019_REP_CALCULO[Ano-Fiscal],Demostrativo_Ano,VIEW_IV_2019_REP_CALCULO[Mes-Fiscal],Demonstrativo_Mes,VIEW_IV_2019_REP_CALCULO['#PK-Email],VIEW_IV_2019_REPRESENTANTES[[#This Row],[E-mail]])</f>
        <v>1527.2013097589761</v>
      </c>
      <c r="D32" s="99">
        <f>SUMIFS(VIEW_IV_2019_VENDA[Premio-Total-REP],VIEW_IV_2019_VENDA[Ano-Fiscal],Demostrativo_Ano,VIEW_IV_2019_VENDA[Mes-Fiscal],Demonstrativo_Mes)</f>
        <v>839.7872821181021</v>
      </c>
      <c r="E32" s="99">
        <f>SUMIFS(VIEW_IV_2019_VISITAS_REP[Visitas-Premio],VIEW_IV_2019_VISITAS_REP[Ano-Fiscal],Demostrativo_Ano,VIEW_IV_2019_VISITAS_REP[Mes-Fiscal],Demonstrativo_Mes,VIEW_IV_2019_VISITAS_REP['#PK-Email],VIEW_IV_2019_REPRESENTANTES[[#This Row],[E-mail]])</f>
        <v>0</v>
      </c>
      <c r="F32" s="100">
        <f t="shared" si="1"/>
        <v>180.2892404718981</v>
      </c>
      <c r="G32" s="65" cm="1">
        <f t="array" ref="G32">IF(Demonstrativo_Calcular_Recuperavel_Tri="Não",0,SUMIFS(VIEW_IV_2019_REP_CALCULO_TRI[Recuperavel-Total],VIEW_IV_2019_REP_CALCULO_TRI[Ano-Fiscal],Demostrativo_Ano,VIEW_IV_2019_REP_CALCULO_TRI[Tri-Fiscal],Demonstrativo_Tri,VIEW_IV_2019_REP_CALCULO_TRI['#PK-Email],VIEW_IV_2019_REPRESENTANTES[[#This Row],[E-mail]]))</f>
        <v>5976.8281063332561</v>
      </c>
      <c r="H32" s="65" cm="1">
        <f t="array" ref="H32">IF(Demonstrativo_Calcular_Recuperavel_Tri="Não",0,SUMIFS(VIEW_IV_2019_VENDA_TRI[Recuperavel-Total-REP],VIEW_IV_2019_VENDA_TRI[Ano-Fiscal],Demostrativo_Ano,VIEW_IV_2019_VENDA_TRI[Tri-Fiscal],Demonstrativo_Tri))</f>
        <v>589.35362801276392</v>
      </c>
      <c r="I32" s="65"/>
      <c r="J32" s="65"/>
      <c r="K32" s="65">
        <f>SUM(VIEW_IV_2019_REPRESENTANTES[[#This Row],[IV Demanda Mês (70%)]:[Acréscimos (+)]])-VIEW_IV_2019_REPRESENTANTES[[#This Row],[Descontos (-)]]</f>
        <v>9113.4595666949972</v>
      </c>
      <c r="L32" s="91"/>
    </row>
    <row r="33" spans="1:12" x14ac:dyDescent="0.25">
      <c r="A33" s="8" t="s">
        <v>746</v>
      </c>
      <c r="B33" s="8" t="s">
        <v>747</v>
      </c>
      <c r="C33" s="99">
        <f>SUMIFS(VIEW_IV_2019_REP_CALCULO[Premio-Total],VIEW_IV_2019_REP_CALCULO[Ano-Fiscal],Demostrativo_Ano,VIEW_IV_2019_REP_CALCULO[Mes-Fiscal],Demonstrativo_Mes,VIEW_IV_2019_REP_CALCULO['#PK-Email],VIEW_IV_2019_REPRESENTANTES[[#This Row],[E-mail]])</f>
        <v>392.1290980263779</v>
      </c>
      <c r="D33" s="99">
        <f>SUMIFS(VIEW_IV_2019_VENDA[Premio-Total-REP],VIEW_IV_2019_VENDA[Ano-Fiscal],Demostrativo_Ano,VIEW_IV_2019_VENDA[Mes-Fiscal],Demonstrativo_Mes)</f>
        <v>839.7872821181021</v>
      </c>
      <c r="E33" s="99">
        <f>SUMIFS(VIEW_IV_2019_VISITAS_REP[Visitas-Premio],VIEW_IV_2019_VISITAS_REP[Ano-Fiscal],Demostrativo_Ano,VIEW_IV_2019_VISITAS_REP[Mes-Fiscal],Demonstrativo_Mes,VIEW_IV_2019_VISITAS_REP['#PK-Email],VIEW_IV_2019_REPRESENTANTES[[#This Row],[E-mail]])</f>
        <v>180.2892404718981</v>
      </c>
      <c r="F33" s="100">
        <f t="shared" si="1"/>
        <v>180.2892404718981</v>
      </c>
      <c r="G33" s="65" cm="1">
        <f t="array" ref="G33">IF(Demonstrativo_Calcular_Recuperavel_Tri="Não",0,SUMIFS(VIEW_IV_2019_REP_CALCULO_TRI[Recuperavel-Total],VIEW_IV_2019_REP_CALCULO_TRI[Ano-Fiscal],Demostrativo_Ano,VIEW_IV_2019_REP_CALCULO_TRI[Tri-Fiscal],Demonstrativo_Tri,VIEW_IV_2019_REP_CALCULO_TRI['#PK-Email],VIEW_IV_2019_REPRESENTANTES[[#This Row],[E-mail]]))</f>
        <v>2152.9318978217561</v>
      </c>
      <c r="H33" s="65" cm="1">
        <f t="array" ref="H33">IF(Demonstrativo_Calcular_Recuperavel_Tri="Não",0,SUMIFS(VIEW_IV_2019_VENDA_TRI[Recuperavel-Total-REP],VIEW_IV_2019_VENDA_TRI[Ano-Fiscal],Demostrativo_Ano,VIEW_IV_2019_VENDA_TRI[Tri-Fiscal],Demonstrativo_Tri))</f>
        <v>589.35362801276392</v>
      </c>
      <c r="I33" s="65"/>
      <c r="J33" s="65"/>
      <c r="K33" s="65">
        <f>SUM(VIEW_IV_2019_REPRESENTANTES[[#This Row],[IV Demanda Mês (70%)]:[Acréscimos (+)]])-VIEW_IV_2019_REPRESENTANTES[[#This Row],[Descontos (-)]]</f>
        <v>4334.7803869227964</v>
      </c>
      <c r="L33" s="91"/>
    </row>
    <row r="34" spans="1:12" x14ac:dyDescent="0.25">
      <c r="A34" s="8" t="s">
        <v>748</v>
      </c>
      <c r="B34" s="8" t="s">
        <v>749</v>
      </c>
      <c r="C34" s="99">
        <f>SUMIFS(VIEW_IV_2019_REP_CALCULO[Premio-Total],VIEW_IV_2019_REP_CALCULO[Ano-Fiscal],Demostrativo_Ano,VIEW_IV_2019_REP_CALCULO[Mes-Fiscal],Demonstrativo_Mes,VIEW_IV_2019_REP_CALCULO['#PK-Email],VIEW_IV_2019_REPRESENTANTES[[#This Row],[E-mail]])</f>
        <v>1947.7007226660123</v>
      </c>
      <c r="D34" s="99">
        <f>SUMIFS(VIEW_IV_2019_VENDA[Premio-Total-REP],VIEW_IV_2019_VENDA[Ano-Fiscal],Demostrativo_Ano,VIEW_IV_2019_VENDA[Mes-Fiscal],Demonstrativo_Mes)</f>
        <v>839.7872821181021</v>
      </c>
      <c r="E34" s="99">
        <f>SUMIFS(VIEW_IV_2019_VISITAS_REP[Visitas-Premio],VIEW_IV_2019_VISITAS_REP[Ano-Fiscal],Demostrativo_Ano,VIEW_IV_2019_VISITAS_REP[Mes-Fiscal],Demonstrativo_Mes,VIEW_IV_2019_VISITAS_REP['#PK-Email],VIEW_IV_2019_REPRESENTANTES[[#This Row],[E-mail]])</f>
        <v>0</v>
      </c>
      <c r="F34" s="100">
        <f t="shared" si="1"/>
        <v>180.2892404718981</v>
      </c>
      <c r="G34" s="65" cm="1">
        <f t="array" ref="G34">IF(Demonstrativo_Calcular_Recuperavel_Tri="Não",0,SUMIFS(VIEW_IV_2019_REP_CALCULO_TRI[Recuperavel-Total],VIEW_IV_2019_REP_CALCULO_TRI[Ano-Fiscal],Demostrativo_Ano,VIEW_IV_2019_REP_CALCULO_TRI[Tri-Fiscal],Demonstrativo_Tri,VIEW_IV_2019_REP_CALCULO_TRI['#PK-Email],VIEW_IV_2019_REPRESENTANTES[[#This Row],[E-mail]]))</f>
        <v>89.56769466644073</v>
      </c>
      <c r="H34" s="65" cm="1">
        <f t="array" ref="H34">IF(Demonstrativo_Calcular_Recuperavel_Tri="Não",0,SUMIFS(VIEW_IV_2019_VENDA_TRI[Recuperavel-Total-REP],VIEW_IV_2019_VENDA_TRI[Ano-Fiscal],Demostrativo_Ano,VIEW_IV_2019_VENDA_TRI[Tri-Fiscal],Demonstrativo_Tri))</f>
        <v>589.35362801276392</v>
      </c>
      <c r="I34" s="65"/>
      <c r="J34" s="65"/>
      <c r="K34" s="65">
        <f>SUM(VIEW_IV_2019_REPRESENTANTES[[#This Row],[IV Demanda Mês (70%)]:[Acréscimos (+)]])-VIEW_IV_2019_REPRESENTANTES[[#This Row],[Descontos (-)]]</f>
        <v>3646.6985679352174</v>
      </c>
      <c r="L34" s="91"/>
    </row>
    <row r="35" spans="1:12" x14ac:dyDescent="0.25">
      <c r="A35" s="8" t="s">
        <v>752</v>
      </c>
      <c r="B35" s="8" t="s">
        <v>753</v>
      </c>
      <c r="C35" s="99">
        <f>SUMIFS(VIEW_IV_2019_REP_CALCULO[Premio-Total],VIEW_IV_2019_REP_CALCULO[Ano-Fiscal],Demostrativo_Ano,VIEW_IV_2019_REP_CALCULO[Mes-Fiscal],Demonstrativo_Mes,VIEW_IV_2019_REP_CALCULO['#PK-Email],VIEW_IV_2019_REPRESENTANTES[[#This Row],[E-mail]])</f>
        <v>2278.8559995647956</v>
      </c>
      <c r="D35" s="99">
        <f>SUMIFS(VIEW_IV_2019_VENDA[Premio-Total-REP],VIEW_IV_2019_VENDA[Ano-Fiscal],Demostrativo_Ano,VIEW_IV_2019_VENDA[Mes-Fiscal],Demonstrativo_Mes)</f>
        <v>839.7872821181021</v>
      </c>
      <c r="E35" s="99">
        <f>SUMIFS(VIEW_IV_2019_VISITAS_REP[Visitas-Premio],VIEW_IV_2019_VISITAS_REP[Ano-Fiscal],Demostrativo_Ano,VIEW_IV_2019_VISITAS_REP[Mes-Fiscal],Demonstrativo_Mes,VIEW_IV_2019_VISITAS_REP['#PK-Email],VIEW_IV_2019_REPRESENTANTES[[#This Row],[E-mail]])</f>
        <v>0</v>
      </c>
      <c r="F35" s="100">
        <f t="shared" si="1"/>
        <v>180.2892404718981</v>
      </c>
      <c r="G35" s="65" cm="1">
        <f t="array" ref="G35">IF(Demonstrativo_Calcular_Recuperavel_Tri="Não",0,SUMIFS(VIEW_IV_2019_REP_CALCULO_TRI[Recuperavel-Total],VIEW_IV_2019_REP_CALCULO_TRI[Ano-Fiscal],Demostrativo_Ano,VIEW_IV_2019_REP_CALCULO_TRI[Tri-Fiscal],Demonstrativo_Tri,VIEW_IV_2019_REP_CALCULO_TRI['#PK-Email],VIEW_IV_2019_REPRESENTANTES[[#This Row],[E-mail]]))</f>
        <v>102.61342410698671</v>
      </c>
      <c r="H35" s="65" cm="1">
        <f t="array" ref="H35">IF(Demonstrativo_Calcular_Recuperavel_Tri="Não",0,SUMIFS(VIEW_IV_2019_VENDA_TRI[Recuperavel-Total-REP],VIEW_IV_2019_VENDA_TRI[Ano-Fiscal],Demostrativo_Ano,VIEW_IV_2019_VENDA_TRI[Tri-Fiscal],Demonstrativo_Tri))</f>
        <v>589.35362801276392</v>
      </c>
      <c r="I35" s="65"/>
      <c r="J35" s="65"/>
      <c r="K35" s="65">
        <f>SUM(VIEW_IV_2019_REPRESENTANTES[[#This Row],[IV Demanda Mês (70%)]:[Acréscimos (+)]])-VIEW_IV_2019_REPRESENTANTES[[#This Row],[Descontos (-)]]</f>
        <v>3990.8995742745465</v>
      </c>
      <c r="L35" s="91"/>
    </row>
    <row r="36" spans="1:12" x14ac:dyDescent="0.25">
      <c r="A36" s="8" t="s">
        <v>756</v>
      </c>
      <c r="B36" s="8" t="s">
        <v>757</v>
      </c>
      <c r="C36" s="99">
        <f>SUMIFS(VIEW_IV_2019_REP_CALCULO[Premio-Total],VIEW_IV_2019_REP_CALCULO[Ano-Fiscal],Demostrativo_Ano,VIEW_IV_2019_REP_CALCULO[Mes-Fiscal],Demonstrativo_Mes,VIEW_IV_2019_REP_CALCULO['#PK-Email],VIEW_IV_2019_REPRESENTANTES[[#This Row],[E-mail]])</f>
        <v>3123.6913804161122</v>
      </c>
      <c r="D36" s="99">
        <f>SUMIFS(VIEW_IV_2019_VENDA[Premio-Total-REP],VIEW_IV_2019_VENDA[Ano-Fiscal],Demostrativo_Ano,VIEW_IV_2019_VENDA[Mes-Fiscal],Demonstrativo_Mes)</f>
        <v>839.7872821181021</v>
      </c>
      <c r="E36" s="99">
        <f>SUMIFS(VIEW_IV_2019_VISITAS_REP[Visitas-Premio],VIEW_IV_2019_VISITAS_REP[Ano-Fiscal],Demostrativo_Ano,VIEW_IV_2019_VISITAS_REP[Mes-Fiscal],Demonstrativo_Mes,VIEW_IV_2019_VISITAS_REP['#PK-Email],VIEW_IV_2019_REPRESENTANTES[[#This Row],[E-mail]])</f>
        <v>180.2892404718981</v>
      </c>
      <c r="F36" s="100">
        <f t="shared" si="1"/>
        <v>180.2892404718981</v>
      </c>
      <c r="G36" s="65" cm="1">
        <f t="array" ref="G36">IF(Demonstrativo_Calcular_Recuperavel_Tri="Não",0,SUMIFS(VIEW_IV_2019_REP_CALCULO_TRI[Recuperavel-Total],VIEW_IV_2019_REP_CALCULO_TRI[Ano-Fiscal],Demostrativo_Ano,VIEW_IV_2019_REP_CALCULO_TRI[Tri-Fiscal],Demonstrativo_Tri,VIEW_IV_2019_REP_CALCULO_TRI['#PK-Email],VIEW_IV_2019_REPRESENTANTES[[#This Row],[E-mail]]))</f>
        <v>2506.4711656605627</v>
      </c>
      <c r="H36" s="65" cm="1">
        <f t="array" ref="H36">IF(Demonstrativo_Calcular_Recuperavel_Tri="Não",0,SUMIFS(VIEW_IV_2019_VENDA_TRI[Recuperavel-Total-REP],VIEW_IV_2019_VENDA_TRI[Ano-Fiscal],Demostrativo_Ano,VIEW_IV_2019_VENDA_TRI[Tri-Fiscal],Demonstrativo_Tri))</f>
        <v>589.35362801276392</v>
      </c>
      <c r="I36" s="65"/>
      <c r="J36" s="65"/>
      <c r="K36" s="65">
        <f>SUM(VIEW_IV_2019_REPRESENTANTES[[#This Row],[IV Demanda Mês (70%)]:[Acréscimos (+)]])-VIEW_IV_2019_REPRESENTANTES[[#This Row],[Descontos (-)]]</f>
        <v>7419.8819371513373</v>
      </c>
      <c r="L36" s="91"/>
    </row>
    <row r="37" spans="1:12" x14ac:dyDescent="0.25">
      <c r="A37" s="8" t="s">
        <v>760</v>
      </c>
      <c r="B37" s="8" t="s">
        <v>761</v>
      </c>
      <c r="C37" s="99">
        <f>SUMIFS(VIEW_IV_2019_REP_CALCULO[Premio-Total],VIEW_IV_2019_REP_CALCULO[Ano-Fiscal],Demostrativo_Ano,VIEW_IV_2019_REP_CALCULO[Mes-Fiscal],Demonstrativo_Mes,VIEW_IV_2019_REP_CALCULO['#PK-Email],VIEW_IV_2019_REPRESENTANTES[[#This Row],[E-mail]])</f>
        <v>5389.8261711732121</v>
      </c>
      <c r="D37" s="99">
        <f>SUMIFS(VIEW_IV_2019_VENDA[Premio-Total-REP],VIEW_IV_2019_VENDA[Ano-Fiscal],Demostrativo_Ano,VIEW_IV_2019_VENDA[Mes-Fiscal],Demonstrativo_Mes)</f>
        <v>839.7872821181021</v>
      </c>
      <c r="E37" s="99">
        <f>SUMIFS(VIEW_IV_2019_VISITAS_REP[Visitas-Premio],VIEW_IV_2019_VISITAS_REP[Ano-Fiscal],Demostrativo_Ano,VIEW_IV_2019_VISITAS_REP[Mes-Fiscal],Demonstrativo_Mes,VIEW_IV_2019_VISITAS_REP['#PK-Email],VIEW_IV_2019_REPRESENTANTES[[#This Row],[E-mail]])</f>
        <v>180.2892404718981</v>
      </c>
      <c r="F37" s="100">
        <f t="shared" si="1"/>
        <v>180.2892404718981</v>
      </c>
      <c r="G37" s="65" cm="1">
        <f t="array" ref="G37">IF(Demonstrativo_Calcular_Recuperavel_Tri="Não",0,SUMIFS(VIEW_IV_2019_REP_CALCULO_TRI[Recuperavel-Total],VIEW_IV_2019_REP_CALCULO_TRI[Ano-Fiscal],Demostrativo_Ano,VIEW_IV_2019_REP_CALCULO_TRI[Tri-Fiscal],Demonstrativo_Tri,VIEW_IV_2019_REP_CALCULO_TRI['#PK-Email],VIEW_IV_2019_REPRESENTANTES[[#This Row],[E-mail]]))</f>
        <v>1187.1159462011396</v>
      </c>
      <c r="H37" s="65" cm="1">
        <f t="array" ref="H37">IF(Demonstrativo_Calcular_Recuperavel_Tri="Não",0,SUMIFS(VIEW_IV_2019_VENDA_TRI[Recuperavel-Total-REP],VIEW_IV_2019_VENDA_TRI[Ano-Fiscal],Demostrativo_Ano,VIEW_IV_2019_VENDA_TRI[Tri-Fiscal],Demonstrativo_Tri))</f>
        <v>589.35362801276392</v>
      </c>
      <c r="I37" s="65"/>
      <c r="J37" s="65"/>
      <c r="K37" s="65">
        <f>SUM(VIEW_IV_2019_REPRESENTANTES[[#This Row],[IV Demanda Mês (70%)]:[Acréscimos (+)]])-VIEW_IV_2019_REPRESENTANTES[[#This Row],[Descontos (-)]]</f>
        <v>8366.6615084490131</v>
      </c>
      <c r="L37" s="91"/>
    </row>
    <row r="38" spans="1:12" x14ac:dyDescent="0.25">
      <c r="A38" s="8" t="s">
        <v>762</v>
      </c>
      <c r="B38" s="8" t="s">
        <v>763</v>
      </c>
      <c r="C38" s="99">
        <f>SUMIFS(VIEW_IV_2019_REP_CALCULO[Premio-Total],VIEW_IV_2019_REP_CALCULO[Ano-Fiscal],Demostrativo_Ano,VIEW_IV_2019_REP_CALCULO[Mes-Fiscal],Demonstrativo_Mes,VIEW_IV_2019_REP_CALCULO['#PK-Email],VIEW_IV_2019_REPRESENTANTES[[#This Row],[E-mail]])</f>
        <v>3564.5887179901383</v>
      </c>
      <c r="D38" s="99">
        <f>SUMIFS(VIEW_IV_2019_VENDA[Premio-Total-REP],VIEW_IV_2019_VENDA[Ano-Fiscal],Demostrativo_Ano,VIEW_IV_2019_VENDA[Mes-Fiscal],Demonstrativo_Mes)</f>
        <v>839.7872821181021</v>
      </c>
      <c r="E38" s="99">
        <f>SUMIFS(VIEW_IV_2019_VISITAS_REP[Visitas-Premio],VIEW_IV_2019_VISITAS_REP[Ano-Fiscal],Demostrativo_Ano,VIEW_IV_2019_VISITAS_REP[Mes-Fiscal],Demonstrativo_Mes,VIEW_IV_2019_VISITAS_REP['#PK-Email],VIEW_IV_2019_REPRESENTANTES[[#This Row],[E-mail]])</f>
        <v>180.2892404718981</v>
      </c>
      <c r="F38" s="100">
        <f t="shared" si="1"/>
        <v>180.2892404718981</v>
      </c>
      <c r="G38" s="65" cm="1">
        <f t="array" ref="G38">IF(Demonstrativo_Calcular_Recuperavel_Tri="Não",0,SUMIFS(VIEW_IV_2019_REP_CALCULO_TRI[Recuperavel-Total],VIEW_IV_2019_REP_CALCULO_TRI[Ano-Fiscal],Demostrativo_Ano,VIEW_IV_2019_REP_CALCULO_TRI[Tri-Fiscal],Demonstrativo_Tri,VIEW_IV_2019_REP_CALCULO_TRI['#PK-Email],VIEW_IV_2019_REPRESENTANTES[[#This Row],[E-mail]]))</f>
        <v>0</v>
      </c>
      <c r="H38" s="65" cm="1">
        <f t="array" ref="H38">IF(Demonstrativo_Calcular_Recuperavel_Tri="Não",0,SUMIFS(VIEW_IV_2019_VENDA_TRI[Recuperavel-Total-REP],VIEW_IV_2019_VENDA_TRI[Ano-Fiscal],Demostrativo_Ano,VIEW_IV_2019_VENDA_TRI[Tri-Fiscal],Demonstrativo_Tri))</f>
        <v>589.35362801276392</v>
      </c>
      <c r="I38" s="65"/>
      <c r="J38" s="65"/>
      <c r="K38" s="65">
        <f>SUM(VIEW_IV_2019_REPRESENTANTES[[#This Row],[IV Demanda Mês (70%)]:[Acréscimos (+)]])-VIEW_IV_2019_REPRESENTANTES[[#This Row],[Descontos (-)]]</f>
        <v>5354.3081090647993</v>
      </c>
      <c r="L38" s="91"/>
    </row>
  </sheetData>
  <mergeCells count="3">
    <mergeCell ref="A9:B9"/>
    <mergeCell ref="A18:B18"/>
    <mergeCell ref="A11:B11"/>
  </mergeCells>
  <phoneticPr fontId="5" type="noConversion"/>
  <conditionalFormatting sqref="B7">
    <cfRule type="cellIs" dxfId="657" priority="1" operator="equal">
      <formula>"Não"</formula>
    </cfRule>
    <cfRule type="cellIs" dxfId="656" priority="2" operator="equal">
      <formula>"Sim"</formula>
    </cfRule>
  </conditionalFormatting>
  <pageMargins left="0.511811024" right="0.511811024" top="0.78740157499999996" bottom="0.78740157499999996" header="0.31496062000000002" footer="0.31496062000000002"/>
  <drawing r:id="rId1"/>
  <tableParts count="2">
    <tablePart r:id="rId2"/>
    <tablePart r:id="rId3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4"/>
      </x14:slicerList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47B690-879E-4ABA-900C-EDDC7D7F65EC}">
  <sheetPr>
    <tabColor theme="9" tint="0.79998168889431442"/>
  </sheetPr>
  <dimension ref="A1:AJ527"/>
  <sheetViews>
    <sheetView showGridLines="0" topLeftCell="M1" zoomScale="70" zoomScaleNormal="70" workbookViewId="0">
      <selection activeCell="S2" sqref="S2:X48"/>
    </sheetView>
  </sheetViews>
  <sheetFormatPr defaultRowHeight="15" x14ac:dyDescent="0.25"/>
  <cols>
    <col min="1" max="1" width="37.42578125" style="87" customWidth="1"/>
    <col min="2" max="2" width="2.5703125" style="87" customWidth="1"/>
    <col min="3" max="3" width="16" style="87" customWidth="1"/>
    <col min="4" max="7" width="17.140625" style="87" customWidth="1"/>
    <col min="8" max="8" width="17.140625" style="2" customWidth="1"/>
    <col min="9" max="10" width="17.140625" style="87" customWidth="1"/>
    <col min="11" max="11" width="1.7109375" style="87" customWidth="1"/>
    <col min="12" max="12" width="78.85546875" style="3" customWidth="1"/>
    <col min="13" max="17" width="12" style="3" customWidth="1"/>
    <col min="18" max="18" width="3.5703125" style="87" customWidth="1"/>
    <col min="19" max="19" width="78.85546875" style="3" customWidth="1"/>
    <col min="20" max="24" width="12" style="3" customWidth="1"/>
    <col min="25" max="25" width="3.5703125" style="87" customWidth="1"/>
    <col min="37" max="16384" width="9.140625" style="87"/>
  </cols>
  <sheetData>
    <row r="1" spans="1:25" ht="32.25" customHeight="1" x14ac:dyDescent="0.25">
      <c r="A1" s="87" t="s">
        <v>1165</v>
      </c>
      <c r="C1" s="90" t="s">
        <v>971</v>
      </c>
    </row>
    <row r="2" spans="1:25" ht="18.75" x14ac:dyDescent="0.25">
      <c r="C2" s="88" t="s">
        <v>970</v>
      </c>
      <c r="L2" s="88" t="s">
        <v>1151</v>
      </c>
      <c r="S2" s="88" t="s">
        <v>1153</v>
      </c>
      <c r="T2"/>
    </row>
    <row r="3" spans="1:25" ht="21" x14ac:dyDescent="0.25">
      <c r="C3" s="50" t="s">
        <v>965</v>
      </c>
      <c r="D3" s="183" t="str">
        <f>M3</f>
        <v>2019/2020</v>
      </c>
      <c r="E3" s="184"/>
      <c r="F3" s="185"/>
      <c r="G3" s="89"/>
      <c r="H3" s="119"/>
      <c r="I3" s="89"/>
      <c r="L3" s="92" t="s">
        <v>2</v>
      </c>
      <c r="M3" s="3" t="s">
        <v>16</v>
      </c>
      <c r="S3" s="92" t="s">
        <v>2</v>
      </c>
      <c r="T3" s="3" t="s">
        <v>16</v>
      </c>
    </row>
    <row r="4" spans="1:25" x14ac:dyDescent="0.25">
      <c r="C4" s="50" t="s">
        <v>966</v>
      </c>
      <c r="D4" s="175" t="str">
        <f>M5</f>
        <v>03-Set</v>
      </c>
      <c r="E4" s="176"/>
      <c r="F4" s="177"/>
      <c r="L4" s="92" t="s">
        <v>4</v>
      </c>
      <c r="M4" s="3" t="s">
        <v>18</v>
      </c>
      <c r="S4" s="92" t="s">
        <v>4</v>
      </c>
      <c r="T4" s="3" t="s">
        <v>18</v>
      </c>
    </row>
    <row r="5" spans="1:25" x14ac:dyDescent="0.25">
      <c r="C5" s="50" t="s">
        <v>967</v>
      </c>
      <c r="D5" s="175" t="str">
        <f>M4</f>
        <v>01-Tri</v>
      </c>
      <c r="E5" s="176"/>
      <c r="F5" s="177"/>
      <c r="L5" s="92" t="s">
        <v>3</v>
      </c>
      <c r="M5" s="3" t="s">
        <v>60</v>
      </c>
      <c r="S5" s="92" t="s">
        <v>797</v>
      </c>
      <c r="T5" s="3" t="s">
        <v>780</v>
      </c>
    </row>
    <row r="6" spans="1:25" x14ac:dyDescent="0.25">
      <c r="C6" s="50" t="s">
        <v>1021</v>
      </c>
      <c r="D6" s="175" t="str">
        <f>M6</f>
        <v>wladimir.campelo@cslbehring.com</v>
      </c>
      <c r="E6" s="176"/>
      <c r="F6" s="177"/>
      <c r="L6" s="92" t="s">
        <v>797</v>
      </c>
      <c r="M6" s="3" t="s">
        <v>780</v>
      </c>
      <c r="S6" s="116" t="s">
        <v>993</v>
      </c>
      <c r="T6" s="117">
        <f>SUM(T8:T1048576)</f>
        <v>3</v>
      </c>
      <c r="U6" s="117">
        <f>SUM(U8:U1048576)</f>
        <v>11</v>
      </c>
      <c r="V6" s="117">
        <f>SUM(V8:V1048576)</f>
        <v>7</v>
      </c>
      <c r="W6" s="117">
        <f>SUM(W8:W1048576)</f>
        <v>1284</v>
      </c>
      <c r="X6" s="117">
        <f>SUM(X8:X1048576)</f>
        <v>12243</v>
      </c>
    </row>
    <row r="7" spans="1:25" x14ac:dyDescent="0.25">
      <c r="C7" s="118" t="s">
        <v>709</v>
      </c>
      <c r="D7" s="175" t="str">
        <f>VLOOKUP(Filtro_Demostrativo_Rep_REP,VIEW_IV_2019_DEMANDA_CONFIG_PESOS[],2,0)</f>
        <v>WLADIMIR CAMPELO - ESP/HSP - AC/AM/AP/PA/RO/RR/DF</v>
      </c>
      <c r="E7" s="176"/>
      <c r="F7" s="177"/>
      <c r="L7" s="116" t="s">
        <v>993</v>
      </c>
      <c r="M7" s="117">
        <f>SUM(M9:M1048576)</f>
        <v>3</v>
      </c>
      <c r="N7" s="117">
        <f>SUM(N9:N1048576)</f>
        <v>6</v>
      </c>
      <c r="O7" s="117">
        <f>SUM(O9:O1048576)</f>
        <v>4</v>
      </c>
      <c r="P7" s="117">
        <f>SUM(P9:P1048576)</f>
        <v>468</v>
      </c>
      <c r="Q7" s="117">
        <f>SUM(Q9:Q1048576)</f>
        <v>3445</v>
      </c>
      <c r="S7" s="93" t="s">
        <v>10</v>
      </c>
      <c r="T7" s="94" t="s">
        <v>99</v>
      </c>
      <c r="U7" s="94" t="s">
        <v>68</v>
      </c>
      <c r="V7" s="94" t="s">
        <v>968</v>
      </c>
      <c r="W7" s="94" t="s">
        <v>69</v>
      </c>
      <c r="X7" s="94" t="s">
        <v>22</v>
      </c>
    </row>
    <row r="8" spans="1:25" x14ac:dyDescent="0.25">
      <c r="C8" s="118" t="s">
        <v>712</v>
      </c>
      <c r="D8" s="175" t="str">
        <f>VLOOKUP(Filtro_Demostrativo_Rep_REP,VIEW_IV_2019_DEMANDA_CONFIG_PESOS[],5,0)</f>
        <v>Hosp-Esp</v>
      </c>
      <c r="E8" s="176"/>
      <c r="F8" s="177"/>
      <c r="L8" s="93" t="s">
        <v>10</v>
      </c>
      <c r="M8" s="94" t="s">
        <v>99</v>
      </c>
      <c r="N8" s="94" t="s">
        <v>68</v>
      </c>
      <c r="O8" s="94" t="s">
        <v>968</v>
      </c>
      <c r="P8" s="94" t="s">
        <v>69</v>
      </c>
      <c r="Q8" s="94" t="s">
        <v>22</v>
      </c>
      <c r="S8" s="91" t="s">
        <v>556</v>
      </c>
      <c r="T8" s="10">
        <v>0</v>
      </c>
      <c r="U8" s="10">
        <v>0</v>
      </c>
      <c r="V8" s="10">
        <v>0</v>
      </c>
      <c r="W8" s="10">
        <v>0</v>
      </c>
      <c r="X8" s="10">
        <v>1190</v>
      </c>
      <c r="Y8" s="167"/>
    </row>
    <row r="9" spans="1:25" x14ac:dyDescent="0.25">
      <c r="C9" s="118" t="s">
        <v>783</v>
      </c>
      <c r="D9" s="175" t="str">
        <f>VLOOKUP(Filtro_Demostrativo_Rep_REP,VIEW_IV_2019_DEMANDA_CONFIG_PESOS[],7,0)</f>
        <v>FERNANDO LEONY (CO/NO/NE)</v>
      </c>
      <c r="E9" s="176"/>
      <c r="F9" s="177"/>
      <c r="L9" s="91" t="s">
        <v>556</v>
      </c>
      <c r="M9" s="10">
        <v>0</v>
      </c>
      <c r="N9" s="10">
        <v>0</v>
      </c>
      <c r="O9" s="10">
        <v>0</v>
      </c>
      <c r="P9" s="10">
        <v>0</v>
      </c>
      <c r="Q9" s="10">
        <v>515</v>
      </c>
      <c r="S9" s="91" t="s">
        <v>546</v>
      </c>
      <c r="T9" s="10">
        <v>0</v>
      </c>
      <c r="U9" s="10">
        <v>0</v>
      </c>
      <c r="V9" s="10">
        <v>0</v>
      </c>
      <c r="W9" s="10">
        <v>0</v>
      </c>
      <c r="X9" s="10">
        <v>120</v>
      </c>
    </row>
    <row r="10" spans="1:25" x14ac:dyDescent="0.25">
      <c r="L10" s="91" t="s">
        <v>546</v>
      </c>
      <c r="M10" s="10">
        <v>0</v>
      </c>
      <c r="N10" s="10">
        <v>0</v>
      </c>
      <c r="O10" s="10">
        <v>0</v>
      </c>
      <c r="P10" s="10">
        <v>0</v>
      </c>
      <c r="Q10" s="10">
        <v>40</v>
      </c>
      <c r="S10" s="91" t="s">
        <v>554</v>
      </c>
      <c r="T10" s="10">
        <v>0</v>
      </c>
      <c r="U10" s="10">
        <v>0</v>
      </c>
      <c r="V10" s="10">
        <v>0</v>
      </c>
      <c r="W10" s="10">
        <v>0</v>
      </c>
      <c r="X10" s="10">
        <v>25</v>
      </c>
    </row>
    <row r="11" spans="1:25" ht="15.75" x14ac:dyDescent="0.25">
      <c r="C11" s="148" t="s">
        <v>1015</v>
      </c>
      <c r="D11" s="148"/>
      <c r="E11" s="148"/>
      <c r="F11" s="148"/>
      <c r="G11" s="149"/>
      <c r="H11" s="150">
        <f>H20+H24+H25+H32+J41+J48</f>
        <v>2960.5184782272727</v>
      </c>
      <c r="L11" s="91" t="s">
        <v>243</v>
      </c>
      <c r="M11" s="10">
        <v>0</v>
      </c>
      <c r="N11" s="10">
        <v>0</v>
      </c>
      <c r="O11" s="10">
        <v>0</v>
      </c>
      <c r="P11" s="10">
        <v>155</v>
      </c>
      <c r="Q11" s="10">
        <v>350</v>
      </c>
      <c r="S11" s="91" t="s">
        <v>243</v>
      </c>
      <c r="T11" s="10">
        <v>0</v>
      </c>
      <c r="U11" s="10">
        <v>0</v>
      </c>
      <c r="V11" s="10">
        <v>0</v>
      </c>
      <c r="W11" s="10">
        <v>516</v>
      </c>
      <c r="X11" s="10">
        <v>1185</v>
      </c>
    </row>
    <row r="12" spans="1:25" x14ac:dyDescent="0.25">
      <c r="L12" s="91" t="s">
        <v>623</v>
      </c>
      <c r="M12" s="10">
        <v>0</v>
      </c>
      <c r="N12" s="10">
        <v>0</v>
      </c>
      <c r="O12" s="10">
        <v>0</v>
      </c>
      <c r="P12" s="10">
        <v>0</v>
      </c>
      <c r="Q12" s="10">
        <v>455</v>
      </c>
      <c r="S12" s="91" t="s">
        <v>595</v>
      </c>
      <c r="T12" s="10">
        <v>0</v>
      </c>
      <c r="U12" s="10">
        <v>0</v>
      </c>
      <c r="V12" s="10">
        <v>0</v>
      </c>
      <c r="W12" s="10">
        <v>0</v>
      </c>
      <c r="X12" s="10">
        <v>250</v>
      </c>
    </row>
    <row r="13" spans="1:25" x14ac:dyDescent="0.25">
      <c r="C13" s="120" t="s">
        <v>1000</v>
      </c>
      <c r="L13" s="91" t="s">
        <v>545</v>
      </c>
      <c r="M13" s="10">
        <v>0</v>
      </c>
      <c r="N13" s="10">
        <v>0</v>
      </c>
      <c r="O13" s="10">
        <v>0</v>
      </c>
      <c r="P13" s="10">
        <v>0</v>
      </c>
      <c r="Q13" s="10">
        <v>45</v>
      </c>
      <c r="S13" s="91" t="s">
        <v>623</v>
      </c>
      <c r="T13" s="10">
        <v>0</v>
      </c>
      <c r="U13" s="10">
        <v>0</v>
      </c>
      <c r="V13" s="10">
        <v>0</v>
      </c>
      <c r="W13" s="10">
        <v>0</v>
      </c>
      <c r="X13" s="10">
        <v>1005</v>
      </c>
    </row>
    <row r="14" spans="1:25" x14ac:dyDescent="0.25">
      <c r="C14" s="136" t="s">
        <v>14</v>
      </c>
      <c r="D14" s="136" t="s">
        <v>994</v>
      </c>
      <c r="E14" s="136" t="s">
        <v>995</v>
      </c>
      <c r="F14" s="136" t="s">
        <v>996</v>
      </c>
      <c r="G14" s="136" t="s">
        <v>997</v>
      </c>
      <c r="H14" s="136" t="s">
        <v>998</v>
      </c>
      <c r="L14" s="91" t="s">
        <v>375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S14" s="91" t="s">
        <v>614</v>
      </c>
      <c r="T14" s="10">
        <v>0</v>
      </c>
      <c r="U14" s="10">
        <v>0</v>
      </c>
      <c r="V14" s="10">
        <v>0</v>
      </c>
      <c r="W14" s="10">
        <v>0</v>
      </c>
      <c r="X14" s="10">
        <v>550</v>
      </c>
    </row>
    <row r="15" spans="1:25" x14ac:dyDescent="0.25">
      <c r="C15" s="137" t="s">
        <v>99</v>
      </c>
      <c r="D15" s="136">
        <f>SUMIFS(VIEW_IV_2019_REP_CALCULO[Cota-BERINERT],VIEW_IV_2019_REP_CALCULO[Ano-Fiscal],Filtro_Demostrativo_Rep_ANO,VIEW_IV_2019_REP_CALCULO[Mes-Fiscal],Filtro_Demostrativo_Rep_MES,VIEW_IV_2019_REP_CALCULO['#PK-Email],Filtro_Demostrativo_Rep_REP)</f>
        <v>38</v>
      </c>
      <c r="E15" s="136">
        <f>SUMIFS(VIEW_IV_2019_REP_CALCULO[Demanda-BERINERT],VIEW_IV_2019_REP_CALCULO[Ano-Fiscal],Filtro_Demostrativo_Rep_ANO,VIEW_IV_2019_REP_CALCULO[Mes-Fiscal],Filtro_Demostrativo_Rep_MES,VIEW_IV_2019_REP_CALCULO['#PK-Email],Filtro_Demostrativo_Rep_REP)</f>
        <v>3</v>
      </c>
      <c r="F15" s="138">
        <f>SUMIFS(VIEW_IV_2019_REP_CALCULO[Cobertura-BERINERT],VIEW_IV_2019_REP_CALCULO[Ano-Fiscal],Filtro_Demostrativo_Rep_ANO,VIEW_IV_2019_REP_CALCULO[Mes-Fiscal],Filtro_Demostrativo_Rep_MES,VIEW_IV_2019_REP_CALCULO['#PK-Email],Filtro_Demostrativo_Rep_REP)</f>
        <v>0.08</v>
      </c>
      <c r="G15" s="138">
        <f>SUMIFS(VIEW_IV_2019_REP_CALCULO[Peso-BERINERT],VIEW_IV_2019_REP_CALCULO[Ano-Fiscal],Filtro_Demostrativo_Rep_ANO,VIEW_IV_2019_REP_CALCULO[Mes-Fiscal],Filtro_Demostrativo_Rep_MES,VIEW_IV_2019_REP_CALCULO['#PK-Email],Filtro_Demostrativo_Rep_REP)</f>
        <v>0.05</v>
      </c>
      <c r="H15" s="139">
        <f>SUMIFS(VIEW_IV_2019_REP_CALCULO[Premio-BERINERT],VIEW_IV_2019_REP_CALCULO[Ano-Fiscal],Filtro_Demostrativo_Rep_ANO,VIEW_IV_2019_REP_CALCULO[Mes-Fiscal],Filtro_Demostrativo_Rep_MES,VIEW_IV_2019_REP_CALCULO['#PK-Email],Filtro_Demostrativo_Rep_REP)</f>
        <v>0</v>
      </c>
      <c r="L15" s="91" t="s">
        <v>590</v>
      </c>
      <c r="M15" s="10">
        <v>0</v>
      </c>
      <c r="N15" s="10">
        <v>0</v>
      </c>
      <c r="O15" s="10">
        <v>0</v>
      </c>
      <c r="P15" s="10">
        <v>0</v>
      </c>
      <c r="Q15" s="10">
        <v>40</v>
      </c>
      <c r="S15" s="91" t="s">
        <v>545</v>
      </c>
      <c r="T15" s="10">
        <v>0</v>
      </c>
      <c r="U15" s="10">
        <v>0</v>
      </c>
      <c r="V15" s="10">
        <v>0</v>
      </c>
      <c r="W15" s="10">
        <v>0</v>
      </c>
      <c r="X15" s="10">
        <v>650</v>
      </c>
    </row>
    <row r="16" spans="1:25" x14ac:dyDescent="0.25">
      <c r="C16" s="140" t="s">
        <v>68</v>
      </c>
      <c r="D16" s="136">
        <f>SUMIFS(VIEW_IV_2019_REP_CALCULO[Cota-BERIPLEX],VIEW_IV_2019_REP_CALCULO[Ano-Fiscal],Filtro_Demostrativo_Rep_ANO,VIEW_IV_2019_REP_CALCULO[Mes-Fiscal],Filtro_Demostrativo_Rep_MES,VIEW_IV_2019_REP_CALCULO['#PK-Email],Filtro_Demostrativo_Rep_REP)</f>
        <v>40</v>
      </c>
      <c r="E16" s="136">
        <f>SUMIFS(VIEW_IV_2019_REP_CALCULO[Demanda-BERIPLEX],VIEW_IV_2019_REP_CALCULO[Ano-Fiscal],Filtro_Demostrativo_Rep_ANO,VIEW_IV_2019_REP_CALCULO[Mes-Fiscal],Filtro_Demostrativo_Rep_MES,VIEW_IV_2019_REP_CALCULO['#PK-Email],Filtro_Demostrativo_Rep_REP)</f>
        <v>6</v>
      </c>
      <c r="F16" s="138">
        <f>SUMIFS(VIEW_IV_2019_REP_CALCULO[Cobertura-BERIPLEX],VIEW_IV_2019_REP_CALCULO[Ano-Fiscal],Filtro_Demostrativo_Rep_ANO,VIEW_IV_2019_REP_CALCULO[Mes-Fiscal],Filtro_Demostrativo_Rep_MES,VIEW_IV_2019_REP_CALCULO['#PK-Email],Filtro_Demostrativo_Rep_REP)</f>
        <v>0.15</v>
      </c>
      <c r="G16" s="138">
        <f>SUMIFS(VIEW_IV_2019_REP_CALCULO[Peso-BERIPLEX],VIEW_IV_2019_REP_CALCULO[Ano-Fiscal],Filtro_Demostrativo_Rep_ANO,VIEW_IV_2019_REP_CALCULO[Mes-Fiscal],Filtro_Demostrativo_Rep_MES,VIEW_IV_2019_REP_CALCULO['#PK-Email],Filtro_Demostrativo_Rep_REP)</f>
        <v>0.15</v>
      </c>
      <c r="H16" s="139">
        <f>SUMIFS(VIEW_IV_2019_REP_CALCULO[Premio-BERIPLEX],VIEW_IV_2019_REP_CALCULO[Ano-Fiscal],Filtro_Demostrativo_Rep_ANO,VIEW_IV_2019_REP_CALCULO[Mes-Fiscal],Filtro_Demostrativo_Rep_MES,VIEW_IV_2019_REP_CALCULO['#PK-Email],Filtro_Demostrativo_Rep_REP)</f>
        <v>0</v>
      </c>
      <c r="L16" s="91" t="s">
        <v>370</v>
      </c>
      <c r="M16" s="10">
        <v>0</v>
      </c>
      <c r="N16" s="10">
        <v>0</v>
      </c>
      <c r="O16" s="10">
        <v>0</v>
      </c>
      <c r="P16" s="10">
        <v>0</v>
      </c>
      <c r="Q16" s="10">
        <v>145</v>
      </c>
      <c r="S16" s="91" t="s">
        <v>375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3:24" x14ac:dyDescent="0.25">
      <c r="C17" s="137" t="s">
        <v>968</v>
      </c>
      <c r="D17" s="136">
        <f>SUMIFS(VIEW_IV_2019_REP_CALCULO[Cota-HAEMO],VIEW_IV_2019_REP_CALCULO[Ano-Fiscal],Filtro_Demostrativo_Rep_ANO,VIEW_IV_2019_REP_CALCULO[Mes-Fiscal],Filtro_Demostrativo_Rep_MES,VIEW_IV_2019_REP_CALCULO['#PK-Email],Filtro_Demostrativo_Rep_REP)</f>
        <v>13</v>
      </c>
      <c r="E17" s="136">
        <f>SUMIFS(VIEW_IV_2019_REP_CALCULO[Demanda-HAEMO],VIEW_IV_2019_REP_CALCULO[Ano-Fiscal],Filtro_Demostrativo_Rep_ANO,VIEW_IV_2019_REP_CALCULO[Mes-Fiscal],Filtro_Demostrativo_Rep_MES,VIEW_IV_2019_REP_CALCULO['#PK-Email],Filtro_Demostrativo_Rep_REP)</f>
        <v>4</v>
      </c>
      <c r="F17" s="138">
        <f>SUMIFS(VIEW_IV_2019_REP_CALCULO[Cobertura-HAEMO],VIEW_IV_2019_REP_CALCULO[Ano-Fiscal],Filtro_Demostrativo_Rep_ANO,VIEW_IV_2019_REP_CALCULO[Mes-Fiscal],Filtro_Demostrativo_Rep_MES,VIEW_IV_2019_REP_CALCULO['#PK-Email],Filtro_Demostrativo_Rep_REP)</f>
        <v>0.31</v>
      </c>
      <c r="G17" s="138">
        <f>SUMIFS(VIEW_IV_2019_REP_CALCULO[Peso-HAEMO],VIEW_IV_2019_REP_CALCULO[Ano-Fiscal],Filtro_Demostrativo_Rep_ANO,VIEW_IV_2019_REP_CALCULO[Mes-Fiscal],Filtro_Demostrativo_Rep_MES,VIEW_IV_2019_REP_CALCULO['#PK-Email],Filtro_Demostrativo_Rep_REP)</f>
        <v>0.15</v>
      </c>
      <c r="H17" s="139">
        <f>SUMIFS(VIEW_IV_2019_REP_CALCULO[Premio-HAEMO],VIEW_IV_2019_REP_CALCULO[Ano-Fiscal],Filtro_Demostrativo_Rep_ANO,VIEW_IV_2019_REP_CALCULO[Mes-Fiscal],Filtro_Demostrativo_Rep_MES,VIEW_IV_2019_REP_CALCULO['#PK-Email],Filtro_Demostrativo_Rep_REP)</f>
        <v>0</v>
      </c>
      <c r="L17" s="91" t="s">
        <v>270</v>
      </c>
      <c r="M17" s="10">
        <v>0</v>
      </c>
      <c r="N17" s="10">
        <v>0</v>
      </c>
      <c r="O17" s="10">
        <v>0</v>
      </c>
      <c r="P17" s="10">
        <v>0</v>
      </c>
      <c r="Q17" s="10">
        <v>135</v>
      </c>
      <c r="S17" s="91" t="s">
        <v>590</v>
      </c>
      <c r="T17" s="10">
        <v>0</v>
      </c>
      <c r="U17" s="10">
        <v>0</v>
      </c>
      <c r="V17" s="10">
        <v>0</v>
      </c>
      <c r="W17" s="10">
        <v>0</v>
      </c>
      <c r="X17" s="10">
        <v>65</v>
      </c>
    </row>
    <row r="18" spans="3:24" x14ac:dyDescent="0.25">
      <c r="C18" s="137" t="s">
        <v>69</v>
      </c>
      <c r="D18" s="136">
        <f>SUMIFS(VIEW_IV_2019_REP_CALCULO[Cota-HIZENTRA],VIEW_IV_2019_REP_CALCULO[Ano-Fiscal],Filtro_Demostrativo_Rep_ANO,VIEW_IV_2019_REP_CALCULO[Mes-Fiscal],Filtro_Demostrativo_Rep_MES,VIEW_IV_2019_REP_CALCULO['#PK-Email],Filtro_Demostrativo_Rep_REP)</f>
        <v>836</v>
      </c>
      <c r="E18" s="136">
        <f>SUMIFS(VIEW_IV_2019_REP_CALCULO[Demanda-HIZENTRA],VIEW_IV_2019_REP_CALCULO[Ano-Fiscal],Filtro_Demostrativo_Rep_ANO,VIEW_IV_2019_REP_CALCULO[Mes-Fiscal],Filtro_Demostrativo_Rep_MES,VIEW_IV_2019_REP_CALCULO['#PK-Email],Filtro_Demostrativo_Rep_REP)</f>
        <v>468</v>
      </c>
      <c r="F18" s="138">
        <f>SUMIFS(VIEW_IV_2019_REP_CALCULO[Cobertura-HIZENTRA],VIEW_IV_2019_REP_CALCULO[Ano-Fiscal],Filtro_Demostrativo_Rep_ANO,VIEW_IV_2019_REP_CALCULO[Mes-Fiscal],Filtro_Demostrativo_Rep_MES,VIEW_IV_2019_REP_CALCULO['#PK-Email],Filtro_Demostrativo_Rep_REP)</f>
        <v>0.56000000000000005</v>
      </c>
      <c r="G18" s="138">
        <f>SUMIFS(VIEW_IV_2019_REP_CALCULO[Peso-HIZENTRA],VIEW_IV_2019_REP_CALCULO[Ano-Fiscal],Filtro_Demostrativo_Rep_ANO,VIEW_IV_2019_REP_CALCULO[Mes-Fiscal],Filtro_Demostrativo_Rep_MES,VIEW_IV_2019_REP_CALCULO['#PK-Email],Filtro_Demostrativo_Rep_REP)</f>
        <v>0.2</v>
      </c>
      <c r="H18" s="139">
        <f>SUMIFS(VIEW_IV_2019_REP_CALCULO[Premio-HIZENTRA],VIEW_IV_2019_REP_CALCULO[Ano-Fiscal],Filtro_Demostrativo_Rep_ANO,VIEW_IV_2019_REP_CALCULO[Mes-Fiscal],Filtro_Demostrativo_Rep_MES,VIEW_IV_2019_REP_CALCULO['#PK-Email],Filtro_Demostrativo_Rep_REP)</f>
        <v>0</v>
      </c>
      <c r="L18" s="91" t="s">
        <v>378</v>
      </c>
      <c r="M18" s="10">
        <v>0</v>
      </c>
      <c r="N18" s="10">
        <v>0</v>
      </c>
      <c r="O18" s="10">
        <v>0</v>
      </c>
      <c r="P18" s="10">
        <v>0</v>
      </c>
      <c r="Q18" s="10">
        <v>650</v>
      </c>
      <c r="S18" s="91" t="s">
        <v>370</v>
      </c>
      <c r="T18" s="10">
        <v>0</v>
      </c>
      <c r="U18" s="10">
        <v>0</v>
      </c>
      <c r="V18" s="10">
        <v>0</v>
      </c>
      <c r="W18" s="10">
        <v>0</v>
      </c>
      <c r="X18" s="10">
        <v>145</v>
      </c>
    </row>
    <row r="19" spans="3:24" x14ac:dyDescent="0.25">
      <c r="C19" s="137" t="s">
        <v>22</v>
      </c>
      <c r="D19" s="136">
        <f>SUMIFS(VIEW_IV_2019_REP_CALCULO[Cota-PRIVIGEN],VIEW_IV_2019_REP_CALCULO[Ano-Fiscal],Filtro_Demostrativo_Rep_ANO,VIEW_IV_2019_REP_CALCULO[Mes-Fiscal],Filtro_Demostrativo_Rep_MES,VIEW_IV_2019_REP_CALCULO['#PK-Email],Filtro_Demostrativo_Rep_REP)</f>
        <v>1605</v>
      </c>
      <c r="E19" s="136">
        <f>SUMIFS(VIEW_IV_2019_REP_CALCULO[Demanda-PRIVIGEN],VIEW_IV_2019_REP_CALCULO[Ano-Fiscal],Filtro_Demostrativo_Rep_ANO,VIEW_IV_2019_REP_CALCULO[Mes-Fiscal],Filtro_Demostrativo_Rep_MES,VIEW_IV_2019_REP_CALCULO['#PK-Email],Filtro_Demostrativo_Rep_REP)</f>
        <v>3445</v>
      </c>
      <c r="F19" s="138">
        <f>SUMIFS(VIEW_IV_2019_REP_CALCULO[Cobertura-PRIVIGEN],VIEW_IV_2019_REP_CALCULO[Ano-Fiscal],Filtro_Demostrativo_Rep_ANO,VIEW_IV_2019_REP_CALCULO[Mes-Fiscal],Filtro_Demostrativo_Rep_MES,VIEW_IV_2019_REP_CALCULO['#PK-Email],Filtro_Demostrativo_Rep_REP)</f>
        <v>2.15</v>
      </c>
      <c r="G19" s="138">
        <f>SUMIFS(VIEW_IV_2019_REP_CALCULO[Peso-PRIVIGEN],VIEW_IV_2019_REP_CALCULO[Ano-Fiscal],Filtro_Demostrativo_Rep_ANO,VIEW_IV_2019_REP_CALCULO[Mes-Fiscal],Filtro_Demostrativo_Rep_MES,VIEW_IV_2019_REP_CALCULO['#PK-Email],Filtro_Demostrativo_Rep_REP)</f>
        <v>0.15</v>
      </c>
      <c r="H19" s="139">
        <f>SUMIFS(VIEW_IV_2019_REP_CALCULO[Premio-PRIVIGEN],VIEW_IV_2019_REP_CALCULO[Ano-Fiscal],Filtro_Demostrativo_Rep_ANO,VIEW_IV_2019_REP_CALCULO[Mes-Fiscal],Filtro_Demostrativo_Rep_MES,VIEW_IV_2019_REP_CALCULO['#PK-Email],Filtro_Demostrativo_Rep_REP)</f>
        <v>1222.3610503994717</v>
      </c>
      <c r="L19" s="91" t="s">
        <v>472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S19" s="91" t="s">
        <v>270</v>
      </c>
      <c r="T19" s="10">
        <v>0</v>
      </c>
      <c r="U19" s="10">
        <v>0</v>
      </c>
      <c r="V19" s="10">
        <v>0</v>
      </c>
      <c r="W19" s="10">
        <v>1</v>
      </c>
      <c r="X19" s="10">
        <v>440</v>
      </c>
    </row>
    <row r="20" spans="3:24" x14ac:dyDescent="0.25">
      <c r="C20" s="178" t="s">
        <v>850</v>
      </c>
      <c r="D20" s="179"/>
      <c r="E20" s="179"/>
      <c r="F20" s="179"/>
      <c r="G20" s="180"/>
      <c r="H20" s="143">
        <f>SUMIFS(VIEW_IV_2019_REP_CALCULO[Premio-Total],VIEW_IV_2019_REP_CALCULO[Ano-Fiscal],Filtro_Demostrativo_Rep_ANO,VIEW_IV_2019_REP_CALCULO[Mes-Fiscal],Filtro_Demostrativo_Rep_MES,VIEW_IV_2019_REP_CALCULO['#PK-Email],Filtro_Demostrativo_Rep_REP)</f>
        <v>1222.3610503994717</v>
      </c>
      <c r="L20" s="91" t="s">
        <v>288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S20" s="91" t="s">
        <v>378</v>
      </c>
      <c r="T20" s="10">
        <v>0</v>
      </c>
      <c r="U20" s="10">
        <v>0</v>
      </c>
      <c r="V20" s="10">
        <v>0</v>
      </c>
      <c r="W20" s="10">
        <v>0</v>
      </c>
      <c r="X20" s="10">
        <v>1320</v>
      </c>
    </row>
    <row r="21" spans="3:24" x14ac:dyDescent="0.25">
      <c r="L21" s="91" t="s">
        <v>485</v>
      </c>
      <c r="M21" s="10">
        <v>0</v>
      </c>
      <c r="N21" s="10">
        <v>4</v>
      </c>
      <c r="O21" s="10">
        <v>0</v>
      </c>
      <c r="P21" s="10">
        <v>0</v>
      </c>
      <c r="Q21" s="10">
        <v>0</v>
      </c>
      <c r="S21" s="91" t="s">
        <v>472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3:24" x14ac:dyDescent="0.25">
      <c r="C22" s="129" t="s">
        <v>1016</v>
      </c>
      <c r="D22" s="130"/>
      <c r="E22" s="130"/>
      <c r="F22" s="130"/>
      <c r="G22" s="130"/>
      <c r="H22" s="131"/>
      <c r="L22" s="91" t="s">
        <v>376</v>
      </c>
      <c r="M22" s="10">
        <v>0</v>
      </c>
      <c r="N22" s="10">
        <v>0</v>
      </c>
      <c r="O22" s="10">
        <v>0</v>
      </c>
      <c r="P22" s="10">
        <v>0</v>
      </c>
      <c r="Q22" s="10">
        <v>0</v>
      </c>
      <c r="S22" s="91" t="s">
        <v>288</v>
      </c>
      <c r="T22" s="10">
        <v>0</v>
      </c>
      <c r="U22" s="10">
        <v>0</v>
      </c>
      <c r="V22" s="10">
        <v>0</v>
      </c>
      <c r="W22" s="10">
        <v>0</v>
      </c>
      <c r="X22" s="10">
        <v>0</v>
      </c>
    </row>
    <row r="23" spans="3:24" x14ac:dyDescent="0.25">
      <c r="C23" s="132"/>
      <c r="D23" s="132" t="s">
        <v>1009</v>
      </c>
      <c r="E23" s="132" t="s">
        <v>1010</v>
      </c>
      <c r="F23" s="132" t="s">
        <v>996</v>
      </c>
      <c r="G23" s="132" t="s">
        <v>997</v>
      </c>
      <c r="H23" s="132" t="s">
        <v>998</v>
      </c>
      <c r="L23" s="91" t="s">
        <v>287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S23" s="91" t="s">
        <v>485</v>
      </c>
      <c r="T23" s="10">
        <v>0</v>
      </c>
      <c r="U23" s="10">
        <v>4</v>
      </c>
      <c r="V23" s="10">
        <v>0</v>
      </c>
      <c r="W23" s="10">
        <v>0</v>
      </c>
      <c r="X23" s="10">
        <v>150</v>
      </c>
    </row>
    <row r="24" spans="3:24" x14ac:dyDescent="0.25">
      <c r="C24" s="135" t="s">
        <v>1008</v>
      </c>
      <c r="D24" s="132">
        <f>SUMIFS(VIEW_IV_2019_VISITAS_REP[Visitas-Realizar],VIEW_IV_2019_VISITAS_REP[Ano-Fiscal],Filtro_Demostrativo_Rep_ANO,VIEW_IV_2019_VISITAS_REP[Mes-Fiscal],Filtro_Demostrativo_Rep_MES,VIEW_IV_2019_VISITAS_REP['#PK-Email],Filtro_Demostrativo_Rep_REP)</f>
        <v>84</v>
      </c>
      <c r="E24" s="132">
        <f>SUMIFS(VIEW_IV_2019_VISITAS_REP[Visitas-Realizadas],VIEW_IV_2019_VISITAS_REP[Ano-Fiscal],Filtro_Demostrativo_Rep_ANO,VIEW_IV_2019_VISITAS_REP[Mes-Fiscal],Filtro_Demostrativo_Rep_MES,VIEW_IV_2019_VISITAS_REP['#PK-Email],Filtro_Demostrativo_Rep_REP)</f>
        <v>80</v>
      </c>
      <c r="F24" s="133">
        <f>SUMIFS(VIEW_IV_2019_VISITAS_REP[Visitas-Cobertura],VIEW_IV_2019_VISITAS_REP[Ano-Fiscal],Filtro_Demostrativo_Rep_ANO,VIEW_IV_2019_VISITAS_REP[Mes-Fiscal],Filtro_Demostrativo_Rep_MES,VIEW_IV_2019_VISITAS_REP['#PK-Email],Filtro_Demostrativo_Rep_REP)</f>
        <v>0.95238095238095244</v>
      </c>
      <c r="G24" s="133">
        <f>Peso_Visitas_REP</f>
        <v>0.05</v>
      </c>
      <c r="H24" s="142">
        <f>SUMIFS(VIEW_IV_2019_VISITAS_REP[Visitas-Premio],VIEW_IV_2019_VISITAS_REP[Ano-Fiscal],Filtro_Demostrativo_Rep_ANO,VIEW_IV_2019_VISITAS_REP[Mes-Fiscal],Filtro_Demostrativo_Rep_MES,VIEW_IV_2019_VISITAS_REP['#PK-Email],Filtro_Demostrativo_Rep_REP)</f>
        <v>128.72651769693525</v>
      </c>
      <c r="L24" s="91" t="s">
        <v>244</v>
      </c>
      <c r="M24" s="10">
        <v>0</v>
      </c>
      <c r="N24" s="10">
        <v>0</v>
      </c>
      <c r="O24" s="10">
        <v>0</v>
      </c>
      <c r="P24" s="10">
        <v>0</v>
      </c>
      <c r="Q24" s="10">
        <v>400</v>
      </c>
      <c r="S24" s="91" t="s">
        <v>376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3:24" x14ac:dyDescent="0.25">
      <c r="C25" s="135" t="s">
        <v>1011</v>
      </c>
      <c r="D25" s="134"/>
      <c r="E25" s="134"/>
      <c r="F25" s="134"/>
      <c r="G25" s="133">
        <v>0.05</v>
      </c>
      <c r="H25" s="142">
        <v>180.29</v>
      </c>
      <c r="L25" s="91" t="s">
        <v>496</v>
      </c>
      <c r="M25" s="10">
        <v>0</v>
      </c>
      <c r="N25" s="10">
        <v>2</v>
      </c>
      <c r="O25" s="10">
        <v>4</v>
      </c>
      <c r="P25" s="10">
        <v>0</v>
      </c>
      <c r="Q25" s="10">
        <v>0</v>
      </c>
      <c r="S25" s="91" t="s">
        <v>358</v>
      </c>
      <c r="T25" s="10">
        <v>0</v>
      </c>
      <c r="U25" s="10">
        <v>5</v>
      </c>
      <c r="V25" s="10">
        <v>3</v>
      </c>
      <c r="W25" s="10">
        <v>0</v>
      </c>
      <c r="X25" s="10">
        <v>0</v>
      </c>
    </row>
    <row r="26" spans="3:24" x14ac:dyDescent="0.25">
      <c r="L26" s="91" t="s">
        <v>433</v>
      </c>
      <c r="M26" s="10">
        <v>0</v>
      </c>
      <c r="N26" s="10">
        <v>0</v>
      </c>
      <c r="O26" s="10">
        <v>0</v>
      </c>
      <c r="P26" s="10">
        <v>160</v>
      </c>
      <c r="Q26" s="10">
        <v>500</v>
      </c>
      <c r="S26" s="91" t="s">
        <v>287</v>
      </c>
      <c r="T26" s="10">
        <v>0</v>
      </c>
      <c r="U26" s="10">
        <v>0</v>
      </c>
      <c r="V26" s="10">
        <v>0</v>
      </c>
      <c r="W26" s="10">
        <v>0</v>
      </c>
      <c r="X26" s="10">
        <v>400</v>
      </c>
    </row>
    <row r="27" spans="3:24" x14ac:dyDescent="0.25">
      <c r="C27" s="162" t="s">
        <v>1005</v>
      </c>
      <c r="L27" s="91" t="s">
        <v>312</v>
      </c>
      <c r="M27" s="10">
        <v>0</v>
      </c>
      <c r="N27" s="10">
        <v>0</v>
      </c>
      <c r="O27" s="10">
        <v>0</v>
      </c>
      <c r="P27" s="10">
        <v>45</v>
      </c>
      <c r="Q27" s="10">
        <v>0</v>
      </c>
      <c r="S27" s="91" t="s">
        <v>244</v>
      </c>
      <c r="T27" s="10">
        <v>0</v>
      </c>
      <c r="U27" s="10">
        <v>0</v>
      </c>
      <c r="V27" s="10">
        <v>0</v>
      </c>
      <c r="W27" s="10">
        <v>0</v>
      </c>
      <c r="X27" s="10">
        <v>550</v>
      </c>
    </row>
    <row r="28" spans="3:24" x14ac:dyDescent="0.25">
      <c r="C28" s="123" t="s">
        <v>14</v>
      </c>
      <c r="D28" s="123" t="s">
        <v>994</v>
      </c>
      <c r="E28" s="123" t="s">
        <v>1006</v>
      </c>
      <c r="F28" s="123" t="s">
        <v>996</v>
      </c>
      <c r="G28" s="123" t="s">
        <v>997</v>
      </c>
      <c r="H28" s="123" t="s">
        <v>998</v>
      </c>
      <c r="L28" s="91" t="s">
        <v>289</v>
      </c>
      <c r="M28" s="10">
        <v>0</v>
      </c>
      <c r="N28" s="10">
        <v>0</v>
      </c>
      <c r="O28" s="10">
        <v>0</v>
      </c>
      <c r="P28" s="10">
        <v>12</v>
      </c>
      <c r="Q28" s="10">
        <v>0</v>
      </c>
      <c r="S28" s="91" t="s">
        <v>496</v>
      </c>
      <c r="T28" s="10">
        <v>0</v>
      </c>
      <c r="U28" s="10">
        <v>2</v>
      </c>
      <c r="V28" s="10">
        <v>4</v>
      </c>
      <c r="W28" s="10">
        <v>0</v>
      </c>
      <c r="X28" s="10">
        <v>125</v>
      </c>
    </row>
    <row r="29" spans="3:24" x14ac:dyDescent="0.25">
      <c r="C29" s="121" t="s">
        <v>1002</v>
      </c>
      <c r="D29" s="124">
        <f>SUMIFS(VIEW_IV_2019_VENDA[Cota-ALBUREX],VIEW_IV_2019_VENDA[Ano-Fiscal],Filtro_Demostrativo_Rep_ANO,VIEW_IV_2019_VENDA[Mes-Fiscal],Filtro_Demostrativo_Rep_MES)</f>
        <v>3809418</v>
      </c>
      <c r="E29" s="124">
        <f>SUMIFS(VIEW_IV_2019_VENDA[Venda-ALBUREX],VIEW_IV_2019_VENDA[Ano-Fiscal],Filtro_Demostrativo_Rep_ANO,VIEW_IV_2019_VENDA[Mes-Fiscal],Filtro_Demostrativo_Rep_MES)</f>
        <v>3497946</v>
      </c>
      <c r="F29" s="125">
        <f>SUMIFS(VIEW_IV_2019_VENDA[Cobertura-ALBUREX],VIEW_IV_2019_VENDA[Ano-Fiscal],Filtro_Demostrativo_Rep_ANO,VIEW_IV_2019_VENDA[Mes-Fiscal],Filtro_Demostrativo_Rep_MES)</f>
        <v>0.92</v>
      </c>
      <c r="G29" s="125">
        <f>SUMIFS(VIEW_IV_2019_VENDA[Peso-ALBUREX],VIEW_IV_2019_VENDA[Ano-Fiscal],Filtro_Demostrativo_Rep_ANO,VIEW_IV_2019_VENDA[Mes-Fiscal],Filtro_Demostrativo_Rep_MES)</f>
        <v>0.1</v>
      </c>
      <c r="H29" s="124">
        <f>SUMIFS(VIEW_IV_2019_VENDA[Premio-ALBUREX],VIEW_IV_2019_VENDA[Ano-Fiscal],Filtro_Demostrativo_Rep_ANO,VIEW_IV_2019_VENDA[Mes-Fiscal],Filtro_Demostrativo_Rep_MES)</f>
        <v>248.79915185121919</v>
      </c>
      <c r="L29" s="91" t="s">
        <v>506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S29" s="91" t="s">
        <v>382</v>
      </c>
      <c r="T29" s="10">
        <v>0</v>
      </c>
      <c r="U29" s="10">
        <v>0</v>
      </c>
      <c r="V29" s="10">
        <v>0</v>
      </c>
      <c r="W29" s="10">
        <v>32</v>
      </c>
      <c r="X29" s="10">
        <v>0</v>
      </c>
    </row>
    <row r="30" spans="3:24" x14ac:dyDescent="0.25">
      <c r="C30" s="122" t="s">
        <v>1003</v>
      </c>
      <c r="D30" s="124">
        <f>SUMIFS(VIEW_IV_2019_VENDA[Cota-RHOPHYLAC],VIEW_IV_2019_VENDA[Ano-Fiscal],Filtro_Demostrativo_Rep_ANO,VIEW_IV_2019_VENDA[Mes-Fiscal],Filtro_Demostrativo_Rep_MES)</f>
        <v>1483598</v>
      </c>
      <c r="E30" s="124">
        <f>SUMIFS(VIEW_IV_2019_VENDA[Venda-RHOPHYLAC],VIEW_IV_2019_VENDA[Ano-Fiscal],Filtro_Demostrativo_Rep_ANO,VIEW_IV_2019_VENDA[Mes-Fiscal],Filtro_Demostrativo_Rep_MES)</f>
        <v>2320438</v>
      </c>
      <c r="F30" s="125">
        <f>SUMIFS(VIEW_IV_2019_VENDA[Cobertura-RHOPYLAC],VIEW_IV_2019_VENDA[Ano-Fiscal],Filtro_Demostrativo_Rep_ANO,VIEW_IV_2019_VENDA[Mes-Fiscal],Filtro_Demostrativo_Rep_MES)</f>
        <v>1.56</v>
      </c>
      <c r="G30" s="125">
        <f>SUMIFS(VIEW_IV_2019_VENDA[Peso-RHOPHYLAC],VIEW_IV_2019_VENDA[Ano-Fiscal],Filtro_Demostrativo_Rep_ANO,VIEW_IV_2019_VENDA[Mes-Fiscal],Filtro_Demostrativo_Rep_MES)</f>
        <v>0.05</v>
      </c>
      <c r="H30" s="124">
        <f>SUMIFS(VIEW_IV_2019_VENDA[Premio-RHOPYLAC],VIEW_IV_2019_VENDA[Ano-Fiscal],Filtro_Demostrativo_Rep_ANO,VIEW_IV_2019_VENDA[Mes-Fiscal],Filtro_Demostrativo_Rep_MES)</f>
        <v>407.45368346649059</v>
      </c>
      <c r="L30" s="91" t="s">
        <v>470</v>
      </c>
      <c r="M30" s="10">
        <v>3</v>
      </c>
      <c r="N30" s="10">
        <v>0</v>
      </c>
      <c r="O30" s="10">
        <v>0</v>
      </c>
      <c r="P30" s="10">
        <v>0</v>
      </c>
      <c r="Q30" s="10">
        <v>0</v>
      </c>
      <c r="S30" s="91" t="s">
        <v>433</v>
      </c>
      <c r="T30" s="10">
        <v>0</v>
      </c>
      <c r="U30" s="10">
        <v>0</v>
      </c>
      <c r="V30" s="10">
        <v>0</v>
      </c>
      <c r="W30" s="10">
        <v>200</v>
      </c>
      <c r="X30" s="10">
        <v>800</v>
      </c>
    </row>
    <row r="31" spans="3:24" x14ac:dyDescent="0.25">
      <c r="C31" s="121" t="s">
        <v>1004</v>
      </c>
      <c r="D31" s="124">
        <f>SUMIFS(VIEW_IV_2019_VENDA[Cota-OUTROS PRODUTOS],VIEW_IV_2019_VENDA[Ano-Fiscal],Filtro_Demostrativo_Rep_ANO,VIEW_IV_2019_VENDA[Mes-Fiscal],Filtro_Demostrativo_Rep_MES)</f>
        <v>15411961</v>
      </c>
      <c r="E31" s="124">
        <f>SUMIFS(VIEW_IV_2019_VENDA[Venda-OUTROS PRODUTOS],VIEW_IV_2019_VENDA[Ano-Fiscal],Filtro_Demostrativo_Rep_ANO,VIEW_IV_2019_VENDA[Mes-Fiscal],Filtro_Demostrativo_Rep_MES)</f>
        <v>15704382</v>
      </c>
      <c r="F31" s="125">
        <f>SUMIFS(VIEW_IV_2019_VENDA[Cobertura-OUTROS PRODUTOS],VIEW_IV_2019_VENDA[Ano-Fiscal],Filtro_Demostrativo_Rep_ANO,VIEW_IV_2019_VENDA[Mes-Fiscal],Filtro_Demostrativo_Rep_MES)</f>
        <v>1.02</v>
      </c>
      <c r="G31" s="125">
        <f>SUMIFS(VIEW_IV_2019_VENDA[Peso-OUTROS PRODUTOS],VIEW_IV_2019_VENDA[Ano-Fiscal],Filtro_Demostrativo_Rep_ANO,VIEW_IV_2019_VENDA[Mes-Fiscal],Filtro_Demostrativo_Rep_MES)</f>
        <v>0.05</v>
      </c>
      <c r="H31" s="124">
        <f>SUMIFS(VIEW_IV_2019_VENDA[Premio-OUTROS],VIEW_IV_2019_VENDA[Ano-Fiscal],Filtro_Demostrativo_Rep_ANO,VIEW_IV_2019_VENDA[Mes-Fiscal],Filtro_Demostrativo_Rep_MES)</f>
        <v>183.53444680039229</v>
      </c>
      <c r="L31" s="91" t="s">
        <v>218</v>
      </c>
      <c r="M31" s="10">
        <v>0</v>
      </c>
      <c r="N31" s="10">
        <v>0</v>
      </c>
      <c r="O31" s="10">
        <v>0</v>
      </c>
      <c r="P31" s="10">
        <v>12</v>
      </c>
      <c r="Q31" s="10">
        <v>0</v>
      </c>
      <c r="S31" s="91" t="s">
        <v>365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3:24" x14ac:dyDescent="0.25">
      <c r="C32" s="121" t="s">
        <v>850</v>
      </c>
      <c r="D32" s="124">
        <f>SUMIFS(VIEW_IV_2019_VENDA[Cota-TOTAL],VIEW_IV_2019_VENDA[Ano-Fiscal],Filtro_Demostrativo_Rep_ANO,VIEW_IV_2019_VENDA[Mes-Fiscal],Filtro_Demostrativo_Rep_MES)</f>
        <v>20704977</v>
      </c>
      <c r="E32" s="124">
        <f>SUMIFS(VIEW_IV_2019_VENDA[Venda-TOTAL],VIEW_IV_2019_VENDA[Ano-Fiscal],Filtro_Demostrativo_Rep_ANO,VIEW_IV_2019_VENDA[Mes-Fiscal],Filtro_Demostrativo_Rep_MES)</f>
        <v>21522767</v>
      </c>
      <c r="F32" s="125">
        <f>SUMIFS(VIEW_IV_2019_VENDA[Cobertura-TOTAL],VIEW_IV_2019_VENDA[Ano-Fiscal],Filtro_Demostrativo_Rep_ANO,VIEW_IV_2019_VENDA[Mes-Fiscal],Filtro_Demostrativo_Rep_MES)</f>
        <v>1.04</v>
      </c>
      <c r="G32" s="126"/>
      <c r="H32" s="141">
        <f>SUMIFS(VIEW_IV_2019_VENDA[Premio-Total-REP],VIEW_IV_2019_VENDA[Ano-Fiscal],Filtro_Demostrativo_Rep_ANO,VIEW_IV_2019_VENDA[Mes-Fiscal],Filtro_Demostrativo_Rep_MES)</f>
        <v>839.7872821181021</v>
      </c>
      <c r="L32" s="91" t="s">
        <v>342</v>
      </c>
      <c r="M32" s="10">
        <v>0</v>
      </c>
      <c r="N32" s="10">
        <v>0</v>
      </c>
      <c r="O32" s="10">
        <v>0</v>
      </c>
      <c r="P32" s="10">
        <v>36</v>
      </c>
      <c r="Q32" s="10">
        <v>0</v>
      </c>
      <c r="S32" s="91" t="s">
        <v>312</v>
      </c>
      <c r="T32" s="10">
        <v>0</v>
      </c>
      <c r="U32" s="10">
        <v>0</v>
      </c>
      <c r="V32" s="10">
        <v>0</v>
      </c>
      <c r="W32" s="10">
        <v>138</v>
      </c>
      <c r="X32" s="10">
        <v>30</v>
      </c>
    </row>
    <row r="33" spans="3:24" x14ac:dyDescent="0.25">
      <c r="L33" s="91" t="s">
        <v>224</v>
      </c>
      <c r="M33" s="10">
        <v>0</v>
      </c>
      <c r="N33" s="10">
        <v>0</v>
      </c>
      <c r="O33" s="10">
        <v>0</v>
      </c>
      <c r="P33" s="10">
        <v>0</v>
      </c>
      <c r="Q33" s="10">
        <v>0</v>
      </c>
      <c r="S33" s="91" t="s">
        <v>405</v>
      </c>
      <c r="T33" s="10">
        <v>0</v>
      </c>
      <c r="U33" s="10">
        <v>0</v>
      </c>
      <c r="V33" s="10">
        <v>0</v>
      </c>
      <c r="W33" s="10">
        <v>0</v>
      </c>
      <c r="X33" s="10">
        <v>0</v>
      </c>
    </row>
    <row r="34" spans="3:24" x14ac:dyDescent="0.25">
      <c r="C34" s="120" t="s">
        <v>1001</v>
      </c>
      <c r="L34" s="91" t="s">
        <v>467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S34" s="91" t="s">
        <v>289</v>
      </c>
      <c r="T34" s="10">
        <v>0</v>
      </c>
      <c r="U34" s="10">
        <v>0</v>
      </c>
      <c r="V34" s="10">
        <v>0</v>
      </c>
      <c r="W34" s="10">
        <v>24</v>
      </c>
      <c r="X34" s="10">
        <v>0</v>
      </c>
    </row>
    <row r="35" spans="3:24" x14ac:dyDescent="0.25">
      <c r="C35" s="58" t="s">
        <v>14</v>
      </c>
      <c r="D35" s="58" t="s">
        <v>994</v>
      </c>
      <c r="E35" s="58" t="s">
        <v>995</v>
      </c>
      <c r="F35" s="58" t="s">
        <v>996</v>
      </c>
      <c r="G35" s="58" t="s">
        <v>997</v>
      </c>
      <c r="H35" s="58" t="s">
        <v>998</v>
      </c>
      <c r="I35" s="58" t="s">
        <v>1017</v>
      </c>
      <c r="J35" s="58" t="s">
        <v>999</v>
      </c>
      <c r="L35" s="91" t="s">
        <v>580</v>
      </c>
      <c r="M35" s="10">
        <v>0</v>
      </c>
      <c r="N35" s="10">
        <v>0</v>
      </c>
      <c r="O35" s="10">
        <v>0</v>
      </c>
      <c r="P35" s="10">
        <v>0</v>
      </c>
      <c r="Q35" s="10">
        <v>170</v>
      </c>
      <c r="S35" s="91" t="s">
        <v>230</v>
      </c>
      <c r="T35" s="10">
        <v>0</v>
      </c>
      <c r="U35" s="10">
        <v>0</v>
      </c>
      <c r="V35" s="10">
        <v>0</v>
      </c>
      <c r="W35" s="10">
        <v>36</v>
      </c>
      <c r="X35" s="10">
        <v>0</v>
      </c>
    </row>
    <row r="36" spans="3:24" x14ac:dyDescent="0.25">
      <c r="C36" s="84" t="s">
        <v>99</v>
      </c>
      <c r="D36" s="58">
        <f>SUMIFS(VIEW_IV_2019_REP_CALCULO_TRI[Cota-BERINERT],VIEW_IV_2019_REP_CALCULO_TRI[Ano-Fiscal],Filtro_Demostrativo_Rep_ANO,VIEW_IV_2019_REP_CALCULO_TRI[Tri-Fiscal],Filtro_Demostrativo_Rep_TRI,VIEW_IV_2019_REP_CALCULO_TRI['#PK-Email],Filtro_Demostrativo_Rep_REP)</f>
        <v>68</v>
      </c>
      <c r="E36" s="58">
        <f>SUMIFS(VIEW_IV_2019_REP_CALCULO_TRI[Demanda-BERINERT],VIEW_IV_2019_REP_CALCULO_TRI[Ano-Fiscal],Filtro_Demostrativo_Rep_ANO,VIEW_IV_2019_REP_CALCULO_TRI[Tri-Fiscal],Filtro_Demostrativo_Rep_TRI,VIEW_IV_2019_REP_CALCULO_TRI['#PK-Email],Filtro_Demostrativo_Rep_REP)</f>
        <v>3</v>
      </c>
      <c r="F36" s="77">
        <f>SUMIFS(VIEW_IV_2019_REP_CALCULO_TRI[Cobertura-BERINERT],VIEW_IV_2019_REP_CALCULO_TRI[Ano-Fiscal],Filtro_Demostrativo_Rep_ANO,VIEW_IV_2019_REP_CALCULO_TRI[Tri-Fiscal],Filtro_Demostrativo_Rep_TRI,VIEW_IV_2019_REP_CALCULO_TRI['#PK-Email],Filtro_Demostrativo_Rep_REP)</f>
        <v>4.4117647058823532E-2</v>
      </c>
      <c r="G36" s="77">
        <f>G15</f>
        <v>0.05</v>
      </c>
      <c r="H36" s="60">
        <f>SUMIFS(VIEW_IV_2019_REP_CALCULO_TRI[Premio-BERINERT],VIEW_IV_2019_REP_CALCULO_TRI[Ano-Fiscal],Filtro_Demostrativo_Rep_ANO,VIEW_IV_2019_REP_CALCULO_TRI[Tri-Fiscal],Filtro_Demostrativo_Rep_TRI,VIEW_IV_2019_REP_CALCULO_TRI['#PK-Email],Filtro_Demostrativo_Rep_REP)</f>
        <v>0</v>
      </c>
      <c r="I36" s="60">
        <f>SUMIFS(VIEW_IV_2019_REP_CALCULO_TRI[Recebido-BERINERT],VIEW_IV_2019_REP_CALCULO_TRI[Ano-Fiscal],Filtro_Demostrativo_Rep_ANO,VIEW_IV_2019_REP_CALCULO_TRI[Tri-Fiscal],Filtro_Demostrativo_Rep_TRI,VIEW_IV_2019_REP_CALCULO_TRI['#PK-Email],Filtro_Demostrativo_Rep_REP)</f>
        <v>0</v>
      </c>
      <c r="J36" s="60">
        <f>SUMIFS(VIEW_IV_2019_REP_CALCULO_TRI[Recuperavel-BERINERT],VIEW_IV_2019_REP_CALCULO_TRI[Ano-Fiscal],Filtro_Demostrativo_Rep_ANO,VIEW_IV_2019_REP_CALCULO_TRI[Tri-Fiscal],Filtro_Demostrativo_Rep_TRI,VIEW_IV_2019_REP_CALCULO_TRI['#PK-Email],Filtro_Demostrativo_Rep_REP)</f>
        <v>0</v>
      </c>
      <c r="L36" s="91" t="s">
        <v>803</v>
      </c>
      <c r="M36" s="10">
        <v>0</v>
      </c>
      <c r="N36" s="10">
        <v>0</v>
      </c>
      <c r="O36" s="10">
        <v>0</v>
      </c>
      <c r="P36" s="10">
        <v>16</v>
      </c>
      <c r="Q36" s="10">
        <v>0</v>
      </c>
      <c r="S36" s="91" t="s">
        <v>506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3:24" x14ac:dyDescent="0.25">
      <c r="C37" s="85" t="s">
        <v>68</v>
      </c>
      <c r="D37" s="58">
        <f>SUMIFS(VIEW_IV_2019_REP_CALCULO_TRI[Cota-BERIPLEX],VIEW_IV_2019_REP_CALCULO_TRI[Ano-Fiscal],Filtro_Demostrativo_Rep_ANO,VIEW_IV_2019_REP_CALCULO_TRI[Tri-Fiscal],Filtro_Demostrativo_Rep_TRI,VIEW_IV_2019_REP_CALCULO_TRI['#PK-Email],Filtro_Demostrativo_Rep_REP)</f>
        <v>100</v>
      </c>
      <c r="E37" s="58">
        <f>SUMIFS(VIEW_IV_2019_REP_CALCULO_TRI[Demanda-BERIPLEX],VIEW_IV_2019_REP_CALCULO_TRI[Ano-Fiscal],Filtro_Demostrativo_Rep_ANO,VIEW_IV_2019_REP_CALCULO_TRI[Tri-Fiscal],Filtro_Demostrativo_Rep_TRI,VIEW_IV_2019_REP_CALCULO_TRI['#PK-Email],Filtro_Demostrativo_Rep_REP)</f>
        <v>11</v>
      </c>
      <c r="F37" s="77">
        <f>SUMIFS(VIEW_IV_2019_REP_CALCULO_TRI[Cobertura-BERIPLEX],VIEW_IV_2019_REP_CALCULO_TRI[Ano-Fiscal],Filtro_Demostrativo_Rep_ANO,VIEW_IV_2019_REP_CALCULO_TRI[Tri-Fiscal],Filtro_Demostrativo_Rep_TRI,VIEW_IV_2019_REP_CALCULO_TRI['#PK-Email],Filtro_Demostrativo_Rep_REP)</f>
        <v>0.11</v>
      </c>
      <c r="G37" s="77">
        <f>G16</f>
        <v>0.15</v>
      </c>
      <c r="H37" s="60">
        <f>SUMIFS(VIEW_IV_2019_REP_CALCULO_TRI[Premio-BERIPLEX],VIEW_IV_2019_REP_CALCULO_TRI[Ano-Fiscal],Filtro_Demostrativo_Rep_ANO,VIEW_IV_2019_REP_CALCULO_TRI[Tri-Fiscal],Filtro_Demostrativo_Rep_TRI,VIEW_IV_2019_REP_CALCULO_TRI['#PK-Email],Filtro_Demostrativo_Rep_REP)</f>
        <v>0</v>
      </c>
      <c r="I37" s="60">
        <f>SUMIFS(VIEW_IV_2019_REP_CALCULO_TRI[Recebido-BERIPLEX],VIEW_IV_2019_REP_CALCULO_TRI[Ano-Fiscal],Filtro_Demostrativo_Rep_ANO,VIEW_IV_2019_REP_CALCULO_TRI[Tri-Fiscal],Filtro_Demostrativo_Rep_TRI,VIEW_IV_2019_REP_CALCULO_TRI['#PK-Email],Filtro_Demostrativo_Rep_REP)</f>
        <v>0</v>
      </c>
      <c r="J37" s="60">
        <f>SUMIFS(VIEW_IV_2019_REP_CALCULO_TRI[Recuperavel-BERIPLEX],VIEW_IV_2019_REP_CALCULO_TRI[Ano-Fiscal],Filtro_Demostrativo_Rep_ANO,VIEW_IV_2019_REP_CALCULO_TRI[Tri-Fiscal],Filtro_Demostrativo_Rep_TRI,VIEW_IV_2019_REP_CALCULO_TRI['#PK-Email],Filtro_Demostrativo_Rep_REP)</f>
        <v>0</v>
      </c>
      <c r="L37" s="91" t="s">
        <v>273</v>
      </c>
      <c r="M37" s="10">
        <v>0</v>
      </c>
      <c r="N37" s="10">
        <v>0</v>
      </c>
      <c r="O37" s="10">
        <v>0</v>
      </c>
      <c r="P37" s="10">
        <v>32</v>
      </c>
      <c r="Q37" s="10">
        <v>0</v>
      </c>
      <c r="S37" s="91" t="s">
        <v>470</v>
      </c>
      <c r="T37" s="10">
        <v>3</v>
      </c>
      <c r="U37" s="10">
        <v>0</v>
      </c>
      <c r="V37" s="10">
        <v>0</v>
      </c>
      <c r="W37" s="10">
        <v>0</v>
      </c>
      <c r="X37" s="10">
        <v>0</v>
      </c>
    </row>
    <row r="38" spans="3:24" x14ac:dyDescent="0.25">
      <c r="C38" s="84" t="s">
        <v>968</v>
      </c>
      <c r="D38" s="58">
        <f>SUMIFS(VIEW_IV_2019_REP_CALCULO_TRI[Cota-HAEMO],VIEW_IV_2019_REP_CALCULO_TRI[Ano-Fiscal],Filtro_Demostrativo_Rep_ANO,VIEW_IV_2019_REP_CALCULO_TRI[Tri-Fiscal],Filtro_Demostrativo_Rep_TRI,VIEW_IV_2019_REP_CALCULO_TRI['#PK-Email],Filtro_Demostrativo_Rep_REP)</f>
        <v>40</v>
      </c>
      <c r="E38" s="58">
        <f>SUMIFS(VIEW_IV_2019_REP_CALCULO_TRI[Demanda-HAEMO],VIEW_IV_2019_REP_CALCULO_TRI[Ano-Fiscal],Filtro_Demostrativo_Rep_ANO,VIEW_IV_2019_REP_CALCULO_TRI[Tri-Fiscal],Filtro_Demostrativo_Rep_TRI,VIEW_IV_2019_REP_CALCULO_TRI['#PK-Email],Filtro_Demostrativo_Rep_REP)</f>
        <v>7</v>
      </c>
      <c r="F38" s="77">
        <f>SUMIFS(VIEW_IV_2019_REP_CALCULO_TRI[Cobertura-HAEMO],VIEW_IV_2019_REP_CALCULO_TRI[Ano-Fiscal],Filtro_Demostrativo_Rep_ANO,VIEW_IV_2019_REP_CALCULO_TRI[Tri-Fiscal],Filtro_Demostrativo_Rep_TRI,VIEW_IV_2019_REP_CALCULO_TRI['#PK-Email],Filtro_Demostrativo_Rep_REP)</f>
        <v>0.17499999999999999</v>
      </c>
      <c r="G38" s="77">
        <f>G17</f>
        <v>0.15</v>
      </c>
      <c r="H38" s="60">
        <f>SUMIFS(VIEW_IV_2019_REP_CALCULO_TRI[Premio-HAEMO],VIEW_IV_2019_REP_CALCULO_TRI[Ano-Fiscal],Filtro_Demostrativo_Rep_ANO,VIEW_IV_2019_REP_CALCULO_TRI[Tri-Fiscal],Filtro_Demostrativo_Rep_TRI,VIEW_IV_2019_REP_CALCULO_TRI['#PK-Email],Filtro_Demostrativo_Rep_REP)</f>
        <v>0</v>
      </c>
      <c r="I38" s="60">
        <f>SUMIFS(VIEW_IV_2019_REP_CALCULO_TRI[Recebido-HAEMO],VIEW_IV_2019_REP_CALCULO_TRI[Ano-Fiscal],Filtro_Demostrativo_Rep_ANO,VIEW_IV_2019_REP_CALCULO_TRI[Tri-Fiscal],Filtro_Demostrativo_Rep_TRI,VIEW_IV_2019_REP_CALCULO_TRI['#PK-Email],Filtro_Demostrativo_Rep_REP)</f>
        <v>0</v>
      </c>
      <c r="J38" s="60">
        <f>SUMIFS(VIEW_IV_2019_REP_CALCULO_TRI[Recuperavel-HAEMO],VIEW_IV_2019_REP_CALCULO_TRI[Ano-Fiscal],Filtro_Demostrativo_Rep_ANO,VIEW_IV_2019_REP_CALCULO_TRI[Tri-Fiscal],Filtro_Demostrativo_Rep_TRI,VIEW_IV_2019_REP_CALCULO_TRI['#PK-Email],Filtro_Demostrativo_Rep_REP)</f>
        <v>0</v>
      </c>
      <c r="L38"/>
      <c r="M38"/>
      <c r="N38"/>
      <c r="O38"/>
      <c r="P38"/>
      <c r="Q38"/>
      <c r="S38" s="91" t="s">
        <v>535</v>
      </c>
      <c r="T38" s="10">
        <v>0</v>
      </c>
      <c r="U38" s="10">
        <v>0</v>
      </c>
      <c r="V38" s="10">
        <v>0</v>
      </c>
      <c r="W38" s="10">
        <v>0</v>
      </c>
      <c r="X38" s="10">
        <v>75</v>
      </c>
    </row>
    <row r="39" spans="3:24" x14ac:dyDescent="0.25">
      <c r="C39" s="84" t="s">
        <v>69</v>
      </c>
      <c r="D39" s="58">
        <f>SUMIFS(VIEW_IV_2019_REP_CALCULO_TRI[Cota-HIZENTRA],VIEW_IV_2019_REP_CALCULO_TRI[Ano-Fiscal],Filtro_Demostrativo_Rep_ANO,VIEW_IV_2019_REP_CALCULO_TRI[Tri-Fiscal],Filtro_Demostrativo_Rep_TRI,VIEW_IV_2019_REP_CALCULO_TRI['#PK-Email],Filtro_Demostrativo_Rep_REP)</f>
        <v>2061</v>
      </c>
      <c r="E39" s="58">
        <f>SUMIFS(VIEW_IV_2019_REP_CALCULO_TRI[Demanda-HIZENTRA],VIEW_IV_2019_REP_CALCULO_TRI[Ano-Fiscal],Filtro_Demostrativo_Rep_ANO,VIEW_IV_2019_REP_CALCULO_TRI[Tri-Fiscal],Filtro_Demostrativo_Rep_TRI,VIEW_IV_2019_REP_CALCULO_TRI['#PK-Email],Filtro_Demostrativo_Rep_REP)</f>
        <v>1284</v>
      </c>
      <c r="F39" s="77">
        <f>SUMIFS(VIEW_IV_2019_REP_CALCULO_TRI[Cobertura-HIZENTRA],VIEW_IV_2019_REP_CALCULO_TRI[Ano-Fiscal],Filtro_Demostrativo_Rep_ANO,VIEW_IV_2019_REP_CALCULO_TRI[Tri-Fiscal],Filtro_Demostrativo_Rep_TRI,VIEW_IV_2019_REP_CALCULO_TRI['#PK-Email],Filtro_Demostrativo_Rep_REP)</f>
        <v>0.62299854439592428</v>
      </c>
      <c r="G39" s="77">
        <f>G18</f>
        <v>0.2</v>
      </c>
      <c r="H39" s="60">
        <f>SUMIFS(VIEW_IV_2019_REP_CALCULO_TRI[Premio-HIZENTRA],VIEW_IV_2019_REP_CALCULO_TRI[Ano-Fiscal],Filtro_Demostrativo_Rep_ANO,VIEW_IV_2019_REP_CALCULO_TRI[Tri-Fiscal],Filtro_Demostrativo_Rep_TRI,VIEW_IV_2019_REP_CALCULO_TRI['#PK-Email],Filtro_Demostrativo_Rep_REP)</f>
        <v>0</v>
      </c>
      <c r="I39" s="60">
        <f>SUMIFS(VIEW_IV_2019_REP_CALCULO_TRI[Recebido-HIZENTRA],VIEW_IV_2019_REP_CALCULO_TRI[Ano-Fiscal],Filtro_Demostrativo_Rep_ANO,VIEW_IV_2019_REP_CALCULO_TRI[Tri-Fiscal],Filtro_Demostrativo_Rep_TRI,VIEW_IV_2019_REP_CALCULO_TRI['#PK-Email],Filtro_Demostrativo_Rep_REP)</f>
        <v>0</v>
      </c>
      <c r="J39" s="60">
        <f>SUMIFS(VIEW_IV_2019_REP_CALCULO_TRI[Recuperavel-HIZENTRA],VIEW_IV_2019_REP_CALCULO_TRI[Ano-Fiscal],Filtro_Demostrativo_Rep_ANO,VIEW_IV_2019_REP_CALCULO_TRI[Tri-Fiscal],Filtro_Demostrativo_Rep_TRI,VIEW_IV_2019_REP_CALCULO_TRI['#PK-Email],Filtro_Demostrativo_Rep_REP)</f>
        <v>0</v>
      </c>
      <c r="L39"/>
      <c r="M39"/>
      <c r="N39"/>
      <c r="O39"/>
      <c r="P39"/>
      <c r="Q39"/>
      <c r="S39" s="91" t="s">
        <v>419</v>
      </c>
      <c r="T39" s="10">
        <v>0</v>
      </c>
      <c r="U39" s="10">
        <v>0</v>
      </c>
      <c r="V39" s="10">
        <v>0</v>
      </c>
      <c r="W39" s="10">
        <v>48</v>
      </c>
      <c r="X39" s="10">
        <v>0</v>
      </c>
    </row>
    <row r="40" spans="3:24" x14ac:dyDescent="0.25">
      <c r="C40" s="84" t="s">
        <v>22</v>
      </c>
      <c r="D40" s="58">
        <f>SUMIFS(VIEW_IV_2019_REP_CALCULO_TRI[Cota-PRIVIGEN],VIEW_IV_2019_REP_CALCULO_TRI[Ano-Fiscal],Filtro_Demostrativo_Rep_ANO,VIEW_IV_2019_REP_CALCULO_TRI[Tri-Fiscal],Filtro_Demostrativo_Rep_TRI,VIEW_IV_2019_REP_CALCULO_TRI['#PK-Email],Filtro_Demostrativo_Rep_REP)</f>
        <v>4215</v>
      </c>
      <c r="E40" s="58">
        <f>SUMIFS(VIEW_IV_2019_REP_CALCULO_TRI[Demanda-PRIVIGEN],VIEW_IV_2019_REP_CALCULO_TRI[Ano-Fiscal],Filtro_Demostrativo_Rep_ANO,VIEW_IV_2019_REP_CALCULO_TRI[Tri-Fiscal],Filtro_Demostrativo_Rep_TRI,VIEW_IV_2019_REP_CALCULO_TRI['#PK-Email],Filtro_Demostrativo_Rep_REP)</f>
        <v>12242</v>
      </c>
      <c r="F40" s="77">
        <f>SUMIFS(VIEW_IV_2019_REP_CALCULO_TRI[Cobertura-PRIVIGEN],VIEW_IV_2019_REP_CALCULO_TRI[Ano-Fiscal],Filtro_Demostrativo_Rep_ANO,VIEW_IV_2019_REP_CALCULO_TRI[Tri-Fiscal],Filtro_Demostrativo_Rep_TRI,VIEW_IV_2019_REP_CALCULO_TRI['#PK-Email],Filtro_Demostrativo_Rep_REP)</f>
        <v>2.9043890865954922</v>
      </c>
      <c r="G40" s="77">
        <f>G19</f>
        <v>0.15</v>
      </c>
      <c r="H40" s="60">
        <f>SUMIFS(VIEW_IV_2019_REP_CALCULO_TRI[Premio-PRIVIGEN],VIEW_IV_2019_REP_CALCULO_TRI[Ano-Fiscal],Filtro_Demostrativo_Rep_ANO,VIEW_IV_2019_REP_CALCULO_TRI[Tri-Fiscal],Filtro_Demostrativo_Rep_TRI,VIEW_IV_2019_REP_CALCULO_TRI['#PK-Email],Filtro_Demostrativo_Rep_REP)</f>
        <v>3667.0831511984152</v>
      </c>
      <c r="I40" s="60">
        <f>SUMIFS(VIEW_IV_2019_REP_CALCULO_TRI[Recebido-PRIVIGEN],VIEW_IV_2019_REP_CALCULO_TRI[Ano-Fiscal],Filtro_Demostrativo_Rep_ANO,VIEW_IV_2019_REP_CALCULO_TRI[Tri-Fiscal],Filtro_Demostrativo_Rep_TRI,VIEW_IV_2019_REP_CALCULO_TRI['#PK-Email],Filtro_Demostrativo_Rep_REP)</f>
        <v>3667.0831511984152</v>
      </c>
      <c r="J40" s="60">
        <f>SUMIFS(VIEW_IV_2019_REP_CALCULO_TRI[Recuperavel-PRIVIGEN],VIEW_IV_2019_REP_CALCULO_TRI[Ano-Fiscal],Filtro_Demostrativo_Rep_ANO,VIEW_IV_2019_REP_CALCULO_TRI[Tri-Fiscal],Filtro_Demostrativo_Rep_TRI,VIEW_IV_2019_REP_CALCULO_TRI['#PK-Email],Filtro_Demostrativo_Rep_REP)</f>
        <v>0</v>
      </c>
      <c r="L40"/>
      <c r="M40"/>
      <c r="N40"/>
      <c r="O40"/>
      <c r="P40"/>
      <c r="Q40"/>
      <c r="S40" s="91" t="s">
        <v>218</v>
      </c>
      <c r="T40" s="10">
        <v>0</v>
      </c>
      <c r="U40" s="10">
        <v>0</v>
      </c>
      <c r="V40" s="10">
        <v>0</v>
      </c>
      <c r="W40" s="10">
        <v>36</v>
      </c>
      <c r="X40" s="10">
        <v>0</v>
      </c>
    </row>
    <row r="41" spans="3:24" x14ac:dyDescent="0.25">
      <c r="C41" s="181" t="s">
        <v>850</v>
      </c>
      <c r="D41" s="181"/>
      <c r="E41" s="181"/>
      <c r="F41" s="181"/>
      <c r="G41" s="182"/>
      <c r="H41" s="144">
        <f>SUM(H36:H40)</f>
        <v>3667.0831511984152</v>
      </c>
      <c r="I41" s="144">
        <f>SUM(I36:I40)</f>
        <v>3667.0831511984152</v>
      </c>
      <c r="J41" s="144">
        <f>SUMIFS(VIEW_IV_2019_REP_CALCULO_TRI[Recuperavel-Total],VIEW_IV_2019_REP_CALCULO_TRI[Ano-Fiscal],Filtro_Demostrativo_Rep_ANO,VIEW_IV_2019_REP_CALCULO_TRI[Tri-Fiscal],Filtro_Demostrativo_Rep_TRI,VIEW_IV_2019_REP_CALCULO_TRI['#PK-Email],Filtro_Demostrativo_Rep_REP)</f>
        <v>0</v>
      </c>
      <c r="L41"/>
      <c r="M41"/>
      <c r="N41"/>
      <c r="O41"/>
      <c r="P41"/>
      <c r="Q41"/>
      <c r="S41" s="91" t="s">
        <v>342</v>
      </c>
      <c r="T41" s="10">
        <v>0</v>
      </c>
      <c r="U41" s="10">
        <v>0</v>
      </c>
      <c r="V41" s="10">
        <v>0</v>
      </c>
      <c r="W41" s="10">
        <v>113</v>
      </c>
      <c r="X41" s="10">
        <v>0</v>
      </c>
    </row>
    <row r="42" spans="3:24" x14ac:dyDescent="0.25">
      <c r="I42" s="2"/>
      <c r="J42" s="147"/>
      <c r="L42"/>
      <c r="M42"/>
      <c r="N42"/>
      <c r="O42"/>
      <c r="P42"/>
      <c r="Q42"/>
      <c r="S42" s="91" t="s">
        <v>242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3:24" x14ac:dyDescent="0.25">
      <c r="C43" s="162" t="s">
        <v>1007</v>
      </c>
      <c r="I43" s="2"/>
      <c r="J43" s="147"/>
      <c r="L43"/>
      <c r="M43"/>
      <c r="N43"/>
      <c r="O43"/>
      <c r="P43"/>
      <c r="Q43"/>
      <c r="S43" s="91" t="s">
        <v>224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3:24" x14ac:dyDescent="0.25">
      <c r="C44" s="123" t="s">
        <v>14</v>
      </c>
      <c r="D44" s="123" t="s">
        <v>994</v>
      </c>
      <c r="E44" s="123" t="s">
        <v>1006</v>
      </c>
      <c r="F44" s="123" t="s">
        <v>996</v>
      </c>
      <c r="G44" s="123" t="s">
        <v>997</v>
      </c>
      <c r="H44" s="123" t="s">
        <v>998</v>
      </c>
      <c r="I44" s="123" t="s">
        <v>1017</v>
      </c>
      <c r="J44" s="123" t="s">
        <v>999</v>
      </c>
      <c r="L44"/>
      <c r="M44"/>
      <c r="N44"/>
      <c r="O44"/>
      <c r="P44"/>
      <c r="Q44"/>
      <c r="S44" s="91" t="s">
        <v>467</v>
      </c>
      <c r="T44" s="10">
        <v>0</v>
      </c>
      <c r="U44" s="10">
        <v>0</v>
      </c>
      <c r="V44" s="10">
        <v>0</v>
      </c>
      <c r="W44" s="10">
        <v>0</v>
      </c>
      <c r="X44" s="10">
        <v>120</v>
      </c>
    </row>
    <row r="45" spans="3:24" x14ac:dyDescent="0.25">
      <c r="C45" s="121" t="s">
        <v>1002</v>
      </c>
      <c r="D45" s="124">
        <f>SUMIFS(VIEW_IV_2019_VENDA_TRI[Cota-ALBUREX],VIEW_IV_2019_VENDA_TRI[Ano-Fiscal],Filtro_Demostrativo_Rep_ANO,VIEW_IV_2019_VENDA_TRI[Tri-Fiscal],Filtro_Demostrativo_Rep_TRI)</f>
        <v>10555263</v>
      </c>
      <c r="E45" s="124">
        <f>SUMIFS(VIEW_IV_2019_VENDA_TRI[Venda-ALBUREX],VIEW_IV_2019_VENDA_TRI[Ano-Fiscal],Filtro_Demostrativo_Rep_ANO,VIEW_IV_2019_VENDA_TRI[Tri-Fiscal],Filtro_Demostrativo_Rep_TRI)</f>
        <v>13227125</v>
      </c>
      <c r="F45" s="125">
        <f>SUMIFS(VIEW_IV_2019_VENDA_TRI[Cobertura-ALBUREX],VIEW_IV_2019_VENDA_TRI[Ano-Fiscal],Filtro_Demostrativo_Rep_ANO,VIEW_IV_2019_VENDA_TRI[Tri-Fiscal],Filtro_Demostrativo_Rep_TRI)</f>
        <v>1.2531307841405752</v>
      </c>
      <c r="G45" s="125">
        <f>Peso_Venda_ALBUREX</f>
        <v>0.1</v>
      </c>
      <c r="H45" s="124">
        <f>SUMIFS(VIEW_IV_2019_VENDA_TRI[Premio-ALBUREX],VIEW_IV_2019_VENDA_TRI[Ano-Fiscal],Filtro_Demostrativo_Rep_ANO,VIEW_IV_2019_VENDA_TRI[Tri-Fiscal],Filtro_Demostrativo_Rep_TRI)</f>
        <v>2023.3742467262427</v>
      </c>
      <c r="I45" s="124">
        <f>SUMIFS(VIEW_IV_2019_VENDA_TRI[Recebido-ALBUREX],VIEW_IV_2019_VENDA_TRI[Ano-Fiscal],Filtro_Demostrativo_Rep_ANO,VIEW_IV_2019_VENDA_TRI[Tri-Fiscal],Filtro_Demostrativo_Rep_TRI)</f>
        <v>1434.0206187134788</v>
      </c>
      <c r="J45" s="124">
        <f>SUMIFS(VIEW_IV_2019_VENDA_TRI[Recuperavel-ALBUREX],VIEW_IV_2019_VENDA_TRI[Ano-Fiscal],Filtro_Demostrativo_Rep_ANO,VIEW_IV_2019_VENDA_TRI[Tri-Fiscal],Filtro_Demostrativo_Rep_TRI)</f>
        <v>589.35362801276392</v>
      </c>
      <c r="L45"/>
      <c r="M45"/>
      <c r="N45"/>
      <c r="O45"/>
      <c r="P45"/>
      <c r="Q45"/>
      <c r="S45" s="91" t="s">
        <v>580</v>
      </c>
      <c r="T45" s="10">
        <v>0</v>
      </c>
      <c r="U45" s="10">
        <v>0</v>
      </c>
      <c r="V45" s="10">
        <v>0</v>
      </c>
      <c r="W45" s="10">
        <v>0</v>
      </c>
      <c r="X45" s="10">
        <v>3030</v>
      </c>
    </row>
    <row r="46" spans="3:24" x14ac:dyDescent="0.25">
      <c r="C46" s="122" t="s">
        <v>1003</v>
      </c>
      <c r="D46" s="124">
        <f>SUMIFS(VIEW_IV_2019_VENDA_TRI[Cota-RHOPYLAC],VIEW_IV_2019_VENDA_TRI[Ano-Fiscal],Filtro_Demostrativo_Rep_ANO,VIEW_IV_2019_VENDA_TRI[Tri-Fiscal],Filtro_Demostrativo_Rep_TRI)</f>
        <v>4203528</v>
      </c>
      <c r="E46" s="124">
        <f>SUMIFS(VIEW_IV_2019_VENDA_TRI[Venda-RHOPYLAC],VIEW_IV_2019_VENDA_TRI[Ano-Fiscal],Filtro_Demostrativo_Rep_ANO,VIEW_IV_2019_VENDA_TRI[Tri-Fiscal],Filtro_Demostrativo_Rep_TRI)</f>
        <v>8434402</v>
      </c>
      <c r="F46" s="125">
        <f>SUMIFS(VIEW_IV_2019_VENDA_TRI[Cobertura-RHOPYLAC],VIEW_IV_2019_VENDA_TRI[Ano-Fiscal],Filtro_Demostrativo_Rep_ANO,VIEW_IV_2019_VENDA_TRI[Tri-Fiscal],Filtro_Demostrativo_Rep_TRI)</f>
        <v>2.0065054877712245</v>
      </c>
      <c r="G46" s="125">
        <f>Peso_Venda_RHOPYLAC</f>
        <v>0.05</v>
      </c>
      <c r="H46" s="124">
        <f>SUMIFS(VIEW_IV_2019_VENDA_TRI[Premio-RHOPYLAC],VIEW_IV_2019_VENDA_TRI[Ano-Fiscal],Filtro_Demostrativo_Rep_ANO,VIEW_IV_2019_VENDA_TRI[Tri-Fiscal],Filtro_Demostrativo_Rep_TRI)</f>
        <v>407.45368346649059</v>
      </c>
      <c r="I46" s="124">
        <f>SUMIFS(VIEW_IV_2019_VENDA_TRI[Recebido-RHOPYLAC],VIEW_IV_2019_VENDA_TRI[Ano-Fiscal],Filtro_Demostrativo_Rep_ANO,VIEW_IV_2019_VENDA_TRI[Tri-Fiscal],Filtro_Demostrativo_Rep_TRI)</f>
        <v>1222.3610503994719</v>
      </c>
      <c r="J46" s="124">
        <f>SUMIFS(VIEW_IV_2019_VENDA_TRI[Recuperavel-RHOPYLAC],VIEW_IV_2019_VENDA_TRI[Ano-Fiscal],Filtro_Demostrativo_Rep_ANO,VIEW_IV_2019_VENDA_TRI[Tri-Fiscal],Filtro_Demostrativo_Rep_TRI)</f>
        <v>0</v>
      </c>
      <c r="L46"/>
      <c r="M46"/>
      <c r="N46"/>
      <c r="O46"/>
      <c r="P46"/>
      <c r="Q46"/>
      <c r="S46" s="91" t="s">
        <v>803</v>
      </c>
      <c r="T46" s="10">
        <v>0</v>
      </c>
      <c r="U46" s="10">
        <v>0</v>
      </c>
      <c r="V46" s="10">
        <v>0</v>
      </c>
      <c r="W46" s="10">
        <v>16</v>
      </c>
      <c r="X46" s="10">
        <v>0</v>
      </c>
    </row>
    <row r="47" spans="3:24" x14ac:dyDescent="0.25">
      <c r="C47" s="121" t="s">
        <v>1004</v>
      </c>
      <c r="D47" s="124">
        <f>SUMIFS(VIEW_IV_2019_VENDA_TRI[Cota-OUTRO PRODUTOS],VIEW_IV_2019_VENDA_TRI[Ano-Fiscal],Filtro_Demostrativo_Rep_ANO,VIEW_IV_2019_VENDA_TRI[Tri-Fiscal],Filtro_Demostrativo_Rep_TRI)</f>
        <v>38842706</v>
      </c>
      <c r="E47" s="124">
        <f>SUMIFS(VIEW_IV_2019_VENDA_TRI[Venda-OUTRO PRODUTOS],VIEW_IV_2019_VENDA_TRI[Ano-Fiscal],Filtro_Demostrativo_Rep_ANO,VIEW_IV_2019_VENDA_TRI[Tri-Fiscal],Filtro_Demostrativo_Rep_TRI)</f>
        <v>56413062</v>
      </c>
      <c r="F47" s="125">
        <f>SUMIFS(VIEW_IV_2019_VENDA_TRI[Cobertura-OUTROS PRODUTOS],VIEW_IV_2019_VENDA_TRI[Ano-Fiscal],Filtro_Demostrativo_Rep_ANO,VIEW_IV_2019_VENDA_TRI[Tri-Fiscal],Filtro_Demostrativo_Rep_TRI)</f>
        <v>1.4523463427084611</v>
      </c>
      <c r="G47" s="125">
        <f>Peso_Venda_OUTROS</f>
        <v>0.05</v>
      </c>
      <c r="H47" s="124">
        <f>SUMIFS(VIEW_IV_2019_VENDA_TRI[Premio-OUTROS],VIEW_IV_2019_VENDA_TRI[Ano-Fiscal],Filtro_Demostrativo_Rep_ANO,VIEW_IV_2019_VENDA_TRI[Tri-Fiscal],Filtro_Demostrativo_Rep_TRI)</f>
        <v>392.63607137058602</v>
      </c>
      <c r="I47" s="124">
        <f>SUMIFS(VIEW_IV_2019_VENDA_TRI[Recebido-OUTROS],VIEW_IV_2019_VENDA_TRI[Ano-Fiscal],Filtro_Demostrativo_Rep_ANO,VIEW_IV_2019_VENDA_TRI[Tri-Fiscal],Filtro_Demostrativo_Rep_TRI)</f>
        <v>998.44181373337346</v>
      </c>
      <c r="J47" s="124">
        <f>SUMIFS(VIEW_IV_2019_VENDA_TRI[Recuperavel-OUTROS],VIEW_IV_2019_VENDA_TRI[Ano-Fiscal],Filtro_Demostrativo_Rep_ANO,VIEW_IV_2019_VENDA_TRI[Tri-Fiscal],Filtro_Demostrativo_Rep_TRI)</f>
        <v>0</v>
      </c>
      <c r="L47"/>
      <c r="M47"/>
      <c r="N47"/>
      <c r="O47"/>
      <c r="P47"/>
      <c r="Q47"/>
      <c r="S47" s="91" t="s">
        <v>273</v>
      </c>
      <c r="T47" s="10">
        <v>0</v>
      </c>
      <c r="U47" s="10">
        <v>0</v>
      </c>
      <c r="V47" s="10">
        <v>0</v>
      </c>
      <c r="W47" s="10">
        <v>124</v>
      </c>
      <c r="X47" s="10">
        <v>0</v>
      </c>
    </row>
    <row r="48" spans="3:24" x14ac:dyDescent="0.25">
      <c r="C48" s="121" t="s">
        <v>850</v>
      </c>
      <c r="D48" s="124">
        <f>SUMIFS(VIEW_IV_2019_VENDA_TRI[Cota-TOTAL],VIEW_IV_2019_VENDA_TRI[Ano-Fiscal],Filtro_Demostrativo_Rep_ANO,VIEW_IV_2019_VENDA_TRI[Tri-Fiscal],Filtro_Demostrativo_Rep_TRI)</f>
        <v>53601496</v>
      </c>
      <c r="E48" s="124">
        <f>SUMIFS(VIEW_IV_2019_VENDA_TRI[Venda-TOTAL],VIEW_IV_2019_VENDA_TRI[Ano-Fiscal],Filtro_Demostrativo_Rep_ANO,VIEW_IV_2019_VENDA_TRI[Tri-Fiscal],Filtro_Demostrativo_Rep_TRI)</f>
        <v>78074590</v>
      </c>
      <c r="F48" s="125">
        <f>SUMIFS(VIEW_IV_2019_VENDA_TRI[Cobertura-TOTAL],VIEW_IV_2019_VENDA_TRI[Ano-Fiscal],Filtro_Demostrativo_Rep_ANO,VIEW_IV_2019_VENDA_TRI[Tri-Fiscal],Filtro_Demostrativo_Rep_TRI)</f>
        <v>1.4565748314188842</v>
      </c>
      <c r="G48" s="126"/>
      <c r="H48" s="141">
        <f>SUM(H45:H47)</f>
        <v>2823.4640015633195</v>
      </c>
      <c r="I48" s="141">
        <f>SUM(I45:I47)</f>
        <v>3654.8234828463237</v>
      </c>
      <c r="J48" s="141">
        <f>SUM(J45:J47)</f>
        <v>589.35362801276392</v>
      </c>
      <c r="L48"/>
      <c r="M48"/>
      <c r="N48"/>
      <c r="O48"/>
      <c r="P48"/>
      <c r="Q48"/>
      <c r="S48" s="91" t="s">
        <v>612</v>
      </c>
      <c r="T48" s="10">
        <v>0</v>
      </c>
      <c r="U48" s="10">
        <v>0</v>
      </c>
      <c r="V48" s="10">
        <v>0</v>
      </c>
      <c r="W48" s="10">
        <v>0</v>
      </c>
      <c r="X48" s="10">
        <v>18</v>
      </c>
    </row>
    <row r="49" spans="8:24" x14ac:dyDescent="0.25">
      <c r="L49"/>
      <c r="M49"/>
      <c r="N49"/>
      <c r="O49"/>
      <c r="P49"/>
      <c r="Q49"/>
      <c r="S49"/>
      <c r="T49"/>
      <c r="U49"/>
      <c r="V49"/>
      <c r="W49"/>
      <c r="X49"/>
    </row>
    <row r="50" spans="8:24" x14ac:dyDescent="0.25">
      <c r="L50"/>
      <c r="M50"/>
      <c r="N50"/>
      <c r="O50"/>
      <c r="P50"/>
      <c r="Q50"/>
      <c r="S50"/>
      <c r="T50"/>
      <c r="U50"/>
      <c r="V50"/>
      <c r="W50"/>
      <c r="X50"/>
    </row>
    <row r="51" spans="8:24" x14ac:dyDescent="0.25">
      <c r="L51"/>
      <c r="M51"/>
      <c r="N51"/>
      <c r="O51"/>
      <c r="P51"/>
      <c r="Q51"/>
      <c r="S51"/>
      <c r="T51"/>
      <c r="U51"/>
      <c r="V51"/>
      <c r="W51"/>
      <c r="X51"/>
    </row>
    <row r="52" spans="8:24" x14ac:dyDescent="0.25">
      <c r="H52" s="87"/>
      <c r="L52"/>
      <c r="M52"/>
      <c r="N52"/>
      <c r="O52"/>
      <c r="P52"/>
      <c r="Q52"/>
      <c r="S52"/>
      <c r="T52"/>
      <c r="U52"/>
      <c r="V52"/>
      <c r="W52"/>
      <c r="X52"/>
    </row>
    <row r="53" spans="8:24" x14ac:dyDescent="0.25">
      <c r="H53" s="87"/>
      <c r="L53"/>
      <c r="M53"/>
      <c r="N53"/>
      <c r="O53"/>
      <c r="P53"/>
      <c r="Q53"/>
      <c r="S53"/>
      <c r="T53"/>
      <c r="U53"/>
      <c r="V53"/>
      <c r="W53"/>
      <c r="X53"/>
    </row>
    <row r="54" spans="8:24" x14ac:dyDescent="0.25">
      <c r="H54" s="87"/>
      <c r="L54"/>
      <c r="M54"/>
      <c r="N54"/>
      <c r="O54"/>
      <c r="P54"/>
      <c r="Q54"/>
      <c r="S54"/>
      <c r="T54"/>
      <c r="U54"/>
      <c r="V54"/>
      <c r="W54"/>
      <c r="X54"/>
    </row>
    <row r="55" spans="8:24" x14ac:dyDescent="0.25">
      <c r="H55" s="87"/>
      <c r="L55"/>
      <c r="M55"/>
      <c r="N55"/>
      <c r="O55"/>
      <c r="P55"/>
      <c r="Q55"/>
      <c r="S55"/>
      <c r="T55"/>
      <c r="U55"/>
      <c r="V55"/>
      <c r="W55"/>
      <c r="X55"/>
    </row>
    <row r="56" spans="8:24" x14ac:dyDescent="0.25">
      <c r="H56" s="87"/>
      <c r="L56"/>
      <c r="M56"/>
      <c r="N56"/>
      <c r="O56"/>
      <c r="P56"/>
      <c r="Q56"/>
      <c r="S56"/>
      <c r="T56"/>
      <c r="U56"/>
      <c r="V56"/>
      <c r="W56"/>
      <c r="X56"/>
    </row>
    <row r="57" spans="8:24" x14ac:dyDescent="0.25">
      <c r="H57" s="87"/>
      <c r="L57"/>
      <c r="M57"/>
      <c r="N57"/>
      <c r="O57"/>
      <c r="P57"/>
      <c r="Q57"/>
      <c r="S57"/>
      <c r="T57"/>
      <c r="U57"/>
      <c r="V57"/>
      <c r="W57"/>
      <c r="X57"/>
    </row>
    <row r="58" spans="8:24" x14ac:dyDescent="0.25">
      <c r="H58" s="87"/>
      <c r="L58"/>
      <c r="M58"/>
      <c r="N58"/>
      <c r="O58"/>
      <c r="P58"/>
      <c r="Q58"/>
      <c r="S58"/>
      <c r="T58"/>
      <c r="U58"/>
      <c r="V58"/>
      <c r="W58"/>
      <c r="X58"/>
    </row>
    <row r="59" spans="8:24" x14ac:dyDescent="0.25">
      <c r="H59" s="87"/>
      <c r="L59"/>
      <c r="M59"/>
      <c r="N59"/>
      <c r="O59"/>
      <c r="P59"/>
      <c r="Q59"/>
      <c r="S59"/>
      <c r="T59"/>
      <c r="U59"/>
      <c r="V59"/>
      <c r="W59"/>
      <c r="X59"/>
    </row>
    <row r="60" spans="8:24" x14ac:dyDescent="0.25">
      <c r="H60" s="87"/>
      <c r="L60"/>
      <c r="M60"/>
      <c r="N60"/>
      <c r="O60"/>
      <c r="P60"/>
      <c r="Q60"/>
      <c r="S60"/>
      <c r="T60"/>
      <c r="U60"/>
      <c r="V60"/>
      <c r="W60"/>
      <c r="X60"/>
    </row>
    <row r="61" spans="8:24" x14ac:dyDescent="0.25">
      <c r="H61" s="87"/>
      <c r="L61"/>
      <c r="M61"/>
      <c r="N61"/>
      <c r="O61"/>
      <c r="P61"/>
      <c r="Q61"/>
      <c r="S61"/>
      <c r="T61"/>
      <c r="U61"/>
      <c r="V61"/>
      <c r="W61"/>
      <c r="X61"/>
    </row>
    <row r="62" spans="8:24" x14ac:dyDescent="0.25">
      <c r="H62" s="87"/>
      <c r="L62"/>
      <c r="M62"/>
      <c r="N62"/>
      <c r="O62"/>
      <c r="P62"/>
      <c r="Q62"/>
      <c r="S62"/>
      <c r="T62"/>
      <c r="U62"/>
      <c r="V62"/>
      <c r="W62"/>
      <c r="X62"/>
    </row>
    <row r="63" spans="8:24" x14ac:dyDescent="0.25">
      <c r="H63" s="87"/>
      <c r="L63"/>
      <c r="M63"/>
      <c r="N63"/>
      <c r="O63"/>
      <c r="P63"/>
      <c r="Q63"/>
      <c r="S63"/>
      <c r="T63"/>
      <c r="U63"/>
      <c r="V63"/>
      <c r="W63"/>
      <c r="X63"/>
    </row>
    <row r="64" spans="8:24" x14ac:dyDescent="0.25">
      <c r="H64" s="87"/>
      <c r="L64"/>
      <c r="M64"/>
      <c r="N64"/>
      <c r="O64"/>
      <c r="P64"/>
      <c r="Q64"/>
      <c r="S64"/>
      <c r="T64"/>
      <c r="U64"/>
      <c r="V64"/>
      <c r="W64"/>
      <c r="X64"/>
    </row>
    <row r="65" spans="12:24" s="87" customFormat="1" x14ac:dyDescent="0.25">
      <c r="L65"/>
      <c r="M65"/>
      <c r="N65"/>
      <c r="O65"/>
      <c r="P65"/>
      <c r="Q65"/>
      <c r="S65"/>
      <c r="T65"/>
      <c r="U65"/>
      <c r="V65"/>
      <c r="W65"/>
      <c r="X65"/>
    </row>
    <row r="66" spans="12:24" s="87" customFormat="1" x14ac:dyDescent="0.25">
      <c r="L66"/>
      <c r="M66"/>
      <c r="N66"/>
      <c r="O66"/>
      <c r="P66"/>
      <c r="Q66"/>
      <c r="S66"/>
      <c r="T66"/>
      <c r="U66"/>
      <c r="V66"/>
      <c r="W66"/>
      <c r="X66"/>
    </row>
    <row r="67" spans="12:24" s="87" customFormat="1" x14ac:dyDescent="0.25">
      <c r="L67"/>
      <c r="M67"/>
      <c r="N67"/>
      <c r="O67"/>
      <c r="P67"/>
      <c r="Q67"/>
      <c r="S67"/>
      <c r="T67"/>
      <c r="U67"/>
      <c r="V67"/>
      <c r="W67"/>
      <c r="X67"/>
    </row>
    <row r="68" spans="12:24" s="87" customFormat="1" x14ac:dyDescent="0.25">
      <c r="L68"/>
      <c r="M68"/>
      <c r="N68"/>
      <c r="O68"/>
      <c r="P68"/>
      <c r="Q68"/>
      <c r="S68"/>
      <c r="T68"/>
      <c r="U68"/>
      <c r="V68"/>
      <c r="W68"/>
      <c r="X68"/>
    </row>
    <row r="69" spans="12:24" s="87" customFormat="1" x14ac:dyDescent="0.25">
      <c r="L69"/>
      <c r="M69"/>
      <c r="N69"/>
      <c r="O69"/>
      <c r="P69"/>
      <c r="Q69"/>
      <c r="S69"/>
      <c r="T69"/>
      <c r="U69"/>
      <c r="V69"/>
      <c r="W69"/>
      <c r="X69"/>
    </row>
    <row r="70" spans="12:24" s="87" customFormat="1" x14ac:dyDescent="0.25">
      <c r="L70"/>
      <c r="M70"/>
      <c r="N70"/>
      <c r="O70"/>
      <c r="P70"/>
      <c r="Q70"/>
      <c r="S70"/>
      <c r="T70"/>
      <c r="U70"/>
      <c r="V70"/>
      <c r="W70"/>
      <c r="X70"/>
    </row>
    <row r="71" spans="12:24" s="87" customFormat="1" x14ac:dyDescent="0.25">
      <c r="L71"/>
      <c r="M71"/>
      <c r="N71"/>
      <c r="O71"/>
      <c r="P71"/>
      <c r="Q71"/>
      <c r="S71"/>
      <c r="T71"/>
      <c r="U71"/>
      <c r="V71"/>
      <c r="W71"/>
      <c r="X71"/>
    </row>
    <row r="72" spans="12:24" s="87" customFormat="1" x14ac:dyDescent="0.25">
      <c r="L72"/>
      <c r="M72"/>
      <c r="N72"/>
      <c r="O72"/>
      <c r="P72"/>
      <c r="Q72"/>
      <c r="S72"/>
      <c r="T72"/>
      <c r="U72"/>
      <c r="V72"/>
      <c r="W72"/>
      <c r="X72"/>
    </row>
    <row r="73" spans="12:24" s="87" customFormat="1" x14ac:dyDescent="0.25">
      <c r="L73"/>
      <c r="M73"/>
      <c r="N73"/>
      <c r="O73"/>
      <c r="P73"/>
      <c r="Q73"/>
      <c r="S73"/>
      <c r="T73"/>
      <c r="U73"/>
      <c r="V73"/>
      <c r="W73"/>
      <c r="X73"/>
    </row>
    <row r="74" spans="12:24" s="87" customFormat="1" x14ac:dyDescent="0.25">
      <c r="L74"/>
      <c r="M74"/>
      <c r="N74"/>
      <c r="O74"/>
      <c r="P74"/>
      <c r="Q74"/>
      <c r="S74"/>
      <c r="T74"/>
      <c r="U74"/>
      <c r="V74"/>
      <c r="W74"/>
      <c r="X74"/>
    </row>
    <row r="75" spans="12:24" s="87" customFormat="1" x14ac:dyDescent="0.25">
      <c r="L75"/>
      <c r="M75"/>
      <c r="N75"/>
      <c r="O75"/>
      <c r="P75"/>
      <c r="Q75"/>
      <c r="S75"/>
      <c r="T75"/>
      <c r="U75"/>
      <c r="V75"/>
      <c r="W75"/>
      <c r="X75"/>
    </row>
    <row r="76" spans="12:24" s="87" customFormat="1" x14ac:dyDescent="0.25">
      <c r="L76"/>
      <c r="M76"/>
      <c r="N76"/>
      <c r="O76"/>
      <c r="P76"/>
      <c r="Q76"/>
      <c r="S76"/>
      <c r="T76"/>
      <c r="U76"/>
      <c r="V76"/>
      <c r="W76"/>
      <c r="X76"/>
    </row>
    <row r="77" spans="12:24" s="87" customFormat="1" x14ac:dyDescent="0.25">
      <c r="S77"/>
      <c r="T77"/>
      <c r="U77"/>
      <c r="V77"/>
      <c r="W77"/>
      <c r="X77"/>
    </row>
    <row r="78" spans="12:24" s="87" customFormat="1" x14ac:dyDescent="0.25">
      <c r="S78"/>
      <c r="T78"/>
      <c r="U78"/>
      <c r="V78"/>
      <c r="W78"/>
      <c r="X78"/>
    </row>
    <row r="79" spans="12:24" s="87" customFormat="1" x14ac:dyDescent="0.25">
      <c r="S79"/>
      <c r="T79"/>
      <c r="U79"/>
      <c r="V79"/>
      <c r="W79"/>
      <c r="X79"/>
    </row>
    <row r="80" spans="12:24" s="87" customFormat="1" x14ac:dyDescent="0.25">
      <c r="S80"/>
      <c r="T80"/>
      <c r="U80"/>
      <c r="V80"/>
      <c r="W80"/>
      <c r="X80"/>
    </row>
    <row r="81" spans="8:24" x14ac:dyDescent="0.25">
      <c r="H81" s="87"/>
      <c r="L81" s="87"/>
      <c r="M81" s="87"/>
      <c r="N81" s="87"/>
      <c r="O81" s="87"/>
      <c r="P81" s="87"/>
      <c r="Q81" s="87"/>
      <c r="S81"/>
      <c r="T81"/>
      <c r="U81"/>
      <c r="V81"/>
      <c r="W81"/>
      <c r="X81"/>
    </row>
    <row r="82" spans="8:24" x14ac:dyDescent="0.25">
      <c r="H82" s="87"/>
      <c r="L82" s="87"/>
      <c r="M82" s="87"/>
      <c r="N82" s="87"/>
      <c r="O82" s="87"/>
      <c r="P82" s="87"/>
      <c r="Q82" s="87"/>
      <c r="S82"/>
      <c r="T82"/>
      <c r="U82"/>
      <c r="V82"/>
      <c r="W82"/>
      <c r="X82"/>
    </row>
    <row r="83" spans="8:24" x14ac:dyDescent="0.25">
      <c r="H83" s="87"/>
      <c r="L83" s="87"/>
      <c r="M83" s="87"/>
      <c r="N83" s="87"/>
      <c r="O83" s="87"/>
      <c r="P83" s="87"/>
      <c r="Q83" s="87"/>
      <c r="S83"/>
      <c r="T83"/>
      <c r="U83"/>
      <c r="V83"/>
      <c r="W83"/>
      <c r="X83"/>
    </row>
    <row r="84" spans="8:24" x14ac:dyDescent="0.25">
      <c r="H84" s="87"/>
      <c r="L84" s="87"/>
      <c r="M84" s="87"/>
      <c r="N84" s="87"/>
      <c r="O84" s="87"/>
      <c r="P84" s="87"/>
      <c r="Q84" s="87"/>
      <c r="S84"/>
      <c r="T84"/>
      <c r="U84"/>
      <c r="V84"/>
      <c r="W84"/>
      <c r="X84"/>
    </row>
    <row r="85" spans="8:24" x14ac:dyDescent="0.25">
      <c r="H85" s="87"/>
      <c r="L85" s="87"/>
      <c r="M85" s="87"/>
      <c r="N85" s="87"/>
      <c r="O85" s="87"/>
      <c r="P85" s="87"/>
      <c r="Q85" s="87"/>
      <c r="S85"/>
      <c r="T85"/>
      <c r="U85"/>
      <c r="V85"/>
      <c r="W85"/>
      <c r="X85"/>
    </row>
    <row r="86" spans="8:24" x14ac:dyDescent="0.25">
      <c r="H86" s="87"/>
      <c r="L86" s="87"/>
      <c r="M86" s="87"/>
      <c r="N86" s="87"/>
      <c r="O86" s="87"/>
      <c r="P86" s="87"/>
      <c r="Q86" s="87"/>
      <c r="S86"/>
      <c r="T86"/>
      <c r="U86"/>
      <c r="V86"/>
      <c r="W86"/>
      <c r="X86"/>
    </row>
    <row r="87" spans="8:24" x14ac:dyDescent="0.25">
      <c r="H87" s="87"/>
      <c r="L87" s="87"/>
      <c r="M87" s="87"/>
      <c r="N87" s="87"/>
      <c r="O87" s="87"/>
      <c r="P87" s="87"/>
      <c r="Q87" s="87"/>
      <c r="S87"/>
      <c r="T87"/>
      <c r="U87"/>
      <c r="V87"/>
      <c r="W87"/>
      <c r="X87"/>
    </row>
    <row r="88" spans="8:24" x14ac:dyDescent="0.25">
      <c r="L88" s="87"/>
      <c r="M88" s="87"/>
      <c r="N88" s="87"/>
      <c r="O88" s="87"/>
      <c r="P88" s="87"/>
      <c r="Q88" s="87"/>
      <c r="S88"/>
      <c r="T88"/>
      <c r="U88"/>
      <c r="V88"/>
      <c r="W88"/>
      <c r="X88"/>
    </row>
    <row r="89" spans="8:24" x14ac:dyDescent="0.25">
      <c r="L89" s="87"/>
      <c r="M89" s="87"/>
      <c r="N89" s="87"/>
      <c r="O89" s="87"/>
      <c r="P89" s="87"/>
      <c r="Q89" s="87"/>
      <c r="S89"/>
      <c r="T89"/>
      <c r="U89"/>
      <c r="V89"/>
      <c r="W89"/>
      <c r="X89"/>
    </row>
    <row r="90" spans="8:24" x14ac:dyDescent="0.25">
      <c r="L90" s="87"/>
      <c r="M90" s="87"/>
      <c r="N90" s="87"/>
      <c r="O90" s="87"/>
      <c r="P90" s="87"/>
      <c r="Q90" s="87"/>
      <c r="S90"/>
      <c r="T90"/>
      <c r="U90"/>
      <c r="V90"/>
      <c r="W90"/>
      <c r="X90"/>
    </row>
    <row r="91" spans="8:24" x14ac:dyDescent="0.25">
      <c r="L91" s="87"/>
      <c r="M91" s="87"/>
      <c r="N91" s="87"/>
      <c r="O91" s="87"/>
      <c r="P91" s="87"/>
      <c r="Q91" s="87"/>
      <c r="S91"/>
      <c r="T91"/>
      <c r="U91"/>
      <c r="V91"/>
      <c r="W91"/>
      <c r="X91"/>
    </row>
    <row r="92" spans="8:24" x14ac:dyDescent="0.25">
      <c r="L92" s="87"/>
      <c r="M92" s="87"/>
      <c r="N92" s="87"/>
      <c r="O92" s="87"/>
      <c r="P92" s="87"/>
      <c r="Q92" s="87"/>
      <c r="S92"/>
      <c r="T92"/>
      <c r="U92"/>
      <c r="V92"/>
      <c r="W92"/>
      <c r="X92"/>
    </row>
    <row r="93" spans="8:24" x14ac:dyDescent="0.25">
      <c r="L93" s="87"/>
      <c r="M93" s="87"/>
      <c r="N93" s="87"/>
      <c r="O93" s="87"/>
      <c r="P93" s="87"/>
      <c r="Q93" s="87"/>
      <c r="S93"/>
      <c r="T93"/>
      <c r="U93"/>
      <c r="V93"/>
      <c r="W93"/>
      <c r="X93"/>
    </row>
    <row r="94" spans="8:24" x14ac:dyDescent="0.25">
      <c r="L94" s="87"/>
      <c r="M94" s="87"/>
      <c r="N94" s="87"/>
      <c r="O94" s="87"/>
      <c r="P94" s="87"/>
      <c r="Q94" s="87"/>
      <c r="S94"/>
      <c r="T94"/>
      <c r="U94"/>
      <c r="V94"/>
      <c r="W94"/>
      <c r="X94"/>
    </row>
    <row r="95" spans="8:24" x14ac:dyDescent="0.25">
      <c r="L95" s="87"/>
      <c r="M95" s="87"/>
      <c r="N95" s="87"/>
      <c r="O95" s="87"/>
      <c r="P95" s="87"/>
      <c r="Q95" s="87"/>
      <c r="S95"/>
      <c r="T95"/>
      <c r="U95"/>
      <c r="V95"/>
      <c r="W95"/>
      <c r="X95"/>
    </row>
    <row r="96" spans="8:24" x14ac:dyDescent="0.25">
      <c r="L96" s="87"/>
      <c r="M96" s="87"/>
      <c r="N96" s="87"/>
      <c r="O96" s="87"/>
      <c r="P96" s="87"/>
      <c r="Q96" s="87"/>
      <c r="S96"/>
      <c r="T96"/>
      <c r="U96"/>
      <c r="V96"/>
      <c r="W96"/>
      <c r="X96"/>
    </row>
    <row r="97" spans="12:24" x14ac:dyDescent="0.25">
      <c r="L97" s="87"/>
      <c r="M97" s="87"/>
      <c r="N97" s="87"/>
      <c r="O97" s="87"/>
      <c r="P97" s="87"/>
      <c r="Q97" s="87"/>
      <c r="S97"/>
      <c r="T97"/>
      <c r="U97"/>
      <c r="V97"/>
      <c r="W97"/>
      <c r="X97"/>
    </row>
    <row r="98" spans="12:24" x14ac:dyDescent="0.25">
      <c r="L98" s="87"/>
      <c r="M98" s="87"/>
      <c r="N98" s="87"/>
      <c r="O98" s="87"/>
      <c r="P98" s="87"/>
      <c r="Q98" s="87"/>
      <c r="S98"/>
      <c r="T98"/>
      <c r="U98"/>
      <c r="V98"/>
      <c r="W98"/>
      <c r="X98"/>
    </row>
    <row r="99" spans="12:24" x14ac:dyDescent="0.25">
      <c r="L99" s="87"/>
      <c r="M99" s="87"/>
      <c r="N99" s="87"/>
      <c r="O99" s="87"/>
      <c r="P99" s="87"/>
      <c r="Q99" s="87"/>
      <c r="S99"/>
      <c r="T99"/>
      <c r="U99"/>
      <c r="V99"/>
      <c r="W99"/>
      <c r="X99"/>
    </row>
    <row r="100" spans="12:24" x14ac:dyDescent="0.25">
      <c r="L100" s="87"/>
      <c r="M100" s="87"/>
      <c r="N100" s="87"/>
      <c r="O100" s="87"/>
      <c r="P100" s="87"/>
      <c r="Q100" s="87"/>
      <c r="S100"/>
      <c r="T100"/>
      <c r="U100"/>
      <c r="V100"/>
      <c r="W100"/>
      <c r="X100"/>
    </row>
    <row r="101" spans="12:24" x14ac:dyDescent="0.25">
      <c r="L101" s="87"/>
      <c r="M101" s="87"/>
      <c r="N101" s="87"/>
      <c r="O101" s="87"/>
      <c r="P101" s="87"/>
      <c r="Q101" s="87"/>
      <c r="S101"/>
      <c r="T101"/>
      <c r="U101"/>
      <c r="V101"/>
      <c r="W101"/>
      <c r="X101"/>
    </row>
    <row r="102" spans="12:24" x14ac:dyDescent="0.25">
      <c r="L102" s="87"/>
      <c r="M102" s="87"/>
      <c r="N102" s="87"/>
      <c r="O102" s="87"/>
      <c r="P102" s="87"/>
      <c r="Q102" s="87"/>
      <c r="S102"/>
      <c r="T102"/>
      <c r="U102"/>
      <c r="V102"/>
      <c r="W102"/>
      <c r="X102"/>
    </row>
    <row r="103" spans="12:24" x14ac:dyDescent="0.25">
      <c r="L103" s="87"/>
      <c r="M103" s="87"/>
      <c r="N103" s="87"/>
      <c r="O103" s="87"/>
      <c r="P103" s="87"/>
      <c r="Q103" s="87"/>
      <c r="S103"/>
      <c r="T103"/>
      <c r="U103"/>
      <c r="V103"/>
      <c r="W103"/>
      <c r="X103"/>
    </row>
    <row r="104" spans="12:24" x14ac:dyDescent="0.25">
      <c r="L104" s="87"/>
      <c r="M104" s="87"/>
      <c r="N104" s="87"/>
      <c r="O104" s="87"/>
      <c r="P104" s="87"/>
      <c r="Q104" s="87"/>
      <c r="S104"/>
      <c r="T104"/>
      <c r="U104"/>
      <c r="V104"/>
      <c r="W104"/>
      <c r="X104"/>
    </row>
    <row r="105" spans="12:24" x14ac:dyDescent="0.25">
      <c r="L105" s="87"/>
      <c r="M105" s="87"/>
      <c r="N105" s="87"/>
      <c r="O105" s="87"/>
      <c r="P105" s="87"/>
      <c r="Q105" s="87"/>
      <c r="S105"/>
      <c r="T105"/>
      <c r="U105"/>
      <c r="V105"/>
      <c r="W105"/>
      <c r="X105"/>
    </row>
    <row r="106" spans="12:24" x14ac:dyDescent="0.25">
      <c r="L106" s="87"/>
      <c r="M106" s="87"/>
      <c r="N106" s="87"/>
      <c r="O106" s="87"/>
      <c r="P106" s="87"/>
      <c r="Q106" s="87"/>
      <c r="S106"/>
      <c r="T106"/>
      <c r="U106"/>
      <c r="V106"/>
      <c r="W106"/>
      <c r="X106"/>
    </row>
    <row r="107" spans="12:24" x14ac:dyDescent="0.25">
      <c r="L107" s="87"/>
      <c r="M107" s="87"/>
      <c r="N107" s="87"/>
      <c r="O107" s="87"/>
      <c r="P107" s="87"/>
      <c r="Q107" s="87"/>
      <c r="S107"/>
      <c r="T107"/>
      <c r="U107"/>
      <c r="V107"/>
      <c r="W107"/>
      <c r="X107"/>
    </row>
    <row r="108" spans="12:24" x14ac:dyDescent="0.25">
      <c r="L108" s="87"/>
      <c r="M108" s="87"/>
      <c r="N108" s="87"/>
      <c r="O108" s="87"/>
      <c r="P108" s="87"/>
      <c r="Q108" s="87"/>
      <c r="S108"/>
      <c r="T108"/>
      <c r="U108"/>
      <c r="V108"/>
      <c r="W108"/>
      <c r="X108"/>
    </row>
    <row r="109" spans="12:24" x14ac:dyDescent="0.25">
      <c r="L109" s="87"/>
      <c r="M109" s="87"/>
      <c r="N109" s="87"/>
      <c r="O109" s="87"/>
      <c r="P109" s="87"/>
      <c r="Q109" s="87"/>
      <c r="S109"/>
      <c r="T109"/>
      <c r="U109"/>
      <c r="V109"/>
      <c r="W109"/>
      <c r="X109"/>
    </row>
    <row r="110" spans="12:24" x14ac:dyDescent="0.25">
      <c r="L110" s="87"/>
      <c r="M110" s="87"/>
      <c r="N110" s="87"/>
      <c r="O110" s="87"/>
      <c r="P110" s="87"/>
      <c r="Q110" s="87"/>
      <c r="S110"/>
      <c r="T110"/>
      <c r="U110"/>
      <c r="V110"/>
      <c r="W110"/>
      <c r="X110"/>
    </row>
    <row r="111" spans="12:24" x14ac:dyDescent="0.25">
      <c r="L111" s="87"/>
      <c r="M111" s="87"/>
      <c r="N111" s="87"/>
      <c r="O111" s="87"/>
      <c r="P111" s="87"/>
      <c r="Q111" s="87"/>
      <c r="S111"/>
      <c r="T111"/>
      <c r="U111"/>
      <c r="V111"/>
      <c r="W111"/>
      <c r="X111"/>
    </row>
    <row r="112" spans="12:24" x14ac:dyDescent="0.25">
      <c r="L112" s="87"/>
      <c r="M112" s="87"/>
      <c r="N112" s="87"/>
      <c r="O112" s="87"/>
      <c r="P112" s="87"/>
      <c r="Q112" s="87"/>
      <c r="S112"/>
      <c r="T112"/>
      <c r="U112"/>
      <c r="V112"/>
      <c r="W112"/>
      <c r="X112"/>
    </row>
    <row r="113" spans="12:24" x14ac:dyDescent="0.25">
      <c r="L113" s="87"/>
      <c r="M113" s="87"/>
      <c r="N113" s="87"/>
      <c r="O113" s="87"/>
      <c r="P113" s="87"/>
      <c r="Q113" s="87"/>
      <c r="S113" s="87"/>
      <c r="T113" s="87"/>
      <c r="U113" s="87"/>
      <c r="V113" s="87"/>
      <c r="W113" s="87"/>
      <c r="X113" s="87"/>
    </row>
    <row r="114" spans="12:24" x14ac:dyDescent="0.25">
      <c r="L114" s="87"/>
      <c r="M114" s="87"/>
      <c r="N114" s="87"/>
      <c r="O114" s="87"/>
      <c r="P114" s="87"/>
      <c r="Q114" s="87"/>
      <c r="S114" s="87"/>
      <c r="T114" s="87"/>
      <c r="U114" s="87"/>
      <c r="V114" s="87"/>
      <c r="W114" s="87"/>
      <c r="X114" s="87"/>
    </row>
    <row r="115" spans="12:24" x14ac:dyDescent="0.25">
      <c r="L115" s="87"/>
      <c r="M115" s="87"/>
      <c r="N115" s="87"/>
      <c r="O115" s="87"/>
      <c r="P115" s="87"/>
      <c r="Q115" s="87"/>
      <c r="S115" s="87"/>
      <c r="T115" s="87"/>
      <c r="U115" s="87"/>
      <c r="V115" s="87"/>
      <c r="W115" s="87"/>
      <c r="X115" s="87"/>
    </row>
    <row r="116" spans="12:24" x14ac:dyDescent="0.25">
      <c r="L116" s="87"/>
      <c r="M116" s="87"/>
      <c r="N116" s="87"/>
      <c r="O116" s="87"/>
      <c r="P116" s="87"/>
      <c r="Q116" s="87"/>
      <c r="S116" s="87"/>
      <c r="T116" s="87"/>
      <c r="U116" s="87"/>
      <c r="V116" s="87"/>
      <c r="W116" s="87"/>
      <c r="X116" s="87"/>
    </row>
    <row r="117" spans="12:24" x14ac:dyDescent="0.25">
      <c r="L117" s="87"/>
      <c r="M117" s="87"/>
      <c r="N117" s="87"/>
      <c r="O117" s="87"/>
      <c r="P117" s="87"/>
      <c r="Q117" s="87"/>
      <c r="S117" s="87"/>
      <c r="T117" s="87"/>
      <c r="U117" s="87"/>
      <c r="V117" s="87"/>
      <c r="W117" s="87"/>
      <c r="X117" s="87"/>
    </row>
    <row r="118" spans="12:24" x14ac:dyDescent="0.25">
      <c r="L118" s="87"/>
      <c r="M118" s="87"/>
      <c r="N118" s="87"/>
      <c r="O118" s="87"/>
      <c r="P118" s="87"/>
      <c r="Q118" s="87"/>
      <c r="S118" s="87"/>
      <c r="T118" s="87"/>
      <c r="U118" s="87"/>
      <c r="V118" s="87"/>
      <c r="W118" s="87"/>
      <c r="X118" s="87"/>
    </row>
    <row r="119" spans="12:24" x14ac:dyDescent="0.25">
      <c r="L119" s="87"/>
      <c r="M119" s="87"/>
      <c r="N119" s="87"/>
      <c r="O119" s="87"/>
      <c r="P119" s="87"/>
      <c r="Q119" s="87"/>
      <c r="S119" s="87"/>
      <c r="T119" s="87"/>
      <c r="U119" s="87"/>
      <c r="V119" s="87"/>
      <c r="W119" s="87"/>
      <c r="X119" s="87"/>
    </row>
    <row r="120" spans="12:24" x14ac:dyDescent="0.25">
      <c r="L120" s="87"/>
      <c r="M120" s="87"/>
      <c r="N120" s="87"/>
      <c r="O120" s="87"/>
      <c r="P120" s="87"/>
      <c r="Q120" s="87"/>
      <c r="S120" s="87"/>
      <c r="T120" s="87"/>
      <c r="U120" s="87"/>
      <c r="V120" s="87"/>
      <c r="W120" s="87"/>
      <c r="X120" s="87"/>
    </row>
    <row r="121" spans="12:24" x14ac:dyDescent="0.25">
      <c r="L121" s="87"/>
      <c r="M121" s="87"/>
      <c r="N121" s="87"/>
      <c r="O121" s="87"/>
      <c r="P121" s="87"/>
      <c r="Q121" s="87"/>
      <c r="S121" s="87"/>
      <c r="T121" s="87"/>
      <c r="U121" s="87"/>
      <c r="V121" s="87"/>
      <c r="W121" s="87"/>
      <c r="X121" s="87"/>
    </row>
    <row r="122" spans="12:24" x14ac:dyDescent="0.25">
      <c r="L122" s="87"/>
      <c r="M122" s="87"/>
      <c r="N122" s="87"/>
      <c r="O122" s="87"/>
      <c r="P122" s="87"/>
      <c r="Q122" s="87"/>
      <c r="S122" s="87"/>
      <c r="T122" s="87"/>
      <c r="U122" s="87"/>
      <c r="V122" s="87"/>
      <c r="W122" s="87"/>
      <c r="X122" s="87"/>
    </row>
    <row r="123" spans="12:24" x14ac:dyDescent="0.25">
      <c r="L123" s="87"/>
      <c r="M123" s="87"/>
      <c r="N123" s="87"/>
      <c r="O123" s="87"/>
      <c r="P123" s="87"/>
      <c r="Q123" s="87"/>
      <c r="S123" s="87"/>
      <c r="T123" s="87"/>
      <c r="U123" s="87"/>
      <c r="V123" s="87"/>
      <c r="W123" s="87"/>
      <c r="X123" s="87"/>
    </row>
    <row r="124" spans="12:24" x14ac:dyDescent="0.25">
      <c r="L124" s="87"/>
      <c r="M124" s="87"/>
      <c r="N124" s="87"/>
      <c r="O124" s="87"/>
      <c r="P124" s="87"/>
      <c r="Q124" s="87"/>
      <c r="S124" s="87"/>
      <c r="T124" s="87"/>
      <c r="U124" s="87"/>
      <c r="V124" s="87"/>
      <c r="W124" s="87"/>
      <c r="X124" s="87"/>
    </row>
    <row r="125" spans="12:24" x14ac:dyDescent="0.25">
      <c r="L125" s="87"/>
      <c r="M125" s="87"/>
      <c r="N125" s="87"/>
      <c r="O125" s="87"/>
      <c r="P125" s="87"/>
      <c r="Q125" s="87"/>
      <c r="S125" s="87"/>
      <c r="T125" s="87"/>
      <c r="U125" s="87"/>
      <c r="V125" s="87"/>
      <c r="W125" s="87"/>
      <c r="X125" s="87"/>
    </row>
    <row r="126" spans="12:24" x14ac:dyDescent="0.25">
      <c r="L126" s="87"/>
      <c r="M126" s="87"/>
      <c r="N126" s="87"/>
      <c r="O126" s="87"/>
      <c r="P126" s="87"/>
      <c r="Q126" s="87"/>
      <c r="S126" s="87"/>
      <c r="T126" s="87"/>
      <c r="U126" s="87"/>
      <c r="V126" s="87"/>
      <c r="W126" s="87"/>
      <c r="X126" s="87"/>
    </row>
    <row r="127" spans="12:24" x14ac:dyDescent="0.25">
      <c r="L127" s="87"/>
      <c r="M127" s="87"/>
      <c r="N127" s="87"/>
      <c r="O127" s="87"/>
      <c r="P127" s="87"/>
      <c r="Q127" s="87"/>
      <c r="S127" s="87"/>
      <c r="T127" s="87"/>
      <c r="U127" s="87"/>
      <c r="V127" s="87"/>
      <c r="W127" s="87"/>
      <c r="X127" s="87"/>
    </row>
    <row r="128" spans="12:24" x14ac:dyDescent="0.25">
      <c r="L128" s="87"/>
      <c r="M128" s="87"/>
      <c r="N128" s="87"/>
      <c r="O128" s="87"/>
      <c r="P128" s="87"/>
      <c r="Q128" s="87"/>
      <c r="S128" s="87"/>
      <c r="T128" s="87"/>
      <c r="U128" s="87"/>
      <c r="V128" s="87"/>
      <c r="W128" s="87"/>
      <c r="X128" s="87"/>
    </row>
    <row r="129" spans="12:24" x14ac:dyDescent="0.25">
      <c r="L129" s="87"/>
      <c r="M129" s="87"/>
      <c r="N129" s="87"/>
      <c r="O129" s="87"/>
      <c r="P129" s="87"/>
      <c r="Q129" s="87"/>
      <c r="S129" s="87"/>
      <c r="T129" s="87"/>
      <c r="U129" s="87"/>
      <c r="V129" s="87"/>
      <c r="W129" s="87"/>
      <c r="X129" s="87"/>
    </row>
    <row r="130" spans="12:24" x14ac:dyDescent="0.25">
      <c r="L130" s="87"/>
      <c r="M130" s="87"/>
      <c r="N130" s="87"/>
      <c r="O130" s="87"/>
      <c r="P130" s="87"/>
      <c r="Q130" s="87"/>
      <c r="S130" s="87"/>
      <c r="T130" s="87"/>
      <c r="U130" s="87"/>
      <c r="V130" s="87"/>
      <c r="W130" s="87"/>
      <c r="X130" s="87"/>
    </row>
    <row r="131" spans="12:24" x14ac:dyDescent="0.25">
      <c r="L131" s="87"/>
      <c r="M131" s="87"/>
      <c r="N131" s="87"/>
      <c r="O131" s="87"/>
      <c r="P131" s="87"/>
      <c r="Q131" s="87"/>
      <c r="S131" s="87"/>
      <c r="T131" s="87"/>
      <c r="U131" s="87"/>
      <c r="V131" s="87"/>
      <c r="W131" s="87"/>
      <c r="X131" s="87"/>
    </row>
    <row r="132" spans="12:24" x14ac:dyDescent="0.25">
      <c r="L132" s="87"/>
      <c r="M132" s="87"/>
      <c r="N132" s="87"/>
      <c r="O132" s="87"/>
      <c r="P132" s="87"/>
      <c r="Q132" s="87"/>
      <c r="S132" s="87"/>
      <c r="T132" s="87"/>
      <c r="U132" s="87"/>
      <c r="V132" s="87"/>
      <c r="W132" s="87"/>
      <c r="X132" s="87"/>
    </row>
    <row r="133" spans="12:24" x14ac:dyDescent="0.25">
      <c r="L133" s="87"/>
      <c r="M133" s="87"/>
      <c r="N133" s="87"/>
      <c r="O133" s="87"/>
      <c r="P133" s="87"/>
      <c r="Q133" s="87"/>
      <c r="S133" s="87"/>
      <c r="T133" s="87"/>
      <c r="U133" s="87"/>
      <c r="V133" s="87"/>
      <c r="W133" s="87"/>
      <c r="X133" s="87"/>
    </row>
    <row r="134" spans="12:24" x14ac:dyDescent="0.25">
      <c r="L134" s="87"/>
      <c r="M134" s="87"/>
      <c r="N134" s="87"/>
      <c r="O134" s="87"/>
      <c r="P134" s="87"/>
      <c r="Q134" s="87"/>
      <c r="S134" s="87"/>
      <c r="T134" s="87"/>
      <c r="U134" s="87"/>
      <c r="V134" s="87"/>
      <c r="W134" s="87"/>
      <c r="X134" s="87"/>
    </row>
    <row r="135" spans="12:24" x14ac:dyDescent="0.25">
      <c r="L135" s="87"/>
      <c r="M135" s="87"/>
      <c r="N135" s="87"/>
      <c r="O135" s="87"/>
      <c r="P135" s="87"/>
      <c r="Q135" s="87"/>
      <c r="S135" s="87"/>
      <c r="T135" s="87"/>
      <c r="U135" s="87"/>
      <c r="V135" s="87"/>
      <c r="W135" s="87"/>
      <c r="X135" s="87"/>
    </row>
    <row r="136" spans="12:24" x14ac:dyDescent="0.25">
      <c r="L136" s="87"/>
      <c r="M136" s="87"/>
      <c r="N136" s="87"/>
      <c r="O136" s="87"/>
      <c r="P136" s="87"/>
      <c r="Q136" s="87"/>
      <c r="S136" s="87"/>
      <c r="T136" s="87"/>
      <c r="U136" s="87"/>
      <c r="V136" s="87"/>
      <c r="W136" s="87"/>
      <c r="X136" s="87"/>
    </row>
    <row r="137" spans="12:24" x14ac:dyDescent="0.25">
      <c r="L137" s="87"/>
      <c r="M137" s="87"/>
      <c r="N137" s="87"/>
      <c r="O137" s="87"/>
      <c r="P137" s="87"/>
      <c r="Q137" s="87"/>
      <c r="S137" s="87"/>
      <c r="T137" s="87"/>
      <c r="U137" s="87"/>
      <c r="V137" s="87"/>
      <c r="W137" s="87"/>
      <c r="X137" s="87"/>
    </row>
    <row r="138" spans="12:24" x14ac:dyDescent="0.25">
      <c r="L138" s="87"/>
      <c r="M138" s="87"/>
      <c r="N138" s="87"/>
      <c r="O138" s="87"/>
      <c r="P138" s="87"/>
      <c r="Q138" s="87"/>
      <c r="S138" s="87"/>
      <c r="T138" s="87"/>
      <c r="U138" s="87"/>
      <c r="V138" s="87"/>
      <c r="W138" s="87"/>
      <c r="X138" s="87"/>
    </row>
    <row r="139" spans="12:24" x14ac:dyDescent="0.25">
      <c r="L139" s="87"/>
      <c r="M139" s="87"/>
      <c r="N139" s="87"/>
      <c r="O139" s="87"/>
      <c r="P139" s="87"/>
      <c r="Q139" s="87"/>
      <c r="S139" s="87"/>
      <c r="T139" s="87"/>
      <c r="U139" s="87"/>
      <c r="V139" s="87"/>
      <c r="W139" s="87"/>
      <c r="X139" s="87"/>
    </row>
    <row r="140" spans="12:24" x14ac:dyDescent="0.25">
      <c r="L140" s="87"/>
      <c r="M140" s="87"/>
      <c r="N140" s="87"/>
      <c r="O140" s="87"/>
      <c r="P140" s="87"/>
      <c r="Q140" s="87"/>
      <c r="S140" s="87"/>
      <c r="T140" s="87"/>
      <c r="U140" s="87"/>
      <c r="V140" s="87"/>
      <c r="W140" s="87"/>
      <c r="X140" s="87"/>
    </row>
    <row r="141" spans="12:24" x14ac:dyDescent="0.25">
      <c r="L141" s="87"/>
      <c r="M141" s="87"/>
      <c r="N141" s="87"/>
      <c r="O141" s="87"/>
      <c r="P141" s="87"/>
      <c r="Q141" s="87"/>
      <c r="S141" s="87"/>
      <c r="T141" s="87"/>
      <c r="U141" s="87"/>
      <c r="V141" s="87"/>
      <c r="W141" s="87"/>
      <c r="X141" s="87"/>
    </row>
    <row r="142" spans="12:24" x14ac:dyDescent="0.25">
      <c r="L142" s="87"/>
      <c r="M142" s="87"/>
      <c r="N142" s="87"/>
      <c r="O142" s="87"/>
      <c r="P142" s="87"/>
      <c r="Q142" s="87"/>
      <c r="S142" s="87"/>
      <c r="T142" s="87"/>
      <c r="U142" s="87"/>
      <c r="V142" s="87"/>
      <c r="W142" s="87"/>
      <c r="X142" s="87"/>
    </row>
    <row r="143" spans="12:24" x14ac:dyDescent="0.25">
      <c r="L143" s="87"/>
      <c r="M143" s="87"/>
      <c r="N143" s="87"/>
      <c r="O143" s="87"/>
      <c r="P143" s="87"/>
      <c r="Q143" s="87"/>
      <c r="S143" s="87"/>
      <c r="T143" s="87"/>
      <c r="U143" s="87"/>
      <c r="V143" s="87"/>
      <c r="W143" s="87"/>
      <c r="X143" s="87"/>
    </row>
    <row r="144" spans="12:24" x14ac:dyDescent="0.25">
      <c r="L144" s="87"/>
      <c r="M144" s="87"/>
      <c r="N144" s="87"/>
      <c r="O144" s="87"/>
      <c r="P144" s="87"/>
      <c r="Q144" s="87"/>
      <c r="S144" s="87"/>
      <c r="T144" s="87"/>
      <c r="U144" s="87"/>
      <c r="V144" s="87"/>
      <c r="W144" s="87"/>
      <c r="X144" s="87"/>
    </row>
    <row r="145" spans="12:24" x14ac:dyDescent="0.25">
      <c r="L145" s="87"/>
      <c r="M145" s="87"/>
      <c r="N145" s="87"/>
      <c r="O145" s="87"/>
      <c r="P145" s="87"/>
      <c r="Q145" s="87"/>
      <c r="S145" s="87"/>
      <c r="T145" s="87"/>
      <c r="U145" s="87"/>
      <c r="V145" s="87"/>
      <c r="W145" s="87"/>
      <c r="X145" s="87"/>
    </row>
    <row r="146" spans="12:24" x14ac:dyDescent="0.25">
      <c r="L146" s="87"/>
      <c r="M146" s="87"/>
      <c r="N146" s="87"/>
      <c r="O146" s="87"/>
      <c r="P146" s="87"/>
      <c r="Q146" s="87"/>
      <c r="S146" s="87"/>
      <c r="T146" s="87"/>
      <c r="U146" s="87"/>
      <c r="V146" s="87"/>
      <c r="W146" s="87"/>
      <c r="X146" s="87"/>
    </row>
    <row r="147" spans="12:24" x14ac:dyDescent="0.25">
      <c r="L147" s="87"/>
      <c r="M147" s="87"/>
      <c r="N147" s="87"/>
      <c r="O147" s="87"/>
      <c r="P147" s="87"/>
      <c r="Q147" s="87"/>
      <c r="S147" s="87"/>
      <c r="T147" s="87"/>
      <c r="U147" s="87"/>
      <c r="V147" s="87"/>
      <c r="W147" s="87"/>
      <c r="X147" s="87"/>
    </row>
    <row r="148" spans="12:24" x14ac:dyDescent="0.25">
      <c r="L148" s="87"/>
      <c r="M148" s="87"/>
      <c r="N148" s="87"/>
      <c r="O148" s="87"/>
      <c r="P148" s="87"/>
      <c r="Q148" s="87"/>
      <c r="S148" s="87"/>
      <c r="T148" s="87"/>
      <c r="U148" s="87"/>
      <c r="V148" s="87"/>
      <c r="W148" s="87"/>
      <c r="X148" s="87"/>
    </row>
    <row r="149" spans="12:24" x14ac:dyDescent="0.25">
      <c r="L149" s="87"/>
      <c r="M149" s="87"/>
      <c r="N149" s="87"/>
      <c r="O149" s="87"/>
      <c r="P149" s="87"/>
      <c r="Q149" s="87"/>
      <c r="S149" s="87"/>
      <c r="T149" s="87"/>
      <c r="U149" s="87"/>
      <c r="V149" s="87"/>
      <c r="W149" s="87"/>
      <c r="X149" s="87"/>
    </row>
    <row r="150" spans="12:24" x14ac:dyDescent="0.25">
      <c r="L150" s="87"/>
      <c r="M150" s="87"/>
      <c r="N150" s="87"/>
      <c r="O150" s="87"/>
      <c r="P150" s="87"/>
      <c r="Q150" s="87"/>
      <c r="S150" s="87"/>
      <c r="T150" s="87"/>
      <c r="U150" s="87"/>
      <c r="V150" s="87"/>
      <c r="W150" s="87"/>
      <c r="X150" s="87"/>
    </row>
    <row r="151" spans="12:24" x14ac:dyDescent="0.25">
      <c r="L151" s="87"/>
      <c r="M151" s="87"/>
      <c r="N151" s="87"/>
      <c r="O151" s="87"/>
      <c r="P151" s="87"/>
      <c r="Q151" s="87"/>
      <c r="S151" s="87"/>
      <c r="T151" s="87"/>
      <c r="U151" s="87"/>
      <c r="V151" s="87"/>
      <c r="W151" s="87"/>
      <c r="X151" s="87"/>
    </row>
    <row r="152" spans="12:24" x14ac:dyDescent="0.25">
      <c r="L152" s="87"/>
      <c r="M152" s="87"/>
      <c r="N152" s="87"/>
      <c r="O152" s="87"/>
      <c r="P152" s="87"/>
      <c r="Q152" s="87"/>
      <c r="S152" s="87"/>
      <c r="T152" s="87"/>
      <c r="U152" s="87"/>
      <c r="V152" s="87"/>
      <c r="W152" s="87"/>
      <c r="X152" s="87"/>
    </row>
    <row r="153" spans="12:24" x14ac:dyDescent="0.25">
      <c r="L153" s="87"/>
      <c r="M153" s="87"/>
      <c r="N153" s="87"/>
      <c r="O153" s="87"/>
      <c r="P153" s="87"/>
      <c r="Q153" s="87"/>
      <c r="S153" s="87"/>
      <c r="T153" s="87"/>
      <c r="U153" s="87"/>
      <c r="V153" s="87"/>
      <c r="W153" s="87"/>
      <c r="X153" s="87"/>
    </row>
    <row r="154" spans="12:24" x14ac:dyDescent="0.25">
      <c r="L154" s="87"/>
      <c r="M154" s="87"/>
      <c r="N154" s="87"/>
      <c r="O154" s="87"/>
      <c r="P154" s="87"/>
      <c r="Q154" s="87"/>
      <c r="S154" s="87"/>
      <c r="T154" s="87"/>
      <c r="U154" s="87"/>
      <c r="V154" s="87"/>
      <c r="W154" s="87"/>
      <c r="X154" s="87"/>
    </row>
    <row r="155" spans="12:24" x14ac:dyDescent="0.25">
      <c r="L155" s="87"/>
      <c r="M155" s="87"/>
      <c r="N155" s="87"/>
      <c r="O155" s="87"/>
      <c r="P155" s="87"/>
      <c r="Q155" s="87"/>
      <c r="S155" s="87"/>
      <c r="T155" s="87"/>
      <c r="U155" s="87"/>
      <c r="V155" s="87"/>
      <c r="W155" s="87"/>
      <c r="X155" s="87"/>
    </row>
    <row r="156" spans="12:24" x14ac:dyDescent="0.25">
      <c r="L156" s="87"/>
      <c r="M156" s="87"/>
      <c r="N156" s="87"/>
      <c r="O156" s="87"/>
      <c r="P156" s="87"/>
      <c r="Q156" s="87"/>
      <c r="S156" s="87"/>
      <c r="T156" s="87"/>
      <c r="U156" s="87"/>
      <c r="V156" s="87"/>
      <c r="W156" s="87"/>
      <c r="X156" s="87"/>
    </row>
    <row r="157" spans="12:24" x14ac:dyDescent="0.25">
      <c r="L157" s="87"/>
      <c r="M157" s="87"/>
      <c r="N157" s="87"/>
      <c r="O157" s="87"/>
      <c r="P157" s="87"/>
      <c r="Q157" s="87"/>
      <c r="S157" s="87"/>
      <c r="T157" s="87"/>
      <c r="U157" s="87"/>
      <c r="V157" s="87"/>
      <c r="W157" s="87"/>
      <c r="X157" s="87"/>
    </row>
    <row r="158" spans="12:24" x14ac:dyDescent="0.25">
      <c r="L158" s="87"/>
      <c r="M158" s="87"/>
      <c r="N158" s="87"/>
      <c r="O158" s="87"/>
      <c r="P158" s="87"/>
      <c r="Q158" s="87"/>
      <c r="S158" s="87"/>
      <c r="T158" s="87"/>
      <c r="U158" s="87"/>
      <c r="V158" s="87"/>
      <c r="W158" s="87"/>
      <c r="X158" s="87"/>
    </row>
    <row r="159" spans="12:24" x14ac:dyDescent="0.25">
      <c r="L159" s="87"/>
      <c r="M159" s="87"/>
      <c r="N159" s="87"/>
      <c r="O159" s="87"/>
      <c r="P159" s="87"/>
      <c r="Q159" s="87"/>
      <c r="S159" s="87"/>
      <c r="T159" s="87"/>
      <c r="U159" s="87"/>
      <c r="V159" s="87"/>
      <c r="W159" s="87"/>
      <c r="X159" s="87"/>
    </row>
    <row r="160" spans="12:24" x14ac:dyDescent="0.25">
      <c r="L160" s="87"/>
      <c r="M160" s="87"/>
      <c r="N160" s="87"/>
      <c r="O160" s="87"/>
      <c r="P160" s="87"/>
      <c r="Q160" s="87"/>
      <c r="S160" s="87"/>
      <c r="T160" s="87"/>
      <c r="U160" s="87"/>
      <c r="V160" s="87"/>
      <c r="W160" s="87"/>
      <c r="X160" s="87"/>
    </row>
    <row r="161" spans="12:24" x14ac:dyDescent="0.25">
      <c r="L161" s="87"/>
      <c r="M161" s="87"/>
      <c r="N161" s="87"/>
      <c r="O161" s="87"/>
      <c r="P161" s="87"/>
      <c r="Q161" s="87"/>
      <c r="S161" s="87"/>
      <c r="T161" s="87"/>
      <c r="U161" s="87"/>
      <c r="V161" s="87"/>
      <c r="W161" s="87"/>
      <c r="X161" s="87"/>
    </row>
    <row r="162" spans="12:24" x14ac:dyDescent="0.25">
      <c r="L162" s="87"/>
      <c r="M162" s="87"/>
      <c r="N162" s="87"/>
      <c r="O162" s="87"/>
      <c r="P162" s="87"/>
      <c r="Q162" s="87"/>
      <c r="S162" s="87"/>
      <c r="T162" s="87"/>
      <c r="U162" s="87"/>
      <c r="V162" s="87"/>
      <c r="W162" s="87"/>
      <c r="X162" s="87"/>
    </row>
    <row r="163" spans="12:24" x14ac:dyDescent="0.25">
      <c r="L163" s="87"/>
      <c r="M163" s="87"/>
      <c r="N163" s="87"/>
      <c r="O163" s="87"/>
      <c r="P163" s="87"/>
      <c r="Q163" s="87"/>
      <c r="S163" s="87"/>
      <c r="T163" s="87"/>
      <c r="U163" s="87"/>
      <c r="V163" s="87"/>
      <c r="W163" s="87"/>
      <c r="X163" s="87"/>
    </row>
    <row r="164" spans="12:24" x14ac:dyDescent="0.25">
      <c r="L164" s="87"/>
      <c r="M164" s="87"/>
      <c r="N164" s="87"/>
      <c r="O164" s="87"/>
      <c r="P164" s="87"/>
      <c r="Q164" s="87"/>
      <c r="S164" s="87"/>
      <c r="T164" s="87"/>
      <c r="U164" s="87"/>
      <c r="V164" s="87"/>
      <c r="W164" s="87"/>
      <c r="X164" s="87"/>
    </row>
    <row r="165" spans="12:24" x14ac:dyDescent="0.25">
      <c r="L165" s="87"/>
      <c r="M165" s="87"/>
      <c r="N165" s="87"/>
      <c r="O165" s="87"/>
      <c r="P165" s="87"/>
      <c r="Q165" s="87"/>
      <c r="S165" s="87"/>
      <c r="T165" s="87"/>
      <c r="U165" s="87"/>
      <c r="V165" s="87"/>
      <c r="W165" s="87"/>
      <c r="X165" s="87"/>
    </row>
    <row r="166" spans="12:24" x14ac:dyDescent="0.25">
      <c r="L166" s="87"/>
      <c r="M166" s="87"/>
      <c r="N166" s="87"/>
      <c r="O166" s="87"/>
      <c r="P166" s="87"/>
      <c r="Q166" s="87"/>
      <c r="S166" s="87"/>
      <c r="T166" s="87"/>
      <c r="U166" s="87"/>
      <c r="V166" s="87"/>
      <c r="W166" s="87"/>
      <c r="X166" s="87"/>
    </row>
    <row r="167" spans="12:24" x14ac:dyDescent="0.25">
      <c r="L167" s="87"/>
      <c r="M167" s="87"/>
      <c r="N167" s="87"/>
      <c r="O167" s="87"/>
      <c r="P167" s="87"/>
      <c r="Q167" s="87"/>
      <c r="S167" s="87"/>
      <c r="T167" s="87"/>
      <c r="U167" s="87"/>
      <c r="V167" s="87"/>
      <c r="W167" s="87"/>
      <c r="X167" s="87"/>
    </row>
    <row r="168" spans="12:24" x14ac:dyDescent="0.25">
      <c r="L168" s="87"/>
      <c r="M168" s="87"/>
      <c r="N168" s="87"/>
      <c r="O168" s="87"/>
      <c r="P168" s="87"/>
      <c r="Q168" s="87"/>
      <c r="S168" s="87"/>
      <c r="T168" s="87"/>
      <c r="U168" s="87"/>
      <c r="V168" s="87"/>
      <c r="W168" s="87"/>
      <c r="X168" s="87"/>
    </row>
    <row r="169" spans="12:24" x14ac:dyDescent="0.25">
      <c r="L169" s="87"/>
      <c r="M169" s="87"/>
      <c r="N169" s="87"/>
      <c r="O169" s="87"/>
      <c r="P169" s="87"/>
      <c r="Q169" s="87"/>
      <c r="S169" s="87"/>
      <c r="T169" s="87"/>
      <c r="U169" s="87"/>
      <c r="V169" s="87"/>
      <c r="W169" s="87"/>
      <c r="X169" s="87"/>
    </row>
    <row r="170" spans="12:24" x14ac:dyDescent="0.25">
      <c r="L170" s="87"/>
      <c r="M170" s="87"/>
      <c r="N170" s="87"/>
      <c r="O170" s="87"/>
      <c r="P170" s="87"/>
      <c r="Q170" s="87"/>
      <c r="S170" s="87"/>
      <c r="T170" s="87"/>
      <c r="U170" s="87"/>
      <c r="V170" s="87"/>
      <c r="W170" s="87"/>
      <c r="X170" s="87"/>
    </row>
    <row r="171" spans="12:24" x14ac:dyDescent="0.25">
      <c r="L171" s="87"/>
      <c r="M171" s="87"/>
      <c r="N171" s="87"/>
      <c r="O171" s="87"/>
      <c r="P171" s="87"/>
      <c r="Q171" s="87"/>
      <c r="S171" s="87"/>
      <c r="T171" s="87"/>
      <c r="U171" s="87"/>
      <c r="V171" s="87"/>
      <c r="W171" s="87"/>
      <c r="X171" s="87"/>
    </row>
    <row r="172" spans="12:24" x14ac:dyDescent="0.25">
      <c r="L172" s="87"/>
      <c r="M172" s="87"/>
      <c r="N172" s="87"/>
      <c r="O172" s="87"/>
      <c r="P172" s="87"/>
      <c r="Q172" s="87"/>
      <c r="S172" s="87"/>
      <c r="T172" s="87"/>
      <c r="U172" s="87"/>
      <c r="V172" s="87"/>
      <c r="W172" s="87"/>
      <c r="X172" s="87"/>
    </row>
    <row r="173" spans="12:24" x14ac:dyDescent="0.25">
      <c r="L173" s="87"/>
      <c r="M173" s="87"/>
      <c r="N173" s="87"/>
      <c r="O173" s="87"/>
      <c r="P173" s="87"/>
      <c r="Q173" s="87"/>
      <c r="S173" s="87"/>
      <c r="T173" s="87"/>
      <c r="U173" s="87"/>
      <c r="V173" s="87"/>
      <c r="W173" s="87"/>
      <c r="X173" s="87"/>
    </row>
    <row r="174" spans="12:24" x14ac:dyDescent="0.25">
      <c r="L174" s="87"/>
      <c r="M174" s="87"/>
      <c r="N174" s="87"/>
      <c r="O174" s="87"/>
      <c r="P174" s="87"/>
      <c r="Q174" s="87"/>
      <c r="S174" s="87"/>
      <c r="T174" s="87"/>
      <c r="U174" s="87"/>
      <c r="V174" s="87"/>
      <c r="W174" s="87"/>
      <c r="X174" s="87"/>
    </row>
    <row r="175" spans="12:24" x14ac:dyDescent="0.25">
      <c r="L175" s="87"/>
      <c r="M175" s="87"/>
      <c r="N175" s="87"/>
      <c r="O175" s="87"/>
      <c r="P175" s="87"/>
      <c r="Q175" s="87"/>
      <c r="S175" s="87"/>
      <c r="T175" s="87"/>
      <c r="U175" s="87"/>
      <c r="V175" s="87"/>
      <c r="W175" s="87"/>
      <c r="X175" s="87"/>
    </row>
    <row r="176" spans="12:24" x14ac:dyDescent="0.25">
      <c r="L176" s="87"/>
      <c r="M176" s="87"/>
      <c r="N176" s="87"/>
      <c r="O176" s="87"/>
      <c r="P176" s="87"/>
      <c r="Q176" s="87"/>
      <c r="S176" s="87"/>
      <c r="T176" s="87"/>
      <c r="U176" s="87"/>
      <c r="V176" s="87"/>
      <c r="W176" s="87"/>
      <c r="X176" s="87"/>
    </row>
    <row r="177" spans="12:24" x14ac:dyDescent="0.25">
      <c r="L177" s="87"/>
      <c r="M177" s="87"/>
      <c r="N177" s="87"/>
      <c r="O177" s="87"/>
      <c r="P177" s="87"/>
      <c r="Q177" s="87"/>
      <c r="S177" s="87"/>
      <c r="T177" s="87"/>
      <c r="U177" s="87"/>
      <c r="V177" s="87"/>
      <c r="W177" s="87"/>
      <c r="X177" s="87"/>
    </row>
    <row r="178" spans="12:24" x14ac:dyDescent="0.25">
      <c r="L178" s="87"/>
      <c r="M178" s="87"/>
      <c r="N178" s="87"/>
      <c r="O178" s="87"/>
      <c r="P178" s="87"/>
      <c r="Q178" s="87"/>
      <c r="S178" s="87"/>
      <c r="T178" s="87"/>
      <c r="U178" s="87"/>
      <c r="V178" s="87"/>
      <c r="W178" s="87"/>
      <c r="X178" s="87"/>
    </row>
    <row r="179" spans="12:24" x14ac:dyDescent="0.25">
      <c r="L179" s="87"/>
      <c r="M179" s="87"/>
      <c r="N179" s="87"/>
      <c r="O179" s="87"/>
      <c r="P179" s="87"/>
      <c r="Q179" s="87"/>
      <c r="S179" s="87"/>
      <c r="T179" s="87"/>
      <c r="U179" s="87"/>
      <c r="V179" s="87"/>
      <c r="W179" s="87"/>
      <c r="X179" s="87"/>
    </row>
    <row r="180" spans="12:24" x14ac:dyDescent="0.25">
      <c r="L180" s="87"/>
      <c r="M180" s="87"/>
      <c r="N180" s="87"/>
      <c r="O180" s="87"/>
      <c r="P180" s="87"/>
      <c r="Q180" s="87"/>
      <c r="S180" s="87"/>
      <c r="T180" s="87"/>
      <c r="U180" s="87"/>
      <c r="V180" s="87"/>
      <c r="W180" s="87"/>
      <c r="X180" s="87"/>
    </row>
    <row r="181" spans="12:24" x14ac:dyDescent="0.25">
      <c r="L181" s="87"/>
      <c r="M181" s="87"/>
      <c r="N181" s="87"/>
      <c r="O181" s="87"/>
      <c r="P181" s="87"/>
      <c r="Q181" s="87"/>
      <c r="S181" s="87"/>
      <c r="T181" s="87"/>
      <c r="U181" s="87"/>
      <c r="V181" s="87"/>
      <c r="W181" s="87"/>
      <c r="X181" s="87"/>
    </row>
    <row r="182" spans="12:24" x14ac:dyDescent="0.25">
      <c r="L182" s="87"/>
      <c r="M182" s="87"/>
      <c r="N182" s="87"/>
      <c r="O182" s="87"/>
      <c r="P182" s="87"/>
      <c r="Q182" s="87"/>
      <c r="S182" s="87"/>
      <c r="T182" s="87"/>
      <c r="U182" s="87"/>
      <c r="V182" s="87"/>
      <c r="W182" s="87"/>
      <c r="X182" s="87"/>
    </row>
    <row r="183" spans="12:24" x14ac:dyDescent="0.25">
      <c r="L183" s="87"/>
      <c r="M183" s="87"/>
      <c r="N183" s="87"/>
      <c r="O183" s="87"/>
      <c r="P183" s="87"/>
      <c r="Q183" s="87"/>
      <c r="S183" s="87"/>
      <c r="T183" s="87"/>
      <c r="U183" s="87"/>
      <c r="V183" s="87"/>
      <c r="W183" s="87"/>
      <c r="X183" s="87"/>
    </row>
    <row r="184" spans="12:24" x14ac:dyDescent="0.25">
      <c r="L184" s="87"/>
      <c r="M184" s="87"/>
      <c r="N184" s="87"/>
      <c r="O184" s="87"/>
      <c r="P184" s="87"/>
      <c r="Q184" s="87"/>
      <c r="S184" s="87"/>
      <c r="T184" s="87"/>
      <c r="U184" s="87"/>
      <c r="V184" s="87"/>
      <c r="W184" s="87"/>
      <c r="X184" s="87"/>
    </row>
    <row r="185" spans="12:24" x14ac:dyDescent="0.25">
      <c r="L185" s="87"/>
      <c r="M185" s="87"/>
      <c r="N185" s="87"/>
      <c r="O185" s="87"/>
      <c r="P185" s="87"/>
      <c r="Q185" s="87"/>
      <c r="S185" s="87"/>
      <c r="T185" s="87"/>
      <c r="U185" s="87"/>
      <c r="V185" s="87"/>
      <c r="W185" s="87"/>
      <c r="X185" s="87"/>
    </row>
    <row r="186" spans="12:24" x14ac:dyDescent="0.25">
      <c r="L186" s="87"/>
      <c r="M186" s="87"/>
      <c r="N186" s="87"/>
      <c r="O186" s="87"/>
      <c r="P186" s="87"/>
      <c r="Q186" s="87"/>
      <c r="S186" s="87"/>
      <c r="T186" s="87"/>
      <c r="U186" s="87"/>
      <c r="V186" s="87"/>
      <c r="W186" s="87"/>
      <c r="X186" s="87"/>
    </row>
    <row r="187" spans="12:24" x14ac:dyDescent="0.25">
      <c r="L187" s="87"/>
      <c r="M187" s="87"/>
      <c r="N187" s="87"/>
      <c r="O187" s="87"/>
      <c r="P187" s="87"/>
      <c r="Q187" s="87"/>
      <c r="S187" s="87"/>
      <c r="T187" s="87"/>
      <c r="U187" s="87"/>
      <c r="V187" s="87"/>
      <c r="W187" s="87"/>
      <c r="X187" s="87"/>
    </row>
    <row r="188" spans="12:24" x14ac:dyDescent="0.25">
      <c r="L188" s="87"/>
      <c r="M188" s="87"/>
      <c r="N188" s="87"/>
      <c r="O188" s="87"/>
      <c r="P188" s="87"/>
      <c r="Q188" s="87"/>
      <c r="S188" s="87"/>
      <c r="T188" s="87"/>
      <c r="U188" s="87"/>
      <c r="V188" s="87"/>
      <c r="W188" s="87"/>
      <c r="X188" s="87"/>
    </row>
    <row r="189" spans="12:24" x14ac:dyDescent="0.25">
      <c r="L189" s="87"/>
      <c r="M189" s="87"/>
      <c r="N189" s="87"/>
      <c r="O189" s="87"/>
      <c r="P189" s="87"/>
      <c r="Q189" s="87"/>
      <c r="S189" s="87"/>
      <c r="T189" s="87"/>
      <c r="U189" s="87"/>
      <c r="V189" s="87"/>
      <c r="W189" s="87"/>
      <c r="X189" s="87"/>
    </row>
    <row r="190" spans="12:24" x14ac:dyDescent="0.25">
      <c r="L190" s="87"/>
      <c r="M190" s="87"/>
      <c r="N190" s="87"/>
      <c r="O190" s="87"/>
      <c r="P190" s="87"/>
      <c r="Q190" s="87"/>
      <c r="S190" s="87"/>
      <c r="T190" s="87"/>
      <c r="U190" s="87"/>
      <c r="V190" s="87"/>
      <c r="W190" s="87"/>
      <c r="X190" s="87"/>
    </row>
    <row r="191" spans="12:24" x14ac:dyDescent="0.25">
      <c r="L191" s="87"/>
      <c r="M191" s="87"/>
      <c r="N191" s="87"/>
      <c r="O191" s="87"/>
      <c r="P191" s="87"/>
      <c r="Q191" s="87"/>
      <c r="S191" s="87"/>
      <c r="T191" s="87"/>
      <c r="U191" s="87"/>
      <c r="V191" s="87"/>
      <c r="W191" s="87"/>
      <c r="X191" s="87"/>
    </row>
    <row r="192" spans="12:24" x14ac:dyDescent="0.25">
      <c r="L192" s="87"/>
      <c r="M192" s="87"/>
      <c r="N192" s="87"/>
      <c r="O192" s="87"/>
      <c r="P192" s="87"/>
      <c r="Q192" s="87"/>
      <c r="S192" s="87"/>
      <c r="T192" s="87"/>
      <c r="U192" s="87"/>
      <c r="V192" s="87"/>
      <c r="W192" s="87"/>
      <c r="X192" s="87"/>
    </row>
    <row r="193" spans="12:24" x14ac:dyDescent="0.25">
      <c r="L193" s="87"/>
      <c r="M193" s="87"/>
      <c r="N193" s="87"/>
      <c r="O193" s="87"/>
      <c r="P193" s="87"/>
      <c r="Q193" s="87"/>
      <c r="S193" s="87"/>
      <c r="T193" s="87"/>
      <c r="U193" s="87"/>
      <c r="V193" s="87"/>
      <c r="W193" s="87"/>
      <c r="X193" s="87"/>
    </row>
    <row r="194" spans="12:24" x14ac:dyDescent="0.25">
      <c r="L194" s="87"/>
      <c r="M194" s="87"/>
      <c r="N194" s="87"/>
      <c r="O194" s="87"/>
      <c r="P194" s="87"/>
      <c r="Q194" s="87"/>
      <c r="S194" s="87"/>
      <c r="T194" s="87"/>
      <c r="U194" s="87"/>
      <c r="V194" s="87"/>
      <c r="W194" s="87"/>
      <c r="X194" s="87"/>
    </row>
    <row r="195" spans="12:24" x14ac:dyDescent="0.25">
      <c r="L195" s="87"/>
      <c r="M195" s="87"/>
      <c r="N195" s="87"/>
      <c r="O195" s="87"/>
      <c r="P195" s="87"/>
      <c r="Q195" s="87"/>
      <c r="S195" s="87"/>
      <c r="T195" s="87"/>
      <c r="U195" s="87"/>
      <c r="V195" s="87"/>
      <c r="W195" s="87"/>
      <c r="X195" s="87"/>
    </row>
    <row r="196" spans="12:24" x14ac:dyDescent="0.25">
      <c r="L196" s="87"/>
      <c r="M196" s="87"/>
      <c r="N196" s="87"/>
      <c r="O196" s="87"/>
      <c r="P196" s="87"/>
      <c r="Q196" s="87"/>
      <c r="S196" s="87"/>
      <c r="T196" s="87"/>
      <c r="U196" s="87"/>
      <c r="V196" s="87"/>
      <c r="W196" s="87"/>
      <c r="X196" s="87"/>
    </row>
    <row r="197" spans="12:24" x14ac:dyDescent="0.25">
      <c r="L197" s="87"/>
      <c r="M197" s="87"/>
      <c r="N197" s="87"/>
      <c r="O197" s="87"/>
      <c r="P197" s="87"/>
      <c r="Q197" s="87"/>
      <c r="S197" s="87"/>
      <c r="T197" s="87"/>
      <c r="U197" s="87"/>
      <c r="V197" s="87"/>
      <c r="W197" s="87"/>
      <c r="X197" s="87"/>
    </row>
    <row r="198" spans="12:24" x14ac:dyDescent="0.25">
      <c r="L198" s="87"/>
      <c r="M198" s="87"/>
      <c r="N198" s="87"/>
      <c r="O198" s="87"/>
      <c r="P198" s="87"/>
      <c r="Q198" s="87"/>
      <c r="S198" s="87"/>
      <c r="T198" s="87"/>
      <c r="U198" s="87"/>
      <c r="V198" s="87"/>
      <c r="W198" s="87"/>
      <c r="X198" s="87"/>
    </row>
    <row r="199" spans="12:24" x14ac:dyDescent="0.25">
      <c r="L199" s="87"/>
      <c r="M199" s="87"/>
      <c r="N199" s="87"/>
      <c r="O199" s="87"/>
      <c r="P199" s="87"/>
      <c r="Q199" s="87"/>
      <c r="S199" s="87"/>
      <c r="T199" s="87"/>
      <c r="U199" s="87"/>
      <c r="V199" s="87"/>
      <c r="W199" s="87"/>
      <c r="X199" s="87"/>
    </row>
    <row r="200" spans="12:24" x14ac:dyDescent="0.25">
      <c r="L200" s="87"/>
      <c r="M200" s="87"/>
      <c r="N200" s="87"/>
      <c r="O200" s="87"/>
      <c r="P200" s="87"/>
      <c r="Q200" s="87"/>
      <c r="S200" s="87"/>
      <c r="T200" s="87"/>
      <c r="U200" s="87"/>
      <c r="V200" s="87"/>
      <c r="W200" s="87"/>
      <c r="X200" s="87"/>
    </row>
    <row r="201" spans="12:24" x14ac:dyDescent="0.25">
      <c r="L201" s="87"/>
      <c r="M201" s="87"/>
      <c r="N201" s="87"/>
      <c r="O201" s="87"/>
      <c r="P201" s="87"/>
      <c r="Q201" s="87"/>
      <c r="S201" s="87"/>
      <c r="T201" s="87"/>
      <c r="U201" s="87"/>
      <c r="V201" s="87"/>
      <c r="W201" s="87"/>
      <c r="X201" s="87"/>
    </row>
    <row r="202" spans="12:24" x14ac:dyDescent="0.25">
      <c r="L202" s="87"/>
      <c r="M202" s="87"/>
      <c r="N202" s="87"/>
      <c r="O202" s="87"/>
      <c r="P202" s="87"/>
      <c r="Q202" s="87"/>
      <c r="S202" s="87"/>
      <c r="T202" s="87"/>
      <c r="U202" s="87"/>
      <c r="V202" s="87"/>
      <c r="W202" s="87"/>
      <c r="X202" s="87"/>
    </row>
    <row r="203" spans="12:24" x14ac:dyDescent="0.25">
      <c r="L203" s="87"/>
      <c r="M203" s="87"/>
      <c r="N203" s="87"/>
      <c r="O203" s="87"/>
      <c r="P203" s="87"/>
      <c r="Q203" s="87"/>
      <c r="S203" s="87"/>
      <c r="T203" s="87"/>
      <c r="U203" s="87"/>
      <c r="V203" s="87"/>
      <c r="W203" s="87"/>
      <c r="X203" s="87"/>
    </row>
    <row r="204" spans="12:24" x14ac:dyDescent="0.25">
      <c r="L204" s="87"/>
      <c r="M204" s="87"/>
      <c r="N204" s="87"/>
      <c r="O204" s="87"/>
      <c r="P204" s="87"/>
      <c r="Q204" s="87"/>
      <c r="S204" s="87"/>
      <c r="T204" s="87"/>
      <c r="U204" s="87"/>
      <c r="V204" s="87"/>
      <c r="W204" s="87"/>
      <c r="X204" s="87"/>
    </row>
    <row r="205" spans="12:24" x14ac:dyDescent="0.25">
      <c r="L205" s="87"/>
      <c r="M205" s="87"/>
      <c r="N205" s="87"/>
      <c r="O205" s="87"/>
      <c r="P205" s="87"/>
      <c r="Q205" s="87"/>
      <c r="S205" s="87"/>
      <c r="T205" s="87"/>
      <c r="U205" s="87"/>
      <c r="V205" s="87"/>
      <c r="W205" s="87"/>
      <c r="X205" s="87"/>
    </row>
    <row r="206" spans="12:24" x14ac:dyDescent="0.25">
      <c r="L206" s="87"/>
      <c r="M206" s="87"/>
      <c r="N206" s="87"/>
      <c r="O206" s="87"/>
      <c r="P206" s="87"/>
      <c r="Q206" s="87"/>
      <c r="S206" s="87"/>
      <c r="T206" s="87"/>
      <c r="U206" s="87"/>
      <c r="V206" s="87"/>
      <c r="W206" s="87"/>
      <c r="X206" s="87"/>
    </row>
    <row r="207" spans="12:24" x14ac:dyDescent="0.25">
      <c r="L207" s="87"/>
      <c r="M207" s="87"/>
      <c r="N207" s="87"/>
      <c r="O207" s="87"/>
      <c r="P207" s="87"/>
      <c r="Q207" s="87"/>
      <c r="S207" s="87"/>
      <c r="T207" s="87"/>
      <c r="U207" s="87"/>
      <c r="V207" s="87"/>
      <c r="W207" s="87"/>
      <c r="X207" s="87"/>
    </row>
    <row r="208" spans="12:24" x14ac:dyDescent="0.25">
      <c r="L208" s="87"/>
      <c r="M208" s="87"/>
      <c r="N208" s="87"/>
      <c r="O208" s="87"/>
      <c r="P208" s="87"/>
      <c r="Q208" s="87"/>
      <c r="S208" s="87"/>
      <c r="T208" s="87"/>
      <c r="U208" s="87"/>
      <c r="V208" s="87"/>
      <c r="W208" s="87"/>
      <c r="X208" s="87"/>
    </row>
    <row r="209" spans="12:24" x14ac:dyDescent="0.25">
      <c r="L209" s="87"/>
      <c r="M209" s="87"/>
      <c r="N209" s="87"/>
      <c r="O209" s="87"/>
      <c r="P209" s="87"/>
      <c r="Q209" s="87"/>
      <c r="S209" s="87"/>
      <c r="T209" s="87"/>
      <c r="U209" s="87"/>
      <c r="V209" s="87"/>
      <c r="W209" s="87"/>
      <c r="X209" s="87"/>
    </row>
    <row r="210" spans="12:24" x14ac:dyDescent="0.25">
      <c r="L210" s="87"/>
      <c r="M210" s="87"/>
      <c r="N210" s="87"/>
      <c r="O210" s="87"/>
      <c r="P210" s="87"/>
      <c r="Q210" s="87"/>
      <c r="S210" s="87"/>
      <c r="T210" s="87"/>
      <c r="U210" s="87"/>
      <c r="V210" s="87"/>
      <c r="W210" s="87"/>
      <c r="X210" s="87"/>
    </row>
    <row r="211" spans="12:24" x14ac:dyDescent="0.25">
      <c r="L211" s="87"/>
      <c r="M211" s="87"/>
      <c r="N211" s="87"/>
      <c r="O211" s="87"/>
      <c r="P211" s="87"/>
      <c r="Q211" s="87"/>
      <c r="S211" s="87"/>
      <c r="T211" s="87"/>
      <c r="U211" s="87"/>
      <c r="V211" s="87"/>
      <c r="W211" s="87"/>
      <c r="X211" s="87"/>
    </row>
    <row r="212" spans="12:24" x14ac:dyDescent="0.25">
      <c r="L212" s="87"/>
      <c r="M212" s="87"/>
      <c r="N212" s="87"/>
      <c r="O212" s="87"/>
      <c r="P212" s="87"/>
      <c r="Q212" s="87"/>
      <c r="S212" s="87"/>
      <c r="T212" s="87"/>
      <c r="U212" s="87"/>
      <c r="V212" s="87"/>
      <c r="W212" s="87"/>
      <c r="X212" s="87"/>
    </row>
    <row r="213" spans="12:24" x14ac:dyDescent="0.25">
      <c r="L213" s="87"/>
      <c r="M213" s="87"/>
      <c r="N213" s="87"/>
      <c r="O213" s="87"/>
      <c r="P213" s="87"/>
      <c r="Q213" s="87"/>
      <c r="S213" s="87"/>
      <c r="T213" s="87"/>
      <c r="U213" s="87"/>
      <c r="V213" s="87"/>
      <c r="W213" s="87"/>
      <c r="X213" s="87"/>
    </row>
    <row r="214" spans="12:24" x14ac:dyDescent="0.25">
      <c r="L214" s="87"/>
      <c r="M214" s="87"/>
      <c r="N214" s="87"/>
      <c r="O214" s="87"/>
      <c r="P214" s="87"/>
      <c r="Q214" s="87"/>
      <c r="S214" s="87"/>
      <c r="T214" s="87"/>
      <c r="U214" s="87"/>
      <c r="V214" s="87"/>
      <c r="W214" s="87"/>
      <c r="X214" s="87"/>
    </row>
    <row r="215" spans="12:24" x14ac:dyDescent="0.25">
      <c r="L215" s="87"/>
      <c r="M215" s="87"/>
      <c r="N215" s="87"/>
      <c r="O215" s="87"/>
      <c r="P215" s="87"/>
      <c r="Q215" s="87"/>
      <c r="S215" s="87"/>
      <c r="T215" s="87"/>
      <c r="U215" s="87"/>
      <c r="V215" s="87"/>
      <c r="W215" s="87"/>
      <c r="X215" s="87"/>
    </row>
    <row r="216" spans="12:24" x14ac:dyDescent="0.25">
      <c r="L216" s="87"/>
      <c r="M216" s="87"/>
      <c r="N216" s="87"/>
      <c r="O216" s="87"/>
      <c r="P216" s="87"/>
      <c r="Q216" s="87"/>
      <c r="S216" s="87"/>
      <c r="T216" s="87"/>
      <c r="U216" s="87"/>
      <c r="V216" s="87"/>
      <c r="W216" s="87"/>
      <c r="X216" s="87"/>
    </row>
    <row r="217" spans="12:24" x14ac:dyDescent="0.25">
      <c r="L217" s="87"/>
      <c r="M217" s="87"/>
      <c r="N217" s="87"/>
      <c r="O217" s="87"/>
      <c r="P217" s="87"/>
      <c r="Q217" s="87"/>
      <c r="S217" s="87"/>
      <c r="T217" s="87"/>
      <c r="U217" s="87"/>
      <c r="V217" s="87"/>
      <c r="W217" s="87"/>
      <c r="X217" s="87"/>
    </row>
    <row r="218" spans="12:24" x14ac:dyDescent="0.25">
      <c r="L218" s="87"/>
      <c r="M218" s="87"/>
      <c r="N218" s="87"/>
      <c r="O218" s="87"/>
      <c r="P218" s="87"/>
      <c r="Q218" s="87"/>
      <c r="S218" s="87"/>
      <c r="T218" s="87"/>
      <c r="U218" s="87"/>
      <c r="V218" s="87"/>
      <c r="W218" s="87"/>
      <c r="X218" s="87"/>
    </row>
    <row r="219" spans="12:24" x14ac:dyDescent="0.25">
      <c r="L219" s="87"/>
      <c r="M219" s="87"/>
      <c r="N219" s="87"/>
      <c r="O219" s="87"/>
      <c r="P219" s="87"/>
      <c r="Q219" s="87"/>
      <c r="S219" s="87"/>
      <c r="T219" s="87"/>
      <c r="U219" s="87"/>
      <c r="V219" s="87"/>
      <c r="W219" s="87"/>
      <c r="X219" s="87"/>
    </row>
    <row r="220" spans="12:24" x14ac:dyDescent="0.25">
      <c r="L220" s="87"/>
      <c r="M220" s="87"/>
      <c r="N220" s="87"/>
      <c r="O220" s="87"/>
      <c r="P220" s="87"/>
      <c r="Q220" s="87"/>
      <c r="S220" s="87"/>
      <c r="T220" s="87"/>
      <c r="U220" s="87"/>
      <c r="V220" s="87"/>
      <c r="W220" s="87"/>
      <c r="X220" s="87"/>
    </row>
    <row r="221" spans="12:24" x14ac:dyDescent="0.25">
      <c r="L221" s="87"/>
      <c r="M221" s="87"/>
      <c r="N221" s="87"/>
      <c r="O221" s="87"/>
      <c r="P221" s="87"/>
      <c r="Q221" s="87"/>
      <c r="S221" s="87"/>
      <c r="T221" s="87"/>
      <c r="U221" s="87"/>
      <c r="V221" s="87"/>
      <c r="W221" s="87"/>
      <c r="X221" s="87"/>
    </row>
    <row r="222" spans="12:24" x14ac:dyDescent="0.25">
      <c r="L222" s="87"/>
      <c r="M222" s="87"/>
      <c r="N222" s="87"/>
      <c r="O222" s="87"/>
      <c r="P222" s="87"/>
      <c r="Q222" s="87"/>
      <c r="S222" s="87"/>
      <c r="T222" s="87"/>
      <c r="U222" s="87"/>
      <c r="V222" s="87"/>
      <c r="W222" s="87"/>
      <c r="X222" s="87"/>
    </row>
    <row r="223" spans="12:24" x14ac:dyDescent="0.25">
      <c r="L223" s="87"/>
      <c r="M223" s="87"/>
      <c r="N223" s="87"/>
      <c r="O223" s="87"/>
      <c r="P223" s="87"/>
      <c r="Q223" s="87"/>
      <c r="S223" s="87"/>
      <c r="T223" s="87"/>
      <c r="U223" s="87"/>
      <c r="V223" s="87"/>
      <c r="W223" s="87"/>
      <c r="X223" s="87"/>
    </row>
    <row r="224" spans="12:24" x14ac:dyDescent="0.25">
      <c r="L224" s="87"/>
      <c r="M224" s="87"/>
      <c r="N224" s="87"/>
      <c r="O224" s="87"/>
      <c r="P224" s="87"/>
      <c r="Q224" s="87"/>
      <c r="S224" s="87"/>
      <c r="T224" s="87"/>
      <c r="U224" s="87"/>
      <c r="V224" s="87"/>
      <c r="W224" s="87"/>
      <c r="X224" s="87"/>
    </row>
    <row r="225" spans="12:24" x14ac:dyDescent="0.25">
      <c r="L225" s="87"/>
      <c r="M225" s="87"/>
      <c r="N225" s="87"/>
      <c r="O225" s="87"/>
      <c r="P225" s="87"/>
      <c r="Q225" s="87"/>
      <c r="S225" s="87"/>
      <c r="T225" s="87"/>
      <c r="U225" s="87"/>
      <c r="V225" s="87"/>
      <c r="W225" s="87"/>
      <c r="X225" s="87"/>
    </row>
    <row r="226" spans="12:24" x14ac:dyDescent="0.25">
      <c r="L226" s="87"/>
      <c r="M226" s="87"/>
      <c r="N226" s="87"/>
      <c r="O226" s="87"/>
      <c r="P226" s="87"/>
      <c r="Q226" s="87"/>
      <c r="S226" s="87"/>
      <c r="T226" s="87"/>
      <c r="U226" s="87"/>
      <c r="V226" s="87"/>
      <c r="W226" s="87"/>
      <c r="X226" s="87"/>
    </row>
    <row r="227" spans="12:24" x14ac:dyDescent="0.25">
      <c r="L227" s="87"/>
      <c r="M227" s="87"/>
      <c r="N227" s="87"/>
      <c r="O227" s="87"/>
      <c r="P227" s="87"/>
      <c r="Q227" s="87"/>
      <c r="S227" s="87"/>
      <c r="T227" s="87"/>
      <c r="U227" s="87"/>
      <c r="V227" s="87"/>
      <c r="W227" s="87"/>
      <c r="X227" s="87"/>
    </row>
    <row r="228" spans="12:24" x14ac:dyDescent="0.25">
      <c r="L228" s="87"/>
      <c r="M228" s="87"/>
      <c r="N228" s="87"/>
      <c r="O228" s="87"/>
      <c r="P228" s="87"/>
      <c r="Q228" s="87"/>
      <c r="S228" s="87"/>
      <c r="T228" s="87"/>
      <c r="U228" s="87"/>
      <c r="V228" s="87"/>
      <c r="W228" s="87"/>
      <c r="X228" s="87"/>
    </row>
    <row r="229" spans="12:24" x14ac:dyDescent="0.25">
      <c r="L229" s="87"/>
      <c r="M229" s="87"/>
      <c r="N229" s="87"/>
      <c r="O229" s="87"/>
      <c r="P229" s="87"/>
      <c r="Q229" s="87"/>
      <c r="S229" s="87"/>
      <c r="T229" s="87"/>
      <c r="U229" s="87"/>
      <c r="V229" s="87"/>
      <c r="W229" s="87"/>
      <c r="X229" s="87"/>
    </row>
    <row r="230" spans="12:24" x14ac:dyDescent="0.25">
      <c r="L230" s="87"/>
      <c r="M230" s="87"/>
      <c r="N230" s="87"/>
      <c r="O230" s="87"/>
      <c r="P230" s="87"/>
      <c r="Q230" s="87"/>
      <c r="S230" s="87"/>
      <c r="T230" s="87"/>
      <c r="U230" s="87"/>
      <c r="V230" s="87"/>
      <c r="W230" s="87"/>
      <c r="X230" s="87"/>
    </row>
    <row r="231" spans="12:24" x14ac:dyDescent="0.25">
      <c r="L231" s="87"/>
      <c r="M231" s="87"/>
      <c r="N231" s="87"/>
      <c r="O231" s="87"/>
      <c r="P231" s="87"/>
      <c r="Q231" s="87"/>
      <c r="S231" s="87"/>
      <c r="T231" s="87"/>
      <c r="U231" s="87"/>
      <c r="V231" s="87"/>
      <c r="W231" s="87"/>
      <c r="X231" s="87"/>
    </row>
    <row r="232" spans="12:24" x14ac:dyDescent="0.25">
      <c r="L232" s="87"/>
      <c r="M232" s="87"/>
      <c r="N232" s="87"/>
      <c r="O232" s="87"/>
      <c r="P232" s="87"/>
      <c r="Q232" s="87"/>
      <c r="S232" s="87"/>
      <c r="T232" s="87"/>
      <c r="U232" s="87"/>
      <c r="V232" s="87"/>
      <c r="W232" s="87"/>
      <c r="X232" s="87"/>
    </row>
    <row r="233" spans="12:24" x14ac:dyDescent="0.25">
      <c r="L233" s="87"/>
      <c r="M233" s="87"/>
      <c r="N233" s="87"/>
      <c r="O233" s="87"/>
      <c r="P233" s="87"/>
      <c r="Q233" s="87"/>
      <c r="S233" s="87"/>
      <c r="T233" s="87"/>
      <c r="U233" s="87"/>
      <c r="V233" s="87"/>
      <c r="W233" s="87"/>
      <c r="X233" s="87"/>
    </row>
    <row r="234" spans="12:24" x14ac:dyDescent="0.25">
      <c r="L234" s="87"/>
      <c r="M234" s="87"/>
      <c r="N234" s="87"/>
      <c r="O234" s="87"/>
      <c r="P234" s="87"/>
      <c r="Q234" s="87"/>
      <c r="S234" s="87"/>
      <c r="T234" s="87"/>
      <c r="U234" s="87"/>
      <c r="V234" s="87"/>
      <c r="W234" s="87"/>
      <c r="X234" s="87"/>
    </row>
    <row r="235" spans="12:24" x14ac:dyDescent="0.25">
      <c r="L235" s="87"/>
      <c r="M235" s="87"/>
      <c r="N235" s="87"/>
      <c r="O235" s="87"/>
      <c r="P235" s="87"/>
      <c r="Q235" s="87"/>
      <c r="S235" s="87"/>
      <c r="T235" s="87"/>
      <c r="U235" s="87"/>
      <c r="V235" s="87"/>
      <c r="W235" s="87"/>
      <c r="X235" s="87"/>
    </row>
    <row r="236" spans="12:24" x14ac:dyDescent="0.25">
      <c r="L236" s="87"/>
      <c r="M236" s="87"/>
      <c r="N236" s="87"/>
      <c r="O236" s="87"/>
      <c r="P236" s="87"/>
      <c r="Q236" s="87"/>
      <c r="S236" s="87"/>
      <c r="T236" s="87"/>
      <c r="U236" s="87"/>
      <c r="V236" s="87"/>
      <c r="W236" s="87"/>
      <c r="X236" s="87"/>
    </row>
    <row r="237" spans="12:24" x14ac:dyDescent="0.25">
      <c r="L237" s="87"/>
      <c r="M237" s="87"/>
      <c r="N237" s="87"/>
      <c r="O237" s="87"/>
      <c r="P237" s="87"/>
      <c r="Q237" s="87"/>
      <c r="S237" s="87"/>
      <c r="T237" s="87"/>
      <c r="U237" s="87"/>
      <c r="V237" s="87"/>
      <c r="W237" s="87"/>
      <c r="X237" s="87"/>
    </row>
    <row r="238" spans="12:24" x14ac:dyDescent="0.25">
      <c r="L238" s="87"/>
      <c r="M238" s="87"/>
      <c r="N238" s="87"/>
      <c r="O238" s="87"/>
      <c r="P238" s="87"/>
      <c r="Q238" s="87"/>
      <c r="S238" s="87"/>
      <c r="T238" s="87"/>
      <c r="U238" s="87"/>
      <c r="V238" s="87"/>
      <c r="W238" s="87"/>
      <c r="X238" s="87"/>
    </row>
    <row r="239" spans="12:24" x14ac:dyDescent="0.25">
      <c r="L239" s="87"/>
      <c r="M239" s="87"/>
      <c r="N239" s="87"/>
      <c r="O239" s="87"/>
      <c r="P239" s="87"/>
      <c r="Q239" s="87"/>
      <c r="S239" s="87"/>
      <c r="T239" s="87"/>
      <c r="U239" s="87"/>
      <c r="V239" s="87"/>
      <c r="W239" s="87"/>
      <c r="X239" s="87"/>
    </row>
    <row r="240" spans="12:24" x14ac:dyDescent="0.25">
      <c r="L240" s="87"/>
      <c r="M240" s="87"/>
      <c r="N240" s="87"/>
      <c r="O240" s="87"/>
      <c r="P240" s="87"/>
      <c r="Q240" s="87"/>
      <c r="S240" s="87"/>
      <c r="T240" s="87"/>
      <c r="U240" s="87"/>
      <c r="V240" s="87"/>
      <c r="W240" s="87"/>
      <c r="X240" s="87"/>
    </row>
    <row r="241" spans="12:24" x14ac:dyDescent="0.25">
      <c r="L241" s="87"/>
      <c r="M241" s="87"/>
      <c r="N241" s="87"/>
      <c r="O241" s="87"/>
      <c r="P241" s="87"/>
      <c r="Q241" s="87"/>
      <c r="S241" s="87"/>
      <c r="T241" s="87"/>
      <c r="U241" s="87"/>
      <c r="V241" s="87"/>
      <c r="W241" s="87"/>
      <c r="X241" s="87"/>
    </row>
    <row r="242" spans="12:24" x14ac:dyDescent="0.25">
      <c r="L242" s="87"/>
      <c r="M242" s="87"/>
      <c r="N242" s="87"/>
      <c r="O242" s="87"/>
      <c r="P242" s="87"/>
      <c r="Q242" s="87"/>
      <c r="S242" s="87"/>
      <c r="T242" s="87"/>
      <c r="U242" s="87"/>
      <c r="V242" s="87"/>
      <c r="W242" s="87"/>
      <c r="X242" s="87"/>
    </row>
    <row r="243" spans="12:24" x14ac:dyDescent="0.25">
      <c r="L243" s="87"/>
      <c r="M243" s="87"/>
      <c r="N243" s="87"/>
      <c r="O243" s="87"/>
      <c r="P243" s="87"/>
      <c r="Q243" s="87"/>
      <c r="S243" s="87"/>
      <c r="T243" s="87"/>
      <c r="U243" s="87"/>
      <c r="V243" s="87"/>
      <c r="W243" s="87"/>
      <c r="X243" s="87"/>
    </row>
    <row r="244" spans="12:24" x14ac:dyDescent="0.25">
      <c r="L244" s="87"/>
      <c r="M244" s="87"/>
      <c r="N244" s="87"/>
      <c r="O244" s="87"/>
      <c r="P244" s="87"/>
      <c r="Q244" s="87"/>
      <c r="S244" s="87"/>
      <c r="T244" s="87"/>
      <c r="U244" s="87"/>
      <c r="V244" s="87"/>
      <c r="W244" s="87"/>
      <c r="X244" s="87"/>
    </row>
    <row r="245" spans="12:24" x14ac:dyDescent="0.25">
      <c r="L245" s="87"/>
      <c r="M245" s="87"/>
      <c r="N245" s="87"/>
      <c r="O245" s="87"/>
      <c r="P245" s="87"/>
      <c r="Q245" s="87"/>
      <c r="S245" s="87"/>
      <c r="T245" s="87"/>
      <c r="U245" s="87"/>
      <c r="V245" s="87"/>
      <c r="W245" s="87"/>
      <c r="X245" s="87"/>
    </row>
    <row r="246" spans="12:24" x14ac:dyDescent="0.25">
      <c r="L246" s="87"/>
      <c r="M246" s="87"/>
      <c r="N246" s="87"/>
      <c r="O246" s="87"/>
      <c r="P246" s="87"/>
      <c r="Q246" s="87"/>
      <c r="S246" s="87"/>
      <c r="T246" s="87"/>
      <c r="U246" s="87"/>
      <c r="V246" s="87"/>
      <c r="W246" s="87"/>
      <c r="X246" s="87"/>
    </row>
    <row r="247" spans="12:24" x14ac:dyDescent="0.25">
      <c r="L247" s="87"/>
      <c r="M247" s="87"/>
      <c r="N247" s="87"/>
      <c r="O247" s="87"/>
      <c r="P247" s="87"/>
      <c r="Q247" s="87"/>
      <c r="S247" s="87"/>
      <c r="T247" s="87"/>
      <c r="U247" s="87"/>
      <c r="V247" s="87"/>
      <c r="W247" s="87"/>
      <c r="X247" s="87"/>
    </row>
    <row r="248" spans="12:24" x14ac:dyDescent="0.25">
      <c r="L248" s="87"/>
      <c r="M248" s="87"/>
      <c r="N248" s="87"/>
      <c r="O248" s="87"/>
      <c r="P248" s="87"/>
      <c r="Q248" s="87"/>
      <c r="S248" s="87"/>
      <c r="T248" s="87"/>
      <c r="U248" s="87"/>
      <c r="V248" s="87"/>
      <c r="W248" s="87"/>
      <c r="X248" s="87"/>
    </row>
    <row r="249" spans="12:24" x14ac:dyDescent="0.25">
      <c r="L249" s="87"/>
      <c r="M249" s="87"/>
      <c r="N249" s="87"/>
      <c r="O249" s="87"/>
      <c r="P249" s="87"/>
      <c r="Q249" s="87"/>
      <c r="S249" s="87"/>
      <c r="T249" s="87"/>
      <c r="U249" s="87"/>
      <c r="V249" s="87"/>
      <c r="W249" s="87"/>
      <c r="X249" s="87"/>
    </row>
    <row r="250" spans="12:24" x14ac:dyDescent="0.25">
      <c r="L250" s="87"/>
      <c r="M250" s="87"/>
      <c r="N250" s="87"/>
      <c r="O250" s="87"/>
      <c r="P250" s="87"/>
      <c r="Q250" s="87"/>
      <c r="S250" s="87"/>
      <c r="T250" s="87"/>
      <c r="U250" s="87"/>
      <c r="V250" s="87"/>
      <c r="W250" s="87"/>
      <c r="X250" s="87"/>
    </row>
    <row r="251" spans="12:24" x14ac:dyDescent="0.25">
      <c r="L251" s="87"/>
      <c r="M251" s="87"/>
      <c r="N251" s="87"/>
      <c r="O251" s="87"/>
      <c r="P251" s="87"/>
      <c r="Q251" s="87"/>
      <c r="S251" s="87"/>
      <c r="T251" s="87"/>
      <c r="U251" s="87"/>
      <c r="V251" s="87"/>
      <c r="W251" s="87"/>
      <c r="X251" s="87"/>
    </row>
    <row r="252" spans="12:24" x14ac:dyDescent="0.25">
      <c r="L252" s="87"/>
      <c r="M252" s="87"/>
      <c r="N252" s="87"/>
      <c r="O252" s="87"/>
      <c r="P252" s="87"/>
      <c r="Q252" s="87"/>
      <c r="S252" s="87"/>
      <c r="T252" s="87"/>
      <c r="U252" s="87"/>
      <c r="V252" s="87"/>
      <c r="W252" s="87"/>
      <c r="X252" s="87"/>
    </row>
    <row r="253" spans="12:24" x14ac:dyDescent="0.25">
      <c r="L253" s="87"/>
      <c r="M253" s="87"/>
      <c r="N253" s="87"/>
      <c r="O253" s="87"/>
      <c r="P253" s="87"/>
      <c r="Q253" s="87"/>
      <c r="S253" s="87"/>
      <c r="T253" s="87"/>
      <c r="U253" s="87"/>
      <c r="V253" s="87"/>
      <c r="W253" s="87"/>
      <c r="X253" s="87"/>
    </row>
    <row r="254" spans="12:24" x14ac:dyDescent="0.25">
      <c r="L254" s="87"/>
      <c r="M254" s="87"/>
      <c r="N254" s="87"/>
      <c r="O254" s="87"/>
      <c r="P254" s="87"/>
      <c r="Q254" s="87"/>
      <c r="S254" s="87"/>
      <c r="T254" s="87"/>
      <c r="U254" s="87"/>
      <c r="V254" s="87"/>
      <c r="W254" s="87"/>
      <c r="X254" s="87"/>
    </row>
    <row r="255" spans="12:24" x14ac:dyDescent="0.25">
      <c r="L255" s="87"/>
      <c r="M255" s="87"/>
      <c r="N255" s="87"/>
      <c r="O255" s="87"/>
      <c r="P255" s="87"/>
      <c r="Q255" s="87"/>
      <c r="S255" s="87"/>
      <c r="T255" s="87"/>
      <c r="U255" s="87"/>
      <c r="V255" s="87"/>
      <c r="W255" s="87"/>
      <c r="X255" s="87"/>
    </row>
    <row r="256" spans="12:24" x14ac:dyDescent="0.25">
      <c r="L256" s="87"/>
      <c r="M256" s="87"/>
      <c r="N256" s="87"/>
      <c r="O256" s="87"/>
      <c r="P256" s="87"/>
      <c r="Q256" s="87"/>
      <c r="S256" s="87"/>
      <c r="T256" s="87"/>
      <c r="U256" s="87"/>
      <c r="V256" s="87"/>
      <c r="W256" s="87"/>
      <c r="X256" s="87"/>
    </row>
    <row r="257" spans="12:24" x14ac:dyDescent="0.25">
      <c r="L257" s="87"/>
      <c r="M257" s="87"/>
      <c r="N257" s="87"/>
      <c r="O257" s="87"/>
      <c r="P257" s="87"/>
      <c r="Q257" s="87"/>
      <c r="S257" s="87"/>
      <c r="T257" s="87"/>
      <c r="U257" s="87"/>
      <c r="V257" s="87"/>
      <c r="W257" s="87"/>
      <c r="X257" s="87"/>
    </row>
    <row r="258" spans="12:24" x14ac:dyDescent="0.25">
      <c r="L258" s="87"/>
      <c r="M258" s="87"/>
      <c r="N258" s="87"/>
      <c r="O258" s="87"/>
      <c r="P258" s="87"/>
      <c r="Q258" s="87"/>
      <c r="S258" s="87"/>
      <c r="T258" s="87"/>
      <c r="U258" s="87"/>
      <c r="V258" s="87"/>
      <c r="W258" s="87"/>
      <c r="X258" s="87"/>
    </row>
    <row r="259" spans="12:24" x14ac:dyDescent="0.25">
      <c r="L259" s="87"/>
      <c r="M259" s="87"/>
      <c r="N259" s="87"/>
      <c r="O259" s="87"/>
      <c r="P259" s="87"/>
      <c r="Q259" s="87"/>
      <c r="S259" s="87"/>
      <c r="T259" s="87"/>
      <c r="U259" s="87"/>
      <c r="V259" s="87"/>
      <c r="W259" s="87"/>
      <c r="X259" s="87"/>
    </row>
    <row r="260" spans="12:24" x14ac:dyDescent="0.25">
      <c r="L260" s="87"/>
      <c r="M260" s="87"/>
      <c r="N260" s="87"/>
      <c r="O260" s="87"/>
      <c r="P260" s="87"/>
      <c r="Q260" s="87"/>
      <c r="S260" s="87"/>
      <c r="T260" s="87"/>
      <c r="U260" s="87"/>
      <c r="V260" s="87"/>
      <c r="W260" s="87"/>
      <c r="X260" s="87"/>
    </row>
    <row r="261" spans="12:24" x14ac:dyDescent="0.25">
      <c r="L261" s="87"/>
      <c r="M261" s="87"/>
      <c r="N261" s="87"/>
      <c r="O261" s="87"/>
      <c r="P261" s="87"/>
      <c r="Q261" s="87"/>
      <c r="S261" s="87"/>
      <c r="T261" s="87"/>
      <c r="U261" s="87"/>
      <c r="V261" s="87"/>
      <c r="W261" s="87"/>
      <c r="X261" s="87"/>
    </row>
    <row r="262" spans="12:24" x14ac:dyDescent="0.25">
      <c r="L262" s="87"/>
      <c r="M262" s="87"/>
      <c r="N262" s="87"/>
      <c r="O262" s="87"/>
      <c r="P262" s="87"/>
      <c r="Q262" s="87"/>
      <c r="S262" s="87"/>
      <c r="T262" s="87"/>
      <c r="U262" s="87"/>
      <c r="V262" s="87"/>
      <c r="W262" s="87"/>
      <c r="X262" s="87"/>
    </row>
    <row r="263" spans="12:24" x14ac:dyDescent="0.25">
      <c r="L263" s="87"/>
      <c r="M263" s="87"/>
      <c r="N263" s="87"/>
      <c r="O263" s="87"/>
      <c r="P263" s="87"/>
      <c r="Q263" s="87"/>
      <c r="S263" s="87"/>
      <c r="T263" s="87"/>
      <c r="U263" s="87"/>
      <c r="V263" s="87"/>
      <c r="W263" s="87"/>
      <c r="X263" s="87"/>
    </row>
    <row r="264" spans="12:24" x14ac:dyDescent="0.25">
      <c r="L264" s="87"/>
      <c r="M264" s="87"/>
      <c r="N264" s="87"/>
      <c r="O264" s="87"/>
      <c r="P264" s="87"/>
      <c r="Q264" s="87"/>
      <c r="S264" s="87"/>
      <c r="T264" s="87"/>
      <c r="U264" s="87"/>
      <c r="V264" s="87"/>
      <c r="W264" s="87"/>
      <c r="X264" s="87"/>
    </row>
    <row r="265" spans="12:24" x14ac:dyDescent="0.25">
      <c r="L265" s="87"/>
      <c r="M265" s="87"/>
      <c r="N265" s="87"/>
      <c r="O265" s="87"/>
      <c r="P265" s="87"/>
      <c r="Q265" s="87"/>
      <c r="S265" s="87"/>
      <c r="T265" s="87"/>
      <c r="U265" s="87"/>
      <c r="V265" s="87"/>
      <c r="W265" s="87"/>
      <c r="X265" s="87"/>
    </row>
    <row r="266" spans="12:24" x14ac:dyDescent="0.25">
      <c r="L266" s="87"/>
      <c r="M266" s="87"/>
      <c r="N266" s="87"/>
      <c r="O266" s="87"/>
      <c r="P266" s="87"/>
      <c r="Q266" s="87"/>
      <c r="S266" s="87"/>
      <c r="T266" s="87"/>
      <c r="U266" s="87"/>
      <c r="V266" s="87"/>
      <c r="W266" s="87"/>
      <c r="X266" s="87"/>
    </row>
    <row r="267" spans="12:24" x14ac:dyDescent="0.25">
      <c r="L267" s="87"/>
      <c r="M267" s="87"/>
      <c r="N267" s="87"/>
      <c r="O267" s="87"/>
      <c r="P267" s="87"/>
      <c r="Q267" s="87"/>
      <c r="S267" s="87"/>
      <c r="T267" s="87"/>
      <c r="U267" s="87"/>
      <c r="V267" s="87"/>
      <c r="W267" s="87"/>
      <c r="X267" s="87"/>
    </row>
    <row r="268" spans="12:24" x14ac:dyDescent="0.25">
      <c r="L268" s="87"/>
      <c r="M268" s="87"/>
      <c r="N268" s="87"/>
      <c r="O268" s="87"/>
      <c r="P268" s="87"/>
      <c r="Q268" s="87"/>
      <c r="S268" s="87"/>
      <c r="T268" s="87"/>
      <c r="U268" s="87"/>
      <c r="V268" s="87"/>
      <c r="W268" s="87"/>
      <c r="X268" s="87"/>
    </row>
    <row r="269" spans="12:24" x14ac:dyDescent="0.25">
      <c r="L269" s="87"/>
      <c r="M269" s="87"/>
      <c r="N269" s="87"/>
      <c r="O269" s="87"/>
      <c r="P269" s="87"/>
      <c r="Q269" s="87"/>
      <c r="S269" s="87"/>
      <c r="T269" s="87"/>
      <c r="U269" s="87"/>
      <c r="V269" s="87"/>
      <c r="W269" s="87"/>
      <c r="X269" s="87"/>
    </row>
    <row r="270" spans="12:24" x14ac:dyDescent="0.25">
      <c r="L270" s="87"/>
      <c r="M270" s="87"/>
      <c r="N270" s="87"/>
      <c r="O270" s="87"/>
      <c r="P270" s="87"/>
      <c r="Q270" s="87"/>
      <c r="S270" s="87"/>
      <c r="T270" s="87"/>
      <c r="U270" s="87"/>
      <c r="V270" s="87"/>
      <c r="W270" s="87"/>
      <c r="X270" s="87"/>
    </row>
    <row r="271" spans="12:24" x14ac:dyDescent="0.25">
      <c r="L271" s="87"/>
      <c r="M271" s="87"/>
      <c r="N271" s="87"/>
      <c r="O271" s="87"/>
      <c r="P271" s="87"/>
      <c r="Q271" s="87"/>
      <c r="S271" s="87"/>
      <c r="T271" s="87"/>
      <c r="U271" s="87"/>
      <c r="V271" s="87"/>
      <c r="W271" s="87"/>
      <c r="X271" s="87"/>
    </row>
    <row r="272" spans="12:24" x14ac:dyDescent="0.25">
      <c r="L272" s="87"/>
      <c r="M272" s="87"/>
      <c r="N272" s="87"/>
      <c r="O272" s="87"/>
      <c r="P272" s="87"/>
      <c r="Q272" s="87"/>
      <c r="S272" s="87"/>
      <c r="T272" s="87"/>
      <c r="U272" s="87"/>
      <c r="V272" s="87"/>
      <c r="W272" s="87"/>
      <c r="X272" s="87"/>
    </row>
    <row r="273" spans="12:24" x14ac:dyDescent="0.25">
      <c r="L273" s="87"/>
      <c r="M273" s="87"/>
      <c r="N273" s="87"/>
      <c r="O273" s="87"/>
      <c r="P273" s="87"/>
      <c r="Q273" s="87"/>
      <c r="S273" s="87"/>
      <c r="T273" s="87"/>
      <c r="U273" s="87"/>
      <c r="V273" s="87"/>
      <c r="W273" s="87"/>
      <c r="X273" s="87"/>
    </row>
    <row r="274" spans="12:24" x14ac:dyDescent="0.25">
      <c r="L274" s="87"/>
      <c r="M274" s="87"/>
      <c r="N274" s="87"/>
      <c r="O274" s="87"/>
      <c r="P274" s="87"/>
      <c r="Q274" s="87"/>
      <c r="S274" s="87"/>
      <c r="T274" s="87"/>
      <c r="U274" s="87"/>
      <c r="V274" s="87"/>
      <c r="W274" s="87"/>
      <c r="X274" s="87"/>
    </row>
    <row r="275" spans="12:24" x14ac:dyDescent="0.25">
      <c r="L275" s="87"/>
      <c r="M275" s="87"/>
      <c r="N275" s="87"/>
      <c r="O275" s="87"/>
      <c r="P275" s="87"/>
      <c r="Q275" s="87"/>
      <c r="S275" s="87"/>
      <c r="T275" s="87"/>
      <c r="U275" s="87"/>
      <c r="V275" s="87"/>
      <c r="W275" s="87"/>
      <c r="X275" s="87"/>
    </row>
    <row r="276" spans="12:24" x14ac:dyDescent="0.25">
      <c r="L276" s="87"/>
      <c r="M276" s="87"/>
      <c r="N276" s="87"/>
      <c r="O276" s="87"/>
      <c r="P276" s="87"/>
      <c r="Q276" s="87"/>
      <c r="S276" s="87"/>
      <c r="T276" s="87"/>
      <c r="U276" s="87"/>
      <c r="V276" s="87"/>
      <c r="W276" s="87"/>
      <c r="X276" s="87"/>
    </row>
    <row r="277" spans="12:24" x14ac:dyDescent="0.25">
      <c r="L277" s="87"/>
      <c r="M277" s="87"/>
      <c r="N277" s="87"/>
      <c r="O277" s="87"/>
      <c r="P277" s="87"/>
      <c r="Q277" s="87"/>
      <c r="S277" s="87"/>
      <c r="T277" s="87"/>
      <c r="U277" s="87"/>
      <c r="V277" s="87"/>
      <c r="W277" s="87"/>
      <c r="X277" s="87"/>
    </row>
    <row r="278" spans="12:24" x14ac:dyDescent="0.25">
      <c r="L278" s="87"/>
      <c r="M278" s="87"/>
      <c r="N278" s="87"/>
      <c r="O278" s="87"/>
      <c r="P278" s="87"/>
      <c r="Q278" s="87"/>
      <c r="S278" s="87"/>
      <c r="T278" s="87"/>
      <c r="U278" s="87"/>
      <c r="V278" s="87"/>
      <c r="W278" s="87"/>
      <c r="X278" s="87"/>
    </row>
    <row r="279" spans="12:24" x14ac:dyDescent="0.25">
      <c r="L279" s="87"/>
      <c r="M279" s="87"/>
      <c r="N279" s="87"/>
      <c r="O279" s="87"/>
      <c r="P279" s="87"/>
      <c r="Q279" s="87"/>
      <c r="S279" s="87"/>
      <c r="T279" s="87"/>
      <c r="U279" s="87"/>
      <c r="V279" s="87"/>
      <c r="W279" s="87"/>
      <c r="X279" s="87"/>
    </row>
    <row r="280" spans="12:24" x14ac:dyDescent="0.25">
      <c r="L280" s="87"/>
      <c r="M280" s="87"/>
      <c r="N280" s="87"/>
      <c r="O280" s="87"/>
      <c r="P280" s="87"/>
      <c r="Q280" s="87"/>
      <c r="S280" s="87"/>
      <c r="T280" s="87"/>
      <c r="U280" s="87"/>
      <c r="V280" s="87"/>
      <c r="W280" s="87"/>
      <c r="X280" s="87"/>
    </row>
    <row r="281" spans="12:24" x14ac:dyDescent="0.25">
      <c r="L281" s="87"/>
      <c r="M281" s="87"/>
      <c r="N281" s="87"/>
      <c r="O281" s="87"/>
      <c r="P281" s="87"/>
      <c r="Q281" s="87"/>
      <c r="S281" s="87"/>
      <c r="T281" s="87"/>
      <c r="U281" s="87"/>
      <c r="V281" s="87"/>
      <c r="W281" s="87"/>
      <c r="X281" s="87"/>
    </row>
    <row r="282" spans="12:24" x14ac:dyDescent="0.25">
      <c r="L282" s="87"/>
      <c r="M282" s="87"/>
      <c r="N282" s="87"/>
      <c r="O282" s="87"/>
      <c r="P282" s="87"/>
      <c r="Q282" s="87"/>
      <c r="S282" s="87"/>
      <c r="T282" s="87"/>
      <c r="U282" s="87"/>
      <c r="V282" s="87"/>
      <c r="W282" s="87"/>
      <c r="X282" s="87"/>
    </row>
    <row r="283" spans="12:24" x14ac:dyDescent="0.25">
      <c r="L283" s="87"/>
      <c r="M283" s="87"/>
      <c r="N283" s="87"/>
      <c r="O283" s="87"/>
      <c r="P283" s="87"/>
      <c r="Q283" s="87"/>
      <c r="S283" s="87"/>
      <c r="T283" s="87"/>
      <c r="U283" s="87"/>
      <c r="V283" s="87"/>
      <c r="W283" s="87"/>
      <c r="X283" s="87"/>
    </row>
    <row r="284" spans="12:24" x14ac:dyDescent="0.25">
      <c r="L284" s="87"/>
      <c r="M284" s="87"/>
      <c r="N284" s="87"/>
      <c r="O284" s="87"/>
      <c r="P284" s="87"/>
      <c r="Q284" s="87"/>
      <c r="S284" s="87"/>
      <c r="T284" s="87"/>
      <c r="U284" s="87"/>
      <c r="V284" s="87"/>
      <c r="W284" s="87"/>
      <c r="X284" s="87"/>
    </row>
    <row r="285" spans="12:24" x14ac:dyDescent="0.25">
      <c r="L285" s="87"/>
      <c r="M285" s="87"/>
      <c r="N285" s="87"/>
      <c r="O285" s="87"/>
      <c r="P285" s="87"/>
      <c r="Q285" s="87"/>
      <c r="S285" s="87"/>
      <c r="T285" s="87"/>
      <c r="U285" s="87"/>
      <c r="V285" s="87"/>
      <c r="W285" s="87"/>
      <c r="X285" s="87"/>
    </row>
    <row r="286" spans="12:24" x14ac:dyDescent="0.25">
      <c r="L286" s="87"/>
      <c r="M286" s="87"/>
      <c r="N286" s="87"/>
      <c r="O286" s="87"/>
      <c r="P286" s="87"/>
      <c r="Q286" s="87"/>
      <c r="S286" s="87"/>
      <c r="T286" s="87"/>
      <c r="U286" s="87"/>
      <c r="V286" s="87"/>
      <c r="W286" s="87"/>
      <c r="X286" s="87"/>
    </row>
    <row r="287" spans="12:24" x14ac:dyDescent="0.25">
      <c r="L287" s="87"/>
      <c r="M287" s="87"/>
      <c r="N287" s="87"/>
      <c r="O287" s="87"/>
      <c r="P287" s="87"/>
      <c r="Q287" s="87"/>
      <c r="S287" s="87"/>
      <c r="T287" s="87"/>
      <c r="U287" s="87"/>
      <c r="V287" s="87"/>
      <c r="W287" s="87"/>
      <c r="X287" s="87"/>
    </row>
    <row r="288" spans="12:24" x14ac:dyDescent="0.25">
      <c r="L288" s="87"/>
      <c r="M288" s="87"/>
      <c r="N288" s="87"/>
      <c r="O288" s="87"/>
      <c r="P288" s="87"/>
      <c r="Q288" s="87"/>
      <c r="S288" s="87"/>
      <c r="T288" s="87"/>
      <c r="U288" s="87"/>
      <c r="V288" s="87"/>
      <c r="W288" s="87"/>
      <c r="X288" s="87"/>
    </row>
    <row r="289" spans="12:24" x14ac:dyDescent="0.25">
      <c r="L289" s="87"/>
      <c r="M289" s="87"/>
      <c r="N289" s="87"/>
      <c r="O289" s="87"/>
      <c r="P289" s="87"/>
      <c r="Q289" s="87"/>
      <c r="S289" s="87"/>
      <c r="T289" s="87"/>
      <c r="U289" s="87"/>
      <c r="V289" s="87"/>
      <c r="W289" s="87"/>
      <c r="X289" s="87"/>
    </row>
    <row r="290" spans="12:24" x14ac:dyDescent="0.25">
      <c r="L290" s="87"/>
      <c r="M290" s="87"/>
      <c r="N290" s="87"/>
      <c r="O290" s="87"/>
      <c r="P290" s="87"/>
      <c r="Q290" s="87"/>
      <c r="S290" s="87"/>
      <c r="T290" s="87"/>
      <c r="U290" s="87"/>
      <c r="V290" s="87"/>
      <c r="W290" s="87"/>
      <c r="X290" s="87"/>
    </row>
    <row r="291" spans="12:24" x14ac:dyDescent="0.25">
      <c r="L291" s="87"/>
      <c r="M291" s="87"/>
      <c r="N291" s="87"/>
      <c r="O291" s="87"/>
      <c r="P291" s="87"/>
      <c r="Q291" s="87"/>
      <c r="S291" s="87"/>
      <c r="T291" s="87"/>
      <c r="U291" s="87"/>
      <c r="V291" s="87"/>
      <c r="W291" s="87"/>
      <c r="X291" s="87"/>
    </row>
    <row r="292" spans="12:24" x14ac:dyDescent="0.25">
      <c r="L292" s="87"/>
      <c r="M292" s="87"/>
      <c r="N292" s="87"/>
      <c r="O292" s="87"/>
      <c r="P292" s="87"/>
      <c r="Q292" s="87"/>
      <c r="S292" s="87"/>
      <c r="T292" s="87"/>
      <c r="U292" s="87"/>
      <c r="V292" s="87"/>
      <c r="W292" s="87"/>
      <c r="X292" s="87"/>
    </row>
    <row r="293" spans="12:24" x14ac:dyDescent="0.25">
      <c r="L293" s="87"/>
      <c r="M293" s="87"/>
      <c r="N293" s="87"/>
      <c r="O293" s="87"/>
      <c r="P293" s="87"/>
      <c r="Q293" s="87"/>
      <c r="S293" s="87"/>
      <c r="T293" s="87"/>
      <c r="U293" s="87"/>
      <c r="V293" s="87"/>
      <c r="W293" s="87"/>
      <c r="X293" s="87"/>
    </row>
    <row r="294" spans="12:24" x14ac:dyDescent="0.25">
      <c r="L294" s="87"/>
      <c r="M294" s="87"/>
      <c r="N294" s="87"/>
      <c r="O294" s="87"/>
      <c r="P294" s="87"/>
      <c r="Q294" s="87"/>
      <c r="S294" s="87"/>
      <c r="T294" s="87"/>
      <c r="U294" s="87"/>
      <c r="V294" s="87"/>
      <c r="W294" s="87"/>
      <c r="X294" s="87"/>
    </row>
    <row r="295" spans="12:24" x14ac:dyDescent="0.25">
      <c r="L295" s="87"/>
      <c r="M295" s="87"/>
      <c r="N295" s="87"/>
      <c r="O295" s="87"/>
      <c r="P295" s="87"/>
      <c r="Q295" s="87"/>
      <c r="S295" s="87"/>
      <c r="T295" s="87"/>
      <c r="U295" s="87"/>
      <c r="V295" s="87"/>
      <c r="W295" s="87"/>
      <c r="X295" s="87"/>
    </row>
    <row r="296" spans="12:24" x14ac:dyDescent="0.25">
      <c r="L296" s="87"/>
      <c r="M296" s="87"/>
      <c r="N296" s="87"/>
      <c r="O296" s="87"/>
      <c r="P296" s="87"/>
      <c r="Q296" s="87"/>
      <c r="S296" s="87"/>
      <c r="T296" s="87"/>
      <c r="U296" s="87"/>
      <c r="V296" s="87"/>
      <c r="W296" s="87"/>
      <c r="X296" s="87"/>
    </row>
    <row r="297" spans="12:24" x14ac:dyDescent="0.25">
      <c r="L297" s="87"/>
      <c r="M297" s="87"/>
      <c r="N297" s="87"/>
      <c r="O297" s="87"/>
      <c r="P297" s="87"/>
      <c r="Q297" s="87"/>
      <c r="S297" s="87"/>
      <c r="T297" s="87"/>
      <c r="U297" s="87"/>
      <c r="V297" s="87"/>
      <c r="W297" s="87"/>
      <c r="X297" s="87"/>
    </row>
    <row r="298" spans="12:24" x14ac:dyDescent="0.25">
      <c r="L298" s="87"/>
      <c r="M298" s="87"/>
      <c r="N298" s="87"/>
      <c r="O298" s="87"/>
      <c r="P298" s="87"/>
      <c r="Q298" s="87"/>
      <c r="S298" s="87"/>
      <c r="T298" s="87"/>
      <c r="U298" s="87"/>
      <c r="V298" s="87"/>
      <c r="W298" s="87"/>
      <c r="X298" s="87"/>
    </row>
    <row r="299" spans="12:24" x14ac:dyDescent="0.25">
      <c r="L299" s="87"/>
      <c r="M299" s="87"/>
      <c r="N299" s="87"/>
      <c r="O299" s="87"/>
      <c r="P299" s="87"/>
      <c r="Q299" s="87"/>
      <c r="S299" s="87"/>
      <c r="T299" s="87"/>
      <c r="U299" s="87"/>
      <c r="V299" s="87"/>
      <c r="W299" s="87"/>
      <c r="X299" s="87"/>
    </row>
    <row r="300" spans="12:24" x14ac:dyDescent="0.25">
      <c r="L300" s="87"/>
      <c r="M300" s="87"/>
      <c r="N300" s="87"/>
      <c r="O300" s="87"/>
      <c r="P300" s="87"/>
      <c r="Q300" s="87"/>
      <c r="S300" s="87"/>
      <c r="T300" s="87"/>
      <c r="U300" s="87"/>
      <c r="V300" s="87"/>
      <c r="W300" s="87"/>
      <c r="X300" s="87"/>
    </row>
    <row r="301" spans="12:24" x14ac:dyDescent="0.25">
      <c r="L301" s="87"/>
      <c r="M301" s="87"/>
      <c r="N301" s="87"/>
      <c r="O301" s="87"/>
      <c r="P301" s="87"/>
      <c r="Q301" s="87"/>
      <c r="S301" s="87"/>
      <c r="T301" s="87"/>
      <c r="U301" s="87"/>
      <c r="V301" s="87"/>
      <c r="W301" s="87"/>
      <c r="X301" s="87"/>
    </row>
    <row r="302" spans="12:24" x14ac:dyDescent="0.25">
      <c r="L302" s="87"/>
      <c r="M302" s="87"/>
      <c r="N302" s="87"/>
      <c r="O302" s="87"/>
      <c r="P302" s="87"/>
      <c r="Q302" s="87"/>
      <c r="S302" s="87"/>
      <c r="T302" s="87"/>
      <c r="U302" s="87"/>
      <c r="V302" s="87"/>
      <c r="W302" s="87"/>
      <c r="X302" s="87"/>
    </row>
    <row r="303" spans="12:24" x14ac:dyDescent="0.25">
      <c r="L303" s="87"/>
      <c r="M303" s="87"/>
      <c r="N303" s="87"/>
      <c r="O303" s="87"/>
      <c r="P303" s="87"/>
      <c r="Q303" s="87"/>
      <c r="S303" s="87"/>
      <c r="T303" s="87"/>
      <c r="U303" s="87"/>
      <c r="V303" s="87"/>
      <c r="W303" s="87"/>
      <c r="X303" s="87"/>
    </row>
    <row r="304" spans="12:24" x14ac:dyDescent="0.25">
      <c r="L304" s="87"/>
      <c r="M304" s="87"/>
      <c r="N304" s="87"/>
      <c r="O304" s="87"/>
      <c r="P304" s="87"/>
      <c r="Q304" s="87"/>
      <c r="S304" s="87"/>
      <c r="T304" s="87"/>
      <c r="U304" s="87"/>
      <c r="V304" s="87"/>
      <c r="W304" s="87"/>
      <c r="X304" s="87"/>
    </row>
    <row r="305" spans="12:24" x14ac:dyDescent="0.25">
      <c r="L305" s="87"/>
      <c r="M305" s="87"/>
      <c r="N305" s="87"/>
      <c r="O305" s="87"/>
      <c r="P305" s="87"/>
      <c r="Q305" s="87"/>
      <c r="S305" s="87"/>
      <c r="T305" s="87"/>
      <c r="U305" s="87"/>
      <c r="V305" s="87"/>
      <c r="W305" s="87"/>
      <c r="X305" s="87"/>
    </row>
    <row r="306" spans="12:24" x14ac:dyDescent="0.25">
      <c r="L306" s="87"/>
      <c r="M306" s="87"/>
      <c r="N306" s="87"/>
      <c r="O306" s="87"/>
      <c r="P306" s="87"/>
      <c r="Q306" s="87"/>
      <c r="S306" s="87"/>
      <c r="T306" s="87"/>
      <c r="U306" s="87"/>
      <c r="V306" s="87"/>
      <c r="W306" s="87"/>
      <c r="X306" s="87"/>
    </row>
    <row r="307" spans="12:24" x14ac:dyDescent="0.25">
      <c r="L307" s="87"/>
      <c r="M307" s="87"/>
      <c r="N307" s="87"/>
      <c r="O307" s="87"/>
      <c r="P307" s="87"/>
      <c r="Q307" s="87"/>
      <c r="S307" s="87"/>
      <c r="T307" s="87"/>
      <c r="U307" s="87"/>
      <c r="V307" s="87"/>
      <c r="W307" s="87"/>
      <c r="X307" s="87"/>
    </row>
    <row r="308" spans="12:24" x14ac:dyDescent="0.25">
      <c r="L308" s="87"/>
      <c r="M308" s="87"/>
      <c r="N308" s="87"/>
      <c r="O308" s="87"/>
      <c r="P308" s="87"/>
      <c r="Q308" s="87"/>
      <c r="S308" s="87"/>
      <c r="T308" s="87"/>
      <c r="U308" s="87"/>
      <c r="V308" s="87"/>
      <c r="W308" s="87"/>
      <c r="X308" s="87"/>
    </row>
    <row r="309" spans="12:24" x14ac:dyDescent="0.25">
      <c r="L309" s="87"/>
      <c r="M309" s="87"/>
      <c r="N309" s="87"/>
      <c r="O309" s="87"/>
      <c r="P309" s="87"/>
      <c r="Q309" s="87"/>
      <c r="S309" s="87"/>
      <c r="T309" s="87"/>
      <c r="U309" s="87"/>
      <c r="V309" s="87"/>
      <c r="W309" s="87"/>
      <c r="X309" s="87"/>
    </row>
    <row r="310" spans="12:24" x14ac:dyDescent="0.25">
      <c r="L310" s="87"/>
      <c r="M310" s="87"/>
      <c r="N310" s="87"/>
      <c r="O310" s="87"/>
      <c r="P310" s="87"/>
      <c r="Q310" s="87"/>
      <c r="S310" s="87"/>
      <c r="T310" s="87"/>
      <c r="U310" s="87"/>
      <c r="V310" s="87"/>
      <c r="W310" s="87"/>
      <c r="X310" s="87"/>
    </row>
    <row r="311" spans="12:24" x14ac:dyDescent="0.25">
      <c r="L311" s="87"/>
      <c r="M311" s="87"/>
      <c r="N311" s="87"/>
      <c r="O311" s="87"/>
      <c r="P311" s="87"/>
      <c r="Q311" s="87"/>
      <c r="S311" s="87"/>
      <c r="T311" s="87"/>
      <c r="U311" s="87"/>
      <c r="V311" s="87"/>
      <c r="W311" s="87"/>
      <c r="X311" s="87"/>
    </row>
    <row r="312" spans="12:24" x14ac:dyDescent="0.25">
      <c r="L312" s="87"/>
      <c r="M312" s="87"/>
      <c r="N312" s="87"/>
      <c r="O312" s="87"/>
      <c r="P312" s="87"/>
      <c r="Q312" s="87"/>
      <c r="S312" s="87"/>
      <c r="T312" s="87"/>
      <c r="U312" s="87"/>
      <c r="V312" s="87"/>
      <c r="W312" s="87"/>
      <c r="X312" s="87"/>
    </row>
    <row r="313" spans="12:24" x14ac:dyDescent="0.25">
      <c r="L313" s="87"/>
      <c r="M313" s="87"/>
      <c r="N313" s="87"/>
      <c r="O313" s="87"/>
      <c r="P313" s="87"/>
      <c r="Q313" s="87"/>
      <c r="S313" s="87"/>
      <c r="T313" s="87"/>
      <c r="U313" s="87"/>
      <c r="V313" s="87"/>
      <c r="W313" s="87"/>
      <c r="X313" s="87"/>
    </row>
    <row r="314" spans="12:24" x14ac:dyDescent="0.25">
      <c r="L314" s="87"/>
      <c r="M314" s="87"/>
      <c r="N314" s="87"/>
      <c r="O314" s="87"/>
      <c r="P314" s="87"/>
      <c r="Q314" s="87"/>
      <c r="S314" s="87"/>
      <c r="T314" s="87"/>
      <c r="U314" s="87"/>
      <c r="V314" s="87"/>
      <c r="W314" s="87"/>
      <c r="X314" s="87"/>
    </row>
    <row r="315" spans="12:24" x14ac:dyDescent="0.25">
      <c r="L315" s="87"/>
      <c r="M315" s="87"/>
      <c r="N315" s="87"/>
      <c r="O315" s="87"/>
      <c r="P315" s="87"/>
      <c r="Q315" s="87"/>
      <c r="S315" s="87"/>
      <c r="T315" s="87"/>
      <c r="U315" s="87"/>
      <c r="V315" s="87"/>
      <c r="W315" s="87"/>
      <c r="X315" s="87"/>
    </row>
    <row r="316" spans="12:24" x14ac:dyDescent="0.25">
      <c r="L316" s="87"/>
      <c r="M316" s="87"/>
      <c r="N316" s="87"/>
      <c r="O316" s="87"/>
      <c r="P316" s="87"/>
      <c r="Q316" s="87"/>
      <c r="S316" s="87"/>
      <c r="T316" s="87"/>
      <c r="U316" s="87"/>
      <c r="V316" s="87"/>
      <c r="W316" s="87"/>
      <c r="X316" s="87"/>
    </row>
    <row r="317" spans="12:24" x14ac:dyDescent="0.25">
      <c r="L317" s="87"/>
      <c r="M317" s="87"/>
      <c r="N317" s="87"/>
      <c r="O317" s="87"/>
      <c r="P317" s="87"/>
      <c r="Q317" s="87"/>
      <c r="S317" s="87"/>
      <c r="T317" s="87"/>
      <c r="U317" s="87"/>
      <c r="V317" s="87"/>
      <c r="W317" s="87"/>
      <c r="X317" s="87"/>
    </row>
    <row r="318" spans="12:24" x14ac:dyDescent="0.25">
      <c r="L318" s="87"/>
      <c r="M318" s="87"/>
      <c r="N318" s="87"/>
      <c r="O318" s="87"/>
      <c r="P318" s="87"/>
      <c r="Q318" s="87"/>
      <c r="S318" s="87"/>
      <c r="T318" s="87"/>
      <c r="U318" s="87"/>
      <c r="V318" s="87"/>
      <c r="W318" s="87"/>
      <c r="X318" s="87"/>
    </row>
    <row r="319" spans="12:24" x14ac:dyDescent="0.25">
      <c r="L319" s="87"/>
      <c r="M319" s="87"/>
      <c r="N319" s="87"/>
      <c r="O319" s="87"/>
      <c r="P319" s="87"/>
      <c r="Q319" s="87"/>
      <c r="S319" s="87"/>
      <c r="T319" s="87"/>
      <c r="U319" s="87"/>
      <c r="V319" s="87"/>
      <c r="W319" s="87"/>
      <c r="X319" s="87"/>
    </row>
    <row r="320" spans="12:24" x14ac:dyDescent="0.25">
      <c r="L320" s="87"/>
      <c r="M320" s="87"/>
      <c r="N320" s="87"/>
      <c r="O320" s="87"/>
      <c r="P320" s="87"/>
      <c r="Q320" s="87"/>
      <c r="S320" s="87"/>
      <c r="T320" s="87"/>
      <c r="U320" s="87"/>
      <c r="V320" s="87"/>
      <c r="W320" s="87"/>
      <c r="X320" s="87"/>
    </row>
    <row r="321" spans="12:24" x14ac:dyDescent="0.25">
      <c r="L321" s="87"/>
      <c r="M321" s="87"/>
      <c r="N321" s="87"/>
      <c r="O321" s="87"/>
      <c r="P321" s="87"/>
      <c r="Q321" s="87"/>
      <c r="S321" s="87"/>
      <c r="T321" s="87"/>
      <c r="U321" s="87"/>
      <c r="V321" s="87"/>
      <c r="W321" s="87"/>
      <c r="X321" s="87"/>
    </row>
    <row r="322" spans="12:24" x14ac:dyDescent="0.25">
      <c r="L322" s="87"/>
      <c r="M322" s="87"/>
      <c r="N322" s="87"/>
      <c r="O322" s="87"/>
      <c r="P322" s="87"/>
      <c r="Q322" s="87"/>
      <c r="S322" s="87"/>
      <c r="T322" s="87"/>
      <c r="U322" s="87"/>
      <c r="V322" s="87"/>
      <c r="W322" s="87"/>
      <c r="X322" s="87"/>
    </row>
    <row r="323" spans="12:24" x14ac:dyDescent="0.25">
      <c r="L323" s="87"/>
      <c r="M323" s="87"/>
      <c r="N323" s="87"/>
      <c r="O323" s="87"/>
      <c r="P323" s="87"/>
      <c r="Q323" s="87"/>
      <c r="S323" s="87"/>
      <c r="T323" s="87"/>
      <c r="U323" s="87"/>
      <c r="V323" s="87"/>
      <c r="W323" s="87"/>
      <c r="X323" s="87"/>
    </row>
    <row r="324" spans="12:24" x14ac:dyDescent="0.25">
      <c r="L324" s="87"/>
      <c r="M324" s="87"/>
      <c r="N324" s="87"/>
      <c r="O324" s="87"/>
      <c r="P324" s="87"/>
      <c r="Q324" s="87"/>
      <c r="S324" s="87"/>
      <c r="T324" s="87"/>
      <c r="U324" s="87"/>
      <c r="V324" s="87"/>
      <c r="W324" s="87"/>
      <c r="X324" s="87"/>
    </row>
    <row r="325" spans="12:24" x14ac:dyDescent="0.25">
      <c r="L325" s="87"/>
      <c r="M325" s="87"/>
      <c r="N325" s="87"/>
      <c r="O325" s="87"/>
      <c r="P325" s="87"/>
      <c r="Q325" s="87"/>
      <c r="S325" s="87"/>
      <c r="T325" s="87"/>
      <c r="U325" s="87"/>
      <c r="V325" s="87"/>
      <c r="W325" s="87"/>
      <c r="X325" s="87"/>
    </row>
    <row r="326" spans="12:24" x14ac:dyDescent="0.25">
      <c r="L326" s="87"/>
      <c r="M326" s="87"/>
      <c r="N326" s="87"/>
      <c r="O326" s="87"/>
      <c r="P326" s="87"/>
      <c r="Q326" s="87"/>
      <c r="S326" s="87"/>
      <c r="T326" s="87"/>
      <c r="U326" s="87"/>
      <c r="V326" s="87"/>
      <c r="W326" s="87"/>
      <c r="X326" s="87"/>
    </row>
    <row r="327" spans="12:24" x14ac:dyDescent="0.25">
      <c r="L327" s="87"/>
      <c r="M327" s="87"/>
      <c r="N327" s="87"/>
      <c r="O327" s="87"/>
      <c r="P327" s="87"/>
      <c r="Q327" s="87"/>
      <c r="S327" s="87"/>
      <c r="T327" s="87"/>
      <c r="U327" s="87"/>
      <c r="V327" s="87"/>
      <c r="W327" s="87"/>
      <c r="X327" s="87"/>
    </row>
    <row r="328" spans="12:24" x14ac:dyDescent="0.25">
      <c r="L328" s="87"/>
      <c r="M328" s="87"/>
      <c r="N328" s="87"/>
      <c r="O328" s="87"/>
      <c r="P328" s="87"/>
      <c r="Q328" s="87"/>
      <c r="S328" s="87"/>
      <c r="T328" s="87"/>
      <c r="U328" s="87"/>
      <c r="V328" s="87"/>
      <c r="W328" s="87"/>
      <c r="X328" s="87"/>
    </row>
    <row r="329" spans="12:24" x14ac:dyDescent="0.25">
      <c r="L329" s="87"/>
      <c r="M329" s="87"/>
      <c r="N329" s="87"/>
      <c r="O329" s="87"/>
      <c r="P329" s="87"/>
      <c r="Q329" s="87"/>
      <c r="S329" s="87"/>
      <c r="T329" s="87"/>
      <c r="U329" s="87"/>
      <c r="V329" s="87"/>
      <c r="W329" s="87"/>
      <c r="X329" s="87"/>
    </row>
    <row r="330" spans="12:24" x14ac:dyDescent="0.25">
      <c r="L330" s="87"/>
      <c r="M330" s="87"/>
      <c r="N330" s="87"/>
      <c r="O330" s="87"/>
      <c r="P330" s="87"/>
      <c r="Q330" s="87"/>
      <c r="S330" s="87"/>
      <c r="T330" s="87"/>
      <c r="U330" s="87"/>
      <c r="V330" s="87"/>
      <c r="W330" s="87"/>
      <c r="X330" s="87"/>
    </row>
    <row r="331" spans="12:24" x14ac:dyDescent="0.25">
      <c r="L331" s="87"/>
      <c r="M331" s="87"/>
      <c r="N331" s="87"/>
      <c r="O331" s="87"/>
      <c r="P331" s="87"/>
      <c r="Q331" s="87"/>
      <c r="S331" s="87"/>
      <c r="T331" s="87"/>
      <c r="U331" s="87"/>
      <c r="V331" s="87"/>
      <c r="W331" s="87"/>
      <c r="X331" s="87"/>
    </row>
    <row r="332" spans="12:24" x14ac:dyDescent="0.25">
      <c r="L332" s="87"/>
      <c r="M332" s="87"/>
      <c r="N332" s="87"/>
      <c r="O332" s="87"/>
      <c r="P332" s="87"/>
      <c r="Q332" s="87"/>
      <c r="S332" s="87"/>
      <c r="T332" s="87"/>
      <c r="U332" s="87"/>
      <c r="V332" s="87"/>
      <c r="W332" s="87"/>
      <c r="X332" s="87"/>
    </row>
    <row r="333" spans="12:24" x14ac:dyDescent="0.25">
      <c r="L333" s="87"/>
      <c r="M333" s="87"/>
      <c r="N333" s="87"/>
      <c r="O333" s="87"/>
      <c r="P333" s="87"/>
      <c r="Q333" s="87"/>
      <c r="S333" s="87"/>
      <c r="T333" s="87"/>
      <c r="U333" s="87"/>
      <c r="V333" s="87"/>
      <c r="W333" s="87"/>
      <c r="X333" s="87"/>
    </row>
    <row r="334" spans="12:24" x14ac:dyDescent="0.25">
      <c r="L334" s="87"/>
      <c r="M334" s="87"/>
      <c r="N334" s="87"/>
      <c r="O334" s="87"/>
      <c r="P334" s="87"/>
      <c r="Q334" s="87"/>
      <c r="S334" s="87"/>
      <c r="T334" s="87"/>
      <c r="U334" s="87"/>
      <c r="V334" s="87"/>
      <c r="W334" s="87"/>
      <c r="X334" s="87"/>
    </row>
    <row r="335" spans="12:24" x14ac:dyDescent="0.25">
      <c r="L335" s="87"/>
      <c r="M335" s="87"/>
      <c r="N335" s="87"/>
      <c r="O335" s="87"/>
      <c r="P335" s="87"/>
      <c r="Q335" s="87"/>
      <c r="S335" s="87"/>
      <c r="T335" s="87"/>
      <c r="U335" s="87"/>
      <c r="V335" s="87"/>
      <c r="W335" s="87"/>
      <c r="X335" s="87"/>
    </row>
    <row r="336" spans="12:24" x14ac:dyDescent="0.25">
      <c r="L336" s="87"/>
      <c r="M336" s="87"/>
      <c r="N336" s="87"/>
      <c r="O336" s="87"/>
      <c r="P336" s="87"/>
      <c r="Q336" s="87"/>
      <c r="S336" s="87"/>
      <c r="T336" s="87"/>
      <c r="U336" s="87"/>
      <c r="V336" s="87"/>
      <c r="W336" s="87"/>
      <c r="X336" s="87"/>
    </row>
    <row r="337" spans="12:24" x14ac:dyDescent="0.25">
      <c r="L337" s="87"/>
      <c r="M337" s="87"/>
      <c r="N337" s="87"/>
      <c r="O337" s="87"/>
      <c r="P337" s="87"/>
      <c r="Q337" s="87"/>
      <c r="S337" s="87"/>
      <c r="T337" s="87"/>
      <c r="U337" s="87"/>
      <c r="V337" s="87"/>
      <c r="W337" s="87"/>
      <c r="X337" s="87"/>
    </row>
    <row r="338" spans="12:24" x14ac:dyDescent="0.25">
      <c r="L338" s="87"/>
      <c r="M338" s="87"/>
      <c r="N338" s="87"/>
      <c r="O338" s="87"/>
      <c r="P338" s="87"/>
      <c r="Q338" s="87"/>
      <c r="S338" s="87"/>
      <c r="T338" s="87"/>
      <c r="U338" s="87"/>
      <c r="V338" s="87"/>
      <c r="W338" s="87"/>
      <c r="X338" s="87"/>
    </row>
    <row r="339" spans="12:24" x14ac:dyDescent="0.25">
      <c r="L339" s="87"/>
      <c r="M339" s="87"/>
      <c r="N339" s="87"/>
      <c r="O339" s="87"/>
      <c r="P339" s="87"/>
      <c r="Q339" s="87"/>
      <c r="S339" s="87"/>
      <c r="T339" s="87"/>
      <c r="U339" s="87"/>
      <c r="V339" s="87"/>
      <c r="W339" s="87"/>
      <c r="X339" s="87"/>
    </row>
    <row r="340" spans="12:24" x14ac:dyDescent="0.25">
      <c r="L340" s="87"/>
      <c r="M340" s="87"/>
      <c r="N340" s="87"/>
      <c r="O340" s="87"/>
      <c r="P340" s="87"/>
      <c r="Q340" s="87"/>
      <c r="S340" s="87"/>
      <c r="T340" s="87"/>
      <c r="U340" s="87"/>
      <c r="V340" s="87"/>
      <c r="W340" s="87"/>
      <c r="X340" s="87"/>
    </row>
    <row r="341" spans="12:24" x14ac:dyDescent="0.25">
      <c r="L341" s="87"/>
      <c r="M341" s="87"/>
      <c r="N341" s="87"/>
      <c r="O341" s="87"/>
      <c r="P341" s="87"/>
      <c r="Q341" s="87"/>
      <c r="S341" s="87"/>
      <c r="T341" s="87"/>
      <c r="U341" s="87"/>
      <c r="V341" s="87"/>
      <c r="W341" s="87"/>
      <c r="X341" s="87"/>
    </row>
    <row r="342" spans="12:24" x14ac:dyDescent="0.25">
      <c r="L342" s="87"/>
      <c r="M342" s="87"/>
      <c r="N342" s="87"/>
      <c r="O342" s="87"/>
      <c r="P342" s="87"/>
      <c r="Q342" s="87"/>
      <c r="S342" s="87"/>
      <c r="T342" s="87"/>
      <c r="U342" s="87"/>
      <c r="V342" s="87"/>
      <c r="W342" s="87"/>
      <c r="X342" s="87"/>
    </row>
    <row r="343" spans="12:24" x14ac:dyDescent="0.25">
      <c r="L343" s="87"/>
      <c r="M343" s="87"/>
      <c r="N343" s="87"/>
      <c r="O343" s="87"/>
      <c r="P343" s="87"/>
      <c r="Q343" s="87"/>
      <c r="S343" s="87"/>
      <c r="T343" s="87"/>
      <c r="U343" s="87"/>
      <c r="V343" s="87"/>
      <c r="W343" s="87"/>
      <c r="X343" s="87"/>
    </row>
    <row r="344" spans="12:24" x14ac:dyDescent="0.25">
      <c r="L344" s="87"/>
      <c r="M344" s="87"/>
      <c r="N344" s="87"/>
      <c r="O344" s="87"/>
      <c r="P344" s="87"/>
      <c r="Q344" s="87"/>
      <c r="S344" s="87"/>
      <c r="T344" s="87"/>
      <c r="U344" s="87"/>
      <c r="V344" s="87"/>
      <c r="W344" s="87"/>
      <c r="X344" s="87"/>
    </row>
    <row r="345" spans="12:24" x14ac:dyDescent="0.25">
      <c r="L345" s="87"/>
      <c r="M345" s="87"/>
      <c r="N345" s="87"/>
      <c r="O345" s="87"/>
      <c r="P345" s="87"/>
      <c r="Q345" s="87"/>
      <c r="S345" s="87"/>
      <c r="T345" s="87"/>
      <c r="U345" s="87"/>
      <c r="V345" s="87"/>
      <c r="W345" s="87"/>
      <c r="X345" s="87"/>
    </row>
    <row r="346" spans="12:24" x14ac:dyDescent="0.25">
      <c r="L346" s="87"/>
      <c r="M346" s="87"/>
      <c r="N346" s="87"/>
      <c r="O346" s="87"/>
      <c r="P346" s="87"/>
      <c r="Q346" s="87"/>
      <c r="S346" s="87"/>
      <c r="T346" s="87"/>
      <c r="U346" s="87"/>
      <c r="V346" s="87"/>
      <c r="W346" s="87"/>
      <c r="X346" s="87"/>
    </row>
    <row r="347" spans="12:24" x14ac:dyDescent="0.25">
      <c r="L347" s="87"/>
      <c r="M347" s="87"/>
      <c r="N347" s="87"/>
      <c r="O347" s="87"/>
      <c r="P347" s="87"/>
      <c r="Q347" s="87"/>
      <c r="S347" s="87"/>
      <c r="T347" s="87"/>
      <c r="U347" s="87"/>
      <c r="V347" s="87"/>
      <c r="W347" s="87"/>
      <c r="X347" s="87"/>
    </row>
    <row r="348" spans="12:24" x14ac:dyDescent="0.25">
      <c r="L348" s="87"/>
      <c r="M348" s="87"/>
      <c r="N348" s="87"/>
      <c r="O348" s="87"/>
      <c r="P348" s="87"/>
      <c r="Q348" s="87"/>
      <c r="S348" s="87"/>
      <c r="T348" s="87"/>
      <c r="U348" s="87"/>
      <c r="V348" s="87"/>
      <c r="W348" s="87"/>
      <c r="X348" s="87"/>
    </row>
    <row r="349" spans="12:24" x14ac:dyDescent="0.25">
      <c r="L349" s="87"/>
      <c r="M349" s="87"/>
      <c r="N349" s="87"/>
      <c r="O349" s="87"/>
      <c r="P349" s="87"/>
      <c r="Q349" s="87"/>
      <c r="S349" s="87"/>
      <c r="T349" s="87"/>
      <c r="U349" s="87"/>
      <c r="V349" s="87"/>
      <c r="W349" s="87"/>
      <c r="X349" s="87"/>
    </row>
    <row r="350" spans="12:24" x14ac:dyDescent="0.25">
      <c r="L350" s="87"/>
      <c r="M350" s="87"/>
      <c r="N350" s="87"/>
      <c r="O350" s="87"/>
      <c r="P350" s="87"/>
      <c r="Q350" s="87"/>
      <c r="S350" s="87"/>
      <c r="T350" s="87"/>
      <c r="U350" s="87"/>
      <c r="V350" s="87"/>
      <c r="W350" s="87"/>
      <c r="X350" s="87"/>
    </row>
    <row r="351" spans="12:24" x14ac:dyDescent="0.25">
      <c r="L351" s="87"/>
      <c r="M351" s="87"/>
      <c r="N351" s="87"/>
      <c r="O351" s="87"/>
      <c r="P351" s="87"/>
      <c r="Q351" s="87"/>
      <c r="S351" s="87"/>
      <c r="T351" s="87"/>
      <c r="U351" s="87"/>
      <c r="V351" s="87"/>
      <c r="W351" s="87"/>
      <c r="X351" s="87"/>
    </row>
    <row r="352" spans="12:24" x14ac:dyDescent="0.25">
      <c r="L352" s="87"/>
      <c r="M352" s="87"/>
      <c r="N352" s="87"/>
      <c r="O352" s="87"/>
      <c r="P352" s="87"/>
      <c r="Q352" s="87"/>
      <c r="S352" s="87"/>
      <c r="T352" s="87"/>
      <c r="U352" s="87"/>
      <c r="V352" s="87"/>
      <c r="W352" s="87"/>
      <c r="X352" s="87"/>
    </row>
    <row r="353" spans="12:24" x14ac:dyDescent="0.25">
      <c r="L353" s="87"/>
      <c r="M353" s="87"/>
      <c r="N353" s="87"/>
      <c r="O353" s="87"/>
      <c r="P353" s="87"/>
      <c r="Q353" s="87"/>
      <c r="S353" s="87"/>
      <c r="T353" s="87"/>
      <c r="U353" s="87"/>
      <c r="V353" s="87"/>
      <c r="W353" s="87"/>
      <c r="X353" s="87"/>
    </row>
    <row r="354" spans="12:24" x14ac:dyDescent="0.25">
      <c r="L354" s="87"/>
      <c r="M354" s="87"/>
      <c r="N354" s="87"/>
      <c r="O354" s="87"/>
      <c r="P354" s="87"/>
      <c r="Q354" s="87"/>
      <c r="S354" s="87"/>
      <c r="T354" s="87"/>
      <c r="U354" s="87"/>
      <c r="V354" s="87"/>
      <c r="W354" s="87"/>
      <c r="X354" s="87"/>
    </row>
    <row r="355" spans="12:24" x14ac:dyDescent="0.25">
      <c r="L355" s="87"/>
      <c r="M355" s="87"/>
      <c r="N355" s="87"/>
      <c r="O355" s="87"/>
      <c r="P355" s="87"/>
      <c r="Q355" s="87"/>
      <c r="S355" s="87"/>
      <c r="T355" s="87"/>
      <c r="U355" s="87"/>
      <c r="V355" s="87"/>
      <c r="W355" s="87"/>
      <c r="X355" s="87"/>
    </row>
    <row r="356" spans="12:24" x14ac:dyDescent="0.25">
      <c r="L356" s="87"/>
      <c r="M356" s="87"/>
      <c r="N356" s="87"/>
      <c r="O356" s="87"/>
      <c r="P356" s="87"/>
      <c r="Q356" s="87"/>
      <c r="S356" s="87"/>
      <c r="T356" s="87"/>
      <c r="U356" s="87"/>
      <c r="V356" s="87"/>
      <c r="W356" s="87"/>
      <c r="X356" s="87"/>
    </row>
    <row r="357" spans="12:24" x14ac:dyDescent="0.25">
      <c r="L357" s="87"/>
      <c r="M357" s="87"/>
      <c r="N357" s="87"/>
      <c r="O357" s="87"/>
      <c r="P357" s="87"/>
      <c r="Q357" s="87"/>
      <c r="S357" s="87"/>
      <c r="T357" s="87"/>
      <c r="U357" s="87"/>
      <c r="V357" s="87"/>
      <c r="W357" s="87"/>
      <c r="X357" s="87"/>
    </row>
    <row r="358" spans="12:24" x14ac:dyDescent="0.25">
      <c r="L358" s="87"/>
      <c r="M358" s="87"/>
      <c r="N358" s="87"/>
      <c r="O358" s="87"/>
      <c r="P358" s="87"/>
      <c r="Q358" s="87"/>
      <c r="S358" s="87"/>
      <c r="T358" s="87"/>
      <c r="U358" s="87"/>
      <c r="V358" s="87"/>
      <c r="W358" s="87"/>
      <c r="X358" s="87"/>
    </row>
    <row r="359" spans="12:24" x14ac:dyDescent="0.25">
      <c r="L359" s="87"/>
      <c r="M359" s="87"/>
      <c r="N359" s="87"/>
      <c r="O359" s="87"/>
      <c r="P359" s="87"/>
      <c r="Q359" s="87"/>
      <c r="S359" s="87"/>
      <c r="T359" s="87"/>
      <c r="U359" s="87"/>
      <c r="V359" s="87"/>
      <c r="W359" s="87"/>
      <c r="X359" s="87"/>
    </row>
    <row r="360" spans="12:24" x14ac:dyDescent="0.25">
      <c r="L360" s="87"/>
      <c r="M360" s="87"/>
      <c r="N360" s="87"/>
      <c r="O360" s="87"/>
      <c r="P360" s="87"/>
      <c r="Q360" s="87"/>
      <c r="S360" s="87"/>
      <c r="T360" s="87"/>
      <c r="U360" s="87"/>
      <c r="V360" s="87"/>
      <c r="W360" s="87"/>
      <c r="X360" s="87"/>
    </row>
    <row r="361" spans="12:24" x14ac:dyDescent="0.25">
      <c r="L361" s="87"/>
      <c r="M361" s="87"/>
      <c r="N361" s="87"/>
      <c r="O361" s="87"/>
      <c r="P361" s="87"/>
      <c r="Q361" s="87"/>
      <c r="S361" s="87"/>
      <c r="T361" s="87"/>
      <c r="U361" s="87"/>
      <c r="V361" s="87"/>
      <c r="W361" s="87"/>
      <c r="X361" s="87"/>
    </row>
    <row r="362" spans="12:24" x14ac:dyDescent="0.25">
      <c r="L362" s="87"/>
      <c r="M362" s="87"/>
      <c r="N362" s="87"/>
      <c r="O362" s="87"/>
      <c r="P362" s="87"/>
      <c r="Q362" s="87"/>
      <c r="S362" s="87"/>
      <c r="T362" s="87"/>
      <c r="U362" s="87"/>
      <c r="V362" s="87"/>
      <c r="W362" s="87"/>
      <c r="X362" s="87"/>
    </row>
    <row r="363" spans="12:24" x14ac:dyDescent="0.25">
      <c r="L363" s="87"/>
      <c r="M363" s="87"/>
      <c r="N363" s="87"/>
      <c r="O363" s="87"/>
      <c r="P363" s="87"/>
      <c r="Q363" s="87"/>
      <c r="S363" s="87"/>
      <c r="T363" s="87"/>
      <c r="U363" s="87"/>
      <c r="V363" s="87"/>
      <c r="W363" s="87"/>
      <c r="X363" s="87"/>
    </row>
    <row r="364" spans="12:24" x14ac:dyDescent="0.25">
      <c r="L364" s="87"/>
      <c r="M364" s="87"/>
      <c r="N364" s="87"/>
      <c r="O364" s="87"/>
      <c r="P364" s="87"/>
      <c r="Q364" s="87"/>
      <c r="S364" s="87"/>
      <c r="T364" s="87"/>
      <c r="U364" s="87"/>
      <c r="V364" s="87"/>
      <c r="W364" s="87"/>
      <c r="X364" s="87"/>
    </row>
    <row r="365" spans="12:24" x14ac:dyDescent="0.25">
      <c r="L365" s="87"/>
      <c r="M365" s="87"/>
      <c r="N365" s="87"/>
      <c r="O365" s="87"/>
      <c r="P365" s="87"/>
      <c r="Q365" s="87"/>
      <c r="S365" s="87"/>
      <c r="T365" s="87"/>
      <c r="U365" s="87"/>
      <c r="V365" s="87"/>
      <c r="W365" s="87"/>
      <c r="X365" s="87"/>
    </row>
    <row r="366" spans="12:24" x14ac:dyDescent="0.25">
      <c r="L366" s="87"/>
      <c r="M366" s="87"/>
      <c r="N366" s="87"/>
      <c r="O366" s="87"/>
      <c r="P366" s="87"/>
      <c r="Q366" s="87"/>
      <c r="S366" s="87"/>
      <c r="T366" s="87"/>
      <c r="U366" s="87"/>
      <c r="V366" s="87"/>
      <c r="W366" s="87"/>
      <c r="X366" s="87"/>
    </row>
    <row r="367" spans="12:24" x14ac:dyDescent="0.25">
      <c r="L367" s="87"/>
      <c r="M367" s="87"/>
      <c r="N367" s="87"/>
      <c r="O367" s="87"/>
      <c r="P367" s="87"/>
      <c r="Q367" s="87"/>
      <c r="S367" s="87"/>
      <c r="T367" s="87"/>
      <c r="U367" s="87"/>
      <c r="V367" s="87"/>
      <c r="W367" s="87"/>
      <c r="X367" s="87"/>
    </row>
    <row r="368" spans="12:24" x14ac:dyDescent="0.25">
      <c r="L368" s="87"/>
      <c r="M368" s="87"/>
      <c r="N368" s="87"/>
      <c r="O368" s="87"/>
      <c r="P368" s="87"/>
      <c r="Q368" s="87"/>
      <c r="S368" s="87"/>
      <c r="T368" s="87"/>
      <c r="U368" s="87"/>
      <c r="V368" s="87"/>
      <c r="W368" s="87"/>
      <c r="X368" s="87"/>
    </row>
    <row r="369" spans="12:24" x14ac:dyDescent="0.25">
      <c r="L369" s="87"/>
      <c r="M369" s="87"/>
      <c r="N369" s="87"/>
      <c r="O369" s="87"/>
      <c r="P369" s="87"/>
      <c r="Q369" s="87"/>
      <c r="S369" s="87"/>
      <c r="T369" s="87"/>
      <c r="U369" s="87"/>
      <c r="V369" s="87"/>
      <c r="W369" s="87"/>
      <c r="X369" s="87"/>
    </row>
    <row r="370" spans="12:24" x14ac:dyDescent="0.25">
      <c r="L370" s="87"/>
      <c r="M370" s="87"/>
      <c r="N370" s="87"/>
      <c r="O370" s="87"/>
      <c r="P370" s="87"/>
      <c r="Q370" s="87"/>
      <c r="S370" s="87"/>
      <c r="T370" s="87"/>
      <c r="U370" s="87"/>
      <c r="V370" s="87"/>
      <c r="W370" s="87"/>
      <c r="X370" s="87"/>
    </row>
    <row r="371" spans="12:24" x14ac:dyDescent="0.25">
      <c r="L371" s="87"/>
      <c r="M371" s="87"/>
      <c r="N371" s="87"/>
      <c r="O371" s="87"/>
      <c r="P371" s="87"/>
      <c r="Q371" s="87"/>
      <c r="S371" s="87"/>
      <c r="T371" s="87"/>
      <c r="U371" s="87"/>
      <c r="V371" s="87"/>
      <c r="W371" s="87"/>
      <c r="X371" s="87"/>
    </row>
    <row r="372" spans="12:24" x14ac:dyDescent="0.25">
      <c r="L372" s="87"/>
      <c r="M372" s="87"/>
      <c r="N372" s="87"/>
      <c r="O372" s="87"/>
      <c r="P372" s="87"/>
      <c r="Q372" s="87"/>
      <c r="S372" s="87"/>
      <c r="T372" s="87"/>
      <c r="U372" s="87"/>
      <c r="V372" s="87"/>
      <c r="W372" s="87"/>
      <c r="X372" s="87"/>
    </row>
    <row r="373" spans="12:24" x14ac:dyDescent="0.25">
      <c r="L373" s="87"/>
      <c r="M373" s="87"/>
      <c r="N373" s="87"/>
      <c r="O373" s="87"/>
      <c r="P373" s="87"/>
      <c r="Q373" s="87"/>
      <c r="S373" s="87"/>
      <c r="T373" s="87"/>
      <c r="U373" s="87"/>
      <c r="V373" s="87"/>
      <c r="W373" s="87"/>
      <c r="X373" s="87"/>
    </row>
    <row r="374" spans="12:24" x14ac:dyDescent="0.25">
      <c r="L374" s="87"/>
      <c r="M374" s="87"/>
      <c r="N374" s="87"/>
      <c r="O374" s="87"/>
      <c r="P374" s="87"/>
      <c r="Q374" s="87"/>
      <c r="S374" s="87"/>
      <c r="T374" s="87"/>
      <c r="U374" s="87"/>
      <c r="V374" s="87"/>
      <c r="W374" s="87"/>
      <c r="X374" s="87"/>
    </row>
    <row r="375" spans="12:24" x14ac:dyDescent="0.25">
      <c r="L375" s="87"/>
      <c r="M375" s="87"/>
      <c r="N375" s="87"/>
      <c r="O375" s="87"/>
      <c r="P375" s="87"/>
      <c r="Q375" s="87"/>
      <c r="S375" s="87"/>
      <c r="T375" s="87"/>
      <c r="U375" s="87"/>
      <c r="V375" s="87"/>
      <c r="W375" s="87"/>
      <c r="X375" s="87"/>
    </row>
    <row r="376" spans="12:24" x14ac:dyDescent="0.25">
      <c r="L376" s="87"/>
      <c r="M376" s="87"/>
      <c r="N376" s="87"/>
      <c r="O376" s="87"/>
      <c r="P376" s="87"/>
      <c r="Q376" s="87"/>
      <c r="S376" s="87"/>
      <c r="T376" s="87"/>
      <c r="U376" s="87"/>
      <c r="V376" s="87"/>
      <c r="W376" s="87"/>
      <c r="X376" s="87"/>
    </row>
    <row r="377" spans="12:24" x14ac:dyDescent="0.25">
      <c r="L377" s="87"/>
      <c r="M377" s="87"/>
      <c r="N377" s="87"/>
      <c r="O377" s="87"/>
      <c r="P377" s="87"/>
      <c r="Q377" s="87"/>
      <c r="S377" s="87"/>
      <c r="T377" s="87"/>
      <c r="U377" s="87"/>
      <c r="V377" s="87"/>
      <c r="W377" s="87"/>
      <c r="X377" s="87"/>
    </row>
    <row r="378" spans="12:24" x14ac:dyDescent="0.25">
      <c r="L378" s="87"/>
      <c r="M378" s="87"/>
      <c r="N378" s="87"/>
      <c r="O378" s="87"/>
      <c r="P378" s="87"/>
      <c r="Q378" s="87"/>
      <c r="S378" s="87"/>
      <c r="T378" s="87"/>
      <c r="U378" s="87"/>
      <c r="V378" s="87"/>
      <c r="W378" s="87"/>
      <c r="X378" s="87"/>
    </row>
    <row r="379" spans="12:24" x14ac:dyDescent="0.25">
      <c r="L379" s="87"/>
      <c r="M379" s="87"/>
      <c r="N379" s="87"/>
      <c r="O379" s="87"/>
      <c r="P379" s="87"/>
      <c r="Q379" s="87"/>
      <c r="S379" s="87"/>
      <c r="T379" s="87"/>
      <c r="U379" s="87"/>
      <c r="V379" s="87"/>
      <c r="W379" s="87"/>
      <c r="X379" s="87"/>
    </row>
    <row r="380" spans="12:24" x14ac:dyDescent="0.25">
      <c r="L380" s="87"/>
      <c r="M380" s="87"/>
      <c r="N380" s="87"/>
      <c r="O380" s="87"/>
      <c r="P380" s="87"/>
      <c r="Q380" s="87"/>
      <c r="S380" s="87"/>
      <c r="T380" s="87"/>
      <c r="U380" s="87"/>
      <c r="V380" s="87"/>
      <c r="W380" s="87"/>
      <c r="X380" s="87"/>
    </row>
    <row r="381" spans="12:24" x14ac:dyDescent="0.25">
      <c r="L381" s="87"/>
      <c r="M381" s="87"/>
      <c r="N381" s="87"/>
      <c r="O381" s="87"/>
      <c r="P381" s="87"/>
      <c r="Q381" s="87"/>
      <c r="S381" s="87"/>
      <c r="T381" s="87"/>
      <c r="U381" s="87"/>
      <c r="V381" s="87"/>
      <c r="W381" s="87"/>
      <c r="X381" s="87"/>
    </row>
    <row r="382" spans="12:24" x14ac:dyDescent="0.25">
      <c r="L382" s="87"/>
      <c r="M382" s="87"/>
      <c r="N382" s="87"/>
      <c r="O382" s="87"/>
      <c r="P382" s="87"/>
      <c r="Q382" s="87"/>
      <c r="S382" s="87"/>
      <c r="T382" s="87"/>
      <c r="U382" s="87"/>
      <c r="V382" s="87"/>
      <c r="W382" s="87"/>
      <c r="X382" s="87"/>
    </row>
    <row r="383" spans="12:24" x14ac:dyDescent="0.25">
      <c r="L383" s="87"/>
      <c r="M383" s="87"/>
      <c r="N383" s="87"/>
      <c r="O383" s="87"/>
      <c r="P383" s="87"/>
      <c r="Q383" s="87"/>
      <c r="S383" s="87"/>
      <c r="T383" s="87"/>
      <c r="U383" s="87"/>
      <c r="V383" s="87"/>
      <c r="W383" s="87"/>
      <c r="X383" s="87"/>
    </row>
    <row r="384" spans="12:24" x14ac:dyDescent="0.25">
      <c r="L384" s="87"/>
      <c r="M384" s="87"/>
      <c r="N384" s="87"/>
      <c r="O384" s="87"/>
      <c r="P384" s="87"/>
      <c r="Q384" s="87"/>
      <c r="S384" s="87"/>
      <c r="T384" s="87"/>
      <c r="U384" s="87"/>
      <c r="V384" s="87"/>
      <c r="W384" s="87"/>
      <c r="X384" s="87"/>
    </row>
    <row r="385" spans="12:24" x14ac:dyDescent="0.25">
      <c r="L385" s="87"/>
      <c r="M385" s="87"/>
      <c r="N385" s="87"/>
      <c r="O385" s="87"/>
      <c r="P385" s="87"/>
      <c r="Q385" s="87"/>
      <c r="S385" s="87"/>
      <c r="T385" s="87"/>
      <c r="U385" s="87"/>
      <c r="V385" s="87"/>
      <c r="W385" s="87"/>
      <c r="X385" s="87"/>
    </row>
    <row r="386" spans="12:24" x14ac:dyDescent="0.25">
      <c r="L386" s="87"/>
      <c r="M386" s="87"/>
      <c r="N386" s="87"/>
      <c r="O386" s="87"/>
      <c r="P386" s="87"/>
      <c r="Q386" s="87"/>
      <c r="S386" s="87"/>
      <c r="T386" s="87"/>
      <c r="U386" s="87"/>
      <c r="V386" s="87"/>
      <c r="W386" s="87"/>
      <c r="X386" s="87"/>
    </row>
    <row r="387" spans="12:24" x14ac:dyDescent="0.25">
      <c r="L387" s="87"/>
      <c r="M387" s="87"/>
      <c r="N387" s="87"/>
      <c r="O387" s="87"/>
      <c r="P387" s="87"/>
      <c r="Q387" s="87"/>
      <c r="S387" s="87"/>
      <c r="T387" s="87"/>
      <c r="U387" s="87"/>
      <c r="V387" s="87"/>
      <c r="W387" s="87"/>
      <c r="X387" s="87"/>
    </row>
    <row r="388" spans="12:24" x14ac:dyDescent="0.25">
      <c r="L388" s="87"/>
      <c r="M388" s="87"/>
      <c r="N388" s="87"/>
      <c r="O388" s="87"/>
      <c r="P388" s="87"/>
      <c r="Q388" s="87"/>
      <c r="S388" s="87"/>
      <c r="T388" s="87"/>
      <c r="U388" s="87"/>
      <c r="V388" s="87"/>
      <c r="W388" s="87"/>
      <c r="X388" s="87"/>
    </row>
    <row r="389" spans="12:24" x14ac:dyDescent="0.25">
      <c r="L389" s="87"/>
      <c r="M389" s="87"/>
      <c r="N389" s="87"/>
      <c r="O389" s="87"/>
      <c r="P389" s="87"/>
      <c r="Q389" s="87"/>
      <c r="S389" s="87"/>
      <c r="T389" s="87"/>
      <c r="U389" s="87"/>
      <c r="V389" s="87"/>
      <c r="W389" s="87"/>
      <c r="X389" s="87"/>
    </row>
    <row r="390" spans="12:24" x14ac:dyDescent="0.25">
      <c r="L390" s="87"/>
      <c r="M390" s="87"/>
      <c r="N390" s="87"/>
      <c r="O390" s="87"/>
      <c r="P390" s="87"/>
      <c r="Q390" s="87"/>
      <c r="S390" s="87"/>
      <c r="T390" s="87"/>
      <c r="U390" s="87"/>
      <c r="V390" s="87"/>
      <c r="W390" s="87"/>
      <c r="X390" s="87"/>
    </row>
    <row r="391" spans="12:24" x14ac:dyDescent="0.25">
      <c r="L391" s="87"/>
      <c r="M391" s="87"/>
      <c r="N391" s="87"/>
      <c r="O391" s="87"/>
      <c r="P391" s="87"/>
      <c r="Q391" s="87"/>
      <c r="S391" s="87"/>
      <c r="T391" s="87"/>
      <c r="U391" s="87"/>
      <c r="V391" s="87"/>
      <c r="W391" s="87"/>
      <c r="X391" s="87"/>
    </row>
    <row r="392" spans="12:24" x14ac:dyDescent="0.25">
      <c r="L392" s="87"/>
      <c r="M392" s="87"/>
      <c r="N392" s="87"/>
      <c r="O392" s="87"/>
      <c r="P392" s="87"/>
      <c r="Q392" s="87"/>
      <c r="S392" s="87"/>
      <c r="T392" s="87"/>
      <c r="U392" s="87"/>
      <c r="V392" s="87"/>
      <c r="W392" s="87"/>
      <c r="X392" s="87"/>
    </row>
    <row r="393" spans="12:24" x14ac:dyDescent="0.25">
      <c r="L393" s="87"/>
      <c r="M393" s="87"/>
      <c r="N393" s="87"/>
      <c r="O393" s="87"/>
      <c r="P393" s="87"/>
      <c r="Q393" s="87"/>
      <c r="S393" s="87"/>
      <c r="T393" s="87"/>
      <c r="U393" s="87"/>
      <c r="V393" s="87"/>
      <c r="W393" s="87"/>
      <c r="X393" s="87"/>
    </row>
    <row r="394" spans="12:24" x14ac:dyDescent="0.25">
      <c r="L394" s="87"/>
      <c r="M394" s="87"/>
      <c r="N394" s="87"/>
      <c r="O394" s="87"/>
      <c r="P394" s="87"/>
      <c r="Q394" s="87"/>
      <c r="S394" s="87"/>
      <c r="T394" s="87"/>
      <c r="U394" s="87"/>
      <c r="V394" s="87"/>
      <c r="W394" s="87"/>
      <c r="X394" s="87"/>
    </row>
    <row r="395" spans="12:24" x14ac:dyDescent="0.25">
      <c r="L395" s="87"/>
      <c r="M395" s="87"/>
      <c r="N395" s="87"/>
      <c r="O395" s="87"/>
      <c r="P395" s="87"/>
      <c r="Q395" s="87"/>
      <c r="S395" s="87"/>
      <c r="T395" s="87"/>
      <c r="U395" s="87"/>
      <c r="V395" s="87"/>
      <c r="W395" s="87"/>
      <c r="X395" s="87"/>
    </row>
    <row r="396" spans="12:24" x14ac:dyDescent="0.25">
      <c r="L396" s="87"/>
      <c r="M396" s="87"/>
      <c r="N396" s="87"/>
      <c r="O396" s="87"/>
      <c r="P396" s="87"/>
      <c r="Q396" s="87"/>
      <c r="S396" s="87"/>
      <c r="T396" s="87"/>
      <c r="U396" s="87"/>
      <c r="V396" s="87"/>
      <c r="W396" s="87"/>
      <c r="X396" s="87"/>
    </row>
    <row r="397" spans="12:24" x14ac:dyDescent="0.25">
      <c r="L397" s="87"/>
      <c r="M397" s="87"/>
      <c r="N397" s="87"/>
      <c r="O397" s="87"/>
      <c r="P397" s="87"/>
      <c r="Q397" s="87"/>
      <c r="S397" s="87"/>
      <c r="T397" s="87"/>
      <c r="U397" s="87"/>
      <c r="V397" s="87"/>
      <c r="W397" s="87"/>
      <c r="X397" s="87"/>
    </row>
    <row r="398" spans="12:24" x14ac:dyDescent="0.25">
      <c r="L398" s="87"/>
      <c r="M398" s="87"/>
      <c r="N398" s="87"/>
      <c r="O398" s="87"/>
      <c r="P398" s="87"/>
      <c r="Q398" s="87"/>
      <c r="S398" s="87"/>
      <c r="T398" s="87"/>
      <c r="U398" s="87"/>
      <c r="V398" s="87"/>
      <c r="W398" s="87"/>
      <c r="X398" s="87"/>
    </row>
    <row r="399" spans="12:24" x14ac:dyDescent="0.25">
      <c r="L399" s="87"/>
      <c r="M399" s="87"/>
      <c r="N399" s="87"/>
      <c r="O399" s="87"/>
      <c r="P399" s="87"/>
      <c r="Q399" s="87"/>
      <c r="S399" s="87"/>
      <c r="T399" s="87"/>
      <c r="U399" s="87"/>
      <c r="V399" s="87"/>
      <c r="W399" s="87"/>
      <c r="X399" s="87"/>
    </row>
    <row r="400" spans="12:24" x14ac:dyDescent="0.25">
      <c r="L400" s="87"/>
      <c r="M400" s="87"/>
      <c r="N400" s="87"/>
      <c r="O400" s="87"/>
      <c r="P400" s="87"/>
      <c r="Q400" s="87"/>
      <c r="S400" s="87"/>
      <c r="T400" s="87"/>
      <c r="U400" s="87"/>
      <c r="V400" s="87"/>
      <c r="W400" s="87"/>
      <c r="X400" s="87"/>
    </row>
    <row r="401" spans="12:24" x14ac:dyDescent="0.25">
      <c r="L401" s="87"/>
      <c r="M401" s="87"/>
      <c r="N401" s="87"/>
      <c r="O401" s="87"/>
      <c r="P401" s="87"/>
      <c r="Q401" s="87"/>
      <c r="S401" s="87"/>
      <c r="T401" s="87"/>
      <c r="U401" s="87"/>
      <c r="V401" s="87"/>
      <c r="W401" s="87"/>
      <c r="X401" s="87"/>
    </row>
    <row r="402" spans="12:24" x14ac:dyDescent="0.25">
      <c r="L402" s="87"/>
      <c r="M402" s="87"/>
      <c r="N402" s="87"/>
      <c r="O402" s="87"/>
      <c r="P402" s="87"/>
      <c r="Q402" s="87"/>
      <c r="S402" s="87"/>
      <c r="T402" s="87"/>
      <c r="U402" s="87"/>
      <c r="V402" s="87"/>
      <c r="W402" s="87"/>
      <c r="X402" s="87"/>
    </row>
    <row r="403" spans="12:24" x14ac:dyDescent="0.25">
      <c r="L403" s="87"/>
      <c r="M403" s="87"/>
      <c r="N403" s="87"/>
      <c r="O403" s="87"/>
      <c r="P403" s="87"/>
      <c r="Q403" s="87"/>
      <c r="S403" s="87"/>
      <c r="T403" s="87"/>
      <c r="U403" s="87"/>
      <c r="V403" s="87"/>
      <c r="W403" s="87"/>
      <c r="X403" s="87"/>
    </row>
    <row r="404" spans="12:24" x14ac:dyDescent="0.25">
      <c r="L404" s="87"/>
      <c r="M404" s="87"/>
      <c r="N404" s="87"/>
      <c r="O404" s="87"/>
      <c r="P404" s="87"/>
      <c r="Q404" s="87"/>
      <c r="S404" s="87"/>
      <c r="T404" s="87"/>
      <c r="U404" s="87"/>
      <c r="V404" s="87"/>
      <c r="W404" s="87"/>
      <c r="X404" s="87"/>
    </row>
    <row r="405" spans="12:24" x14ac:dyDescent="0.25">
      <c r="L405" s="87"/>
      <c r="M405" s="87"/>
      <c r="N405" s="87"/>
      <c r="O405" s="87"/>
      <c r="P405" s="87"/>
      <c r="Q405" s="87"/>
      <c r="S405" s="87"/>
      <c r="T405" s="87"/>
      <c r="U405" s="87"/>
      <c r="V405" s="87"/>
      <c r="W405" s="87"/>
      <c r="X405" s="87"/>
    </row>
    <row r="406" spans="12:24" x14ac:dyDescent="0.25">
      <c r="L406" s="87"/>
      <c r="M406" s="87"/>
      <c r="N406" s="87"/>
      <c r="O406" s="87"/>
      <c r="P406" s="87"/>
      <c r="Q406" s="87"/>
      <c r="S406" s="87"/>
      <c r="T406" s="87"/>
      <c r="U406" s="87"/>
      <c r="V406" s="87"/>
      <c r="W406" s="87"/>
      <c r="X406" s="87"/>
    </row>
    <row r="407" spans="12:24" x14ac:dyDescent="0.25">
      <c r="L407" s="87"/>
      <c r="M407" s="87"/>
      <c r="N407" s="87"/>
      <c r="O407" s="87"/>
      <c r="P407" s="87"/>
      <c r="Q407" s="87"/>
      <c r="S407" s="87"/>
      <c r="T407" s="87"/>
      <c r="U407" s="87"/>
      <c r="V407" s="87"/>
      <c r="W407" s="87"/>
      <c r="X407" s="87"/>
    </row>
    <row r="408" spans="12:24" x14ac:dyDescent="0.25">
      <c r="L408" s="87"/>
      <c r="M408" s="87"/>
      <c r="N408" s="87"/>
      <c r="O408" s="87"/>
      <c r="P408" s="87"/>
      <c r="Q408" s="87"/>
      <c r="S408" s="87"/>
      <c r="T408" s="87"/>
      <c r="U408" s="87"/>
      <c r="V408" s="87"/>
      <c r="W408" s="87"/>
      <c r="X408" s="87"/>
    </row>
    <row r="409" spans="12:24" x14ac:dyDescent="0.25">
      <c r="L409" s="87"/>
      <c r="M409" s="87"/>
      <c r="N409" s="87"/>
      <c r="O409" s="87"/>
      <c r="P409" s="87"/>
      <c r="Q409" s="87"/>
      <c r="S409" s="87"/>
      <c r="T409" s="87"/>
      <c r="U409" s="87"/>
      <c r="V409" s="87"/>
      <c r="W409" s="87"/>
      <c r="X409" s="87"/>
    </row>
    <row r="410" spans="12:24" x14ac:dyDescent="0.25">
      <c r="L410" s="87"/>
      <c r="M410" s="87"/>
      <c r="N410" s="87"/>
      <c r="O410" s="87"/>
      <c r="P410" s="87"/>
      <c r="Q410" s="87"/>
      <c r="S410" s="87"/>
      <c r="T410" s="87"/>
      <c r="U410" s="87"/>
      <c r="V410" s="87"/>
      <c r="W410" s="87"/>
      <c r="X410" s="87"/>
    </row>
    <row r="411" spans="12:24" x14ac:dyDescent="0.25">
      <c r="L411" s="87"/>
      <c r="M411" s="87"/>
      <c r="N411" s="87"/>
      <c r="O411" s="87"/>
      <c r="P411" s="87"/>
      <c r="Q411" s="87"/>
      <c r="S411" s="87"/>
      <c r="T411" s="87"/>
      <c r="U411" s="87"/>
      <c r="V411" s="87"/>
      <c r="W411" s="87"/>
      <c r="X411" s="87"/>
    </row>
    <row r="412" spans="12:24" x14ac:dyDescent="0.25">
      <c r="L412" s="87"/>
      <c r="M412" s="87"/>
      <c r="N412" s="87"/>
      <c r="O412" s="87"/>
      <c r="P412" s="87"/>
      <c r="Q412" s="87"/>
      <c r="S412" s="87"/>
      <c r="T412" s="87"/>
      <c r="U412" s="87"/>
      <c r="V412" s="87"/>
      <c r="W412" s="87"/>
      <c r="X412" s="87"/>
    </row>
    <row r="413" spans="12:24" x14ac:dyDescent="0.25">
      <c r="L413" s="87"/>
      <c r="M413" s="87"/>
      <c r="N413" s="87"/>
      <c r="O413" s="87"/>
      <c r="P413" s="87"/>
      <c r="Q413" s="87"/>
      <c r="S413" s="87"/>
      <c r="T413" s="87"/>
      <c r="U413" s="87"/>
      <c r="V413" s="87"/>
      <c r="W413" s="87"/>
      <c r="X413" s="87"/>
    </row>
    <row r="414" spans="12:24" x14ac:dyDescent="0.25">
      <c r="L414" s="87"/>
      <c r="M414" s="87"/>
      <c r="N414" s="87"/>
      <c r="O414" s="87"/>
      <c r="P414" s="87"/>
      <c r="Q414" s="87"/>
      <c r="S414" s="87"/>
      <c r="T414" s="87"/>
      <c r="U414" s="87"/>
      <c r="V414" s="87"/>
      <c r="W414" s="87"/>
      <c r="X414" s="87"/>
    </row>
    <row r="415" spans="12:24" x14ac:dyDescent="0.25">
      <c r="L415" s="87"/>
      <c r="M415" s="87"/>
      <c r="N415" s="87"/>
      <c r="O415" s="87"/>
      <c r="P415" s="87"/>
      <c r="Q415" s="87"/>
      <c r="S415" s="87"/>
      <c r="T415" s="87"/>
      <c r="U415" s="87"/>
      <c r="V415" s="87"/>
      <c r="W415" s="87"/>
      <c r="X415" s="87"/>
    </row>
    <row r="416" spans="12:24" x14ac:dyDescent="0.25">
      <c r="L416" s="87"/>
      <c r="M416" s="87"/>
      <c r="N416" s="87"/>
      <c r="O416" s="87"/>
      <c r="P416" s="87"/>
      <c r="Q416" s="87"/>
      <c r="S416" s="87"/>
      <c r="T416" s="87"/>
      <c r="U416" s="87"/>
      <c r="V416" s="87"/>
      <c r="W416" s="87"/>
      <c r="X416" s="87"/>
    </row>
    <row r="417" spans="12:24" x14ac:dyDescent="0.25">
      <c r="L417" s="87"/>
      <c r="M417" s="87"/>
      <c r="N417" s="87"/>
      <c r="O417" s="87"/>
      <c r="P417" s="87"/>
      <c r="Q417" s="87"/>
      <c r="S417" s="87"/>
      <c r="T417" s="87"/>
      <c r="U417" s="87"/>
      <c r="V417" s="87"/>
      <c r="W417" s="87"/>
      <c r="X417" s="87"/>
    </row>
    <row r="418" spans="12:24" x14ac:dyDescent="0.25">
      <c r="L418" s="87"/>
      <c r="M418" s="87"/>
      <c r="N418" s="87"/>
      <c r="O418" s="87"/>
      <c r="P418" s="87"/>
      <c r="Q418" s="87"/>
      <c r="S418" s="87"/>
      <c r="T418" s="87"/>
      <c r="U418" s="87"/>
      <c r="V418" s="87"/>
      <c r="W418" s="87"/>
      <c r="X418" s="87"/>
    </row>
    <row r="419" spans="12:24" x14ac:dyDescent="0.25">
      <c r="L419" s="87"/>
      <c r="M419" s="87"/>
      <c r="N419" s="87"/>
      <c r="O419" s="87"/>
      <c r="P419" s="87"/>
      <c r="Q419" s="87"/>
      <c r="S419" s="87"/>
      <c r="T419" s="87"/>
      <c r="U419" s="87"/>
      <c r="V419" s="87"/>
      <c r="W419" s="87"/>
      <c r="X419" s="87"/>
    </row>
    <row r="420" spans="12:24" x14ac:dyDescent="0.25">
      <c r="L420" s="87"/>
      <c r="M420" s="87"/>
      <c r="N420" s="87"/>
      <c r="O420" s="87"/>
      <c r="P420" s="87"/>
      <c r="Q420" s="87"/>
      <c r="S420" s="87"/>
      <c r="T420" s="87"/>
      <c r="U420" s="87"/>
      <c r="V420" s="87"/>
      <c r="W420" s="87"/>
      <c r="X420" s="87"/>
    </row>
    <row r="421" spans="12:24" x14ac:dyDescent="0.25">
      <c r="L421" s="87"/>
      <c r="M421" s="87"/>
      <c r="N421" s="87"/>
      <c r="O421" s="87"/>
      <c r="P421" s="87"/>
      <c r="Q421" s="87"/>
      <c r="S421" s="87"/>
      <c r="T421" s="87"/>
      <c r="U421" s="87"/>
      <c r="V421" s="87"/>
      <c r="W421" s="87"/>
      <c r="X421" s="87"/>
    </row>
    <row r="422" spans="12:24" x14ac:dyDescent="0.25">
      <c r="L422" s="87"/>
      <c r="M422" s="87"/>
      <c r="N422" s="87"/>
      <c r="O422" s="87"/>
      <c r="P422" s="87"/>
      <c r="Q422" s="87"/>
      <c r="S422" s="87"/>
      <c r="T422" s="87"/>
      <c r="U422" s="87"/>
      <c r="V422" s="87"/>
      <c r="W422" s="87"/>
      <c r="X422" s="87"/>
    </row>
    <row r="423" spans="12:24" x14ac:dyDescent="0.25">
      <c r="L423" s="87"/>
      <c r="M423" s="87"/>
      <c r="N423" s="87"/>
      <c r="O423" s="87"/>
      <c r="P423" s="87"/>
      <c r="Q423" s="87"/>
      <c r="S423" s="87"/>
      <c r="T423" s="87"/>
      <c r="U423" s="87"/>
      <c r="V423" s="87"/>
      <c r="W423" s="87"/>
      <c r="X423" s="87"/>
    </row>
    <row r="424" spans="12:24" x14ac:dyDescent="0.25">
      <c r="L424" s="87"/>
      <c r="M424" s="87"/>
      <c r="N424" s="87"/>
      <c r="O424" s="87"/>
      <c r="P424" s="87"/>
      <c r="Q424" s="87"/>
      <c r="S424" s="87"/>
      <c r="T424" s="87"/>
      <c r="U424" s="87"/>
      <c r="V424" s="87"/>
      <c r="W424" s="87"/>
      <c r="X424" s="87"/>
    </row>
    <row r="425" spans="12:24" x14ac:dyDescent="0.25">
      <c r="L425" s="87"/>
      <c r="M425" s="87"/>
      <c r="N425" s="87"/>
      <c r="O425" s="87"/>
      <c r="P425" s="87"/>
      <c r="Q425" s="87"/>
      <c r="S425" s="87"/>
      <c r="T425" s="87"/>
      <c r="U425" s="87"/>
      <c r="V425" s="87"/>
      <c r="W425" s="87"/>
      <c r="X425" s="87"/>
    </row>
    <row r="426" spans="12:24" x14ac:dyDescent="0.25">
      <c r="L426" s="87"/>
      <c r="M426" s="87"/>
      <c r="N426" s="87"/>
      <c r="O426" s="87"/>
      <c r="P426" s="87"/>
      <c r="Q426" s="87"/>
      <c r="S426" s="87"/>
      <c r="T426" s="87"/>
      <c r="U426" s="87"/>
      <c r="V426" s="87"/>
      <c r="W426" s="87"/>
      <c r="X426" s="87"/>
    </row>
    <row r="427" spans="12:24" x14ac:dyDescent="0.25">
      <c r="L427" s="87"/>
      <c r="M427" s="87"/>
      <c r="N427" s="87"/>
      <c r="O427" s="87"/>
      <c r="P427" s="87"/>
      <c r="Q427" s="87"/>
      <c r="S427" s="87"/>
      <c r="T427" s="87"/>
      <c r="U427" s="87"/>
      <c r="V427" s="87"/>
      <c r="W427" s="87"/>
      <c r="X427" s="87"/>
    </row>
    <row r="428" spans="12:24" x14ac:dyDescent="0.25">
      <c r="L428" s="87"/>
      <c r="M428" s="87"/>
      <c r="N428" s="87"/>
      <c r="O428" s="87"/>
      <c r="P428" s="87"/>
      <c r="Q428" s="87"/>
      <c r="S428" s="87"/>
      <c r="T428" s="87"/>
      <c r="U428" s="87"/>
      <c r="V428" s="87"/>
      <c r="W428" s="87"/>
      <c r="X428" s="87"/>
    </row>
    <row r="429" spans="12:24" x14ac:dyDescent="0.25">
      <c r="L429" s="87"/>
      <c r="M429" s="87"/>
      <c r="N429" s="87"/>
      <c r="O429" s="87"/>
      <c r="P429" s="87"/>
      <c r="Q429" s="87"/>
      <c r="S429" s="87"/>
      <c r="T429" s="87"/>
      <c r="U429" s="87"/>
      <c r="V429" s="87"/>
      <c r="W429" s="87"/>
      <c r="X429" s="87"/>
    </row>
    <row r="430" spans="12:24" x14ac:dyDescent="0.25">
      <c r="L430" s="87"/>
      <c r="M430" s="87"/>
      <c r="N430" s="87"/>
      <c r="O430" s="87"/>
      <c r="P430" s="87"/>
      <c r="Q430" s="87"/>
      <c r="S430" s="87"/>
      <c r="T430" s="87"/>
      <c r="U430" s="87"/>
      <c r="V430" s="87"/>
      <c r="W430" s="87"/>
      <c r="X430" s="87"/>
    </row>
    <row r="431" spans="12:24" x14ac:dyDescent="0.25">
      <c r="L431" s="87"/>
      <c r="M431" s="87"/>
      <c r="N431" s="87"/>
      <c r="O431" s="87"/>
      <c r="P431" s="87"/>
      <c r="Q431" s="87"/>
      <c r="S431" s="87"/>
      <c r="T431" s="87"/>
      <c r="U431" s="87"/>
      <c r="V431" s="87"/>
      <c r="W431" s="87"/>
      <c r="X431" s="87"/>
    </row>
    <row r="432" spans="12:24" x14ac:dyDescent="0.25">
      <c r="L432" s="87"/>
      <c r="M432" s="87"/>
      <c r="N432" s="87"/>
      <c r="O432" s="87"/>
      <c r="P432" s="87"/>
      <c r="Q432" s="87"/>
      <c r="S432" s="87"/>
      <c r="T432" s="87"/>
      <c r="U432" s="87"/>
      <c r="V432" s="87"/>
      <c r="W432" s="87"/>
      <c r="X432" s="87"/>
    </row>
    <row r="433" spans="12:24" x14ac:dyDescent="0.25">
      <c r="L433" s="87"/>
      <c r="M433" s="87"/>
      <c r="N433" s="87"/>
      <c r="O433" s="87"/>
      <c r="P433" s="87"/>
      <c r="Q433" s="87"/>
      <c r="S433" s="87"/>
      <c r="T433" s="87"/>
      <c r="U433" s="87"/>
      <c r="V433" s="87"/>
      <c r="W433" s="87"/>
      <c r="X433" s="87"/>
    </row>
    <row r="434" spans="12:24" x14ac:dyDescent="0.25">
      <c r="L434" s="87"/>
      <c r="M434" s="87"/>
      <c r="N434" s="87"/>
      <c r="O434" s="87"/>
      <c r="P434" s="87"/>
      <c r="Q434" s="87"/>
      <c r="S434" s="87"/>
      <c r="T434" s="87"/>
      <c r="U434" s="87"/>
      <c r="V434" s="87"/>
      <c r="W434" s="87"/>
      <c r="X434" s="87"/>
    </row>
    <row r="435" spans="12:24" x14ac:dyDescent="0.25">
      <c r="L435" s="87"/>
      <c r="M435" s="87"/>
      <c r="N435" s="87"/>
      <c r="O435" s="87"/>
      <c r="P435" s="87"/>
      <c r="Q435" s="87"/>
      <c r="S435" s="87"/>
      <c r="T435" s="87"/>
      <c r="U435" s="87"/>
      <c r="V435" s="87"/>
      <c r="W435" s="87"/>
      <c r="X435" s="87"/>
    </row>
    <row r="436" spans="12:24" x14ac:dyDescent="0.25">
      <c r="L436" s="87"/>
      <c r="M436" s="87"/>
      <c r="N436" s="87"/>
      <c r="O436" s="87"/>
      <c r="P436" s="87"/>
      <c r="Q436" s="87"/>
      <c r="S436" s="87"/>
      <c r="T436" s="87"/>
      <c r="U436" s="87"/>
      <c r="V436" s="87"/>
      <c r="W436" s="87"/>
      <c r="X436" s="87"/>
    </row>
    <row r="437" spans="12:24" x14ac:dyDescent="0.25">
      <c r="L437" s="87"/>
      <c r="M437" s="87"/>
      <c r="N437" s="87"/>
      <c r="O437" s="87"/>
      <c r="P437" s="87"/>
      <c r="Q437" s="87"/>
      <c r="S437" s="87"/>
      <c r="T437" s="87"/>
      <c r="U437" s="87"/>
      <c r="V437" s="87"/>
      <c r="W437" s="87"/>
      <c r="X437" s="87"/>
    </row>
    <row r="438" spans="12:24" x14ac:dyDescent="0.25">
      <c r="L438" s="87"/>
      <c r="M438" s="87"/>
      <c r="N438" s="87"/>
      <c r="O438" s="87"/>
      <c r="P438" s="87"/>
      <c r="Q438" s="87"/>
      <c r="S438" s="87"/>
      <c r="T438" s="87"/>
      <c r="U438" s="87"/>
      <c r="V438" s="87"/>
      <c r="W438" s="87"/>
      <c r="X438" s="87"/>
    </row>
    <row r="439" spans="12:24" x14ac:dyDescent="0.25">
      <c r="L439" s="87"/>
      <c r="M439" s="87"/>
      <c r="N439" s="87"/>
      <c r="O439" s="87"/>
      <c r="P439" s="87"/>
      <c r="Q439" s="87"/>
      <c r="S439" s="87"/>
      <c r="T439" s="87"/>
      <c r="U439" s="87"/>
      <c r="V439" s="87"/>
      <c r="W439" s="87"/>
      <c r="X439" s="87"/>
    </row>
    <row r="440" spans="12:24" x14ac:dyDescent="0.25">
      <c r="L440" s="87"/>
      <c r="M440" s="87"/>
      <c r="N440" s="87"/>
      <c r="O440" s="87"/>
      <c r="P440" s="87"/>
      <c r="Q440" s="87"/>
      <c r="S440" s="87"/>
      <c r="T440" s="87"/>
      <c r="U440" s="87"/>
      <c r="V440" s="87"/>
      <c r="W440" s="87"/>
      <c r="X440" s="87"/>
    </row>
    <row r="441" spans="12:24" x14ac:dyDescent="0.25">
      <c r="L441" s="87"/>
      <c r="M441" s="87"/>
      <c r="N441" s="87"/>
      <c r="O441" s="87"/>
      <c r="P441" s="87"/>
      <c r="Q441" s="87"/>
      <c r="S441" s="87"/>
      <c r="T441" s="87"/>
      <c r="U441" s="87"/>
      <c r="V441" s="87"/>
      <c r="W441" s="87"/>
      <c r="X441" s="87"/>
    </row>
    <row r="442" spans="12:24" x14ac:dyDescent="0.25">
      <c r="L442" s="87"/>
      <c r="M442" s="87"/>
      <c r="N442" s="87"/>
      <c r="O442" s="87"/>
      <c r="P442" s="87"/>
      <c r="Q442" s="87"/>
      <c r="S442" s="87"/>
      <c r="T442" s="87"/>
      <c r="U442" s="87"/>
      <c r="V442" s="87"/>
      <c r="W442" s="87"/>
      <c r="X442" s="87"/>
    </row>
    <row r="443" spans="12:24" x14ac:dyDescent="0.25">
      <c r="L443" s="87"/>
      <c r="M443" s="87"/>
      <c r="N443" s="87"/>
      <c r="O443" s="87"/>
      <c r="P443" s="87"/>
      <c r="Q443" s="87"/>
      <c r="S443" s="87"/>
      <c r="T443" s="87"/>
      <c r="U443" s="87"/>
      <c r="V443" s="87"/>
      <c r="W443" s="87"/>
      <c r="X443" s="87"/>
    </row>
    <row r="444" spans="12:24" x14ac:dyDescent="0.25">
      <c r="L444" s="87"/>
      <c r="M444" s="87"/>
      <c r="N444" s="87"/>
      <c r="O444" s="87"/>
      <c r="P444" s="87"/>
      <c r="Q444" s="87"/>
      <c r="S444" s="87"/>
      <c r="T444" s="87"/>
      <c r="U444" s="87"/>
      <c r="V444" s="87"/>
      <c r="W444" s="87"/>
      <c r="X444" s="87"/>
    </row>
    <row r="445" spans="12:24" x14ac:dyDescent="0.25">
      <c r="L445" s="87"/>
      <c r="M445" s="87"/>
      <c r="N445" s="87"/>
      <c r="O445" s="87"/>
      <c r="P445" s="87"/>
      <c r="Q445" s="87"/>
      <c r="S445" s="87"/>
      <c r="T445" s="87"/>
      <c r="U445" s="87"/>
      <c r="V445" s="87"/>
      <c r="W445" s="87"/>
      <c r="X445" s="87"/>
    </row>
    <row r="446" spans="12:24" x14ac:dyDescent="0.25">
      <c r="L446" s="87"/>
      <c r="M446" s="87"/>
      <c r="N446" s="87"/>
      <c r="O446" s="87"/>
      <c r="P446" s="87"/>
      <c r="Q446" s="87"/>
      <c r="S446" s="87"/>
      <c r="T446" s="87"/>
      <c r="U446" s="87"/>
      <c r="V446" s="87"/>
      <c r="W446" s="87"/>
      <c r="X446" s="87"/>
    </row>
    <row r="447" spans="12:24" x14ac:dyDescent="0.25">
      <c r="L447" s="87"/>
      <c r="M447" s="87"/>
      <c r="N447" s="87"/>
      <c r="O447" s="87"/>
      <c r="P447" s="87"/>
      <c r="Q447" s="87"/>
      <c r="S447" s="87"/>
      <c r="T447" s="87"/>
      <c r="U447" s="87"/>
      <c r="V447" s="87"/>
      <c r="W447" s="87"/>
      <c r="X447" s="87"/>
    </row>
    <row r="448" spans="12:24" x14ac:dyDescent="0.25">
      <c r="L448" s="87"/>
      <c r="M448" s="87"/>
      <c r="N448" s="87"/>
      <c r="O448" s="87"/>
      <c r="P448" s="87"/>
      <c r="Q448" s="87"/>
      <c r="S448" s="87"/>
      <c r="T448" s="87"/>
      <c r="U448" s="87"/>
      <c r="V448" s="87"/>
      <c r="W448" s="87"/>
      <c r="X448" s="87"/>
    </row>
    <row r="449" spans="12:24" x14ac:dyDescent="0.25">
      <c r="L449" s="87"/>
      <c r="M449" s="87"/>
      <c r="N449" s="87"/>
      <c r="O449" s="87"/>
      <c r="P449" s="87"/>
      <c r="Q449" s="87"/>
      <c r="S449" s="87"/>
      <c r="T449" s="87"/>
      <c r="U449" s="87"/>
      <c r="V449" s="87"/>
      <c r="W449" s="87"/>
      <c r="X449" s="87"/>
    </row>
    <row r="450" spans="12:24" x14ac:dyDescent="0.25">
      <c r="L450" s="87"/>
      <c r="M450" s="87"/>
      <c r="N450" s="87"/>
      <c r="O450" s="87"/>
      <c r="P450" s="87"/>
      <c r="Q450" s="87"/>
      <c r="S450" s="87"/>
      <c r="T450" s="87"/>
      <c r="U450" s="87"/>
      <c r="V450" s="87"/>
      <c r="W450" s="87"/>
      <c r="X450" s="87"/>
    </row>
    <row r="451" spans="12:24" x14ac:dyDescent="0.25">
      <c r="L451" s="87"/>
      <c r="M451" s="87"/>
      <c r="N451" s="87"/>
      <c r="O451" s="87"/>
      <c r="P451" s="87"/>
      <c r="Q451" s="87"/>
      <c r="S451" s="87"/>
      <c r="T451" s="87"/>
      <c r="U451" s="87"/>
      <c r="V451" s="87"/>
      <c r="W451" s="87"/>
      <c r="X451" s="87"/>
    </row>
    <row r="452" spans="12:24" x14ac:dyDescent="0.25">
      <c r="L452" s="87"/>
      <c r="M452" s="87"/>
      <c r="N452" s="87"/>
      <c r="O452" s="87"/>
      <c r="P452" s="87"/>
      <c r="Q452" s="87"/>
      <c r="S452" s="87"/>
      <c r="T452" s="87"/>
      <c r="U452" s="87"/>
      <c r="V452" s="87"/>
      <c r="W452" s="87"/>
      <c r="X452" s="87"/>
    </row>
    <row r="453" spans="12:24" x14ac:dyDescent="0.25">
      <c r="L453" s="87"/>
      <c r="M453" s="87"/>
      <c r="N453" s="87"/>
      <c r="O453" s="87"/>
      <c r="P453" s="87"/>
      <c r="Q453" s="87"/>
      <c r="S453" s="87"/>
      <c r="T453" s="87"/>
      <c r="U453" s="87"/>
      <c r="V453" s="87"/>
      <c r="W453" s="87"/>
      <c r="X453" s="87"/>
    </row>
    <row r="454" spans="12:24" x14ac:dyDescent="0.25">
      <c r="L454" s="87"/>
      <c r="M454" s="87"/>
      <c r="N454" s="87"/>
      <c r="O454" s="87"/>
      <c r="P454" s="87"/>
      <c r="Q454" s="87"/>
      <c r="S454" s="87"/>
      <c r="T454" s="87"/>
      <c r="U454" s="87"/>
      <c r="V454" s="87"/>
      <c r="W454" s="87"/>
      <c r="X454" s="87"/>
    </row>
    <row r="455" spans="12:24" x14ac:dyDescent="0.25">
      <c r="L455" s="87"/>
      <c r="M455" s="87"/>
      <c r="N455" s="87"/>
      <c r="O455" s="87"/>
      <c r="P455" s="87"/>
      <c r="Q455" s="87"/>
      <c r="S455" s="87"/>
      <c r="T455" s="87"/>
      <c r="U455" s="87"/>
      <c r="V455" s="87"/>
      <c r="W455" s="87"/>
      <c r="X455" s="87"/>
    </row>
    <row r="456" spans="12:24" x14ac:dyDescent="0.25">
      <c r="L456" s="87"/>
      <c r="M456" s="87"/>
      <c r="N456" s="87"/>
      <c r="O456" s="87"/>
      <c r="P456" s="87"/>
      <c r="Q456" s="87"/>
      <c r="S456" s="87"/>
      <c r="T456" s="87"/>
      <c r="U456" s="87"/>
      <c r="V456" s="87"/>
      <c r="W456" s="87"/>
      <c r="X456" s="87"/>
    </row>
    <row r="457" spans="12:24" x14ac:dyDescent="0.25">
      <c r="L457" s="87"/>
      <c r="M457" s="87"/>
      <c r="N457" s="87"/>
      <c r="O457" s="87"/>
      <c r="P457" s="87"/>
      <c r="Q457" s="87"/>
      <c r="S457" s="87"/>
      <c r="T457" s="87"/>
      <c r="U457" s="87"/>
      <c r="V457" s="87"/>
      <c r="W457" s="87"/>
      <c r="X457" s="87"/>
    </row>
    <row r="458" spans="12:24" x14ac:dyDescent="0.25">
      <c r="L458" s="87"/>
      <c r="M458" s="87"/>
      <c r="N458" s="87"/>
      <c r="O458" s="87"/>
      <c r="P458" s="87"/>
      <c r="Q458" s="87"/>
      <c r="S458" s="87"/>
      <c r="T458" s="87"/>
      <c r="U458" s="87"/>
      <c r="V458" s="87"/>
      <c r="W458" s="87"/>
      <c r="X458" s="87"/>
    </row>
    <row r="459" spans="12:24" x14ac:dyDescent="0.25">
      <c r="L459" s="87"/>
      <c r="M459" s="87"/>
      <c r="N459" s="87"/>
      <c r="O459" s="87"/>
      <c r="P459" s="87"/>
      <c r="Q459" s="87"/>
      <c r="S459" s="87"/>
      <c r="T459" s="87"/>
      <c r="U459" s="87"/>
      <c r="V459" s="87"/>
      <c r="W459" s="87"/>
      <c r="X459" s="87"/>
    </row>
    <row r="460" spans="12:24" x14ac:dyDescent="0.25">
      <c r="L460" s="87"/>
      <c r="M460" s="87"/>
      <c r="N460" s="87"/>
      <c r="O460" s="87"/>
      <c r="P460" s="87"/>
      <c r="Q460" s="87"/>
      <c r="S460" s="87"/>
      <c r="T460" s="87"/>
      <c r="U460" s="87"/>
      <c r="V460" s="87"/>
      <c r="W460" s="87"/>
      <c r="X460" s="87"/>
    </row>
    <row r="461" spans="12:24" x14ac:dyDescent="0.25">
      <c r="L461" s="87"/>
      <c r="M461" s="87"/>
      <c r="N461" s="87"/>
      <c r="O461" s="87"/>
      <c r="P461" s="87"/>
      <c r="Q461" s="87"/>
      <c r="S461" s="87"/>
      <c r="T461" s="87"/>
      <c r="U461" s="87"/>
      <c r="V461" s="87"/>
      <c r="W461" s="87"/>
      <c r="X461" s="87"/>
    </row>
    <row r="462" spans="12:24" x14ac:dyDescent="0.25">
      <c r="L462" s="87"/>
      <c r="M462" s="87"/>
      <c r="N462" s="87"/>
      <c r="O462" s="87"/>
      <c r="P462" s="87"/>
      <c r="Q462" s="87"/>
      <c r="S462" s="87"/>
      <c r="T462" s="87"/>
      <c r="U462" s="87"/>
      <c r="V462" s="87"/>
      <c r="W462" s="87"/>
      <c r="X462" s="87"/>
    </row>
    <row r="463" spans="12:24" x14ac:dyDescent="0.25">
      <c r="L463" s="87"/>
      <c r="M463" s="87"/>
      <c r="N463" s="87"/>
      <c r="O463" s="87"/>
      <c r="P463" s="87"/>
      <c r="Q463" s="87"/>
      <c r="S463" s="87"/>
      <c r="T463" s="87"/>
      <c r="U463" s="87"/>
      <c r="V463" s="87"/>
      <c r="W463" s="87"/>
      <c r="X463" s="87"/>
    </row>
    <row r="464" spans="12:24" x14ac:dyDescent="0.25">
      <c r="L464" s="87"/>
      <c r="M464" s="87"/>
      <c r="N464" s="87"/>
      <c r="O464" s="87"/>
      <c r="P464" s="87"/>
      <c r="Q464" s="87"/>
      <c r="S464" s="87"/>
      <c r="T464" s="87"/>
      <c r="U464" s="87"/>
      <c r="V464" s="87"/>
      <c r="W464" s="87"/>
      <c r="X464" s="87"/>
    </row>
    <row r="465" spans="12:24" x14ac:dyDescent="0.25">
      <c r="L465" s="87"/>
      <c r="M465" s="87"/>
      <c r="N465" s="87"/>
      <c r="O465" s="87"/>
      <c r="P465" s="87"/>
      <c r="Q465" s="87"/>
      <c r="S465" s="87"/>
      <c r="T465" s="87"/>
      <c r="U465" s="87"/>
      <c r="V465" s="87"/>
      <c r="W465" s="87"/>
      <c r="X465" s="87"/>
    </row>
    <row r="466" spans="12:24" x14ac:dyDescent="0.25">
      <c r="L466" s="87"/>
      <c r="M466" s="87"/>
      <c r="N466" s="87"/>
      <c r="O466" s="87"/>
      <c r="P466" s="87"/>
      <c r="Q466" s="87"/>
      <c r="S466" s="87"/>
      <c r="T466" s="87"/>
      <c r="U466" s="87"/>
      <c r="V466" s="87"/>
      <c r="W466" s="87"/>
      <c r="X466" s="87"/>
    </row>
    <row r="467" spans="12:24" x14ac:dyDescent="0.25">
      <c r="L467" s="87"/>
      <c r="M467" s="87"/>
      <c r="N467" s="87"/>
      <c r="O467" s="87"/>
      <c r="P467" s="87"/>
      <c r="Q467" s="87"/>
      <c r="S467" s="87"/>
      <c r="T467" s="87"/>
      <c r="U467" s="87"/>
      <c r="V467" s="87"/>
      <c r="W467" s="87"/>
      <c r="X467" s="87"/>
    </row>
    <row r="468" spans="12:24" x14ac:dyDescent="0.25">
      <c r="L468" s="87"/>
      <c r="M468" s="87"/>
      <c r="N468" s="87"/>
      <c r="O468" s="87"/>
      <c r="P468" s="87"/>
      <c r="Q468" s="87"/>
      <c r="S468" s="87"/>
      <c r="T468" s="87"/>
      <c r="U468" s="87"/>
      <c r="V468" s="87"/>
      <c r="W468" s="87"/>
      <c r="X468" s="87"/>
    </row>
    <row r="469" spans="12:24" x14ac:dyDescent="0.25">
      <c r="L469" s="87"/>
      <c r="M469" s="87"/>
      <c r="N469" s="87"/>
      <c r="O469" s="87"/>
      <c r="P469" s="87"/>
      <c r="Q469" s="87"/>
      <c r="S469" s="87"/>
      <c r="T469" s="87"/>
      <c r="U469" s="87"/>
      <c r="V469" s="87"/>
      <c r="W469" s="87"/>
      <c r="X469" s="87"/>
    </row>
    <row r="470" spans="12:24" x14ac:dyDescent="0.25">
      <c r="L470" s="87"/>
      <c r="M470" s="87"/>
      <c r="N470" s="87"/>
      <c r="O470" s="87"/>
      <c r="P470" s="87"/>
      <c r="Q470" s="87"/>
      <c r="S470" s="87"/>
      <c r="T470" s="87"/>
      <c r="U470" s="87"/>
      <c r="V470" s="87"/>
      <c r="W470" s="87"/>
      <c r="X470" s="87"/>
    </row>
    <row r="471" spans="12:24" x14ac:dyDescent="0.25">
      <c r="L471" s="87"/>
      <c r="M471" s="87"/>
      <c r="N471" s="87"/>
      <c r="O471" s="87"/>
      <c r="P471" s="87"/>
      <c r="Q471" s="87"/>
      <c r="S471" s="87"/>
      <c r="T471" s="87"/>
      <c r="U471" s="87"/>
      <c r="V471" s="87"/>
      <c r="W471" s="87"/>
      <c r="X471" s="87"/>
    </row>
    <row r="472" spans="12:24" x14ac:dyDescent="0.25">
      <c r="L472" s="87"/>
      <c r="M472" s="87"/>
      <c r="N472" s="87"/>
      <c r="O472" s="87"/>
      <c r="P472" s="87"/>
      <c r="Q472" s="87"/>
      <c r="S472" s="87"/>
      <c r="T472" s="87"/>
      <c r="U472" s="87"/>
      <c r="V472" s="87"/>
      <c r="W472" s="87"/>
      <c r="X472" s="87"/>
    </row>
    <row r="473" spans="12:24" x14ac:dyDescent="0.25">
      <c r="L473" s="87"/>
      <c r="M473" s="87"/>
      <c r="N473" s="87"/>
      <c r="O473" s="87"/>
      <c r="P473" s="87"/>
      <c r="Q473" s="87"/>
      <c r="S473" s="87"/>
      <c r="T473" s="87"/>
      <c r="U473" s="87"/>
      <c r="V473" s="87"/>
      <c r="W473" s="87"/>
      <c r="X473" s="87"/>
    </row>
    <row r="474" spans="12:24" x14ac:dyDescent="0.25">
      <c r="L474" s="87"/>
      <c r="M474" s="87"/>
      <c r="N474" s="87"/>
      <c r="O474" s="87"/>
      <c r="P474" s="87"/>
      <c r="Q474" s="87"/>
      <c r="S474" s="87"/>
      <c r="T474" s="87"/>
      <c r="U474" s="87"/>
      <c r="V474" s="87"/>
      <c r="W474" s="87"/>
      <c r="X474" s="87"/>
    </row>
    <row r="475" spans="12:24" x14ac:dyDescent="0.25">
      <c r="L475" s="87"/>
      <c r="M475" s="87"/>
      <c r="N475" s="87"/>
      <c r="O475" s="87"/>
      <c r="P475" s="87"/>
      <c r="Q475" s="87"/>
      <c r="S475" s="87"/>
      <c r="T475" s="87"/>
      <c r="U475" s="87"/>
      <c r="V475" s="87"/>
      <c r="W475" s="87"/>
      <c r="X475" s="87"/>
    </row>
    <row r="476" spans="12:24" x14ac:dyDescent="0.25">
      <c r="L476" s="87"/>
      <c r="M476" s="87"/>
      <c r="N476" s="87"/>
      <c r="O476" s="87"/>
      <c r="P476" s="87"/>
      <c r="Q476" s="87"/>
      <c r="S476" s="87"/>
      <c r="T476" s="87"/>
      <c r="U476" s="87"/>
      <c r="V476" s="87"/>
      <c r="W476" s="87"/>
      <c r="X476" s="87"/>
    </row>
    <row r="477" spans="12:24" x14ac:dyDescent="0.25">
      <c r="L477" s="87"/>
      <c r="M477" s="87"/>
      <c r="N477" s="87"/>
      <c r="O477" s="87"/>
      <c r="P477" s="87"/>
      <c r="Q477" s="87"/>
      <c r="S477" s="87"/>
      <c r="T477" s="87"/>
      <c r="U477" s="87"/>
      <c r="V477" s="87"/>
      <c r="W477" s="87"/>
      <c r="X477" s="87"/>
    </row>
    <row r="478" spans="12:24" x14ac:dyDescent="0.25">
      <c r="L478" s="87"/>
      <c r="M478" s="87"/>
      <c r="N478" s="87"/>
      <c r="O478" s="87"/>
      <c r="P478" s="87"/>
      <c r="Q478" s="87"/>
      <c r="S478" s="87"/>
      <c r="T478" s="87"/>
      <c r="U478" s="87"/>
      <c r="V478" s="87"/>
      <c r="W478" s="87"/>
      <c r="X478" s="87"/>
    </row>
    <row r="479" spans="12:24" x14ac:dyDescent="0.25">
      <c r="L479" s="87"/>
      <c r="M479" s="87"/>
      <c r="N479" s="87"/>
      <c r="O479" s="87"/>
      <c r="P479" s="87"/>
      <c r="Q479" s="87"/>
      <c r="S479" s="87"/>
      <c r="T479" s="87"/>
      <c r="U479" s="87"/>
      <c r="V479" s="87"/>
      <c r="W479" s="87"/>
      <c r="X479" s="87"/>
    </row>
    <row r="480" spans="12:24" x14ac:dyDescent="0.25">
      <c r="L480" s="87"/>
      <c r="M480" s="87"/>
      <c r="N480" s="87"/>
      <c r="O480" s="87"/>
      <c r="P480" s="87"/>
      <c r="Q480" s="87"/>
      <c r="S480" s="87"/>
      <c r="T480" s="87"/>
      <c r="U480" s="87"/>
      <c r="V480" s="87"/>
      <c r="W480" s="87"/>
      <c r="X480" s="87"/>
    </row>
    <row r="481" spans="12:24" x14ac:dyDescent="0.25">
      <c r="L481" s="87"/>
      <c r="M481" s="87"/>
      <c r="N481" s="87"/>
      <c r="O481" s="87"/>
      <c r="P481" s="87"/>
      <c r="Q481" s="87"/>
      <c r="S481" s="87"/>
      <c r="T481" s="87"/>
      <c r="U481" s="87"/>
      <c r="V481" s="87"/>
      <c r="W481" s="87"/>
      <c r="X481" s="87"/>
    </row>
    <row r="482" spans="12:24" x14ac:dyDescent="0.25">
      <c r="L482" s="87"/>
      <c r="M482" s="87"/>
      <c r="N482" s="87"/>
      <c r="O482" s="87"/>
      <c r="P482" s="87"/>
      <c r="Q482" s="87"/>
      <c r="S482" s="87"/>
      <c r="T482" s="87"/>
      <c r="U482" s="87"/>
      <c r="V482" s="87"/>
      <c r="W482" s="87"/>
      <c r="X482" s="87"/>
    </row>
    <row r="483" spans="12:24" x14ac:dyDescent="0.25">
      <c r="L483" s="87"/>
      <c r="M483" s="87"/>
      <c r="N483" s="87"/>
      <c r="O483" s="87"/>
      <c r="P483" s="87"/>
      <c r="Q483" s="87"/>
      <c r="S483" s="87"/>
      <c r="T483" s="87"/>
      <c r="U483" s="87"/>
      <c r="V483" s="87"/>
      <c r="W483" s="87"/>
      <c r="X483" s="87"/>
    </row>
    <row r="484" spans="12:24" x14ac:dyDescent="0.25">
      <c r="L484" s="87"/>
      <c r="M484" s="87"/>
      <c r="N484" s="87"/>
      <c r="O484" s="87"/>
      <c r="P484" s="87"/>
      <c r="Q484" s="87"/>
      <c r="S484" s="87"/>
      <c r="T484" s="87"/>
      <c r="U484" s="87"/>
      <c r="V484" s="87"/>
      <c r="W484" s="87"/>
      <c r="X484" s="87"/>
    </row>
    <row r="485" spans="12:24" x14ac:dyDescent="0.25">
      <c r="L485" s="87"/>
      <c r="M485" s="87"/>
      <c r="N485" s="87"/>
      <c r="O485" s="87"/>
      <c r="P485" s="87"/>
      <c r="Q485" s="87"/>
      <c r="S485" s="87"/>
      <c r="T485" s="87"/>
      <c r="U485" s="87"/>
      <c r="V485" s="87"/>
      <c r="W485" s="87"/>
      <c r="X485" s="87"/>
    </row>
    <row r="486" spans="12:24" x14ac:dyDescent="0.25">
      <c r="L486" s="87"/>
      <c r="M486" s="87"/>
      <c r="N486" s="87"/>
      <c r="O486" s="87"/>
      <c r="P486" s="87"/>
      <c r="Q486" s="87"/>
      <c r="S486" s="87"/>
      <c r="T486" s="87"/>
      <c r="U486" s="87"/>
      <c r="V486" s="87"/>
      <c r="W486" s="87"/>
      <c r="X486" s="87"/>
    </row>
    <row r="487" spans="12:24" x14ac:dyDescent="0.25">
      <c r="L487" s="87"/>
      <c r="M487" s="87"/>
      <c r="N487" s="87"/>
      <c r="O487" s="87"/>
      <c r="P487" s="87"/>
      <c r="Q487" s="87"/>
      <c r="S487" s="87"/>
      <c r="T487" s="87"/>
      <c r="U487" s="87"/>
      <c r="V487" s="87"/>
      <c r="W487" s="87"/>
      <c r="X487" s="87"/>
    </row>
    <row r="488" spans="12:24" x14ac:dyDescent="0.25">
      <c r="L488" s="87"/>
      <c r="M488" s="87"/>
      <c r="N488" s="87"/>
      <c r="O488" s="87"/>
      <c r="P488" s="87"/>
      <c r="Q488" s="87"/>
      <c r="S488" s="87"/>
      <c r="T488" s="87"/>
      <c r="U488" s="87"/>
      <c r="V488" s="87"/>
      <c r="W488" s="87"/>
      <c r="X488" s="87"/>
    </row>
    <row r="489" spans="12:24" x14ac:dyDescent="0.25">
      <c r="L489" s="87"/>
      <c r="M489" s="87"/>
      <c r="N489" s="87"/>
      <c r="O489" s="87"/>
      <c r="P489" s="87"/>
      <c r="Q489" s="87"/>
      <c r="S489" s="87"/>
      <c r="T489" s="87"/>
      <c r="U489" s="87"/>
      <c r="V489" s="87"/>
      <c r="W489" s="87"/>
      <c r="X489" s="87"/>
    </row>
    <row r="490" spans="12:24" x14ac:dyDescent="0.25">
      <c r="L490" s="87"/>
      <c r="M490" s="87"/>
      <c r="N490" s="87"/>
      <c r="O490" s="87"/>
      <c r="P490" s="87"/>
      <c r="Q490" s="87"/>
      <c r="S490" s="87"/>
      <c r="T490" s="87"/>
      <c r="U490" s="87"/>
      <c r="V490" s="87"/>
      <c r="W490" s="87"/>
      <c r="X490" s="87"/>
    </row>
    <row r="491" spans="12:24" x14ac:dyDescent="0.25">
      <c r="L491" s="87"/>
      <c r="M491" s="87"/>
      <c r="N491" s="87"/>
      <c r="O491" s="87"/>
      <c r="P491" s="87"/>
      <c r="Q491" s="87"/>
      <c r="S491" s="87"/>
      <c r="T491" s="87"/>
      <c r="U491" s="87"/>
      <c r="V491" s="87"/>
      <c r="W491" s="87"/>
      <c r="X491" s="87"/>
    </row>
    <row r="492" spans="12:24" x14ac:dyDescent="0.25">
      <c r="L492" s="87"/>
      <c r="M492" s="87"/>
      <c r="N492" s="87"/>
      <c r="O492" s="87"/>
      <c r="P492" s="87"/>
      <c r="Q492" s="87"/>
      <c r="S492" s="87"/>
      <c r="T492" s="87"/>
      <c r="U492" s="87"/>
      <c r="V492" s="87"/>
      <c r="W492" s="87"/>
      <c r="X492" s="87"/>
    </row>
    <row r="493" spans="12:24" x14ac:dyDescent="0.25">
      <c r="L493" s="87"/>
      <c r="M493" s="87"/>
      <c r="N493" s="87"/>
      <c r="O493" s="87"/>
      <c r="P493" s="87"/>
      <c r="Q493" s="87"/>
      <c r="S493" s="87"/>
      <c r="T493" s="87"/>
      <c r="U493" s="87"/>
      <c r="V493" s="87"/>
      <c r="W493" s="87"/>
      <c r="X493" s="87"/>
    </row>
    <row r="494" spans="12:24" x14ac:dyDescent="0.25">
      <c r="L494" s="87"/>
      <c r="M494" s="87"/>
      <c r="N494" s="87"/>
      <c r="O494" s="87"/>
      <c r="P494" s="87"/>
      <c r="Q494" s="87"/>
      <c r="S494" s="87"/>
      <c r="T494" s="87"/>
      <c r="U494" s="87"/>
      <c r="V494" s="87"/>
      <c r="W494" s="87"/>
      <c r="X494" s="87"/>
    </row>
    <row r="495" spans="12:24" x14ac:dyDescent="0.25">
      <c r="L495" s="87"/>
      <c r="M495" s="87"/>
      <c r="N495" s="87"/>
      <c r="O495" s="87"/>
      <c r="P495" s="87"/>
      <c r="Q495" s="87"/>
      <c r="S495" s="87"/>
      <c r="T495" s="87"/>
      <c r="U495" s="87"/>
      <c r="V495" s="87"/>
      <c r="W495" s="87"/>
      <c r="X495" s="87"/>
    </row>
    <row r="496" spans="12:24" x14ac:dyDescent="0.25">
      <c r="L496" s="87"/>
      <c r="M496" s="87"/>
      <c r="N496" s="87"/>
      <c r="O496" s="87"/>
      <c r="P496" s="87"/>
      <c r="Q496" s="87"/>
      <c r="S496" s="87"/>
      <c r="T496" s="87"/>
      <c r="U496" s="87"/>
      <c r="V496" s="87"/>
      <c r="W496" s="87"/>
      <c r="X496" s="87"/>
    </row>
    <row r="497" spans="12:24" x14ac:dyDescent="0.25">
      <c r="L497" s="87"/>
      <c r="M497" s="87"/>
      <c r="N497" s="87"/>
      <c r="O497" s="87"/>
      <c r="P497" s="87"/>
      <c r="Q497" s="87"/>
      <c r="S497" s="87"/>
      <c r="T497" s="87"/>
      <c r="U497" s="87"/>
      <c r="V497" s="87"/>
      <c r="W497" s="87"/>
      <c r="X497" s="87"/>
    </row>
    <row r="498" spans="12:24" x14ac:dyDescent="0.25">
      <c r="L498" s="87"/>
      <c r="M498" s="87"/>
      <c r="N498" s="87"/>
      <c r="O498" s="87"/>
      <c r="P498" s="87"/>
      <c r="Q498" s="87"/>
      <c r="S498" s="87"/>
      <c r="T498" s="87"/>
      <c r="U498" s="87"/>
      <c r="V498" s="87"/>
      <c r="W498" s="87"/>
      <c r="X498" s="87"/>
    </row>
    <row r="499" spans="12:24" x14ac:dyDescent="0.25">
      <c r="L499" s="87"/>
      <c r="M499" s="87"/>
      <c r="N499" s="87"/>
      <c r="O499" s="87"/>
      <c r="P499" s="87"/>
      <c r="Q499" s="87"/>
      <c r="S499" s="87"/>
      <c r="T499" s="87"/>
      <c r="U499" s="87"/>
      <c r="V499" s="87"/>
      <c r="W499" s="87"/>
      <c r="X499" s="87"/>
    </row>
    <row r="500" spans="12:24" x14ac:dyDescent="0.25">
      <c r="L500" s="87"/>
      <c r="M500" s="87"/>
      <c r="N500" s="87"/>
      <c r="O500" s="87"/>
      <c r="P500" s="87"/>
      <c r="Q500" s="87"/>
      <c r="S500" s="87"/>
      <c r="T500" s="87"/>
      <c r="U500" s="87"/>
      <c r="V500" s="87"/>
      <c r="W500" s="87"/>
      <c r="X500" s="87"/>
    </row>
    <row r="501" spans="12:24" x14ac:dyDescent="0.25">
      <c r="L501" s="87"/>
      <c r="M501" s="87"/>
      <c r="N501" s="87"/>
      <c r="O501" s="87"/>
      <c r="P501" s="87"/>
      <c r="Q501" s="87"/>
      <c r="S501" s="87"/>
      <c r="T501" s="87"/>
      <c r="U501" s="87"/>
      <c r="V501" s="87"/>
      <c r="W501" s="87"/>
      <c r="X501" s="87"/>
    </row>
    <row r="502" spans="12:24" x14ac:dyDescent="0.25">
      <c r="L502" s="87"/>
      <c r="M502" s="87"/>
      <c r="N502" s="87"/>
      <c r="O502" s="87"/>
      <c r="P502" s="87"/>
      <c r="Q502" s="87"/>
      <c r="S502" s="87"/>
      <c r="T502" s="87"/>
      <c r="U502" s="87"/>
      <c r="V502" s="87"/>
      <c r="W502" s="87"/>
      <c r="X502" s="87"/>
    </row>
    <row r="503" spans="12:24" x14ac:dyDescent="0.25">
      <c r="L503" s="87"/>
      <c r="M503" s="87"/>
      <c r="N503" s="87"/>
      <c r="O503" s="87"/>
      <c r="P503" s="87"/>
      <c r="Q503" s="87"/>
      <c r="S503" s="87"/>
      <c r="T503" s="87"/>
      <c r="U503" s="87"/>
      <c r="V503" s="87"/>
      <c r="W503" s="87"/>
      <c r="X503" s="87"/>
    </row>
    <row r="504" spans="12:24" x14ac:dyDescent="0.25">
      <c r="L504" s="87"/>
      <c r="M504" s="87"/>
      <c r="N504" s="87"/>
      <c r="O504" s="87"/>
      <c r="P504" s="87"/>
      <c r="Q504" s="87"/>
      <c r="S504" s="87"/>
      <c r="T504" s="87"/>
      <c r="U504" s="87"/>
      <c r="V504" s="87"/>
      <c r="W504" s="87"/>
      <c r="X504" s="87"/>
    </row>
    <row r="505" spans="12:24" x14ac:dyDescent="0.25">
      <c r="L505" s="87"/>
      <c r="M505" s="87"/>
      <c r="N505" s="87"/>
      <c r="O505" s="87"/>
      <c r="P505" s="87"/>
      <c r="Q505" s="87"/>
      <c r="S505" s="87"/>
      <c r="T505" s="87"/>
      <c r="U505" s="87"/>
      <c r="V505" s="87"/>
      <c r="W505" s="87"/>
      <c r="X505" s="87"/>
    </row>
    <row r="506" spans="12:24" x14ac:dyDescent="0.25">
      <c r="L506" s="87"/>
      <c r="M506" s="87"/>
      <c r="N506" s="87"/>
      <c r="O506" s="87"/>
      <c r="P506" s="87"/>
      <c r="Q506" s="87"/>
      <c r="S506" s="87"/>
      <c r="T506" s="87"/>
      <c r="U506" s="87"/>
      <c r="V506" s="87"/>
      <c r="W506" s="87"/>
      <c r="X506" s="87"/>
    </row>
    <row r="507" spans="12:24" x14ac:dyDescent="0.25">
      <c r="L507" s="87"/>
      <c r="M507" s="87"/>
      <c r="N507" s="87"/>
      <c r="O507" s="87"/>
      <c r="P507" s="87"/>
      <c r="Q507" s="87"/>
      <c r="S507" s="87"/>
      <c r="T507" s="87"/>
      <c r="U507" s="87"/>
      <c r="V507" s="87"/>
      <c r="W507" s="87"/>
      <c r="X507" s="87"/>
    </row>
    <row r="508" spans="12:24" x14ac:dyDescent="0.25">
      <c r="L508" s="87"/>
      <c r="M508" s="87"/>
      <c r="N508" s="87"/>
      <c r="O508" s="87"/>
      <c r="P508" s="87"/>
      <c r="Q508" s="87"/>
      <c r="S508" s="87"/>
      <c r="T508" s="87"/>
      <c r="U508" s="87"/>
      <c r="V508" s="87"/>
      <c r="W508" s="87"/>
      <c r="X508" s="87"/>
    </row>
    <row r="509" spans="12:24" x14ac:dyDescent="0.25">
      <c r="L509" s="87"/>
      <c r="M509" s="87"/>
      <c r="N509" s="87"/>
      <c r="O509" s="87"/>
      <c r="P509" s="87"/>
      <c r="Q509" s="87"/>
      <c r="S509" s="87"/>
      <c r="T509" s="87"/>
      <c r="U509" s="87"/>
      <c r="V509" s="87"/>
      <c r="W509" s="87"/>
      <c r="X509" s="87"/>
    </row>
    <row r="510" spans="12:24" x14ac:dyDescent="0.25">
      <c r="L510" s="87"/>
      <c r="M510" s="87"/>
      <c r="N510" s="87"/>
      <c r="O510" s="87"/>
      <c r="P510" s="87"/>
      <c r="Q510" s="87"/>
      <c r="S510" s="87"/>
      <c r="T510" s="87"/>
      <c r="U510" s="87"/>
      <c r="V510" s="87"/>
      <c r="W510" s="87"/>
      <c r="X510" s="87"/>
    </row>
    <row r="511" spans="12:24" x14ac:dyDescent="0.25">
      <c r="L511" s="87"/>
      <c r="M511" s="87"/>
      <c r="N511" s="87"/>
      <c r="O511" s="87"/>
      <c r="P511" s="87"/>
      <c r="Q511" s="87"/>
      <c r="S511" s="87"/>
      <c r="T511" s="87"/>
      <c r="U511" s="87"/>
      <c r="V511" s="87"/>
      <c r="W511" s="87"/>
      <c r="X511" s="87"/>
    </row>
    <row r="512" spans="12:24" x14ac:dyDescent="0.25">
      <c r="L512" s="87"/>
      <c r="M512" s="87"/>
      <c r="N512" s="87"/>
      <c r="O512" s="87"/>
      <c r="P512" s="87"/>
      <c r="Q512" s="87"/>
      <c r="S512" s="87"/>
      <c r="T512" s="87"/>
      <c r="U512" s="87"/>
      <c r="V512" s="87"/>
      <c r="W512" s="87"/>
      <c r="X512" s="87"/>
    </row>
    <row r="513" spans="12:24" x14ac:dyDescent="0.25">
      <c r="L513" s="87"/>
      <c r="M513" s="87"/>
      <c r="N513" s="87"/>
      <c r="O513" s="87"/>
      <c r="P513" s="87"/>
      <c r="Q513" s="87"/>
      <c r="S513" s="87"/>
      <c r="T513" s="87"/>
      <c r="U513" s="87"/>
      <c r="V513" s="87"/>
      <c r="W513" s="87"/>
      <c r="X513" s="87"/>
    </row>
    <row r="514" spans="12:24" x14ac:dyDescent="0.25">
      <c r="L514" s="87"/>
      <c r="M514" s="87"/>
      <c r="N514" s="87"/>
      <c r="O514" s="87"/>
      <c r="P514" s="87"/>
      <c r="Q514" s="87"/>
      <c r="S514" s="87"/>
      <c r="T514" s="87"/>
      <c r="U514" s="87"/>
      <c r="V514" s="87"/>
      <c r="W514" s="87"/>
      <c r="X514" s="87"/>
    </row>
    <row r="515" spans="12:24" x14ac:dyDescent="0.25">
      <c r="L515" s="87"/>
      <c r="M515" s="87"/>
      <c r="N515" s="87"/>
      <c r="O515" s="87"/>
      <c r="P515" s="87"/>
      <c r="Q515" s="87"/>
      <c r="S515" s="87"/>
      <c r="T515" s="87"/>
      <c r="U515" s="87"/>
      <c r="V515" s="87"/>
      <c r="W515" s="87"/>
      <c r="X515" s="87"/>
    </row>
    <row r="516" spans="12:24" x14ac:dyDescent="0.25">
      <c r="L516" s="87"/>
      <c r="M516" s="87"/>
      <c r="N516" s="87"/>
      <c r="O516" s="87"/>
      <c r="P516" s="87"/>
      <c r="Q516" s="87"/>
      <c r="S516" s="87"/>
      <c r="T516" s="87"/>
      <c r="U516" s="87"/>
      <c r="V516" s="87"/>
      <c r="W516" s="87"/>
      <c r="X516" s="87"/>
    </row>
    <row r="517" spans="12:24" x14ac:dyDescent="0.25">
      <c r="L517" s="87"/>
      <c r="M517" s="87"/>
      <c r="N517" s="87"/>
      <c r="O517" s="87"/>
      <c r="P517" s="87"/>
      <c r="Q517" s="87"/>
      <c r="S517" s="87"/>
      <c r="T517" s="87"/>
      <c r="U517" s="87"/>
      <c r="V517" s="87"/>
      <c r="W517" s="87"/>
      <c r="X517" s="87"/>
    </row>
    <row r="518" spans="12:24" x14ac:dyDescent="0.25">
      <c r="L518" s="87"/>
      <c r="M518" s="87"/>
      <c r="N518" s="87"/>
      <c r="O518" s="87"/>
      <c r="P518" s="87"/>
      <c r="Q518" s="87"/>
      <c r="S518" s="87"/>
      <c r="T518" s="87"/>
      <c r="U518" s="87"/>
      <c r="V518" s="87"/>
      <c r="W518" s="87"/>
      <c r="X518" s="87"/>
    </row>
    <row r="519" spans="12:24" x14ac:dyDescent="0.25">
      <c r="L519" s="87"/>
      <c r="M519" s="87"/>
      <c r="N519" s="87"/>
      <c r="O519" s="87"/>
      <c r="P519" s="87"/>
      <c r="Q519" s="87"/>
      <c r="S519" s="87"/>
      <c r="T519" s="87"/>
      <c r="U519" s="87"/>
      <c r="V519" s="87"/>
      <c r="W519" s="87"/>
      <c r="X519" s="87"/>
    </row>
    <row r="520" spans="12:24" x14ac:dyDescent="0.25">
      <c r="L520" s="87"/>
      <c r="M520" s="87"/>
      <c r="N520" s="87"/>
      <c r="O520" s="87"/>
      <c r="P520" s="87"/>
      <c r="Q520" s="87"/>
      <c r="S520" s="87"/>
      <c r="T520" s="87"/>
      <c r="U520" s="87"/>
      <c r="V520" s="87"/>
      <c r="W520" s="87"/>
      <c r="X520" s="87"/>
    </row>
    <row r="521" spans="12:24" x14ac:dyDescent="0.25">
      <c r="L521" s="87"/>
      <c r="M521" s="87"/>
      <c r="N521" s="87"/>
      <c r="O521" s="87"/>
      <c r="P521" s="87"/>
      <c r="Q521" s="87"/>
      <c r="S521" s="87"/>
      <c r="T521" s="87"/>
      <c r="U521" s="87"/>
      <c r="V521" s="87"/>
      <c r="W521" s="87"/>
      <c r="X521" s="87"/>
    </row>
    <row r="522" spans="12:24" x14ac:dyDescent="0.25">
      <c r="L522" s="87"/>
      <c r="M522" s="87"/>
      <c r="N522" s="87"/>
      <c r="O522" s="87"/>
      <c r="P522" s="87"/>
      <c r="Q522" s="87"/>
      <c r="S522" s="87"/>
      <c r="T522" s="87"/>
      <c r="U522" s="87"/>
      <c r="V522" s="87"/>
      <c r="W522" s="87"/>
      <c r="X522" s="87"/>
    </row>
    <row r="523" spans="12:24" x14ac:dyDescent="0.25">
      <c r="L523" s="87"/>
      <c r="M523" s="87"/>
      <c r="N523" s="87"/>
      <c r="O523" s="87"/>
      <c r="P523" s="87"/>
      <c r="Q523" s="87"/>
      <c r="S523" s="87"/>
      <c r="T523" s="87"/>
      <c r="U523" s="87"/>
      <c r="V523" s="87"/>
      <c r="W523" s="87"/>
      <c r="X523" s="87"/>
    </row>
    <row r="524" spans="12:24" x14ac:dyDescent="0.25">
      <c r="L524" s="87"/>
      <c r="M524" s="87"/>
      <c r="N524" s="87"/>
      <c r="O524" s="87"/>
      <c r="P524" s="87"/>
      <c r="Q524" s="87"/>
      <c r="S524" s="87"/>
      <c r="T524" s="87"/>
      <c r="U524" s="87"/>
      <c r="V524" s="87"/>
      <c r="W524" s="87"/>
      <c r="X524" s="87"/>
    </row>
    <row r="525" spans="12:24" x14ac:dyDescent="0.25">
      <c r="L525" s="87"/>
      <c r="M525" s="87"/>
      <c r="N525" s="87"/>
      <c r="O525" s="87"/>
      <c r="P525" s="87"/>
      <c r="Q525" s="87"/>
      <c r="S525" s="87"/>
      <c r="T525" s="87"/>
      <c r="U525" s="87"/>
      <c r="V525" s="87"/>
      <c r="W525" s="87"/>
      <c r="X525" s="87"/>
    </row>
    <row r="526" spans="12:24" x14ac:dyDescent="0.25">
      <c r="L526" s="87"/>
      <c r="M526" s="87"/>
      <c r="N526" s="87"/>
      <c r="O526" s="87"/>
      <c r="P526" s="87"/>
      <c r="Q526" s="87"/>
      <c r="S526" s="87"/>
      <c r="T526" s="87"/>
      <c r="U526" s="87"/>
      <c r="V526" s="87"/>
      <c r="W526" s="87"/>
      <c r="X526" s="87"/>
    </row>
    <row r="527" spans="12:24" x14ac:dyDescent="0.25">
      <c r="L527" s="87"/>
      <c r="M527" s="87"/>
      <c r="N527" s="87"/>
      <c r="O527" s="87"/>
      <c r="P527" s="87"/>
      <c r="Q527" s="87"/>
    </row>
  </sheetData>
  <mergeCells count="9">
    <mergeCell ref="D8:F8"/>
    <mergeCell ref="D9:F9"/>
    <mergeCell ref="C20:G20"/>
    <mergeCell ref="C41:G41"/>
    <mergeCell ref="D3:F3"/>
    <mergeCell ref="D4:F4"/>
    <mergeCell ref="D5:F5"/>
    <mergeCell ref="D6:F6"/>
    <mergeCell ref="D7:F7"/>
  </mergeCells>
  <phoneticPr fontId="5" type="noConversion"/>
  <conditionalFormatting sqref="J41 J35 C35:G35 C14:H14 G44 G23 G28">
    <cfRule type="cellIs" dxfId="627" priority="165" operator="equal">
      <formula>0</formula>
    </cfRule>
  </conditionalFormatting>
  <conditionalFormatting sqref="M7:Q7">
    <cfRule type="cellIs" dxfId="626" priority="161" operator="equal">
      <formula>0</formula>
    </cfRule>
  </conditionalFormatting>
  <conditionalFormatting sqref="D36:D40">
    <cfRule type="cellIs" dxfId="625" priority="136" operator="equal">
      <formula>0</formula>
    </cfRule>
  </conditionalFormatting>
  <conditionalFormatting sqref="D15:D19">
    <cfRule type="cellIs" dxfId="624" priority="154" operator="equal">
      <formula>0</formula>
    </cfRule>
  </conditionalFormatting>
  <conditionalFormatting sqref="E15:E19">
    <cfRule type="cellIs" dxfId="623" priority="153" operator="equal">
      <formula>0</formula>
    </cfRule>
  </conditionalFormatting>
  <conditionalFormatting sqref="F15:F19">
    <cfRule type="cellIs" dxfId="622" priority="150" operator="equal">
      <formula>0</formula>
    </cfRule>
  </conditionalFormatting>
  <conditionalFormatting sqref="G15:G19">
    <cfRule type="cellIs" dxfId="621" priority="149" operator="equal">
      <formula>0</formula>
    </cfRule>
  </conditionalFormatting>
  <conditionalFormatting sqref="H15:H19">
    <cfRule type="cellIs" dxfId="620" priority="148" operator="equal">
      <formula>0</formula>
    </cfRule>
  </conditionalFormatting>
  <conditionalFormatting sqref="G36:G40">
    <cfRule type="cellIs" dxfId="619" priority="140" operator="equal">
      <formula>0</formula>
    </cfRule>
  </conditionalFormatting>
  <conditionalFormatting sqref="E36:E40">
    <cfRule type="cellIs" dxfId="618" priority="135" operator="equal">
      <formula>0</formula>
    </cfRule>
  </conditionalFormatting>
  <conditionalFormatting sqref="F36:F40">
    <cfRule type="cellIs" dxfId="617" priority="134" operator="equal">
      <formula>0</formula>
    </cfRule>
  </conditionalFormatting>
  <conditionalFormatting sqref="D3:D9">
    <cfRule type="cellIs" dxfId="616" priority="112" operator="equal">
      <formula>0</formula>
    </cfRule>
  </conditionalFormatting>
  <conditionalFormatting sqref="J36:J40">
    <cfRule type="cellIs" dxfId="615" priority="110" operator="equal">
      <formula>0</formula>
    </cfRule>
  </conditionalFormatting>
  <conditionalFormatting sqref="C44:D44">
    <cfRule type="cellIs" dxfId="614" priority="83" operator="equal">
      <formula>0</formula>
    </cfRule>
  </conditionalFormatting>
  <conditionalFormatting sqref="D45:D47">
    <cfRule type="cellIs" dxfId="613" priority="74" operator="equal">
      <formula>0</formula>
    </cfRule>
  </conditionalFormatting>
  <conditionalFormatting sqref="E23">
    <cfRule type="cellIs" dxfId="612" priority="34" operator="equal">
      <formula>0</formula>
    </cfRule>
  </conditionalFormatting>
  <conditionalFormatting sqref="E44">
    <cfRule type="cellIs" dxfId="611" priority="70" operator="equal">
      <formula>0</formula>
    </cfRule>
  </conditionalFormatting>
  <conditionalFormatting sqref="F24">
    <cfRule type="cellIs" dxfId="610" priority="54" operator="equal">
      <formula>0</formula>
    </cfRule>
  </conditionalFormatting>
  <conditionalFormatting sqref="G24">
    <cfRule type="cellIs" dxfId="609" priority="52" operator="equal">
      <formula>0</formula>
    </cfRule>
  </conditionalFormatting>
  <conditionalFormatting sqref="G48">
    <cfRule type="cellIs" dxfId="608" priority="76" operator="equal">
      <formula>"Não"</formula>
    </cfRule>
    <cfRule type="cellIs" dxfId="607" priority="77" operator="equal">
      <formula>"Sim"</formula>
    </cfRule>
  </conditionalFormatting>
  <conditionalFormatting sqref="D48">
    <cfRule type="cellIs" dxfId="606" priority="73" operator="equal">
      <formula>0</formula>
    </cfRule>
  </conditionalFormatting>
  <conditionalFormatting sqref="F23">
    <cfRule type="cellIs" dxfId="605" priority="33" operator="equal">
      <formula>0</formula>
    </cfRule>
  </conditionalFormatting>
  <conditionalFormatting sqref="H23">
    <cfRule type="cellIs" dxfId="604" priority="32" operator="equal">
      <formula>0</formula>
    </cfRule>
  </conditionalFormatting>
  <conditionalFormatting sqref="E45:E47">
    <cfRule type="cellIs" dxfId="603" priority="69" operator="equal">
      <formula>0</formula>
    </cfRule>
  </conditionalFormatting>
  <conditionalFormatting sqref="E48">
    <cfRule type="cellIs" dxfId="602" priority="68" operator="equal">
      <formula>0</formula>
    </cfRule>
  </conditionalFormatting>
  <conditionalFormatting sqref="F45:F47">
    <cfRule type="cellIs" dxfId="601" priority="67" operator="equal">
      <formula>0</formula>
    </cfRule>
  </conditionalFormatting>
  <conditionalFormatting sqref="F44">
    <cfRule type="cellIs" dxfId="600" priority="66" operator="equal">
      <formula>0</formula>
    </cfRule>
  </conditionalFormatting>
  <conditionalFormatting sqref="F48">
    <cfRule type="cellIs" dxfId="599" priority="65" operator="equal">
      <formula>0</formula>
    </cfRule>
  </conditionalFormatting>
  <conditionalFormatting sqref="G45:G47">
    <cfRule type="cellIs" dxfId="598" priority="64" operator="equal">
      <formula>0</formula>
    </cfRule>
  </conditionalFormatting>
  <conditionalFormatting sqref="J44">
    <cfRule type="cellIs" dxfId="597" priority="63" operator="equal">
      <formula>0</formula>
    </cfRule>
  </conditionalFormatting>
  <conditionalFormatting sqref="J45:J47">
    <cfRule type="cellIs" dxfId="596" priority="62" operator="equal">
      <formula>0</formula>
    </cfRule>
  </conditionalFormatting>
  <conditionalFormatting sqref="D24">
    <cfRule type="cellIs" dxfId="595" priority="57" operator="equal">
      <formula>0</formula>
    </cfRule>
  </conditionalFormatting>
  <conditionalFormatting sqref="E24">
    <cfRule type="cellIs" dxfId="594" priority="49" operator="equal">
      <formula>0</formula>
    </cfRule>
  </conditionalFormatting>
  <conditionalFormatting sqref="H24">
    <cfRule type="cellIs" dxfId="593" priority="50" operator="equal">
      <formula>0</formula>
    </cfRule>
  </conditionalFormatting>
  <conditionalFormatting sqref="H25">
    <cfRule type="cellIs" dxfId="592" priority="39" operator="equal">
      <formula>0</formula>
    </cfRule>
  </conditionalFormatting>
  <conditionalFormatting sqref="G25">
    <cfRule type="cellIs" dxfId="591" priority="41" operator="equal">
      <formula>0</formula>
    </cfRule>
  </conditionalFormatting>
  <conditionalFormatting sqref="D25:F25">
    <cfRule type="cellIs" dxfId="590" priority="36" operator="equal">
      <formula>"Não"</formula>
    </cfRule>
    <cfRule type="cellIs" dxfId="589" priority="37" operator="equal">
      <formula>"Sim"</formula>
    </cfRule>
  </conditionalFormatting>
  <conditionalFormatting sqref="C23:D23">
    <cfRule type="cellIs" dxfId="588" priority="35" operator="equal">
      <formula>0</formula>
    </cfRule>
  </conditionalFormatting>
  <conditionalFormatting sqref="C28:D28">
    <cfRule type="cellIs" dxfId="587" priority="29" operator="equal">
      <formula>0</formula>
    </cfRule>
  </conditionalFormatting>
  <conditionalFormatting sqref="G32">
    <cfRule type="cellIs" dxfId="586" priority="25" operator="equal">
      <formula>"Não"</formula>
    </cfRule>
    <cfRule type="cellIs" dxfId="585" priority="26" operator="equal">
      <formula>"Sim"</formula>
    </cfRule>
  </conditionalFormatting>
  <conditionalFormatting sqref="D29:D31">
    <cfRule type="cellIs" dxfId="584" priority="24" operator="equal">
      <formula>0</formula>
    </cfRule>
  </conditionalFormatting>
  <conditionalFormatting sqref="D32">
    <cfRule type="cellIs" dxfId="583" priority="23" operator="equal">
      <formula>0</formula>
    </cfRule>
  </conditionalFormatting>
  <conditionalFormatting sqref="E28">
    <cfRule type="cellIs" dxfId="582" priority="22" operator="equal">
      <formula>0</formula>
    </cfRule>
  </conditionalFormatting>
  <conditionalFormatting sqref="E29:E31">
    <cfRule type="cellIs" dxfId="581" priority="21" operator="equal">
      <formula>0</formula>
    </cfRule>
  </conditionalFormatting>
  <conditionalFormatting sqref="E32">
    <cfRule type="cellIs" dxfId="580" priority="20" operator="equal">
      <formula>0</formula>
    </cfRule>
  </conditionalFormatting>
  <conditionalFormatting sqref="F29:F31">
    <cfRule type="cellIs" dxfId="579" priority="19" operator="equal">
      <formula>0</formula>
    </cfRule>
  </conditionalFormatting>
  <conditionalFormatting sqref="F28">
    <cfRule type="cellIs" dxfId="578" priority="18" operator="equal">
      <formula>0</formula>
    </cfRule>
  </conditionalFormatting>
  <conditionalFormatting sqref="F32">
    <cfRule type="cellIs" dxfId="577" priority="17" operator="equal">
      <formula>0</formula>
    </cfRule>
  </conditionalFormatting>
  <conditionalFormatting sqref="G29:G31">
    <cfRule type="cellIs" dxfId="576" priority="16" operator="equal">
      <formula>0</formula>
    </cfRule>
  </conditionalFormatting>
  <conditionalFormatting sqref="H28">
    <cfRule type="cellIs" dxfId="575" priority="15" operator="equal">
      <formula>0</formula>
    </cfRule>
  </conditionalFormatting>
  <conditionalFormatting sqref="H29:H31">
    <cfRule type="cellIs" dxfId="574" priority="14" operator="equal">
      <formula>0</formula>
    </cfRule>
  </conditionalFormatting>
  <conditionalFormatting sqref="H32">
    <cfRule type="cellIs" dxfId="573" priority="13" operator="equal">
      <formula>0</formula>
    </cfRule>
  </conditionalFormatting>
  <conditionalFormatting sqref="H11">
    <cfRule type="cellIs" dxfId="572" priority="12" operator="equal">
      <formula>0</formula>
    </cfRule>
  </conditionalFormatting>
  <conditionalFormatting sqref="J48">
    <cfRule type="cellIs" dxfId="571" priority="11" operator="equal">
      <formula>0</formula>
    </cfRule>
  </conditionalFormatting>
  <conditionalFormatting sqref="H35:I35 H41:I41">
    <cfRule type="cellIs" dxfId="570" priority="10" operator="equal">
      <formula>0</formula>
    </cfRule>
  </conditionalFormatting>
  <conditionalFormatting sqref="H36:I40">
    <cfRule type="cellIs" dxfId="569" priority="9" operator="equal">
      <formula>0</formula>
    </cfRule>
  </conditionalFormatting>
  <conditionalFormatting sqref="H44:I44">
    <cfRule type="cellIs" dxfId="568" priority="8" operator="equal">
      <formula>0</formula>
    </cfRule>
  </conditionalFormatting>
  <conditionalFormatting sqref="H45:I47">
    <cfRule type="cellIs" dxfId="567" priority="7" operator="equal">
      <formula>0</formula>
    </cfRule>
  </conditionalFormatting>
  <conditionalFormatting sqref="H48:I48">
    <cfRule type="cellIs" dxfId="566" priority="6" operator="equal">
      <formula>0</formula>
    </cfRule>
  </conditionalFormatting>
  <conditionalFormatting pivot="1" sqref="M9:M37">
    <cfRule type="cellIs" dxfId="565" priority="5" operator="equal">
      <formula>0</formula>
    </cfRule>
  </conditionalFormatting>
  <conditionalFormatting pivot="1" sqref="M9:Q37">
    <cfRule type="cellIs" dxfId="564" priority="4" operator="equal">
      <formula>0</formula>
    </cfRule>
  </conditionalFormatting>
  <conditionalFormatting sqref="T6:X6">
    <cfRule type="cellIs" dxfId="563" priority="3" operator="equal">
      <formula>0</formula>
    </cfRule>
  </conditionalFormatting>
  <conditionalFormatting pivot="1" sqref="T8:T48">
    <cfRule type="cellIs" dxfId="562" priority="2" operator="equal">
      <formula>0</formula>
    </cfRule>
  </conditionalFormatting>
  <conditionalFormatting pivot="1" sqref="T8:X48">
    <cfRule type="cellIs" dxfId="561" priority="1" operator="equal">
      <formula>0</formula>
    </cfRule>
  </conditionalFormatting>
  <pageMargins left="0.511811024" right="0.511811024" top="0.78740157499999996" bottom="0.78740157499999996" header="0.31496062000000002" footer="0.31496062000000002"/>
  <drawing r:id="rId3"/>
  <extLst>
    <ext xmlns:x14="http://schemas.microsoft.com/office/spreadsheetml/2009/9/main" uri="{A8765BA9-456A-4dab-B4F3-ACF838C121DE}">
      <x14:slicerList>
        <x14:slicer r:id="rId4"/>
      </x14:slicerList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60A457-84A7-4394-A773-AB195483A4A4}">
  <sheetPr>
    <tabColor theme="4" tint="0.79998168889431442"/>
  </sheetPr>
  <dimension ref="C3:M127"/>
  <sheetViews>
    <sheetView showGridLines="0" topLeftCell="D74" zoomScale="70" zoomScaleNormal="70" workbookViewId="0">
      <selection activeCell="I3" sqref="I3:M123"/>
    </sheetView>
  </sheetViews>
  <sheetFormatPr defaultRowHeight="15" x14ac:dyDescent="0.25"/>
  <cols>
    <col min="1" max="1" width="22" customWidth="1"/>
    <col min="2" max="2" width="1.85546875" customWidth="1"/>
    <col min="3" max="3" width="77.140625" style="87" bestFit="1" customWidth="1"/>
    <col min="4" max="4" width="14.7109375" style="87" customWidth="1"/>
    <col min="5" max="5" width="18.7109375" style="87" customWidth="1"/>
    <col min="6" max="6" width="16.42578125" style="87" customWidth="1"/>
    <col min="7" max="7" width="14.7109375" style="87" customWidth="1"/>
    <col min="8" max="8" width="4.28515625" style="87" customWidth="1"/>
    <col min="9" max="9" width="77.140625" style="87" bestFit="1" customWidth="1"/>
    <col min="10" max="10" width="14.7109375" style="87" customWidth="1"/>
    <col min="11" max="11" width="18.7109375" style="87" customWidth="1"/>
    <col min="12" max="12" width="16.42578125" style="87" customWidth="1"/>
    <col min="13" max="13" width="14.7109375" style="87" customWidth="1"/>
  </cols>
  <sheetData>
    <row r="3" spans="3:13" ht="18.75" x14ac:dyDescent="0.25">
      <c r="C3" s="165" t="s">
        <v>1152</v>
      </c>
      <c r="I3" s="165" t="s">
        <v>1154</v>
      </c>
      <c r="J3"/>
    </row>
    <row r="4" spans="3:13" x14ac:dyDescent="0.25">
      <c r="C4" s="92" t="s">
        <v>2</v>
      </c>
      <c r="D4" s="3" t="s">
        <v>16</v>
      </c>
      <c r="I4" s="92" t="s">
        <v>2</v>
      </c>
      <c r="J4" s="3" t="s">
        <v>16</v>
      </c>
    </row>
    <row r="5" spans="3:13" x14ac:dyDescent="0.25">
      <c r="C5" s="92" t="s">
        <v>4</v>
      </c>
      <c r="D5" s="3" t="s">
        <v>18</v>
      </c>
      <c r="I5" s="92" t="s">
        <v>4</v>
      </c>
      <c r="J5" s="3" t="s">
        <v>18</v>
      </c>
    </row>
    <row r="6" spans="3:13" x14ac:dyDescent="0.25">
      <c r="C6" s="92" t="s">
        <v>3</v>
      </c>
      <c r="D6" s="3" t="s">
        <v>60</v>
      </c>
      <c r="J6" s="166">
        <f>SUM(J9:J1048576)</f>
        <v>13227125.290000003</v>
      </c>
      <c r="K6" s="166">
        <f>SUM(K9:K1048576)</f>
        <v>56413062.939999998</v>
      </c>
      <c r="L6" s="166">
        <f>SUM(L9:L1048576)</f>
        <v>8434400.9300000016</v>
      </c>
      <c r="M6" s="166">
        <f>SUM(M9:M1048576)</f>
        <v>78074589.160000011</v>
      </c>
    </row>
    <row r="7" spans="3:13" x14ac:dyDescent="0.25">
      <c r="D7" s="166">
        <f>SUM(D10:D1048576)</f>
        <v>3497946.5</v>
      </c>
      <c r="E7" s="166">
        <f>SUM(E10:E1048576)</f>
        <v>15704382.440000003</v>
      </c>
      <c r="F7" s="166">
        <f>SUM(F10:F1048576)</f>
        <v>2320437.6399999997</v>
      </c>
      <c r="G7" s="166">
        <f>SUM(G10:G1048576)</f>
        <v>21522766.579999991</v>
      </c>
      <c r="I7" s="161" t="s">
        <v>1150</v>
      </c>
      <c r="J7" s="3"/>
      <c r="K7" s="3"/>
      <c r="L7" s="3"/>
      <c r="M7" s="3"/>
    </row>
    <row r="8" spans="3:13" x14ac:dyDescent="0.25">
      <c r="C8" s="161" t="s">
        <v>1150</v>
      </c>
      <c r="D8" s="3"/>
      <c r="E8" s="3"/>
      <c r="F8" s="3"/>
      <c r="G8" s="3"/>
      <c r="I8" s="3"/>
      <c r="J8" s="164" t="s">
        <v>1002</v>
      </c>
      <c r="K8" s="164" t="s">
        <v>1031</v>
      </c>
      <c r="L8" s="164" t="s">
        <v>1003</v>
      </c>
      <c r="M8" s="164" t="s">
        <v>1149</v>
      </c>
    </row>
    <row r="9" spans="3:13" x14ac:dyDescent="0.25">
      <c r="C9" s="3"/>
      <c r="D9" s="164" t="s">
        <v>1002</v>
      </c>
      <c r="E9" s="164" t="s">
        <v>1031</v>
      </c>
      <c r="F9" s="164" t="s">
        <v>1003</v>
      </c>
      <c r="G9" s="164" t="s">
        <v>1149</v>
      </c>
      <c r="I9" s="91" t="s">
        <v>1040</v>
      </c>
      <c r="J9" s="163"/>
      <c r="K9" s="163">
        <v>1287915.1000000001</v>
      </c>
      <c r="L9" s="163">
        <v>87043.83</v>
      </c>
      <c r="M9" s="46">
        <v>1374958.9300000002</v>
      </c>
    </row>
    <row r="10" spans="3:13" x14ac:dyDescent="0.25">
      <c r="C10" s="91" t="s">
        <v>1040</v>
      </c>
      <c r="D10" s="163"/>
      <c r="E10" s="163">
        <v>944706.37</v>
      </c>
      <c r="F10" s="163">
        <v>36087.22</v>
      </c>
      <c r="G10" s="46">
        <v>980793.59</v>
      </c>
      <c r="I10" s="91" t="s">
        <v>1070</v>
      </c>
      <c r="J10" s="163">
        <v>754416.85</v>
      </c>
      <c r="K10" s="163">
        <v>1099468.5</v>
      </c>
      <c r="L10" s="163">
        <v>216521.99</v>
      </c>
      <c r="M10" s="46">
        <v>2070407.34</v>
      </c>
    </row>
    <row r="11" spans="3:13" x14ac:dyDescent="0.25">
      <c r="C11" s="91" t="s">
        <v>1070</v>
      </c>
      <c r="D11" s="163"/>
      <c r="E11" s="163">
        <v>197051.81</v>
      </c>
      <c r="F11" s="163"/>
      <c r="G11" s="46">
        <v>197051.81</v>
      </c>
      <c r="I11" s="91" t="s">
        <v>1044</v>
      </c>
      <c r="J11" s="163">
        <v>494434.31</v>
      </c>
      <c r="K11" s="163">
        <v>891638.58</v>
      </c>
      <c r="L11" s="163"/>
      <c r="M11" s="46">
        <v>1386072.89</v>
      </c>
    </row>
    <row r="12" spans="3:13" x14ac:dyDescent="0.25">
      <c r="C12" s="91" t="s">
        <v>1044</v>
      </c>
      <c r="D12" s="163">
        <v>63141.82</v>
      </c>
      <c r="E12" s="163">
        <v>396013.5</v>
      </c>
      <c r="F12" s="163"/>
      <c r="G12" s="46">
        <v>459155.32</v>
      </c>
      <c r="I12" s="91" t="s">
        <v>1051</v>
      </c>
      <c r="J12" s="163"/>
      <c r="K12" s="163">
        <v>986351.99999999988</v>
      </c>
      <c r="L12" s="163">
        <v>85816.67</v>
      </c>
      <c r="M12" s="46">
        <v>1072168.67</v>
      </c>
    </row>
    <row r="13" spans="3:13" x14ac:dyDescent="0.25">
      <c r="C13" s="91" t="s">
        <v>1051</v>
      </c>
      <c r="D13" s="163"/>
      <c r="E13" s="163">
        <v>190889.53</v>
      </c>
      <c r="F13" s="163"/>
      <c r="G13" s="46">
        <v>190889.53</v>
      </c>
      <c r="I13" s="91" t="s">
        <v>1092</v>
      </c>
      <c r="J13" s="163"/>
      <c r="K13" s="163">
        <v>338147.7</v>
      </c>
      <c r="L13" s="163">
        <v>8436.5</v>
      </c>
      <c r="M13" s="46">
        <v>346584.2</v>
      </c>
    </row>
    <row r="14" spans="3:13" x14ac:dyDescent="0.25">
      <c r="C14" s="91" t="s">
        <v>1092</v>
      </c>
      <c r="D14" s="163"/>
      <c r="E14" s="163">
        <v>0</v>
      </c>
      <c r="F14" s="163"/>
      <c r="G14" s="46">
        <v>0</v>
      </c>
      <c r="I14" s="91" t="s">
        <v>1050</v>
      </c>
      <c r="J14" s="163"/>
      <c r="K14" s="163">
        <v>1399918.1800000002</v>
      </c>
      <c r="L14" s="163"/>
      <c r="M14" s="46">
        <v>1399918.1800000002</v>
      </c>
    </row>
    <row r="15" spans="3:13" x14ac:dyDescent="0.25">
      <c r="C15" s="91" t="s">
        <v>1050</v>
      </c>
      <c r="D15" s="163"/>
      <c r="E15" s="163">
        <v>374982.24</v>
      </c>
      <c r="F15" s="163"/>
      <c r="G15" s="46">
        <v>374982.24</v>
      </c>
      <c r="I15" s="91" t="s">
        <v>1061</v>
      </c>
      <c r="J15" s="163">
        <v>2902983.0199999996</v>
      </c>
      <c r="K15" s="163">
        <v>8744764.0700000022</v>
      </c>
      <c r="L15" s="163">
        <v>274503.33</v>
      </c>
      <c r="M15" s="46">
        <v>11922250.420000002</v>
      </c>
    </row>
    <row r="16" spans="3:13" x14ac:dyDescent="0.25">
      <c r="C16" s="91" t="s">
        <v>1061</v>
      </c>
      <c r="D16" s="163">
        <v>444727.26</v>
      </c>
      <c r="E16" s="163">
        <v>2552795.67</v>
      </c>
      <c r="F16" s="163">
        <v>45756.270000000004</v>
      </c>
      <c r="G16" s="46">
        <v>3043279.1999999997</v>
      </c>
      <c r="I16" s="91" t="s">
        <v>1137</v>
      </c>
      <c r="J16" s="163"/>
      <c r="K16" s="163"/>
      <c r="L16" s="163">
        <v>8436.5</v>
      </c>
      <c r="M16" s="46">
        <v>8436.5</v>
      </c>
    </row>
    <row r="17" spans="3:13" x14ac:dyDescent="0.25">
      <c r="C17" s="91" t="s">
        <v>1137</v>
      </c>
      <c r="D17" s="163"/>
      <c r="E17" s="163"/>
      <c r="F17" s="163">
        <v>8436.5</v>
      </c>
      <c r="G17" s="46">
        <v>8436.5</v>
      </c>
      <c r="I17" s="91" t="s">
        <v>1138</v>
      </c>
      <c r="J17" s="163"/>
      <c r="K17" s="163">
        <v>40987.599999999999</v>
      </c>
      <c r="L17" s="163">
        <v>8099.04</v>
      </c>
      <c r="M17" s="46">
        <v>49086.64</v>
      </c>
    </row>
    <row r="18" spans="3:13" x14ac:dyDescent="0.25">
      <c r="C18" s="91" t="s">
        <v>1138</v>
      </c>
      <c r="D18" s="163"/>
      <c r="E18" s="163">
        <v>40987.599999999999</v>
      </c>
      <c r="F18" s="163">
        <v>8099.04</v>
      </c>
      <c r="G18" s="46">
        <v>49086.64</v>
      </c>
      <c r="I18" s="91" t="s">
        <v>1126</v>
      </c>
      <c r="J18" s="163"/>
      <c r="K18" s="163">
        <v>-190972.08</v>
      </c>
      <c r="L18" s="163"/>
      <c r="M18" s="46">
        <v>-190972.08</v>
      </c>
    </row>
    <row r="19" spans="3:13" x14ac:dyDescent="0.25">
      <c r="C19" s="91" t="s">
        <v>1126</v>
      </c>
      <c r="D19" s="163"/>
      <c r="E19" s="163">
        <v>-190972.08</v>
      </c>
      <c r="F19" s="163"/>
      <c r="G19" s="46">
        <v>-190972.08</v>
      </c>
      <c r="I19" s="91" t="s">
        <v>1121</v>
      </c>
      <c r="J19" s="163"/>
      <c r="K19" s="163">
        <v>3753352.28</v>
      </c>
      <c r="L19" s="163">
        <v>1053212.6599999999</v>
      </c>
      <c r="M19" s="46">
        <v>4806564.9399999995</v>
      </c>
    </row>
    <row r="20" spans="3:13" x14ac:dyDescent="0.25">
      <c r="C20" s="91" t="s">
        <v>1121</v>
      </c>
      <c r="D20" s="163"/>
      <c r="E20" s="163">
        <v>102052.28</v>
      </c>
      <c r="F20" s="163"/>
      <c r="G20" s="46">
        <v>102052.28</v>
      </c>
      <c r="I20" s="91" t="s">
        <v>1082</v>
      </c>
      <c r="J20" s="163"/>
      <c r="K20" s="163">
        <v>409876</v>
      </c>
      <c r="L20" s="163"/>
      <c r="M20" s="46">
        <v>409876</v>
      </c>
    </row>
    <row r="21" spans="3:13" x14ac:dyDescent="0.25">
      <c r="C21" s="91" t="s">
        <v>1082</v>
      </c>
      <c r="D21" s="163"/>
      <c r="E21" s="163">
        <v>204938</v>
      </c>
      <c r="F21" s="163"/>
      <c r="G21" s="46">
        <v>204938</v>
      </c>
      <c r="I21" s="91" t="s">
        <v>1103</v>
      </c>
      <c r="J21" s="163"/>
      <c r="K21" s="163">
        <v>1222796.29</v>
      </c>
      <c r="L21" s="163"/>
      <c r="M21" s="46">
        <v>1222796.29</v>
      </c>
    </row>
    <row r="22" spans="3:13" x14ac:dyDescent="0.25">
      <c r="C22" s="91" t="s">
        <v>1103</v>
      </c>
      <c r="D22" s="163"/>
      <c r="E22" s="163">
        <v>1085548.56</v>
      </c>
      <c r="F22" s="163"/>
      <c r="G22" s="46">
        <v>1085548.56</v>
      </c>
      <c r="I22" s="91" t="s">
        <v>1119</v>
      </c>
      <c r="J22" s="163"/>
      <c r="K22" s="163">
        <v>24410.36</v>
      </c>
      <c r="L22" s="163"/>
      <c r="M22" s="46">
        <v>24410.36</v>
      </c>
    </row>
    <row r="23" spans="3:13" x14ac:dyDescent="0.25">
      <c r="C23" s="91" t="s">
        <v>1139</v>
      </c>
      <c r="D23" s="163"/>
      <c r="E23" s="163">
        <v>184444.2</v>
      </c>
      <c r="F23" s="163"/>
      <c r="G23" s="46">
        <v>184444.2</v>
      </c>
      <c r="I23" s="91" t="s">
        <v>1139</v>
      </c>
      <c r="J23" s="163"/>
      <c r="K23" s="163">
        <v>184444.2</v>
      </c>
      <c r="L23" s="163"/>
      <c r="M23" s="46">
        <v>184444.2</v>
      </c>
    </row>
    <row r="24" spans="3:13" x14ac:dyDescent="0.25">
      <c r="C24" s="91" t="s">
        <v>1041</v>
      </c>
      <c r="D24" s="163">
        <v>208028.16</v>
      </c>
      <c r="E24" s="163">
        <v>585219.52</v>
      </c>
      <c r="F24" s="163">
        <v>111834.43</v>
      </c>
      <c r="G24" s="46">
        <v>905082.1100000001</v>
      </c>
      <c r="I24" s="91" t="s">
        <v>1120</v>
      </c>
      <c r="J24" s="163"/>
      <c r="K24" s="163">
        <v>61481.4</v>
      </c>
      <c r="L24" s="163"/>
      <c r="M24" s="46">
        <v>61481.4</v>
      </c>
    </row>
    <row r="25" spans="3:13" x14ac:dyDescent="0.25">
      <c r="C25" s="91" t="s">
        <v>1132</v>
      </c>
      <c r="D25" s="163"/>
      <c r="E25" s="163">
        <v>102469</v>
      </c>
      <c r="F25" s="163"/>
      <c r="G25" s="46">
        <v>102469</v>
      </c>
      <c r="I25" s="91" t="s">
        <v>1041</v>
      </c>
      <c r="J25" s="163">
        <v>416743.20999999996</v>
      </c>
      <c r="K25" s="163">
        <v>2360676.9299999997</v>
      </c>
      <c r="L25" s="163">
        <v>283995.89</v>
      </c>
      <c r="M25" s="46">
        <v>3061416.03</v>
      </c>
    </row>
    <row r="26" spans="3:13" x14ac:dyDescent="0.25">
      <c r="C26" s="91" t="s">
        <v>1055</v>
      </c>
      <c r="D26" s="163"/>
      <c r="E26" s="163">
        <v>11716.17</v>
      </c>
      <c r="F26" s="163"/>
      <c r="G26" s="46">
        <v>11716.17</v>
      </c>
      <c r="I26" s="91" t="s">
        <v>1114</v>
      </c>
      <c r="J26" s="163"/>
      <c r="K26" s="163">
        <v>18572.18</v>
      </c>
      <c r="L26" s="163"/>
      <c r="M26" s="46">
        <v>18572.18</v>
      </c>
    </row>
    <row r="27" spans="3:13" x14ac:dyDescent="0.25">
      <c r="C27" s="91" t="s">
        <v>1064</v>
      </c>
      <c r="D27" s="163"/>
      <c r="E27" s="163">
        <v>37925</v>
      </c>
      <c r="F27" s="163"/>
      <c r="G27" s="46">
        <v>37925</v>
      </c>
      <c r="I27" s="91" t="s">
        <v>1065</v>
      </c>
      <c r="J27" s="163"/>
      <c r="K27" s="163">
        <v>12054</v>
      </c>
      <c r="L27" s="163"/>
      <c r="M27" s="46">
        <v>12054</v>
      </c>
    </row>
    <row r="28" spans="3:13" x14ac:dyDescent="0.25">
      <c r="C28" s="91" t="s">
        <v>1127</v>
      </c>
      <c r="D28" s="163"/>
      <c r="E28" s="163">
        <v>0</v>
      </c>
      <c r="F28" s="163"/>
      <c r="G28" s="46">
        <v>0</v>
      </c>
      <c r="I28" s="91" t="s">
        <v>1113</v>
      </c>
      <c r="J28" s="163"/>
      <c r="K28" s="163">
        <v>108037.6</v>
      </c>
      <c r="L28" s="163"/>
      <c r="M28" s="46">
        <v>108037.6</v>
      </c>
    </row>
    <row r="29" spans="3:13" x14ac:dyDescent="0.25">
      <c r="C29" s="91" t="s">
        <v>1046</v>
      </c>
      <c r="D29" s="163"/>
      <c r="E29" s="163">
        <v>71416.55</v>
      </c>
      <c r="F29" s="163">
        <v>19452.38</v>
      </c>
      <c r="G29" s="46">
        <v>90868.930000000008</v>
      </c>
      <c r="I29" s="91" t="s">
        <v>1132</v>
      </c>
      <c r="J29" s="163"/>
      <c r="K29" s="163">
        <v>102469</v>
      </c>
      <c r="L29" s="163"/>
      <c r="M29" s="46">
        <v>102469</v>
      </c>
    </row>
    <row r="30" spans="3:13" x14ac:dyDescent="0.25">
      <c r="C30" s="91" t="s">
        <v>1128</v>
      </c>
      <c r="D30" s="163">
        <v>58125.2</v>
      </c>
      <c r="E30" s="163">
        <v>1118.28</v>
      </c>
      <c r="F30" s="163">
        <v>29926.75</v>
      </c>
      <c r="G30" s="46">
        <v>89170.23</v>
      </c>
      <c r="I30" s="91" t="s">
        <v>1055</v>
      </c>
      <c r="J30" s="163">
        <v>584664.81000000006</v>
      </c>
      <c r="K30" s="163">
        <v>329850.77999999997</v>
      </c>
      <c r="L30" s="163">
        <v>239695.15</v>
      </c>
      <c r="M30" s="46">
        <v>1154210.74</v>
      </c>
    </row>
    <row r="31" spans="3:13" x14ac:dyDescent="0.25">
      <c r="C31" s="91" t="s">
        <v>1045</v>
      </c>
      <c r="D31" s="163"/>
      <c r="E31" s="163">
        <v>132273.4</v>
      </c>
      <c r="F31" s="163"/>
      <c r="G31" s="46">
        <v>132273.4</v>
      </c>
      <c r="I31" s="91" t="s">
        <v>1064</v>
      </c>
      <c r="J31" s="163"/>
      <c r="K31" s="163">
        <v>124845</v>
      </c>
      <c r="L31" s="163"/>
      <c r="M31" s="46">
        <v>124845</v>
      </c>
    </row>
    <row r="32" spans="3:13" x14ac:dyDescent="0.25">
      <c r="C32" s="91" t="s">
        <v>1144</v>
      </c>
      <c r="D32" s="163"/>
      <c r="E32" s="163">
        <v>27666.63</v>
      </c>
      <c r="F32" s="163"/>
      <c r="G32" s="46">
        <v>27666.63</v>
      </c>
      <c r="I32" s="91" t="s">
        <v>1127</v>
      </c>
      <c r="J32" s="163"/>
      <c r="K32" s="163">
        <v>0</v>
      </c>
      <c r="L32" s="163"/>
      <c r="M32" s="46">
        <v>0</v>
      </c>
    </row>
    <row r="33" spans="3:13" x14ac:dyDescent="0.25">
      <c r="C33" s="91" t="s">
        <v>1125</v>
      </c>
      <c r="D33" s="163">
        <v>280840</v>
      </c>
      <c r="E33" s="163"/>
      <c r="F33" s="163"/>
      <c r="G33" s="46">
        <v>280840</v>
      </c>
      <c r="I33" s="91" t="s">
        <v>1046</v>
      </c>
      <c r="J33" s="163">
        <v>18860.419999999998</v>
      </c>
      <c r="K33" s="163">
        <v>549663.97</v>
      </c>
      <c r="L33" s="163">
        <v>213970.08000000002</v>
      </c>
      <c r="M33" s="46">
        <v>782494.47</v>
      </c>
    </row>
    <row r="34" spans="3:13" x14ac:dyDescent="0.25">
      <c r="C34" s="91" t="s">
        <v>1053</v>
      </c>
      <c r="D34" s="163"/>
      <c r="E34" s="163">
        <v>114765.28</v>
      </c>
      <c r="F34" s="163"/>
      <c r="G34" s="46">
        <v>114765.28</v>
      </c>
      <c r="I34" s="91" t="s">
        <v>1128</v>
      </c>
      <c r="J34" s="163">
        <v>58125.2</v>
      </c>
      <c r="K34" s="163">
        <v>1118.28</v>
      </c>
      <c r="L34" s="163">
        <v>29926.75</v>
      </c>
      <c r="M34" s="46">
        <v>89170.23</v>
      </c>
    </row>
    <row r="35" spans="3:13" x14ac:dyDescent="0.25">
      <c r="C35" s="91" t="s">
        <v>1069</v>
      </c>
      <c r="D35" s="163">
        <v>156051.06</v>
      </c>
      <c r="E35" s="163">
        <v>694304.52</v>
      </c>
      <c r="F35" s="163">
        <v>38804.449999999997</v>
      </c>
      <c r="G35" s="46">
        <v>889160.03</v>
      </c>
      <c r="I35" s="91" t="s">
        <v>1045</v>
      </c>
      <c r="J35" s="163"/>
      <c r="K35" s="163">
        <v>762276.8</v>
      </c>
      <c r="L35" s="163"/>
      <c r="M35" s="46">
        <v>762276.8</v>
      </c>
    </row>
    <row r="36" spans="3:13" x14ac:dyDescent="0.25">
      <c r="C36" s="91" t="s">
        <v>1099</v>
      </c>
      <c r="D36" s="163"/>
      <c r="E36" s="163">
        <v>224656.87</v>
      </c>
      <c r="F36" s="163">
        <v>164218.22999999998</v>
      </c>
      <c r="G36" s="46">
        <v>388875.1</v>
      </c>
      <c r="I36" s="91" t="s">
        <v>1144</v>
      </c>
      <c r="J36" s="163"/>
      <c r="K36" s="163">
        <v>27666.63</v>
      </c>
      <c r="L36" s="163"/>
      <c r="M36" s="46">
        <v>27666.63</v>
      </c>
    </row>
    <row r="37" spans="3:13" x14ac:dyDescent="0.25">
      <c r="C37" s="91" t="s">
        <v>1062</v>
      </c>
      <c r="D37" s="163"/>
      <c r="E37" s="163">
        <v>82270</v>
      </c>
      <c r="F37" s="163"/>
      <c r="G37" s="46">
        <v>82270</v>
      </c>
      <c r="I37" s="91" t="s">
        <v>1125</v>
      </c>
      <c r="J37" s="163">
        <v>280840</v>
      </c>
      <c r="K37" s="163">
        <v>808651.2</v>
      </c>
      <c r="L37" s="163"/>
      <c r="M37" s="46">
        <v>1089491.2</v>
      </c>
    </row>
    <row r="38" spans="3:13" x14ac:dyDescent="0.25">
      <c r="C38" s="91" t="s">
        <v>1035</v>
      </c>
      <c r="D38" s="163"/>
      <c r="E38" s="163">
        <v>34388</v>
      </c>
      <c r="F38" s="163"/>
      <c r="G38" s="46">
        <v>34388</v>
      </c>
      <c r="I38" s="91" t="s">
        <v>1053</v>
      </c>
      <c r="J38" s="163"/>
      <c r="K38" s="163">
        <v>2746765.2499999995</v>
      </c>
      <c r="L38" s="163"/>
      <c r="M38" s="46">
        <v>2746765.2499999995</v>
      </c>
    </row>
    <row r="39" spans="3:13" x14ac:dyDescent="0.25">
      <c r="C39" s="91" t="s">
        <v>1094</v>
      </c>
      <c r="D39" s="163">
        <v>344872</v>
      </c>
      <c r="E39" s="163">
        <v>163611.49</v>
      </c>
      <c r="F39" s="163">
        <v>2362.2199999999998</v>
      </c>
      <c r="G39" s="46">
        <v>510845.70999999996</v>
      </c>
      <c r="I39" s="91" t="s">
        <v>1111</v>
      </c>
      <c r="J39" s="163"/>
      <c r="K39" s="163">
        <v>98216</v>
      </c>
      <c r="L39" s="163"/>
      <c r="M39" s="46">
        <v>98216</v>
      </c>
    </row>
    <row r="40" spans="3:13" x14ac:dyDescent="0.25">
      <c r="C40" s="91" t="s">
        <v>1093</v>
      </c>
      <c r="D40" s="163">
        <v>95940</v>
      </c>
      <c r="E40" s="163">
        <v>16626.87</v>
      </c>
      <c r="F40" s="163"/>
      <c r="G40" s="46">
        <v>112566.87</v>
      </c>
      <c r="I40" s="91" t="s">
        <v>1069</v>
      </c>
      <c r="J40" s="163">
        <v>702679.3600000001</v>
      </c>
      <c r="K40" s="163">
        <v>2580080.8200000003</v>
      </c>
      <c r="L40" s="163">
        <v>251805.74</v>
      </c>
      <c r="M40" s="46">
        <v>3534565.9200000009</v>
      </c>
    </row>
    <row r="41" spans="3:13" x14ac:dyDescent="0.25">
      <c r="C41" s="91" t="s">
        <v>1100</v>
      </c>
      <c r="D41" s="163">
        <v>14000</v>
      </c>
      <c r="E41" s="163">
        <v>12704</v>
      </c>
      <c r="F41" s="163"/>
      <c r="G41" s="46">
        <v>26704</v>
      </c>
      <c r="I41" s="91" t="s">
        <v>1099</v>
      </c>
      <c r="J41" s="163">
        <v>145126.53999999998</v>
      </c>
      <c r="K41" s="163">
        <v>1236284.7899999998</v>
      </c>
      <c r="L41" s="163">
        <v>527552.69999999995</v>
      </c>
      <c r="M41" s="46">
        <v>1908964.0299999998</v>
      </c>
    </row>
    <row r="42" spans="3:13" x14ac:dyDescent="0.25">
      <c r="C42" s="91" t="s">
        <v>1072</v>
      </c>
      <c r="D42" s="163"/>
      <c r="E42" s="163">
        <v>128528.4</v>
      </c>
      <c r="F42" s="163"/>
      <c r="G42" s="46">
        <v>128528.4</v>
      </c>
      <c r="I42" s="91" t="s">
        <v>1060</v>
      </c>
      <c r="J42" s="163"/>
      <c r="K42" s="163"/>
      <c r="L42" s="163">
        <v>123928.01</v>
      </c>
      <c r="M42" s="46">
        <v>123928.01</v>
      </c>
    </row>
    <row r="43" spans="3:13" x14ac:dyDescent="0.25">
      <c r="C43" s="91" t="s">
        <v>1116</v>
      </c>
      <c r="D43" s="163"/>
      <c r="E43" s="163">
        <v>36446.800000000003</v>
      </c>
      <c r="F43" s="163"/>
      <c r="G43" s="46">
        <v>36446.800000000003</v>
      </c>
      <c r="I43" s="91" t="s">
        <v>1115</v>
      </c>
      <c r="J43" s="163"/>
      <c r="K43" s="163">
        <v>368000</v>
      </c>
      <c r="L43" s="163"/>
      <c r="M43" s="46">
        <v>368000</v>
      </c>
    </row>
    <row r="44" spans="3:13" x14ac:dyDescent="0.25">
      <c r="C44" s="91" t="s">
        <v>1083</v>
      </c>
      <c r="D44" s="163"/>
      <c r="E44" s="163"/>
      <c r="F44" s="163">
        <v>13498.4</v>
      </c>
      <c r="G44" s="46">
        <v>13498.4</v>
      </c>
      <c r="I44" s="91" t="s">
        <v>1062</v>
      </c>
      <c r="J44" s="163"/>
      <c r="K44" s="163">
        <v>135550</v>
      </c>
      <c r="L44" s="163">
        <v>18560.3</v>
      </c>
      <c r="M44" s="46">
        <v>154110.29999999999</v>
      </c>
    </row>
    <row r="45" spans="3:13" x14ac:dyDescent="0.25">
      <c r="C45" s="91" t="s">
        <v>1140</v>
      </c>
      <c r="D45" s="163"/>
      <c r="E45" s="163">
        <v>30740.7</v>
      </c>
      <c r="F45" s="163"/>
      <c r="G45" s="46">
        <v>30740.7</v>
      </c>
      <c r="I45" s="91" t="s">
        <v>1101</v>
      </c>
      <c r="J45" s="163"/>
      <c r="K45" s="163">
        <v>8885.52</v>
      </c>
      <c r="L45" s="163"/>
      <c r="M45" s="46">
        <v>8885.52</v>
      </c>
    </row>
    <row r="46" spans="3:13" x14ac:dyDescent="0.25">
      <c r="C46" s="91" t="s">
        <v>1081</v>
      </c>
      <c r="D46" s="163"/>
      <c r="E46" s="163"/>
      <c r="F46" s="163">
        <v>5399.36</v>
      </c>
      <c r="G46" s="46">
        <v>5399.36</v>
      </c>
      <c r="I46" s="91" t="s">
        <v>1035</v>
      </c>
      <c r="J46" s="163"/>
      <c r="K46" s="163">
        <v>137552</v>
      </c>
      <c r="L46" s="163"/>
      <c r="M46" s="46">
        <v>137552</v>
      </c>
    </row>
    <row r="47" spans="3:13" x14ac:dyDescent="0.25">
      <c r="C47" s="91" t="s">
        <v>1123</v>
      </c>
      <c r="D47" s="163"/>
      <c r="E47" s="163">
        <v>15785.9</v>
      </c>
      <c r="F47" s="163">
        <v>8896.94</v>
      </c>
      <c r="G47" s="46">
        <v>24682.84</v>
      </c>
      <c r="I47" s="91" t="s">
        <v>1058</v>
      </c>
      <c r="J47" s="163"/>
      <c r="K47" s="163">
        <v>247749</v>
      </c>
      <c r="L47" s="163"/>
      <c r="M47" s="46">
        <v>247749</v>
      </c>
    </row>
    <row r="48" spans="3:13" x14ac:dyDescent="0.25">
      <c r="C48" s="91" t="s">
        <v>1142</v>
      </c>
      <c r="D48" s="163"/>
      <c r="E48" s="163"/>
      <c r="F48" s="163">
        <v>8436.5</v>
      </c>
      <c r="G48" s="46">
        <v>8436.5</v>
      </c>
      <c r="I48" s="91" t="s">
        <v>1094</v>
      </c>
      <c r="J48" s="163">
        <v>1012528</v>
      </c>
      <c r="K48" s="163">
        <v>463847.52</v>
      </c>
      <c r="L48" s="163">
        <v>5905.5499999999993</v>
      </c>
      <c r="M48" s="46">
        <v>1482281.07</v>
      </c>
    </row>
    <row r="49" spans="3:13" x14ac:dyDescent="0.25">
      <c r="C49" s="91" t="s">
        <v>1141</v>
      </c>
      <c r="D49" s="163"/>
      <c r="E49" s="163"/>
      <c r="F49" s="163">
        <v>2530.9499999999998</v>
      </c>
      <c r="G49" s="46">
        <v>2530.9499999999998</v>
      </c>
      <c r="I49" s="91" t="s">
        <v>1093</v>
      </c>
      <c r="J49" s="163">
        <v>210330</v>
      </c>
      <c r="K49" s="163">
        <v>39935.949999999997</v>
      </c>
      <c r="L49" s="163"/>
      <c r="M49" s="46">
        <v>250265.95</v>
      </c>
    </row>
    <row r="50" spans="3:13" x14ac:dyDescent="0.25">
      <c r="C50" s="91" t="s">
        <v>1084</v>
      </c>
      <c r="D50" s="163"/>
      <c r="E50" s="163"/>
      <c r="F50" s="163">
        <v>6749.2</v>
      </c>
      <c r="G50" s="46">
        <v>6749.2</v>
      </c>
      <c r="I50" s="91" t="s">
        <v>1100</v>
      </c>
      <c r="J50" s="163">
        <v>14000</v>
      </c>
      <c r="K50" s="163">
        <v>30002.720000000001</v>
      </c>
      <c r="L50" s="163"/>
      <c r="M50" s="46">
        <v>44002.720000000001</v>
      </c>
    </row>
    <row r="51" spans="3:13" x14ac:dyDescent="0.25">
      <c r="C51" s="91" t="s">
        <v>1076</v>
      </c>
      <c r="D51" s="163"/>
      <c r="E51" s="163">
        <v>463837.8</v>
      </c>
      <c r="F51" s="163"/>
      <c r="G51" s="46">
        <v>463837.8</v>
      </c>
      <c r="I51" s="91" t="s">
        <v>1071</v>
      </c>
      <c r="J51" s="163">
        <v>20960.84</v>
      </c>
      <c r="K51" s="163"/>
      <c r="L51" s="163"/>
      <c r="M51" s="46">
        <v>20960.84</v>
      </c>
    </row>
    <row r="52" spans="3:13" x14ac:dyDescent="0.25">
      <c r="C52" s="91" t="s">
        <v>1129</v>
      </c>
      <c r="D52" s="163"/>
      <c r="E52" s="163">
        <v>14732.1</v>
      </c>
      <c r="F52" s="163"/>
      <c r="G52" s="46">
        <v>14732.1</v>
      </c>
      <c r="I52" s="91" t="s">
        <v>1072</v>
      </c>
      <c r="J52" s="163">
        <v>47970</v>
      </c>
      <c r="K52" s="163">
        <v>194042.21</v>
      </c>
      <c r="L52" s="163">
        <v>2886.4</v>
      </c>
      <c r="M52" s="46">
        <v>244898.61</v>
      </c>
    </row>
    <row r="53" spans="3:13" x14ac:dyDescent="0.25">
      <c r="C53" s="91" t="s">
        <v>1135</v>
      </c>
      <c r="D53" s="163"/>
      <c r="E53" s="163">
        <v>58929.599999999999</v>
      </c>
      <c r="F53" s="163">
        <v>3040</v>
      </c>
      <c r="G53" s="46">
        <v>61969.599999999999</v>
      </c>
      <c r="I53" s="91" t="s">
        <v>1088</v>
      </c>
      <c r="J53" s="163">
        <v>54434.879999999997</v>
      </c>
      <c r="K53" s="163"/>
      <c r="L53" s="163"/>
      <c r="M53" s="46">
        <v>54434.879999999997</v>
      </c>
    </row>
    <row r="54" spans="3:13" x14ac:dyDescent="0.25">
      <c r="C54" s="91" t="s">
        <v>1048</v>
      </c>
      <c r="D54" s="163"/>
      <c r="E54" s="163">
        <v>142664.71</v>
      </c>
      <c r="F54" s="163"/>
      <c r="G54" s="46">
        <v>142664.71</v>
      </c>
      <c r="I54" s="91" t="s">
        <v>1073</v>
      </c>
      <c r="J54" s="163"/>
      <c r="K54" s="163">
        <v>182234</v>
      </c>
      <c r="L54" s="163"/>
      <c r="M54" s="46">
        <v>182234</v>
      </c>
    </row>
    <row r="55" spans="3:13" x14ac:dyDescent="0.25">
      <c r="C55" s="91" t="s">
        <v>1066</v>
      </c>
      <c r="D55" s="163">
        <v>5825</v>
      </c>
      <c r="E55" s="163"/>
      <c r="F55" s="163"/>
      <c r="G55" s="46">
        <v>5825</v>
      </c>
      <c r="I55" s="91" t="s">
        <v>1116</v>
      </c>
      <c r="J55" s="163"/>
      <c r="K55" s="163">
        <v>91117</v>
      </c>
      <c r="L55" s="163"/>
      <c r="M55" s="46">
        <v>91117</v>
      </c>
    </row>
    <row r="56" spans="3:13" x14ac:dyDescent="0.25">
      <c r="C56" s="91" t="s">
        <v>1108</v>
      </c>
      <c r="D56" s="163"/>
      <c r="E56" s="163">
        <v>36016</v>
      </c>
      <c r="F56" s="163"/>
      <c r="G56" s="46">
        <v>36016</v>
      </c>
      <c r="I56" s="91" t="s">
        <v>1087</v>
      </c>
      <c r="J56" s="163"/>
      <c r="K56" s="163"/>
      <c r="L56" s="163">
        <v>8099.04</v>
      </c>
      <c r="M56" s="46">
        <v>8099.04</v>
      </c>
    </row>
    <row r="57" spans="3:13" x14ac:dyDescent="0.25">
      <c r="C57" s="91" t="s">
        <v>1104</v>
      </c>
      <c r="D57" s="163"/>
      <c r="E57" s="163">
        <v>17600</v>
      </c>
      <c r="F57" s="163"/>
      <c r="G57" s="46">
        <v>17600</v>
      </c>
      <c r="I57" s="91" t="s">
        <v>1034</v>
      </c>
      <c r="J57" s="163">
        <v>48000</v>
      </c>
      <c r="K57" s="163">
        <v>67056.600000000006</v>
      </c>
      <c r="L57" s="163"/>
      <c r="M57" s="46">
        <v>115056.6</v>
      </c>
    </row>
    <row r="58" spans="3:13" x14ac:dyDescent="0.25">
      <c r="C58" s="91" t="s">
        <v>1038</v>
      </c>
      <c r="D58" s="163">
        <v>103584</v>
      </c>
      <c r="E58" s="163">
        <v>509583.66</v>
      </c>
      <c r="F58" s="163"/>
      <c r="G58" s="46">
        <v>613167.65999999992</v>
      </c>
      <c r="I58" s="91" t="s">
        <v>1033</v>
      </c>
      <c r="J58" s="163">
        <v>207680</v>
      </c>
      <c r="K58" s="163">
        <v>50880</v>
      </c>
      <c r="L58" s="163"/>
      <c r="M58" s="46">
        <v>258560</v>
      </c>
    </row>
    <row r="59" spans="3:13" x14ac:dyDescent="0.25">
      <c r="C59" s="91" t="s">
        <v>1079</v>
      </c>
      <c r="D59" s="163"/>
      <c r="E59" s="163">
        <v>120805.68</v>
      </c>
      <c r="F59" s="163"/>
      <c r="G59" s="46">
        <v>120805.68</v>
      </c>
      <c r="I59" s="91" t="s">
        <v>1107</v>
      </c>
      <c r="J59" s="163"/>
      <c r="K59" s="163">
        <v>245540</v>
      </c>
      <c r="L59" s="163"/>
      <c r="M59" s="46">
        <v>245540</v>
      </c>
    </row>
    <row r="60" spans="3:13" x14ac:dyDescent="0.25">
      <c r="C60" s="91" t="s">
        <v>1110</v>
      </c>
      <c r="D60" s="163">
        <v>196810.64</v>
      </c>
      <c r="E60" s="163"/>
      <c r="F60" s="163"/>
      <c r="G60" s="46">
        <v>196810.64</v>
      </c>
      <c r="I60" s="91" t="s">
        <v>1036</v>
      </c>
      <c r="J60" s="163">
        <v>14160</v>
      </c>
      <c r="K60" s="163">
        <v>25791</v>
      </c>
      <c r="L60" s="163"/>
      <c r="M60" s="46">
        <v>39951</v>
      </c>
    </row>
    <row r="61" spans="3:13" x14ac:dyDescent="0.25">
      <c r="C61" s="91" t="s">
        <v>1063</v>
      </c>
      <c r="D61" s="163"/>
      <c r="E61" s="163">
        <v>31842.7</v>
      </c>
      <c r="F61" s="163"/>
      <c r="G61" s="46">
        <v>31842.7</v>
      </c>
      <c r="I61" s="91" t="s">
        <v>1083</v>
      </c>
      <c r="J61" s="163"/>
      <c r="K61" s="163"/>
      <c r="L61" s="163">
        <v>26996.799999999999</v>
      </c>
      <c r="M61" s="46">
        <v>26996.799999999999</v>
      </c>
    </row>
    <row r="62" spans="3:13" x14ac:dyDescent="0.25">
      <c r="C62" s="91" t="s">
        <v>1056</v>
      </c>
      <c r="D62" s="163"/>
      <c r="E62" s="163">
        <v>158751.44</v>
      </c>
      <c r="F62" s="163"/>
      <c r="G62" s="46">
        <v>158751.44</v>
      </c>
      <c r="I62" s="91" t="s">
        <v>1140</v>
      </c>
      <c r="J62" s="163"/>
      <c r="K62" s="163">
        <v>30740.7</v>
      </c>
      <c r="L62" s="163"/>
      <c r="M62" s="46">
        <v>30740.7</v>
      </c>
    </row>
    <row r="63" spans="3:13" x14ac:dyDescent="0.25">
      <c r="C63" s="91" t="s">
        <v>1130</v>
      </c>
      <c r="D63" s="163">
        <v>51251.47</v>
      </c>
      <c r="E63" s="163"/>
      <c r="F63" s="163">
        <v>132029.76999999999</v>
      </c>
      <c r="G63" s="46">
        <v>183281.24</v>
      </c>
      <c r="I63" s="91" t="s">
        <v>1085</v>
      </c>
      <c r="J63" s="163"/>
      <c r="K63" s="163"/>
      <c r="L63" s="163">
        <v>7592.85</v>
      </c>
      <c r="M63" s="46">
        <v>7592.85</v>
      </c>
    </row>
    <row r="64" spans="3:13" x14ac:dyDescent="0.25">
      <c r="C64" s="91" t="s">
        <v>1059</v>
      </c>
      <c r="D64" s="163">
        <v>161101.98000000001</v>
      </c>
      <c r="E64" s="163">
        <v>223509.47000000003</v>
      </c>
      <c r="F64" s="163">
        <v>86494.170000000013</v>
      </c>
      <c r="G64" s="46">
        <v>471105.62000000011</v>
      </c>
      <c r="I64" s="91" t="s">
        <v>1032</v>
      </c>
      <c r="J64" s="163">
        <v>137824</v>
      </c>
      <c r="K64" s="163"/>
      <c r="L64" s="163"/>
      <c r="M64" s="46">
        <v>137824</v>
      </c>
    </row>
    <row r="65" spans="3:13" x14ac:dyDescent="0.25">
      <c r="C65" s="91" t="s">
        <v>1054</v>
      </c>
      <c r="D65" s="163">
        <v>282800.11</v>
      </c>
      <c r="E65" s="163">
        <v>1010515.38</v>
      </c>
      <c r="F65" s="163">
        <v>176793.08</v>
      </c>
      <c r="G65" s="46">
        <v>1470108.57</v>
      </c>
      <c r="I65" s="91" t="s">
        <v>1081</v>
      </c>
      <c r="J65" s="163"/>
      <c r="K65" s="163"/>
      <c r="L65" s="163">
        <v>11473.64</v>
      </c>
      <c r="M65" s="46">
        <v>11473.64</v>
      </c>
    </row>
    <row r="66" spans="3:13" x14ac:dyDescent="0.25">
      <c r="C66" s="91" t="s">
        <v>1047</v>
      </c>
      <c r="D66" s="163">
        <v>77593.63</v>
      </c>
      <c r="E66" s="163">
        <v>9290.81</v>
      </c>
      <c r="F66" s="163">
        <v>16087.76</v>
      </c>
      <c r="G66" s="46">
        <v>102972.2</v>
      </c>
      <c r="I66" s="91" t="s">
        <v>1123</v>
      </c>
      <c r="J66" s="163"/>
      <c r="K66" s="163">
        <v>93603.9</v>
      </c>
      <c r="L66" s="163">
        <v>8896.94</v>
      </c>
      <c r="M66" s="46">
        <v>102500.84</v>
      </c>
    </row>
    <row r="67" spans="3:13" x14ac:dyDescent="0.25">
      <c r="C67" s="91" t="s">
        <v>1042</v>
      </c>
      <c r="D67" s="163"/>
      <c r="E67" s="163">
        <v>920769.98</v>
      </c>
      <c r="F67" s="163">
        <v>232770.44</v>
      </c>
      <c r="G67" s="46">
        <v>1153540.42</v>
      </c>
      <c r="I67" s="91" t="s">
        <v>1142</v>
      </c>
      <c r="J67" s="163"/>
      <c r="K67" s="163"/>
      <c r="L67" s="163">
        <v>8436.5</v>
      </c>
      <c r="M67" s="46">
        <v>8436.5</v>
      </c>
    </row>
    <row r="68" spans="3:13" x14ac:dyDescent="0.25">
      <c r="C68" s="91" t="s">
        <v>1131</v>
      </c>
      <c r="D68" s="163">
        <v>50700.38</v>
      </c>
      <c r="E68" s="163">
        <v>313509.48</v>
      </c>
      <c r="F68" s="163">
        <v>15521.78</v>
      </c>
      <c r="G68" s="46">
        <v>379731.64</v>
      </c>
      <c r="I68" s="91" t="s">
        <v>1141</v>
      </c>
      <c r="J68" s="163"/>
      <c r="K68" s="163"/>
      <c r="L68" s="163">
        <v>2530.9499999999998</v>
      </c>
      <c r="M68" s="46">
        <v>2530.9499999999998</v>
      </c>
    </row>
    <row r="69" spans="3:13" x14ac:dyDescent="0.25">
      <c r="C69" s="91" t="s">
        <v>1090</v>
      </c>
      <c r="D69" s="163"/>
      <c r="E69" s="163">
        <v>25000.16</v>
      </c>
      <c r="F69" s="163"/>
      <c r="G69" s="46">
        <v>25000.16</v>
      </c>
      <c r="I69" s="91" t="s">
        <v>1084</v>
      </c>
      <c r="J69" s="163"/>
      <c r="K69" s="163"/>
      <c r="L69" s="163">
        <v>13498.4</v>
      </c>
      <c r="M69" s="46">
        <v>13498.4</v>
      </c>
    </row>
    <row r="70" spans="3:13" x14ac:dyDescent="0.25">
      <c r="C70" s="91" t="s">
        <v>1089</v>
      </c>
      <c r="D70" s="163"/>
      <c r="E70" s="163">
        <v>40987.599999999999</v>
      </c>
      <c r="F70" s="163"/>
      <c r="G70" s="46">
        <v>40987.599999999999</v>
      </c>
      <c r="I70" s="91" t="s">
        <v>1124</v>
      </c>
      <c r="J70" s="163"/>
      <c r="K70" s="163">
        <v>0</v>
      </c>
      <c r="L70" s="163"/>
      <c r="M70" s="46">
        <v>0</v>
      </c>
    </row>
    <row r="71" spans="3:13" x14ac:dyDescent="0.25">
      <c r="C71" s="91" t="s">
        <v>1098</v>
      </c>
      <c r="D71" s="163">
        <v>167298.73000000001</v>
      </c>
      <c r="E71" s="163">
        <v>1156499.53</v>
      </c>
      <c r="F71" s="163">
        <v>100059.39</v>
      </c>
      <c r="G71" s="46">
        <v>1423857.65</v>
      </c>
      <c r="I71" s="91" t="s">
        <v>1037</v>
      </c>
      <c r="J71" s="163">
        <v>276000</v>
      </c>
      <c r="K71" s="163"/>
      <c r="L71" s="163"/>
      <c r="M71" s="46">
        <v>276000</v>
      </c>
    </row>
    <row r="72" spans="3:13" x14ac:dyDescent="0.25">
      <c r="C72" s="91" t="s">
        <v>1043</v>
      </c>
      <c r="D72" s="163">
        <v>145131.16</v>
      </c>
      <c r="E72" s="163">
        <v>688807.27</v>
      </c>
      <c r="F72" s="163">
        <v>803595.4</v>
      </c>
      <c r="G72" s="46">
        <v>1637533.83</v>
      </c>
      <c r="I72" s="91" t="s">
        <v>1076</v>
      </c>
      <c r="J72" s="163"/>
      <c r="K72" s="163">
        <v>738941.8</v>
      </c>
      <c r="L72" s="163"/>
      <c r="M72" s="46">
        <v>738941.8</v>
      </c>
    </row>
    <row r="73" spans="3:13" x14ac:dyDescent="0.25">
      <c r="C73" s="91" t="s">
        <v>1109</v>
      </c>
      <c r="D73" s="163"/>
      <c r="E73" s="163">
        <v>93125</v>
      </c>
      <c r="F73" s="163"/>
      <c r="G73" s="46">
        <v>93125</v>
      </c>
      <c r="I73" s="91" t="s">
        <v>1129</v>
      </c>
      <c r="J73" s="163"/>
      <c r="K73" s="163">
        <v>14732.1</v>
      </c>
      <c r="L73" s="163"/>
      <c r="M73" s="46">
        <v>14732.1</v>
      </c>
    </row>
    <row r="74" spans="3:13" x14ac:dyDescent="0.25">
      <c r="C74" s="91" t="s">
        <v>1039</v>
      </c>
      <c r="D74" s="163">
        <v>-11100</v>
      </c>
      <c r="E74" s="163">
        <v>299819.53999999998</v>
      </c>
      <c r="F74" s="163">
        <v>-3155.43</v>
      </c>
      <c r="G74" s="46">
        <v>285564.11</v>
      </c>
      <c r="I74" s="91" t="s">
        <v>1135</v>
      </c>
      <c r="J74" s="163"/>
      <c r="K74" s="163">
        <v>58929.599999999999</v>
      </c>
      <c r="L74" s="163">
        <v>3040</v>
      </c>
      <c r="M74" s="46">
        <v>61969.599999999999</v>
      </c>
    </row>
    <row r="75" spans="3:13" x14ac:dyDescent="0.25">
      <c r="C75" s="91" t="s">
        <v>1097</v>
      </c>
      <c r="D75" s="163"/>
      <c r="E75" s="163">
        <v>118367</v>
      </c>
      <c r="F75" s="163">
        <v>6756.8</v>
      </c>
      <c r="G75" s="46">
        <v>125123.8</v>
      </c>
      <c r="I75" s="91" t="s">
        <v>1048</v>
      </c>
      <c r="J75" s="163"/>
      <c r="K75" s="163">
        <v>182165.41999999998</v>
      </c>
      <c r="L75" s="163"/>
      <c r="M75" s="46">
        <v>182165.41999999998</v>
      </c>
    </row>
    <row r="76" spans="3:13" x14ac:dyDescent="0.25">
      <c r="C76" s="91" t="s">
        <v>1112</v>
      </c>
      <c r="D76" s="163"/>
      <c r="E76" s="163">
        <v>19808.28</v>
      </c>
      <c r="F76" s="163"/>
      <c r="G76" s="46">
        <v>19808.28</v>
      </c>
      <c r="I76" s="91" t="s">
        <v>1066</v>
      </c>
      <c r="J76" s="163">
        <v>48813.5</v>
      </c>
      <c r="K76" s="163"/>
      <c r="L76" s="163"/>
      <c r="M76" s="46">
        <v>48813.5</v>
      </c>
    </row>
    <row r="77" spans="3:13" x14ac:dyDescent="0.25">
      <c r="C77" s="91" t="s">
        <v>1067</v>
      </c>
      <c r="D77" s="163"/>
      <c r="E77" s="163">
        <v>30855.33</v>
      </c>
      <c r="F77" s="163"/>
      <c r="G77" s="46">
        <v>30855.33</v>
      </c>
      <c r="I77" s="91" t="s">
        <v>1095</v>
      </c>
      <c r="J77" s="163"/>
      <c r="K77" s="163"/>
      <c r="L77" s="163">
        <v>8436.5</v>
      </c>
      <c r="M77" s="46">
        <v>8436.5</v>
      </c>
    </row>
    <row r="78" spans="3:13" x14ac:dyDescent="0.25">
      <c r="C78" s="91" t="s">
        <v>1136</v>
      </c>
      <c r="D78" s="163">
        <v>55500</v>
      </c>
      <c r="E78" s="163"/>
      <c r="F78" s="163"/>
      <c r="G78" s="46">
        <v>55500</v>
      </c>
      <c r="I78" s="91" t="s">
        <v>1108</v>
      </c>
      <c r="J78" s="163"/>
      <c r="K78" s="163">
        <v>43399.28</v>
      </c>
      <c r="L78" s="163"/>
      <c r="M78" s="46">
        <v>43399.28</v>
      </c>
    </row>
    <row r="79" spans="3:13" x14ac:dyDescent="0.25">
      <c r="C79" s="91" t="s">
        <v>1057</v>
      </c>
      <c r="D79" s="163">
        <v>331147.63</v>
      </c>
      <c r="E79" s="163">
        <v>115094.17</v>
      </c>
      <c r="F79" s="163">
        <v>45077.52</v>
      </c>
      <c r="G79" s="46">
        <v>491319.32</v>
      </c>
      <c r="I79" s="91" t="s">
        <v>1075</v>
      </c>
      <c r="J79" s="163"/>
      <c r="K79" s="163">
        <v>1811.92</v>
      </c>
      <c r="L79" s="163"/>
      <c r="M79" s="46">
        <v>1811.92</v>
      </c>
    </row>
    <row r="80" spans="3:13" x14ac:dyDescent="0.25">
      <c r="C80" s="91" t="s">
        <v>1122</v>
      </c>
      <c r="D80" s="163">
        <v>78722.27</v>
      </c>
      <c r="E80" s="163">
        <v>196802.26</v>
      </c>
      <c r="F80" s="163">
        <v>73936.67</v>
      </c>
      <c r="G80" s="46">
        <v>349461.2</v>
      </c>
      <c r="I80" s="91" t="s">
        <v>1091</v>
      </c>
      <c r="J80" s="163">
        <v>87699</v>
      </c>
      <c r="K80" s="163"/>
      <c r="L80" s="163"/>
      <c r="M80" s="46">
        <v>87699</v>
      </c>
    </row>
    <row r="81" spans="3:13" x14ac:dyDescent="0.25">
      <c r="C81" s="91" t="s">
        <v>1143</v>
      </c>
      <c r="D81" s="163"/>
      <c r="E81" s="163">
        <v>137502.39999999999</v>
      </c>
      <c r="F81" s="163"/>
      <c r="G81" s="46">
        <v>137502.39999999999</v>
      </c>
      <c r="I81" s="91" t="s">
        <v>1077</v>
      </c>
      <c r="J81" s="163">
        <v>7283.83</v>
      </c>
      <c r="K81" s="163">
        <v>46980</v>
      </c>
      <c r="L81" s="163">
        <v>5596.8</v>
      </c>
      <c r="M81" s="46">
        <v>59860.630000000005</v>
      </c>
    </row>
    <row r="82" spans="3:13" x14ac:dyDescent="0.25">
      <c r="C82" s="91" t="s">
        <v>1134</v>
      </c>
      <c r="D82" s="163"/>
      <c r="E82" s="163"/>
      <c r="F82" s="163">
        <v>109560.53</v>
      </c>
      <c r="G82" s="46">
        <v>109560.53</v>
      </c>
      <c r="I82" s="91" t="s">
        <v>1104</v>
      </c>
      <c r="J82" s="163"/>
      <c r="K82" s="163">
        <v>35200</v>
      </c>
      <c r="L82" s="163"/>
      <c r="M82" s="46">
        <v>35200</v>
      </c>
    </row>
    <row r="83" spans="3:13" x14ac:dyDescent="0.25">
      <c r="C83" s="91" t="s">
        <v>1074</v>
      </c>
      <c r="D83" s="163"/>
      <c r="E83" s="163">
        <v>4998.49</v>
      </c>
      <c r="F83" s="163"/>
      <c r="G83" s="46">
        <v>4998.49</v>
      </c>
      <c r="I83" s="91" t="s">
        <v>1038</v>
      </c>
      <c r="J83" s="163">
        <v>133450.72</v>
      </c>
      <c r="K83" s="163">
        <v>822490.46</v>
      </c>
      <c r="L83" s="163"/>
      <c r="M83" s="46">
        <v>955941.17999999993</v>
      </c>
    </row>
    <row r="84" spans="3:13" x14ac:dyDescent="0.25">
      <c r="C84" s="91" t="s">
        <v>1096</v>
      </c>
      <c r="D84" s="163"/>
      <c r="E84" s="163">
        <v>67451.73</v>
      </c>
      <c r="F84" s="163">
        <v>413.3</v>
      </c>
      <c r="G84" s="46">
        <v>67865.03</v>
      </c>
      <c r="I84" s="91" t="s">
        <v>1078</v>
      </c>
      <c r="J84" s="163">
        <v>3198.07</v>
      </c>
      <c r="K84" s="163"/>
      <c r="L84" s="163">
        <v>7481.4500000000007</v>
      </c>
      <c r="M84" s="46">
        <v>10679.52</v>
      </c>
    </row>
    <row r="85" spans="3:13" x14ac:dyDescent="0.25">
      <c r="C85" s="91" t="s">
        <v>580</v>
      </c>
      <c r="D85" s="163"/>
      <c r="E85" s="163">
        <v>42500</v>
      </c>
      <c r="F85" s="163"/>
      <c r="G85" s="46">
        <v>42500</v>
      </c>
      <c r="I85" s="91" t="s">
        <v>1079</v>
      </c>
      <c r="J85" s="163"/>
      <c r="K85" s="163">
        <v>264201.03999999998</v>
      </c>
      <c r="L85" s="163"/>
      <c r="M85" s="46">
        <v>264201.03999999998</v>
      </c>
    </row>
    <row r="86" spans="3:13" x14ac:dyDescent="0.25">
      <c r="C86" s="91" t="s">
        <v>1049</v>
      </c>
      <c r="D86" s="163">
        <v>90407.6</v>
      </c>
      <c r="E86" s="163"/>
      <c r="F86" s="163">
        <v>10967.62</v>
      </c>
      <c r="G86" s="46">
        <v>101375.22</v>
      </c>
      <c r="I86" s="91" t="s">
        <v>1110</v>
      </c>
      <c r="J86" s="163">
        <v>393615.04000000004</v>
      </c>
      <c r="K86" s="163">
        <v>245998.74</v>
      </c>
      <c r="L86" s="163">
        <v>177442.42</v>
      </c>
      <c r="M86" s="46">
        <v>817056.20000000007</v>
      </c>
    </row>
    <row r="87" spans="3:13" x14ac:dyDescent="0.25">
      <c r="C87" s="91" t="s">
        <v>1080</v>
      </c>
      <c r="D87" s="163">
        <v>30996</v>
      </c>
      <c r="E87" s="163"/>
      <c r="F87" s="163"/>
      <c r="G87" s="46">
        <v>30996</v>
      </c>
      <c r="I87" s="91" t="s">
        <v>1063</v>
      </c>
      <c r="J87" s="163">
        <v>164003.66</v>
      </c>
      <c r="K87" s="163">
        <v>344260.26000000007</v>
      </c>
      <c r="L87" s="163">
        <v>82260.759999999995</v>
      </c>
      <c r="M87" s="46">
        <v>590524.68000000005</v>
      </c>
    </row>
    <row r="88" spans="3:13" x14ac:dyDescent="0.25">
      <c r="C88" s="91" t="s">
        <v>1133</v>
      </c>
      <c r="D88" s="163"/>
      <c r="E88" s="163">
        <v>26333.81</v>
      </c>
      <c r="F88" s="163"/>
      <c r="G88" s="46">
        <v>26333.81</v>
      </c>
      <c r="I88" s="91" t="s">
        <v>1056</v>
      </c>
      <c r="J88" s="163"/>
      <c r="K88" s="163">
        <v>635004.67999999993</v>
      </c>
      <c r="L88" s="163"/>
      <c r="M88" s="46">
        <v>635004.67999999993</v>
      </c>
    </row>
    <row r="89" spans="3:13" x14ac:dyDescent="0.25">
      <c r="C89" s="91" t="s">
        <v>1117</v>
      </c>
      <c r="D89" s="163">
        <v>14450.4</v>
      </c>
      <c r="E89" s="163"/>
      <c r="F89" s="163"/>
      <c r="G89" s="46">
        <v>14450.4</v>
      </c>
      <c r="I89" s="91" t="s">
        <v>1130</v>
      </c>
      <c r="J89" s="163">
        <v>51251.47</v>
      </c>
      <c r="K89" s="163"/>
      <c r="L89" s="163">
        <v>132029.76999999999</v>
      </c>
      <c r="M89" s="46">
        <v>183281.24</v>
      </c>
    </row>
    <row r="90" spans="3:13" x14ac:dyDescent="0.25">
      <c r="C90"/>
      <c r="D90"/>
      <c r="E90"/>
      <c r="F90"/>
      <c r="G90"/>
      <c r="I90" s="91" t="s">
        <v>1052</v>
      </c>
      <c r="J90" s="163"/>
      <c r="K90" s="163"/>
      <c r="L90" s="163">
        <v>14962.91</v>
      </c>
      <c r="M90" s="46">
        <v>14962.91</v>
      </c>
    </row>
    <row r="91" spans="3:13" x14ac:dyDescent="0.25">
      <c r="C91"/>
      <c r="D91"/>
      <c r="E91"/>
      <c r="F91"/>
      <c r="G91"/>
      <c r="I91" s="91" t="s">
        <v>1068</v>
      </c>
      <c r="J91" s="163"/>
      <c r="K91" s="163">
        <v>11143.31</v>
      </c>
      <c r="L91" s="163"/>
      <c r="M91" s="46">
        <v>11143.31</v>
      </c>
    </row>
    <row r="92" spans="3:13" x14ac:dyDescent="0.25">
      <c r="C92"/>
      <c r="D92"/>
      <c r="E92"/>
      <c r="F92"/>
      <c r="G92"/>
      <c r="I92" s="91" t="s">
        <v>1059</v>
      </c>
      <c r="J92" s="163">
        <v>542410.47000000009</v>
      </c>
      <c r="K92" s="163">
        <v>718352.41</v>
      </c>
      <c r="L92" s="163">
        <v>169670.66</v>
      </c>
      <c r="M92" s="46">
        <v>1430433.54</v>
      </c>
    </row>
    <row r="93" spans="3:13" x14ac:dyDescent="0.25">
      <c r="C93"/>
      <c r="D93"/>
      <c r="E93"/>
      <c r="F93"/>
      <c r="G93"/>
      <c r="I93" s="91" t="s">
        <v>1054</v>
      </c>
      <c r="J93" s="163">
        <v>1081510.8799999999</v>
      </c>
      <c r="K93" s="163">
        <v>3858169.27</v>
      </c>
      <c r="L93" s="163">
        <v>733060.89999999991</v>
      </c>
      <c r="M93" s="46">
        <v>5672741.0500000007</v>
      </c>
    </row>
    <row r="94" spans="3:13" x14ac:dyDescent="0.25">
      <c r="C94"/>
      <c r="D94"/>
      <c r="E94"/>
      <c r="F94"/>
      <c r="G94"/>
      <c r="I94" s="91" t="s">
        <v>1106</v>
      </c>
      <c r="J94" s="163"/>
      <c r="K94" s="163">
        <v>229191.12</v>
      </c>
      <c r="L94" s="163"/>
      <c r="M94" s="46">
        <v>229191.12</v>
      </c>
    </row>
    <row r="95" spans="3:13" x14ac:dyDescent="0.25">
      <c r="C95"/>
      <c r="D95"/>
      <c r="E95"/>
      <c r="F95"/>
      <c r="G95"/>
      <c r="I95" s="91" t="s">
        <v>1105</v>
      </c>
      <c r="J95" s="163"/>
      <c r="K95" s="163"/>
      <c r="L95" s="163">
        <v>5985.15</v>
      </c>
      <c r="M95" s="46">
        <v>5985.15</v>
      </c>
    </row>
    <row r="96" spans="3:13" x14ac:dyDescent="0.25">
      <c r="C96"/>
      <c r="D96"/>
      <c r="E96"/>
      <c r="F96"/>
      <c r="G96"/>
      <c r="I96" s="91" t="s">
        <v>1047</v>
      </c>
      <c r="J96" s="163">
        <v>77593.63</v>
      </c>
      <c r="K96" s="163">
        <v>57942.44</v>
      </c>
      <c r="L96" s="163">
        <v>105266.64</v>
      </c>
      <c r="M96" s="46">
        <v>240802.71000000002</v>
      </c>
    </row>
    <row r="97" spans="3:13" x14ac:dyDescent="0.25">
      <c r="C97"/>
      <c r="D97"/>
      <c r="E97"/>
      <c r="F97"/>
      <c r="G97"/>
      <c r="I97" s="91" t="s">
        <v>1042</v>
      </c>
      <c r="J97" s="163"/>
      <c r="K97" s="163">
        <v>3275738.32</v>
      </c>
      <c r="L97" s="163">
        <v>515604.47999999998</v>
      </c>
      <c r="M97" s="46">
        <v>3791342.8</v>
      </c>
    </row>
    <row r="98" spans="3:13" x14ac:dyDescent="0.25">
      <c r="C98"/>
      <c r="D98"/>
      <c r="E98"/>
      <c r="F98"/>
      <c r="G98"/>
      <c r="I98" s="91" t="s">
        <v>1131</v>
      </c>
      <c r="J98" s="163">
        <v>50700.38</v>
      </c>
      <c r="K98" s="163">
        <v>313509.48</v>
      </c>
      <c r="L98" s="163">
        <v>15521.78</v>
      </c>
      <c r="M98" s="46">
        <v>379731.64</v>
      </c>
    </row>
    <row r="99" spans="3:13" x14ac:dyDescent="0.25">
      <c r="C99"/>
      <c r="D99"/>
      <c r="E99"/>
      <c r="F99"/>
      <c r="G99"/>
      <c r="I99" s="91" t="s">
        <v>1090</v>
      </c>
      <c r="J99" s="163"/>
      <c r="K99" s="163">
        <v>63330.899999999994</v>
      </c>
      <c r="L99" s="163"/>
      <c r="M99" s="46">
        <v>63330.899999999994</v>
      </c>
    </row>
    <row r="100" spans="3:13" x14ac:dyDescent="0.25">
      <c r="C100"/>
      <c r="D100"/>
      <c r="E100"/>
      <c r="F100"/>
      <c r="G100"/>
      <c r="I100" s="91" t="s">
        <v>1089</v>
      </c>
      <c r="J100" s="163"/>
      <c r="K100" s="163">
        <v>61481.399999999994</v>
      </c>
      <c r="L100" s="163"/>
      <c r="M100" s="46">
        <v>61481.399999999994</v>
      </c>
    </row>
    <row r="101" spans="3:13" x14ac:dyDescent="0.25">
      <c r="C101"/>
      <c r="D101"/>
      <c r="E101"/>
      <c r="F101"/>
      <c r="G101"/>
      <c r="I101" s="91" t="s">
        <v>1098</v>
      </c>
      <c r="J101" s="163">
        <v>413304.21</v>
      </c>
      <c r="K101" s="163">
        <v>2888348.4</v>
      </c>
      <c r="L101" s="163">
        <v>263612.74</v>
      </c>
      <c r="M101" s="46">
        <v>3565265.3499999996</v>
      </c>
    </row>
    <row r="102" spans="3:13" x14ac:dyDescent="0.25">
      <c r="C102"/>
      <c r="D102"/>
      <c r="E102"/>
      <c r="F102"/>
      <c r="G102"/>
      <c r="I102" s="91" t="s">
        <v>1043</v>
      </c>
      <c r="J102" s="163">
        <v>413260.45999999996</v>
      </c>
      <c r="K102" s="163">
        <v>2034524.42</v>
      </c>
      <c r="L102" s="163">
        <v>1550756.47</v>
      </c>
      <c r="M102" s="46">
        <v>3998541.3499999996</v>
      </c>
    </row>
    <row r="103" spans="3:13" x14ac:dyDescent="0.25">
      <c r="C103"/>
      <c r="D103"/>
      <c r="E103"/>
      <c r="F103"/>
      <c r="G103"/>
      <c r="I103" s="91" t="s">
        <v>1109</v>
      </c>
      <c r="J103" s="163"/>
      <c r="K103" s="163">
        <v>114547.5</v>
      </c>
      <c r="L103" s="163"/>
      <c r="M103" s="46">
        <v>114547.5</v>
      </c>
    </row>
    <row r="104" spans="3:13" x14ac:dyDescent="0.25">
      <c r="C104"/>
      <c r="D104"/>
      <c r="E104"/>
      <c r="F104"/>
      <c r="G104"/>
      <c r="I104" s="91" t="s">
        <v>1039</v>
      </c>
      <c r="J104" s="163">
        <v>-11100</v>
      </c>
      <c r="K104" s="163">
        <v>1379936.81</v>
      </c>
      <c r="L104" s="163">
        <v>-3155.43</v>
      </c>
      <c r="M104" s="46">
        <v>1365681.3800000001</v>
      </c>
    </row>
    <row r="105" spans="3:13" x14ac:dyDescent="0.25">
      <c r="C105"/>
      <c r="D105"/>
      <c r="E105"/>
      <c r="F105"/>
      <c r="G105"/>
      <c r="I105" s="91" t="s">
        <v>1097</v>
      </c>
      <c r="J105" s="163"/>
      <c r="K105" s="163">
        <v>308648</v>
      </c>
      <c r="L105" s="163">
        <v>17567.79</v>
      </c>
      <c r="M105" s="46">
        <v>326215.78999999998</v>
      </c>
    </row>
    <row r="106" spans="3:13" x14ac:dyDescent="0.25">
      <c r="C106"/>
      <c r="D106"/>
      <c r="E106"/>
      <c r="F106"/>
      <c r="G106"/>
      <c r="I106" s="91" t="s">
        <v>1112</v>
      </c>
      <c r="J106" s="163"/>
      <c r="K106" s="163">
        <v>25722.149999999998</v>
      </c>
      <c r="L106" s="163"/>
      <c r="M106" s="46">
        <v>25722.149999999998</v>
      </c>
    </row>
    <row r="107" spans="3:13" x14ac:dyDescent="0.25">
      <c r="C107"/>
      <c r="D107"/>
      <c r="E107"/>
      <c r="F107"/>
      <c r="G107"/>
      <c r="I107" s="91" t="s">
        <v>1067</v>
      </c>
      <c r="J107" s="163">
        <v>48791.08</v>
      </c>
      <c r="K107" s="163">
        <v>34582.660000000003</v>
      </c>
      <c r="L107" s="163">
        <v>157845.09</v>
      </c>
      <c r="M107" s="46">
        <v>241218.83000000002</v>
      </c>
    </row>
    <row r="108" spans="3:13" x14ac:dyDescent="0.25">
      <c r="C108"/>
      <c r="D108"/>
      <c r="E108"/>
      <c r="F108"/>
      <c r="G108"/>
      <c r="I108" s="91" t="s">
        <v>1136</v>
      </c>
      <c r="J108" s="163">
        <v>55500</v>
      </c>
      <c r="K108" s="163"/>
      <c r="L108" s="163"/>
      <c r="M108" s="46">
        <v>55500</v>
      </c>
    </row>
    <row r="109" spans="3:13" x14ac:dyDescent="0.25">
      <c r="C109"/>
      <c r="D109"/>
      <c r="E109"/>
      <c r="F109"/>
      <c r="G109"/>
      <c r="I109" s="91" t="s">
        <v>1057</v>
      </c>
      <c r="J109" s="163">
        <v>557291.69999999995</v>
      </c>
      <c r="K109" s="163">
        <v>620973.98</v>
      </c>
      <c r="L109" s="163">
        <v>338470.23000000004</v>
      </c>
      <c r="M109" s="46">
        <v>1516735.91</v>
      </c>
    </row>
    <row r="110" spans="3:13" x14ac:dyDescent="0.25">
      <c r="C110"/>
      <c r="D110"/>
      <c r="E110"/>
      <c r="F110"/>
      <c r="G110"/>
      <c r="I110" s="91" t="s">
        <v>1102</v>
      </c>
      <c r="J110" s="163">
        <v>157443.51999999999</v>
      </c>
      <c r="K110" s="163">
        <v>322072.86</v>
      </c>
      <c r="L110" s="163">
        <v>112661.86</v>
      </c>
      <c r="M110" s="46">
        <v>592178.24</v>
      </c>
    </row>
    <row r="111" spans="3:13" x14ac:dyDescent="0.25">
      <c r="C111"/>
      <c r="D111"/>
      <c r="E111"/>
      <c r="F111"/>
      <c r="G111"/>
      <c r="I111" s="91" t="s">
        <v>1122</v>
      </c>
      <c r="J111" s="163">
        <v>157444.03</v>
      </c>
      <c r="K111" s="163">
        <v>393601.25</v>
      </c>
      <c r="L111" s="163">
        <v>147871</v>
      </c>
      <c r="M111" s="46">
        <v>698916.28</v>
      </c>
    </row>
    <row r="112" spans="3:13" x14ac:dyDescent="0.25">
      <c r="C112"/>
      <c r="D112"/>
      <c r="E112"/>
      <c r="F112"/>
      <c r="G112"/>
      <c r="I112" s="91" t="s">
        <v>1143</v>
      </c>
      <c r="J112" s="163"/>
      <c r="K112" s="163">
        <v>137502.39999999999</v>
      </c>
      <c r="L112" s="163"/>
      <c r="M112" s="46">
        <v>137502.39999999999</v>
      </c>
    </row>
    <row r="113" spans="3:13" x14ac:dyDescent="0.25">
      <c r="C113"/>
      <c r="D113"/>
      <c r="E113"/>
      <c r="F113"/>
      <c r="G113"/>
      <c r="I113" s="91" t="s">
        <v>1134</v>
      </c>
      <c r="J113" s="163"/>
      <c r="K113" s="163"/>
      <c r="L113" s="163">
        <v>109560.53</v>
      </c>
      <c r="M113" s="46">
        <v>109560.53</v>
      </c>
    </row>
    <row r="114" spans="3:13" x14ac:dyDescent="0.25">
      <c r="C114"/>
      <c r="D114"/>
      <c r="E114"/>
      <c r="F114"/>
      <c r="G114"/>
      <c r="I114" s="91" t="s">
        <v>1086</v>
      </c>
      <c r="J114" s="163"/>
      <c r="K114" s="163"/>
      <c r="L114" s="163">
        <v>16198.08</v>
      </c>
      <c r="M114" s="46">
        <v>16198.08</v>
      </c>
    </row>
    <row r="115" spans="3:13" x14ac:dyDescent="0.25">
      <c r="C115"/>
      <c r="D115"/>
      <c r="E115"/>
      <c r="F115"/>
      <c r="G115"/>
      <c r="I115" s="91" t="s">
        <v>1074</v>
      </c>
      <c r="J115" s="163"/>
      <c r="K115" s="163">
        <v>13777</v>
      </c>
      <c r="L115" s="163"/>
      <c r="M115" s="46">
        <v>13777</v>
      </c>
    </row>
    <row r="116" spans="3:13" x14ac:dyDescent="0.25">
      <c r="C116"/>
      <c r="D116"/>
      <c r="E116"/>
      <c r="F116"/>
      <c r="G116"/>
      <c r="I116" s="91" t="s">
        <v>1096</v>
      </c>
      <c r="J116" s="163"/>
      <c r="K116" s="163">
        <v>899225.38</v>
      </c>
      <c r="L116" s="163">
        <v>1102.1200000000001</v>
      </c>
      <c r="M116" s="46">
        <v>900327.5</v>
      </c>
    </row>
    <row r="117" spans="3:13" x14ac:dyDescent="0.25">
      <c r="C117"/>
      <c r="D117"/>
      <c r="E117"/>
      <c r="F117"/>
      <c r="G117"/>
      <c r="I117" s="91" t="s">
        <v>580</v>
      </c>
      <c r="J117" s="163"/>
      <c r="K117" s="163">
        <v>616500</v>
      </c>
      <c r="L117" s="163"/>
      <c r="M117" s="46">
        <v>616500</v>
      </c>
    </row>
    <row r="118" spans="3:13" x14ac:dyDescent="0.25">
      <c r="C118"/>
      <c r="D118"/>
      <c r="E118"/>
      <c r="F118"/>
      <c r="G118"/>
      <c r="I118" s="91" t="s">
        <v>1049</v>
      </c>
      <c r="J118" s="163">
        <v>263898.83</v>
      </c>
      <c r="K118" s="163"/>
      <c r="L118" s="163">
        <v>185399.46000000002</v>
      </c>
      <c r="M118" s="46">
        <v>449298.29000000004</v>
      </c>
    </row>
    <row r="119" spans="3:13" x14ac:dyDescent="0.25">
      <c r="C119"/>
      <c r="D119"/>
      <c r="E119"/>
      <c r="F119"/>
      <c r="G119"/>
      <c r="I119" s="91" t="s">
        <v>1118</v>
      </c>
      <c r="J119" s="163"/>
      <c r="K119" s="163"/>
      <c r="L119" s="163">
        <v>3458.96</v>
      </c>
      <c r="M119" s="46">
        <v>3458.96</v>
      </c>
    </row>
    <row r="120" spans="3:13" x14ac:dyDescent="0.25">
      <c r="C120"/>
      <c r="D120"/>
      <c r="E120"/>
      <c r="F120"/>
      <c r="G120"/>
      <c r="I120" s="91" t="s">
        <v>1080</v>
      </c>
      <c r="J120" s="163">
        <v>111585.60000000001</v>
      </c>
      <c r="K120" s="163"/>
      <c r="L120" s="163"/>
      <c r="M120" s="46">
        <v>111585.60000000001</v>
      </c>
    </row>
    <row r="121" spans="3:13" x14ac:dyDescent="0.25">
      <c r="C121"/>
      <c r="D121"/>
      <c r="E121"/>
      <c r="F121"/>
      <c r="G121"/>
      <c r="I121" s="91" t="s">
        <v>1133</v>
      </c>
      <c r="J121" s="163"/>
      <c r="K121" s="163">
        <v>26333.81</v>
      </c>
      <c r="L121" s="163"/>
      <c r="M121" s="46">
        <v>26333.81</v>
      </c>
    </row>
    <row r="122" spans="3:13" x14ac:dyDescent="0.25">
      <c r="C122"/>
      <c r="D122"/>
      <c r="E122"/>
      <c r="F122"/>
      <c r="G122"/>
      <c r="I122" s="91" t="s">
        <v>1117</v>
      </c>
      <c r="J122" s="163">
        <v>15413.77</v>
      </c>
      <c r="K122" s="163"/>
      <c r="L122" s="163"/>
      <c r="M122" s="46">
        <v>15413.77</v>
      </c>
    </row>
    <row r="123" spans="3:13" x14ac:dyDescent="0.25">
      <c r="C123"/>
      <c r="D123"/>
      <c r="E123"/>
      <c r="F123"/>
      <c r="G123"/>
      <c r="I123" s="91" t="s">
        <v>1030</v>
      </c>
      <c r="J123" s="163"/>
      <c r="K123" s="163">
        <v>39454.839999999997</v>
      </c>
      <c r="L123" s="163">
        <v>28869.599999999999</v>
      </c>
      <c r="M123" s="46">
        <v>68324.44</v>
      </c>
    </row>
    <row r="124" spans="3:13" x14ac:dyDescent="0.25">
      <c r="C124"/>
      <c r="D124"/>
      <c r="E124"/>
      <c r="F124"/>
      <c r="G124"/>
      <c r="I124"/>
      <c r="J124"/>
      <c r="K124"/>
      <c r="L124"/>
      <c r="M124"/>
    </row>
    <row r="125" spans="3:13" x14ac:dyDescent="0.25">
      <c r="C125"/>
      <c r="D125"/>
      <c r="E125"/>
      <c r="F125"/>
      <c r="G125"/>
      <c r="I125"/>
      <c r="J125"/>
      <c r="K125"/>
      <c r="L125"/>
      <c r="M125"/>
    </row>
    <row r="126" spans="3:13" x14ac:dyDescent="0.25">
      <c r="C126"/>
      <c r="D126"/>
      <c r="E126"/>
      <c r="F126"/>
      <c r="G126"/>
      <c r="I126"/>
      <c r="J126"/>
      <c r="K126"/>
      <c r="L126"/>
      <c r="M126"/>
    </row>
    <row r="127" spans="3:13" x14ac:dyDescent="0.25">
      <c r="C127"/>
      <c r="D127"/>
      <c r="E127"/>
      <c r="F127"/>
      <c r="G127"/>
    </row>
  </sheetData>
  <pageMargins left="0.511811024" right="0.511811024" top="0.78740157499999996" bottom="0.78740157499999996" header="0.31496062000000002" footer="0.31496062000000002"/>
  <drawing r:id="rId3"/>
  <extLst>
    <ext xmlns:x14="http://schemas.microsoft.com/office/spreadsheetml/2009/9/main" uri="{A8765BA9-456A-4dab-B4F3-ACF838C121DE}">
      <x14:slicerList>
        <x14:slicer r:id="rId4"/>
      </x14:slicerList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2F21CE-575F-40CF-BFA0-0FE49A2C4D6E}">
  <sheetPr>
    <tabColor theme="4" tint="0.79998168889431442"/>
  </sheetPr>
  <dimension ref="C1:R530"/>
  <sheetViews>
    <sheetView showGridLines="0" tabSelected="1" zoomScale="70" zoomScaleNormal="70" workbookViewId="0">
      <selection activeCell="I19" sqref="I19"/>
    </sheetView>
  </sheetViews>
  <sheetFormatPr defaultRowHeight="15" x14ac:dyDescent="0.25"/>
  <cols>
    <col min="1" max="1" width="37.42578125" style="87" customWidth="1"/>
    <col min="2" max="2" width="2.5703125" style="87" customWidth="1"/>
    <col min="3" max="3" width="16" style="87" customWidth="1"/>
    <col min="4" max="7" width="17.140625" style="87" customWidth="1"/>
    <col min="8" max="8" width="17.140625" style="2" customWidth="1"/>
    <col min="9" max="9" width="17.140625" style="87" customWidth="1"/>
    <col min="10" max="10" width="17.140625" customWidth="1"/>
    <col min="11" max="11" width="3.7109375" customWidth="1"/>
    <col min="12" max="12" width="120.5703125" style="3" bestFit="1" customWidth="1"/>
    <col min="13" max="17" width="15.85546875" style="3" customWidth="1"/>
    <col min="18" max="18" width="10.7109375" style="3" bestFit="1" customWidth="1"/>
    <col min="19" max="16384" width="9.140625" style="87"/>
  </cols>
  <sheetData>
    <row r="1" spans="3:18" ht="32.25" customHeight="1" x14ac:dyDescent="0.3">
      <c r="C1" s="90" t="s">
        <v>971</v>
      </c>
      <c r="L1" s="151" t="s">
        <v>1018</v>
      </c>
    </row>
    <row r="2" spans="3:18" ht="18.75" x14ac:dyDescent="0.25">
      <c r="C2" s="88" t="s">
        <v>1019</v>
      </c>
      <c r="L2" s="92" t="s">
        <v>2</v>
      </c>
      <c r="M2" s="3" t="s">
        <v>16</v>
      </c>
    </row>
    <row r="3" spans="3:18" ht="21" x14ac:dyDescent="0.25">
      <c r="C3" s="50" t="s">
        <v>965</v>
      </c>
      <c r="D3" s="175" t="str">
        <f>Demostrativo_Ano</f>
        <v>2019/2020</v>
      </c>
      <c r="E3" s="176"/>
      <c r="F3" s="177"/>
      <c r="G3" s="89"/>
      <c r="H3" s="119"/>
      <c r="I3" s="89"/>
      <c r="L3" s="92" t="s">
        <v>4</v>
      </c>
      <c r="M3" s="3" t="s">
        <v>18</v>
      </c>
    </row>
    <row r="4" spans="3:18" x14ac:dyDescent="0.25">
      <c r="C4" s="50" t="s">
        <v>966</v>
      </c>
      <c r="D4" s="175" t="str">
        <f>M4</f>
        <v>03-Set</v>
      </c>
      <c r="E4" s="176"/>
      <c r="F4" s="177"/>
      <c r="L4" s="92" t="s">
        <v>3</v>
      </c>
      <c r="M4" s="3" t="s">
        <v>60</v>
      </c>
    </row>
    <row r="5" spans="3:18" x14ac:dyDescent="0.25">
      <c r="C5" s="50" t="s">
        <v>967</v>
      </c>
      <c r="D5" s="175" t="str">
        <f>M3</f>
        <v>01-Tri</v>
      </c>
      <c r="E5" s="176"/>
      <c r="F5" s="177"/>
      <c r="L5" s="92" t="s">
        <v>782</v>
      </c>
      <c r="M5" s="3" t="s">
        <v>784</v>
      </c>
    </row>
    <row r="6" spans="3:18" x14ac:dyDescent="0.25">
      <c r="C6" s="50" t="s">
        <v>973</v>
      </c>
      <c r="D6" s="175" t="str">
        <f>M5</f>
        <v>rafael.esteves@cslbehring.com</v>
      </c>
      <c r="E6" s="176"/>
      <c r="F6" s="177"/>
      <c r="M6" s="117">
        <f>SUM(M8:M1048575)</f>
        <v>141</v>
      </c>
      <c r="N6" s="117">
        <f t="shared" ref="N6:Q6" si="0">SUM(N8:N1048575)</f>
        <v>562</v>
      </c>
      <c r="O6" s="117">
        <f t="shared" si="0"/>
        <v>596</v>
      </c>
      <c r="P6" s="117">
        <f t="shared" si="0"/>
        <v>2166</v>
      </c>
      <c r="Q6" s="117">
        <f t="shared" si="0"/>
        <v>29545</v>
      </c>
    </row>
    <row r="7" spans="3:18" x14ac:dyDescent="0.25">
      <c r="C7" s="118" t="s">
        <v>783</v>
      </c>
      <c r="D7" s="175" t="str">
        <f>VLOOKUP(Filtro_Demostrativo_GR_GR,VIEW_IV_2019_GERENTES[],2,0)</f>
        <v>RAFAEL ESTEVES (RJ/SPI/SUL)</v>
      </c>
      <c r="E7" s="176"/>
      <c r="F7" s="177"/>
      <c r="L7" s="92" t="s">
        <v>1020</v>
      </c>
      <c r="R7"/>
    </row>
    <row r="8" spans="3:18" x14ac:dyDescent="0.25">
      <c r="C8"/>
      <c r="D8"/>
      <c r="E8"/>
      <c r="F8"/>
      <c r="M8" s="154" t="s">
        <v>99</v>
      </c>
      <c r="N8" s="154" t="s">
        <v>68</v>
      </c>
      <c r="O8" s="154" t="s">
        <v>74</v>
      </c>
      <c r="P8" s="154" t="s">
        <v>69</v>
      </c>
      <c r="Q8" s="154" t="s">
        <v>22</v>
      </c>
      <c r="R8"/>
    </row>
    <row r="9" spans="3:18" ht="15.75" x14ac:dyDescent="0.25">
      <c r="C9" s="148" t="s">
        <v>1015</v>
      </c>
      <c r="D9" s="148"/>
      <c r="E9" s="148"/>
      <c r="F9" s="148"/>
      <c r="G9" s="149"/>
      <c r="H9" s="150">
        <f>H18+H22+H23+H27+J36+J40</f>
        <v>5844.4808398199266</v>
      </c>
      <c r="L9" s="91" t="s">
        <v>400</v>
      </c>
      <c r="M9" s="10"/>
      <c r="N9" s="10">
        <v>12</v>
      </c>
      <c r="O9" s="10"/>
      <c r="P9" s="10">
        <v>8</v>
      </c>
      <c r="Q9" s="10"/>
      <c r="R9"/>
    </row>
    <row r="10" spans="3:18" x14ac:dyDescent="0.25">
      <c r="L10" s="91" t="s">
        <v>672</v>
      </c>
      <c r="M10" s="10"/>
      <c r="N10" s="10"/>
      <c r="O10" s="10"/>
      <c r="P10" s="10">
        <v>112</v>
      </c>
      <c r="Q10" s="10"/>
      <c r="R10"/>
    </row>
    <row r="11" spans="3:18" x14ac:dyDescent="0.25">
      <c r="C11" s="120" t="s">
        <v>1000</v>
      </c>
      <c r="L11" s="91" t="s">
        <v>647</v>
      </c>
      <c r="M11" s="10"/>
      <c r="N11" s="10"/>
      <c r="O11" s="10"/>
      <c r="P11" s="10"/>
      <c r="Q11" s="10">
        <v>125</v>
      </c>
      <c r="R11"/>
    </row>
    <row r="12" spans="3:18" x14ac:dyDescent="0.25">
      <c r="C12" s="136" t="s">
        <v>14</v>
      </c>
      <c r="D12" s="136" t="s">
        <v>994</v>
      </c>
      <c r="E12" s="136" t="s">
        <v>995</v>
      </c>
      <c r="F12" s="136" t="s">
        <v>996</v>
      </c>
      <c r="G12" s="136" t="s">
        <v>997</v>
      </c>
      <c r="H12" s="136" t="s">
        <v>998</v>
      </c>
      <c r="L12" s="91" t="s">
        <v>694</v>
      </c>
      <c r="M12" s="10"/>
      <c r="N12" s="10">
        <v>3</v>
      </c>
      <c r="O12" s="10">
        <v>6</v>
      </c>
      <c r="P12" s="10"/>
      <c r="Q12" s="10">
        <v>130</v>
      </c>
      <c r="R12"/>
    </row>
    <row r="13" spans="3:18" x14ac:dyDescent="0.25">
      <c r="C13" s="137" t="s">
        <v>99</v>
      </c>
      <c r="D13" s="136">
        <f>SUMIFS(VIEW_IV_2019_GR_COTA_DEMANDA[Cota.BERINERT],VIEW_IV_2019_GR_COTA_DEMANDA[Ano-Fiscal],Filtro_Demostrativo_GR_ANO,VIEW_IV_2019_GR_COTA_DEMANDA[Mes-Fiscal],Filtro_Demostrativo_GR_MES,VIEW_IV_2019_GR_COTA_DEMANDA['#FK-Email-Gerente],'Demonstrativo GR'!Filtro_Demostrativo_GR_GR)</f>
        <v>133</v>
      </c>
      <c r="E13" s="136">
        <f>SUMIFS(VIEW_IV_2019_GR_COTA_DEMANDA[Demanda.BERINERT],VIEW_IV_2019_GR_COTA_DEMANDA[Ano-Fiscal],Filtro_Demostrativo_GR_ANO,VIEW_IV_2019_GR_COTA_DEMANDA[Mes-Fiscal],Filtro_Demostrativo_GR_MES,VIEW_IV_2019_GR_COTA_DEMANDA['#FK-Email-Gerente],'Demonstrativo GR'!Filtro_Demostrativo_GR_GR)</f>
        <v>141</v>
      </c>
      <c r="F13" s="138">
        <f>SUMIFS(VIEW_IV_2019_GR_COTA_DEMANDA[Cobertura.BERINERT],VIEW_IV_2019_GR_COTA_DEMANDA[Ano-Fiscal],Filtro_Demostrativo_GR_ANO,VIEW_IV_2019_GR_COTA_DEMANDA[Mes-Fiscal],Filtro_Demostrativo_GR_MES,VIEW_IV_2019_GR_COTA_DEMANDA['#FK-Email-Gerente],'Demonstrativo GR'!Filtro_Demostrativo_GR_GR)</f>
        <v>1.0601503759398496</v>
      </c>
      <c r="G13" s="138">
        <f>Peso_Demanda_GR_BERINERT</f>
        <v>0.03</v>
      </c>
      <c r="H13" s="139">
        <f>SUMIFS(VIEW_IV_2019_GR_COTA_DEMANDA[Premio.BERINERT],VIEW_IV_2019_GR_COTA_DEMANDA[Ano-Fiscal],Filtro_Demostrativo_GR_ANO,VIEW_IV_2019_GR_COTA_DEMANDA[Mes-Fiscal],Filtro_Demostrativo_GR_MES,VIEW_IV_2019_GR_COTA_DEMANDA['#FK-Email-Gerente],'Demonstrativo GR'!Filtro_Demostrativo_GR_GR)</f>
        <v>171.02237351164266</v>
      </c>
      <c r="L13" s="91" t="s">
        <v>298</v>
      </c>
      <c r="M13" s="10"/>
      <c r="N13" s="10"/>
      <c r="O13" s="10"/>
      <c r="P13" s="10">
        <v>28</v>
      </c>
      <c r="Q13" s="10"/>
      <c r="R13"/>
    </row>
    <row r="14" spans="3:18" x14ac:dyDescent="0.25">
      <c r="C14" s="140" t="s">
        <v>68</v>
      </c>
      <c r="D14" s="136">
        <f>SUMIFS(VIEW_IV_2019_GR_COTA_DEMANDA[Cota.BERIPLEX],VIEW_IV_2019_GR_COTA_DEMANDA[Ano-Fiscal],Filtro_Demostrativo_GR_ANO,VIEW_IV_2019_GR_COTA_DEMANDA[Mes-Fiscal],Filtro_Demostrativo_GR_MES,VIEW_IV_2019_GR_COTA_DEMANDA['#FK-Email-Gerente],'Demonstrativo GR'!Filtro_Demostrativo_GR_GR)</f>
        <v>620</v>
      </c>
      <c r="E14" s="136">
        <f>SUMIFS(VIEW_IV_2019_GR_COTA_DEMANDA[Demanda.BERIPLEX],VIEW_IV_2019_GR_COTA_DEMANDA[Ano-Fiscal],Filtro_Demostrativo_GR_ANO,VIEW_IV_2019_GR_COTA_DEMANDA[Mes-Fiscal],Filtro_Demostrativo_GR_MES,VIEW_IV_2019_GR_COTA_DEMANDA['#FK-Email-Gerente],'Demonstrativo GR'!Filtro_Demostrativo_GR_GR)</f>
        <v>562</v>
      </c>
      <c r="F14" s="138">
        <f>SUMIFS(VIEW_IV_2019_GR_COTA_DEMANDA[Cobertura.BERIPLEX],VIEW_IV_2019_GR_COTA_DEMANDA[Ano-Fiscal],Filtro_Demostrativo_GR_ANO,VIEW_IV_2019_GR_COTA_DEMANDA[Mes-Fiscal],Filtro_Demostrativo_GR_MES,VIEW_IV_2019_GR_COTA_DEMANDA['#FK-Email-Gerente],'Demonstrativo GR'!Filtro_Demostrativo_GR_GR)</f>
        <v>0.90645161290322585</v>
      </c>
      <c r="G14" s="138">
        <f>Peso_Demanda_GR_BERIPLEX</f>
        <v>0.1</v>
      </c>
      <c r="H14" s="139">
        <f>SUMIFS(VIEW_IV_2019_GR_COTA_DEMANDA[Premio.BERIPLEX],VIEW_IV_2019_GR_COTA_DEMANDA[Ano-Fiscal],Filtro_Demostrativo_GR_ANO,VIEW_IV_2019_GR_COTA_DEMANDA[Mes-Fiscal],Filtro_Demostrativo_GR_MES,VIEW_IV_2019_GR_COTA_DEMANDA['#FK-Email-Gerente],'Demonstrativo GR'!Filtro_Demostrativo_GR_GR)</f>
        <v>367.51961670196414</v>
      </c>
      <c r="L14" s="91" t="s">
        <v>664</v>
      </c>
      <c r="M14" s="10"/>
      <c r="N14" s="10"/>
      <c r="O14" s="10"/>
      <c r="P14" s="10"/>
      <c r="Q14" s="10">
        <v>1750</v>
      </c>
      <c r="R14"/>
    </row>
    <row r="15" spans="3:18" x14ac:dyDescent="0.25">
      <c r="C15" s="137" t="s">
        <v>968</v>
      </c>
      <c r="D15" s="136">
        <f>SUMIFS(VIEW_IV_2019_GR_COTA_DEMANDA[Cota.HAEMO],VIEW_IV_2019_GR_COTA_DEMANDA[Ano-Fiscal],Filtro_Demostrativo_GR_ANO,VIEW_IV_2019_GR_COTA_DEMANDA[Mes-Fiscal],Filtro_Demostrativo_GR_MES,VIEW_IV_2019_GR_COTA_DEMANDA['#FK-Email-Gerente],'Demonstrativo GR'!Filtro_Demostrativo_GR_GR)</f>
        <v>468</v>
      </c>
      <c r="E15" s="136">
        <f>SUMIFS(VIEW_IV_2019_GR_COTA_DEMANDA[Demanda.HAEMO],VIEW_IV_2019_GR_COTA_DEMANDA[Ano-Fiscal],Filtro_Demostrativo_GR_ANO,VIEW_IV_2019_GR_COTA_DEMANDA[Mes-Fiscal],Filtro_Demostrativo_GR_MES,VIEW_IV_2019_GR_COTA_DEMANDA['#FK-Email-Gerente],'Demonstrativo GR'!Filtro_Demostrativo_GR_GR)</f>
        <v>596</v>
      </c>
      <c r="F15" s="138">
        <f>SUMIFS(VIEW_IV_2019_GR_COTA_DEMANDA[Cobertura.HAEMO],VIEW_IV_2019_GR_COTA_DEMANDA[Ano-Fiscal],Filtro_Demostrativo_GR_ANO,VIEW_IV_2019_GR_COTA_DEMANDA[Mes-Fiscal],Filtro_Demostrativo_GR_MES,VIEW_IV_2019_GR_COTA_DEMANDA['#FK-Email-Gerente],'Demonstrativo GR'!Filtro_Demostrativo_GR_GR)</f>
        <v>1.2735042735042734</v>
      </c>
      <c r="G15" s="138">
        <f>Peso_Demanda_GR_HAEMO</f>
        <v>0.1</v>
      </c>
      <c r="H15" s="139">
        <f>SUMIFS(VIEW_IV_2019_GR_COTA_DEMANDA[Premio.HAEMO],VIEW_IV_2019_GR_COTA_DEMANDA[Ano-Fiscal],Filtro_Demostrativo_GR_ANO,VIEW_IV_2019_GR_COTA_DEMANDA[Mes-Fiscal],Filtro_Demostrativo_GR_MES,VIEW_IV_2019_GR_COTA_DEMANDA['#FK-Email-Gerente],'Demonstrativo GR'!Filtro_Demostrativo_GR_GR)</f>
        <v>1026.9720451703295</v>
      </c>
      <c r="L15" s="91" t="s">
        <v>552</v>
      </c>
      <c r="M15" s="10"/>
      <c r="N15" s="10"/>
      <c r="O15" s="10"/>
      <c r="P15" s="10"/>
      <c r="Q15" s="10">
        <v>630</v>
      </c>
      <c r="R15"/>
    </row>
    <row r="16" spans="3:18" x14ac:dyDescent="0.25">
      <c r="C16" s="137" t="s">
        <v>69</v>
      </c>
      <c r="D16" s="136">
        <f>SUMIFS(VIEW_IV_2019_GR_COTA_DEMANDA[Cota.HIZENTRA],VIEW_IV_2019_GR_COTA_DEMANDA[Ano-Fiscal],Filtro_Demostrativo_GR_ANO,VIEW_IV_2019_GR_COTA_DEMANDA[Mes-Fiscal],Filtro_Demostrativo_GR_MES,VIEW_IV_2019_GR_COTA_DEMANDA['#FK-Email-Gerente],'Demonstrativo GR'!Filtro_Demostrativo_GR_GR)</f>
        <v>2736</v>
      </c>
      <c r="E16" s="136">
        <f>SUMIFS(VIEW_IV_2019_GR_COTA_DEMANDA[Demanda.HIZENTRA],VIEW_IV_2019_GR_COTA_DEMANDA[Ano-Fiscal],Filtro_Demostrativo_GR_ANO,VIEW_IV_2019_GR_COTA_DEMANDA[Mes-Fiscal],Filtro_Demostrativo_GR_MES,VIEW_IV_2019_GR_COTA_DEMANDA['#FK-Email-Gerente],'Demonstrativo GR'!Filtro_Demostrativo_GR_GR)</f>
        <v>2166</v>
      </c>
      <c r="F16" s="138">
        <f>SUMIFS(VIEW_IV_2019_GR_COTA_DEMANDA[Cobertura.HIZENTRA],VIEW_IV_2019_GR_COTA_DEMANDA[Ano-Fiscal],Filtro_Demostrativo_GR_ANO,VIEW_IV_2019_GR_COTA_DEMANDA[Mes-Fiscal],Filtro_Demostrativo_GR_MES,VIEW_IV_2019_GR_COTA_DEMANDA['#FK-Email-Gerente],'Demonstrativo GR'!Filtro_Demostrativo_GR_GR)</f>
        <v>0.79166666666666663</v>
      </c>
      <c r="G16" s="138">
        <f>Peso_Demanda_GR_HIZENTRA</f>
        <v>0.15</v>
      </c>
      <c r="H16" s="139">
        <f>SUMIFS(VIEW_IV_2019_GR_COTA_DEMANDA[Premio.HIZENTRA],VIEW_IV_2019_GR_COTA_DEMANDA[Ano-Fiscal],Filtro_Demostrativo_GR_ANO,VIEW_IV_2019_GR_COTA_DEMANDA[Mes-Fiscal],Filtro_Demostrativo_GR_MES,VIEW_IV_2019_GR_COTA_DEMANDA['#FK-Email-Gerente],'Demonstrativo GR'!Filtro_Demostrativo_GR_GR)</f>
        <v>0</v>
      </c>
      <c r="L16" s="91" t="s">
        <v>523</v>
      </c>
      <c r="M16" s="10"/>
      <c r="N16" s="10"/>
      <c r="O16" s="10"/>
      <c r="P16" s="10"/>
      <c r="Q16" s="10">
        <v>310</v>
      </c>
      <c r="R16"/>
    </row>
    <row r="17" spans="3:18" x14ac:dyDescent="0.25">
      <c r="C17" s="137" t="s">
        <v>22</v>
      </c>
      <c r="D17" s="136">
        <f>SUMIFS(VIEW_IV_2019_GR_COTA_DEMANDA[Cota.PRIVIGEN],VIEW_IV_2019_GR_COTA_DEMANDA[Ano-Fiscal],Filtro_Demostrativo_GR_ANO,VIEW_IV_2019_GR_COTA_DEMANDA[Mes-Fiscal],Filtro_Demostrativo_GR_MES,VIEW_IV_2019_GR_COTA_DEMANDA['#FK-Email-Gerente],'Demonstrativo GR'!Filtro_Demostrativo_GR_GR)</f>
        <v>20865</v>
      </c>
      <c r="E17" s="136">
        <f>SUMIFS(VIEW_IV_2019_GR_COTA_DEMANDA[Demanda.PRIVIGEN],VIEW_IV_2019_GR_COTA_DEMANDA[Ano-Fiscal],Filtro_Demostrativo_GR_ANO,VIEW_IV_2019_GR_COTA_DEMANDA[Mes-Fiscal],Filtro_Demostrativo_GR_MES,VIEW_IV_2019_GR_COTA_DEMANDA['#FK-Email-Gerente],'Demonstrativo GR'!Filtro_Demostrativo_GR_GR)</f>
        <v>29545</v>
      </c>
      <c r="F17" s="138">
        <f>SUMIFS(VIEW_IV_2019_GR_COTA_DEMANDA[Cobertura.PRIVIGEN],VIEW_IV_2019_GR_COTA_DEMANDA[Ano-Fiscal],Filtro_Demostrativo_GR_ANO,VIEW_IV_2019_GR_COTA_DEMANDA[Mes-Fiscal],Filtro_Demostrativo_GR_MES,VIEW_IV_2019_GR_COTA_DEMANDA['#FK-Email-Gerente],'Demonstrativo GR'!Filtro_Demostrativo_GR_GR)</f>
        <v>1.416007668344117</v>
      </c>
      <c r="G17" s="138">
        <f>Peso_Demanda_GR_PRIVIGEN</f>
        <v>0.12</v>
      </c>
      <c r="H17" s="139">
        <f>SUMIFS(VIEW_IV_2019_GR_COTA_DEMANDA[Premio.PRIVIGEN],VIEW_IV_2019_GR_COTA_DEMANDA[Ano-Fiscal],Filtro_Demostrativo_GR_ANO,VIEW_IV_2019_GR_COTA_DEMANDA[Mes-Fiscal],Filtro_Demostrativo_GR_MES,VIEW_IV_2019_GR_COTA_DEMANDA['#FK-Email-Gerente],'Demonstrativo GR'!Filtro_Demostrativo_GR_GR)</f>
        <v>1380.0538470903682</v>
      </c>
      <c r="L17" s="91" t="s">
        <v>659</v>
      </c>
      <c r="M17" s="10"/>
      <c r="N17" s="10"/>
      <c r="O17" s="10"/>
      <c r="P17" s="10"/>
      <c r="Q17" s="10">
        <v>40</v>
      </c>
      <c r="R17"/>
    </row>
    <row r="18" spans="3:18" x14ac:dyDescent="0.25">
      <c r="C18" s="178" t="s">
        <v>850</v>
      </c>
      <c r="D18" s="179"/>
      <c r="E18" s="179"/>
      <c r="F18" s="179"/>
      <c r="G18" s="180"/>
      <c r="H18" s="143">
        <f>SUMIFS(VIEW_IV_2019_GR_COTA_DEMANDA[Premio.Total],VIEW_IV_2019_GR_COTA_DEMANDA[Ano-Fiscal],Filtro_Demostrativo_GR_ANO,VIEW_IV_2019_GR_COTA_DEMANDA[Mes-Fiscal],Filtro_Demostrativo_GR_MES,VIEW_IV_2019_GR_COTA_DEMANDA['#FK-Email-Gerente],'Demonstrativo GR'!Filtro_Demostrativo_GR_GR)</f>
        <v>2945.5678824743045</v>
      </c>
      <c r="L18" s="91" t="s">
        <v>529</v>
      </c>
      <c r="M18" s="10"/>
      <c r="N18" s="10"/>
      <c r="O18" s="10"/>
      <c r="P18" s="10"/>
      <c r="Q18" s="10">
        <v>60</v>
      </c>
      <c r="R18"/>
    </row>
    <row r="19" spans="3:18" x14ac:dyDescent="0.25">
      <c r="L19" s="91" t="s">
        <v>450</v>
      </c>
      <c r="M19" s="10"/>
      <c r="N19" s="10"/>
      <c r="O19" s="10"/>
      <c r="P19" s="10"/>
      <c r="Q19" s="10">
        <v>1000</v>
      </c>
      <c r="R19"/>
    </row>
    <row r="20" spans="3:18" x14ac:dyDescent="0.25">
      <c r="C20" s="129" t="s">
        <v>1016</v>
      </c>
      <c r="D20" s="130"/>
      <c r="E20" s="130"/>
      <c r="F20" s="130"/>
      <c r="G20" s="130"/>
      <c r="H20" s="131"/>
      <c r="L20" s="91" t="s">
        <v>425</v>
      </c>
      <c r="M20" s="10"/>
      <c r="N20" s="10"/>
      <c r="O20" s="10"/>
      <c r="P20" s="10">
        <v>96</v>
      </c>
      <c r="Q20" s="10">
        <v>5575</v>
      </c>
      <c r="R20"/>
    </row>
    <row r="21" spans="3:18" x14ac:dyDescent="0.25">
      <c r="C21" s="132"/>
      <c r="D21" s="132" t="s">
        <v>1009</v>
      </c>
      <c r="E21" s="132" t="s">
        <v>1010</v>
      </c>
      <c r="F21" s="132" t="s">
        <v>996</v>
      </c>
      <c r="G21" s="132" t="s">
        <v>997</v>
      </c>
      <c r="H21" s="132" t="s">
        <v>998</v>
      </c>
      <c r="L21" s="91" t="s">
        <v>517</v>
      </c>
      <c r="M21" s="10"/>
      <c r="N21" s="10"/>
      <c r="O21" s="10"/>
      <c r="P21" s="10"/>
      <c r="Q21" s="10">
        <v>20</v>
      </c>
      <c r="R21"/>
    </row>
    <row r="22" spans="3:18" x14ac:dyDescent="0.25">
      <c r="C22" s="135" t="s">
        <v>1008</v>
      </c>
      <c r="D22" s="132">
        <f>SUMIFS(VIEW_IV_2019_VISITAS_GR[Visitas-Realizar],VIEW_IV_2019_VISITAS_GR[Ano-Fiscal],Filtro_Demostrativo_GR_ANO,VIEW_IV_2019_VISITAS_GR[Mes-Fiscal],Filtro_Demostrativo_GR_MES,VIEW_IV_2019_VISITAS_GR['#FK-Email-Gerente],Filtro_Demostrativo_GR_GR)</f>
        <v>820</v>
      </c>
      <c r="E22" s="132">
        <f>SUMIFS(VIEW_IV_2019_VISITAS_GR[Visitas-Realizadas],VIEW_IV_2019_VISITAS_GR[Ano-Fiscal],Filtro_Demostrativo_GR_ANO,VIEW_IV_2019_VISITAS_GR[Mes-Fiscal],Filtro_Demostrativo_GR_MES,VIEW_IV_2019_VISITAS_GR['#FK-Email-Gerente],Filtro_Demostrativo_GR_GR)</f>
        <v>578</v>
      </c>
      <c r="F22" s="133">
        <f>SUMIFS(VIEW_IV_2019_VISITAS_GR[Visitas-Cobertura],VIEW_IV_2019_VISITAS_GR[Ano-Fiscal],Filtro_Demostrativo_GR_ANO,VIEW_IV_2019_VISITAS_GR[Mes-Fiscal],Filtro_Demostrativo_GR_MES,VIEW_IV_2019_VISITAS_GR['#FK-Email-Gerente],Filtro_Demostrativo_GR_GR)</f>
        <v>0.70487804878048776</v>
      </c>
      <c r="G22" s="133">
        <f>Peso_Visitas_GR</f>
        <v>0.05</v>
      </c>
      <c r="H22" s="142">
        <f>SUMIFS(VIEW_IV_2019_VISITAS_GR[Visitas-Premio],VIEW_IV_2019_VISITAS_GR[Ano-Fiscal],Filtro_Demostrativo_GR_ANO,VIEW_IV_2019_VISITAS_GR[Mes-Fiscal],Filtro_Demostrativo_GR_MES,VIEW_IV_2019_VISITAS_GR['#FK-Email-Gerente],Filtro_Demostrativo_GR_GR)</f>
        <v>0</v>
      </c>
      <c r="L22" s="91" t="s">
        <v>588</v>
      </c>
      <c r="M22" s="10"/>
      <c r="N22" s="10"/>
      <c r="O22" s="10"/>
      <c r="P22" s="10"/>
      <c r="Q22" s="10">
        <v>60</v>
      </c>
      <c r="R22"/>
    </row>
    <row r="23" spans="3:18" x14ac:dyDescent="0.25">
      <c r="C23" s="135" t="s">
        <v>1011</v>
      </c>
      <c r="D23" s="134"/>
      <c r="E23" s="134"/>
      <c r="F23" s="134"/>
      <c r="G23" s="133">
        <v>0.05</v>
      </c>
      <c r="H23" s="142">
        <v>270.43386070784726</v>
      </c>
      <c r="L23" s="91" t="s">
        <v>691</v>
      </c>
      <c r="M23" s="10"/>
      <c r="N23" s="10"/>
      <c r="O23" s="10"/>
      <c r="P23" s="10">
        <v>88</v>
      </c>
      <c r="Q23" s="10">
        <v>180</v>
      </c>
      <c r="R23"/>
    </row>
    <row r="24" spans="3:18" x14ac:dyDescent="0.25">
      <c r="L24" s="91" t="s">
        <v>239</v>
      </c>
      <c r="M24" s="10"/>
      <c r="N24" s="10"/>
      <c r="O24" s="10"/>
      <c r="P24" s="10">
        <v>298</v>
      </c>
      <c r="Q24" s="10">
        <v>500</v>
      </c>
      <c r="R24"/>
    </row>
    <row r="25" spans="3:18" x14ac:dyDescent="0.25">
      <c r="C25" s="127" t="s">
        <v>1005</v>
      </c>
      <c r="L25" s="91" t="s">
        <v>516</v>
      </c>
      <c r="M25" s="10"/>
      <c r="N25" s="10"/>
      <c r="O25" s="10"/>
      <c r="P25" s="10"/>
      <c r="Q25" s="10">
        <v>130</v>
      </c>
      <c r="R25"/>
    </row>
    <row r="26" spans="3:18" x14ac:dyDescent="0.25">
      <c r="C26" s="123" t="s">
        <v>14</v>
      </c>
      <c r="D26" s="123" t="s">
        <v>994</v>
      </c>
      <c r="E26" s="123" t="s">
        <v>1006</v>
      </c>
      <c r="F26" s="123" t="s">
        <v>996</v>
      </c>
      <c r="G26" s="123" t="s">
        <v>997</v>
      </c>
      <c r="H26" s="123" t="s">
        <v>998</v>
      </c>
      <c r="L26" s="91" t="s">
        <v>481</v>
      </c>
      <c r="M26" s="10">
        <v>3</v>
      </c>
      <c r="N26" s="10"/>
      <c r="O26" s="10"/>
      <c r="P26" s="10"/>
      <c r="Q26" s="10"/>
      <c r="R26"/>
    </row>
    <row r="27" spans="3:18" x14ac:dyDescent="0.25">
      <c r="C27" s="121" t="s">
        <v>850</v>
      </c>
      <c r="D27" s="124">
        <f>SUMIFS(VIEW_IV_2019_VENDA[Cota-TOTAL],VIEW_IV_2019_VENDA[Ano-Fiscal],Filtro_Demostrativo_GR_ANO,VIEW_IV_2019_VENDA[Mes-Fiscal],Filtro_Demostrativo_GR_MES)</f>
        <v>20704977</v>
      </c>
      <c r="E27" s="124">
        <f>SUMIFS(VIEW_IV_2019_VENDA[Venda-TOTAL],VIEW_IV_2019_VENDA[Ano-Fiscal],Filtro_Demostrativo_GR_ANO,VIEW_IV_2019_VENDA[Mes-Fiscal],Filtro_Demostrativo_GR_MES)</f>
        <v>21522767</v>
      </c>
      <c r="F27" s="125">
        <f>SUMIFS(VIEW_IV_2019_VENDA[Cobertura-TOTAL],VIEW_IV_2019_VENDA[Ano-Fiscal],Filtro_Demostrativo_GR_ANO,VIEW_IV_2019_VENDA[Mes-Fiscal],Filtro_Demostrativo_GR_MES)</f>
        <v>1.04</v>
      </c>
      <c r="G27" s="153">
        <f>SUMIFS(VIEW_IV_2019_VENDA[Peso-TOTAL],VIEW_IV_2019_VENDA[Ano-Fiscal],Filtro_Demostrativo_GR_ANO,VIEW_IV_2019_VENDA[Mes-Fiscal],Filtro_Demostrativo_GR_MES)</f>
        <v>0.4</v>
      </c>
      <c r="H27" s="141">
        <f>SUMIFS(VIEW_IV_2019_VENDA[Premio-TOTAL-GR],VIEW_IV_2019_VENDA[Ano-Fiscal],Filtro_Demostrativo_GR_ANO,VIEW_IV_2019_VENDA[Mes-Fiscal],Filtro_Demostrativo_GR_MES)</f>
        <v>2241.3558375466391</v>
      </c>
      <c r="L27" s="91" t="s">
        <v>387</v>
      </c>
      <c r="M27" s="10">
        <v>76</v>
      </c>
      <c r="N27" s="10"/>
      <c r="O27" s="10"/>
      <c r="P27" s="10"/>
      <c r="Q27" s="10">
        <v>240</v>
      </c>
      <c r="R27"/>
    </row>
    <row r="28" spans="3:18" x14ac:dyDescent="0.25">
      <c r="L28" s="91" t="s">
        <v>707</v>
      </c>
      <c r="M28" s="10"/>
      <c r="N28" s="10">
        <v>2</v>
      </c>
      <c r="O28" s="10"/>
      <c r="P28" s="10"/>
      <c r="Q28" s="10"/>
      <c r="R28"/>
    </row>
    <row r="29" spans="3:18" x14ac:dyDescent="0.25">
      <c r="C29" s="128" t="s">
        <v>1001</v>
      </c>
      <c r="L29" s="91" t="s">
        <v>347</v>
      </c>
      <c r="M29" s="10"/>
      <c r="N29" s="10"/>
      <c r="O29" s="10">
        <v>9</v>
      </c>
      <c r="P29" s="10"/>
      <c r="Q29" s="10"/>
      <c r="R29"/>
    </row>
    <row r="30" spans="3:18" x14ac:dyDescent="0.25">
      <c r="C30" s="58" t="s">
        <v>14</v>
      </c>
      <c r="D30" s="58" t="s">
        <v>994</v>
      </c>
      <c r="E30" s="58" t="s">
        <v>995</v>
      </c>
      <c r="F30" s="58" t="s">
        <v>996</v>
      </c>
      <c r="G30" s="58" t="s">
        <v>997</v>
      </c>
      <c r="H30" s="58" t="s">
        <v>998</v>
      </c>
      <c r="I30" s="58" t="s">
        <v>1017</v>
      </c>
      <c r="J30" s="58" t="s">
        <v>999</v>
      </c>
      <c r="L30" s="91" t="s">
        <v>428</v>
      </c>
      <c r="M30" s="10"/>
      <c r="N30" s="10"/>
      <c r="O30" s="10"/>
      <c r="P30" s="10"/>
      <c r="Q30" s="10">
        <v>560</v>
      </c>
      <c r="R30"/>
    </row>
    <row r="31" spans="3:18" x14ac:dyDescent="0.25">
      <c r="C31" s="84" t="s">
        <v>99</v>
      </c>
      <c r="D31" s="58">
        <f>SUMIFS(VIEW_IV_2019_GR_COTA_DEMANDA_TRI[Cota.BERINERT],VIEW_IV_2019_GR_COTA_DEMANDA_TRI[Ano-Fiscal],Filtro_Demostrativo_GR_ANO,VIEW_IV_2019_GR_COTA_DEMANDA_TRI[Tri-Fiscal],Filtro_Demostrativo_GR_TRI,VIEW_IV_2019_GR_COTA_DEMANDA_TRI['#FK-Email-Gerente],Filtro_Demostrativo_GR_GR)</f>
        <v>237</v>
      </c>
      <c r="E31" s="58">
        <f>SUMIFS(VIEW_IV_2019_GR_COTA_DEMANDA_TRI[Demanda.BERINERT],VIEW_IV_2019_GR_COTA_DEMANDA_TRI[Ano-Fiscal],Filtro_Demostrativo_GR_ANO,VIEW_IV_2019_GR_COTA_DEMANDA_TRI[Tri-Fiscal],Filtro_Demostrativo_GR_TRI,VIEW_IV_2019_GR_COTA_DEMANDA_TRI['#FK-Email-Gerente],Filtro_Demostrativo_GR_GR)</f>
        <v>373</v>
      </c>
      <c r="F31" s="77">
        <f>SUMIFS(VIEW_IV_2019_GR_COTA_DEMANDA_TRI[Cobertura.BERINERT],VIEW_IV_2019_GR_COTA_DEMANDA_TRI[Ano-Fiscal],Filtro_Demostrativo_GR_ANO,VIEW_IV_2019_GR_COTA_DEMANDA_TRI[Tri-Fiscal],Filtro_Demostrativo_GR_TRI,VIEW_IV_2019_GR_COTA_DEMANDA_TRI['#FK-Email-Gerente],Filtro_Demostrativo_GR_GR)</f>
        <v>1.5738396624472575</v>
      </c>
      <c r="G31" s="77">
        <f>Peso_Demanda_GR_BERINERT</f>
        <v>0.03</v>
      </c>
      <c r="H31" s="60">
        <f>SUMIFS(VIEW_IV_2019_GR_COTA_DEMANDA_TRI[Premio.BERINERT],VIEW_IV_2019_GR_COTA_DEMANDA_TRI[Ano-Fiscal],Filtro_Demostrativo_GR_ANO,VIEW_IV_2019_GR_COTA_DEMANDA_TRI[Tri-Fiscal],Filtro_Demostrativo_GR_TRI,VIEW_IV_2019_GR_COTA_DEMANDA_TRI['#FK-Email-Gerente],Filtro_Demostrativo_GR_GR)</f>
        <v>1100.124945359526</v>
      </c>
      <c r="I31" s="60">
        <f>SUMIFS(VIEW_IV_2019_GR_COTA_DEMANDA_TRI[Recebido.BERINERT],VIEW_IV_2019_GR_COTA_DEMANDA_TRI[Ano-Fiscal],Filtro_Demostrativo_GR_ANO,VIEW_IV_2019_GR_COTA_DEMANDA_TRI[Tri-Fiscal],Filtro_Demostrativo_GR_TRI,VIEW_IV_2019_GR_COTA_DEMANDA_TRI['#FK-Email-Gerente],Filtro_Demostrativo_GR_GR)</f>
        <v>904.4390037513266</v>
      </c>
      <c r="J31" s="60">
        <f>SUMIFS(VIEW_IV_2019_GR_COTA_DEMANDA_TRI[Recuperavel.BERINERT],VIEW_IV_2019_GR_COTA_DEMANDA_TRI[Ano-Fiscal],Filtro_Demostrativo_GR_ANO,VIEW_IV_2019_GR_COTA_DEMANDA_TRI[Tri-Fiscal],Filtro_Demostrativo_GR_TRI,VIEW_IV_2019_GR_COTA_DEMANDA_TRI['#FK-Email-Gerente],Filtro_Demostrativo_GR_GR)</f>
        <v>195.68594160819941</v>
      </c>
      <c r="L31" s="91" t="s">
        <v>642</v>
      </c>
      <c r="M31" s="10"/>
      <c r="N31" s="10"/>
      <c r="O31" s="10"/>
      <c r="P31" s="10"/>
      <c r="Q31" s="10">
        <v>175</v>
      </c>
      <c r="R31"/>
    </row>
    <row r="32" spans="3:18" x14ac:dyDescent="0.25">
      <c r="C32" s="85" t="s">
        <v>68</v>
      </c>
      <c r="D32" s="58">
        <f>SUMIFS(VIEW_IV_2019_GR_COTA_DEMANDA_TRI[Cota.BERIPLEX],VIEW_IV_2019_GR_COTA_DEMANDA_TRI[Ano-Fiscal],Filtro_Demostrativo_GR_ANO,VIEW_IV_2019_GR_COTA_DEMANDA_TRI[Tri-Fiscal],Filtro_Demostrativo_GR_TRI,VIEW_IV_2019_GR_COTA_DEMANDA_TRI['#FK-Email-Gerente],Filtro_Demostrativo_GR_GR)</f>
        <v>1550</v>
      </c>
      <c r="E32" s="58">
        <f>SUMIFS(VIEW_IV_2019_GR_COTA_DEMANDA_TRI[Demanda.BERIPLEX],VIEW_IV_2019_GR_COTA_DEMANDA_TRI[Ano-Fiscal],Filtro_Demostrativo_GR_ANO,VIEW_IV_2019_GR_COTA_DEMANDA_TRI[Tri-Fiscal],Filtro_Demostrativo_GR_TRI,VIEW_IV_2019_GR_COTA_DEMANDA_TRI['#FK-Email-Gerente],Filtro_Demostrativo_GR_GR)</f>
        <v>1550</v>
      </c>
      <c r="F32" s="77">
        <f>SUMIFS(VIEW_IV_2019_GR_COTA_DEMANDA_TRI[Cobertura.BERIPLEX],VIEW_IV_2019_GR_COTA_DEMANDA_TRI[Ano-Fiscal],Filtro_Demostrativo_GR_ANO,VIEW_IV_2019_GR_COTA_DEMANDA_TRI[Tri-Fiscal],Filtro_Demostrativo_GR_TRI,VIEW_IV_2019_GR_COTA_DEMANDA_TRI['#FK-Email-Gerente],Filtro_Demostrativo_GR_GR)</f>
        <v>1</v>
      </c>
      <c r="G32" s="77">
        <f>Peso_Demanda_GR_BERIPLEX</f>
        <v>0.1</v>
      </c>
      <c r="H32" s="60">
        <f>SUMIFS(VIEW_IV_2019_GR_COTA_DEMANDA_TRI[Premio.BERIPLEX],VIEW_IV_2019_GR_COTA_DEMANDA_TRI[Ano-Fiscal],Filtro_Demostrativo_GR_ANO,VIEW_IV_2019_GR_COTA_DEMANDA_TRI[Tri-Fiscal],Filtro_Demostrativo_GR_TRI,VIEW_IV_2019_GR_COTA_DEMANDA_TRI['#FK-Email-Gerente],Filtro_Demostrativo_GR_GR)</f>
        <v>1622.6031642470834</v>
      </c>
      <c r="I32" s="60">
        <f>SUMIFS(VIEW_IV_2019_GR_COTA_DEMANDA_TRI[Recebido.BERIPLEX],VIEW_IV_2019_GR_COTA_DEMANDA_TRI[Ano-Fiscal],Filtro_Demostrativo_GR_ANO,VIEW_IV_2019_GR_COTA_DEMANDA_TRI[Tri-Fiscal],Filtro_Demostrativo_GR_TRI,VIEW_IV_2019_GR_COTA_DEMANDA_TRI['#FK-Email-Gerente],Filtro_Demostrativo_GR_GR)</f>
        <v>1664.9141643579903</v>
      </c>
      <c r="J32" s="60">
        <f>SUMIFS(VIEW_IV_2019_GR_COTA_DEMANDA_TRI[Recuperavel.BERIPLEX],VIEW_IV_2019_GR_COTA_DEMANDA_TRI[Ano-Fiscal],Filtro_Demostrativo_GR_ANO,VIEW_IV_2019_GR_COTA_DEMANDA_TRI[Tri-Fiscal],Filtro_Demostrativo_GR_TRI,VIEW_IV_2019_GR_COTA_DEMANDA_TRI['#FK-Email-Gerente],Filtro_Demostrativo_GR_GR)</f>
        <v>0</v>
      </c>
      <c r="L32" s="91" t="s">
        <v>234</v>
      </c>
      <c r="M32" s="10"/>
      <c r="N32" s="10"/>
      <c r="O32" s="10"/>
      <c r="P32" s="10">
        <v>46</v>
      </c>
      <c r="Q32" s="10">
        <v>662.5</v>
      </c>
      <c r="R32"/>
    </row>
    <row r="33" spans="3:18" x14ac:dyDescent="0.25">
      <c r="C33" s="84" t="s">
        <v>968</v>
      </c>
      <c r="D33" s="58">
        <f>SUMIFS(VIEW_IV_2019_GR_COTA_DEMANDA_TRI[Cota.HAEMO],VIEW_IV_2019_GR_COTA_DEMANDA_TRI[Ano-Fiscal],Filtro_Demostrativo_GR_ANO,VIEW_IV_2019_GR_COTA_DEMANDA_TRI[Tri-Fiscal],Filtro_Demostrativo_GR_TRI,VIEW_IV_2019_GR_COTA_DEMANDA_TRI['#FK-Email-Gerente],Filtro_Demostrativo_GR_GR)</f>
        <v>1440</v>
      </c>
      <c r="E33" s="58">
        <f>SUMIFS(VIEW_IV_2019_GR_COTA_DEMANDA_TRI[Demanda.HAEMO],VIEW_IV_2019_GR_COTA_DEMANDA_TRI[Ano-Fiscal],Filtro_Demostrativo_GR_ANO,VIEW_IV_2019_GR_COTA_DEMANDA_TRI[Tri-Fiscal],Filtro_Demostrativo_GR_TRI,VIEW_IV_2019_GR_COTA_DEMANDA_TRI['#FK-Email-Gerente],Filtro_Demostrativo_GR_GR)</f>
        <v>1707</v>
      </c>
      <c r="F33" s="77">
        <f>SUMIFS(VIEW_IV_2019_GR_COTA_DEMANDA_TRI[Cobertura.HAEMO],VIEW_IV_2019_GR_COTA_DEMANDA_TRI[Ano-Fiscal],Filtro_Demostrativo_GR_ANO,VIEW_IV_2019_GR_COTA_DEMANDA_TRI[Tri-Fiscal],Filtro_Demostrativo_GR_TRI,VIEW_IV_2019_GR_COTA_DEMANDA_TRI['#FK-Email-Gerente],Filtro_Demostrativo_GR_GR)</f>
        <v>1.1854166666666666</v>
      </c>
      <c r="G33" s="77">
        <f>Peso_Demanda_GR_HAEMO</f>
        <v>0.1</v>
      </c>
      <c r="H33" s="60">
        <f>SUMIFS(VIEW_IV_2019_GR_COTA_DEMANDA_TRI[Premio.HAEMO],VIEW_IV_2019_GR_COTA_DEMANDA_TRI[Ano-Fiscal],Filtro_Demostrativo_GR_ANO,VIEW_IV_2019_GR_COTA_DEMANDA_TRI[Tri-Fiscal],Filtro_Demostrativo_GR_TRI,VIEW_IV_2019_GR_COTA_DEMANDA_TRI['#FK-Email-Gerente],Filtro_Demostrativo_GR_GR)</f>
        <v>2411.9184734950804</v>
      </c>
      <c r="I33" s="60">
        <f>SUMIFS(VIEW_IV_2019_GR_COTA_DEMANDA_TRI[Recebido.HAEMO],VIEW_IV_2019_GR_COTA_DEMANDA_TRI[Ano-Fiscal],Filtro_Demostrativo_GR_ANO,VIEW_IV_2019_GR_COTA_DEMANDA_TRI[Tri-Fiscal],Filtro_Demostrativo_GR_TRI,VIEW_IV_2019_GR_COTA_DEMANDA_TRI['#FK-Email-Gerente],Filtro_Demostrativo_GR_GR)</f>
        <v>2466.4914857182039</v>
      </c>
      <c r="J33" s="60">
        <f>SUMIFS(VIEW_IV_2019_GR_COTA_DEMANDA_TRI[Recuperavel.HAEMO],VIEW_IV_2019_GR_COTA_DEMANDA_TRI[Ano-Fiscal],Filtro_Demostrativo_GR_ANO,VIEW_IV_2019_GR_COTA_DEMANDA_TRI[Tri-Fiscal],Filtro_Demostrativo_GR_TRI,VIEW_IV_2019_GR_COTA_DEMANDA_TRI['#FK-Email-Gerente],Filtro_Demostrativo_GR_GR)</f>
        <v>0</v>
      </c>
      <c r="L33" s="91" t="s">
        <v>673</v>
      </c>
      <c r="M33" s="10"/>
      <c r="N33" s="10"/>
      <c r="O33" s="10"/>
      <c r="P33" s="10">
        <v>16</v>
      </c>
      <c r="Q33" s="10"/>
      <c r="R33"/>
    </row>
    <row r="34" spans="3:18" x14ac:dyDescent="0.25">
      <c r="C34" s="84" t="s">
        <v>69</v>
      </c>
      <c r="D34" s="58">
        <f>SUMIFS(VIEW_IV_2019_GR_COTA_DEMANDA_TRI[Cota.HIZENTRA],VIEW_IV_2019_GR_COTA_DEMANDA_TRI[Ano-Fiscal],Filtro_Demostrativo_GR_ANO,VIEW_IV_2019_GR_COTA_DEMANDA_TRI[Tri-Fiscal],Filtro_Demostrativo_GR_TRI,VIEW_IV_2019_GR_COTA_DEMANDA_TRI['#FK-Email-Gerente],Filtro_Demostrativo_GR_GR)</f>
        <v>6746</v>
      </c>
      <c r="E34" s="58">
        <f>SUMIFS(VIEW_IV_2019_GR_COTA_DEMANDA_TRI[Demanda.HIZENTRA],VIEW_IV_2019_GR_COTA_DEMANDA_TRI[Ano-Fiscal],Filtro_Demostrativo_GR_ANO,VIEW_IV_2019_GR_COTA_DEMANDA_TRI[Tri-Fiscal],Filtro_Demostrativo_GR_TRI,VIEW_IV_2019_GR_COTA_DEMANDA_TRI['#FK-Email-Gerente],Filtro_Demostrativo_GR_GR)</f>
        <v>5809</v>
      </c>
      <c r="F34" s="77">
        <f>SUMIFS(VIEW_IV_2019_GR_COTA_DEMANDA_TRI[Cobertura.HIZENTRA],VIEW_IV_2019_GR_COTA_DEMANDA_TRI[Ano-Fiscal],Filtro_Demostrativo_GR_ANO,VIEW_IV_2019_GR_COTA_DEMANDA_TRI[Tri-Fiscal],Filtro_Demostrativo_GR_TRI,VIEW_IV_2019_GR_COTA_DEMANDA_TRI['#FK-Email-Gerente],Filtro_Demostrativo_GR_GR)</f>
        <v>0.86110287577823896</v>
      </c>
      <c r="G34" s="77">
        <f>Peso_Demanda_GR_HIZENTRA</f>
        <v>0.15</v>
      </c>
      <c r="H34" s="60">
        <f>SUMIFS(VIEW_IV_2019_GR_COTA_DEMANDA_TRI[Premio.HIZENTRA],VIEW_IV_2019_GR_COTA_DEMANDA_TRI[Ano-Fiscal],Filtro_Demostrativo_GR_ANO,VIEW_IV_2019_GR_COTA_DEMANDA_TRI[Tri-Fiscal],Filtro_Demostrativo_GR_TRI,VIEW_IV_2019_GR_COTA_DEMANDA_TRI['#FK-Email-Gerente],Filtro_Demostrativo_GR_GR)</f>
        <v>1047.7959933125528</v>
      </c>
      <c r="I34" s="60">
        <f>SUMIFS(VIEW_IV_2019_GR_COTA_DEMANDA_TRI[Recebido.HIZENTRA],VIEW_IV_2019_GR_COTA_DEMANDA_TRI[Ano-Fiscal],Filtro_Demostrativo_GR_ANO,VIEW_IV_2019_GR_COTA_DEMANDA_TRI[Tri-Fiscal],Filtro_Demostrativo_GR_TRI,VIEW_IV_2019_GR_COTA_DEMANDA_TRI['#FK-Email-Gerente],Filtro_Demostrativo_GR_GR)</f>
        <v>943.13808921861676</v>
      </c>
      <c r="J34" s="60">
        <f>SUMIFS(VIEW_IV_2019_GR_COTA_DEMANDA_TRI[Recuperavel.HIZENTRA],VIEW_IV_2019_GR_COTA_DEMANDA_TRI[Ano-Fiscal],Filtro_Demostrativo_GR_ANO,VIEW_IV_2019_GR_COTA_DEMANDA_TRI[Tri-Fiscal],Filtro_Demostrativo_GR_TRI,VIEW_IV_2019_GR_COTA_DEMANDA_TRI['#FK-Email-Gerente],Filtro_Demostrativo_GR_GR)</f>
        <v>104.65790409393605</v>
      </c>
      <c r="L34" s="91" t="s">
        <v>683</v>
      </c>
      <c r="M34" s="10"/>
      <c r="N34" s="10"/>
      <c r="O34" s="10"/>
      <c r="P34" s="10">
        <v>16</v>
      </c>
      <c r="Q34" s="10"/>
      <c r="R34"/>
    </row>
    <row r="35" spans="3:18" x14ac:dyDescent="0.25">
      <c r="C35" s="84" t="s">
        <v>22</v>
      </c>
      <c r="D35" s="58">
        <f>SUMIFS(VIEW_IV_2019_GR_COTA_DEMANDA_TRI[Cota.PRIVIGEN],VIEW_IV_2019_GR_COTA_DEMANDA_TRI[Ano-Fiscal],Filtro_Demostrativo_GR_ANO,VIEW_IV_2019_GR_COTA_DEMANDA_TRI[Tri-Fiscal],Filtro_Demostrativo_GR_TRI,VIEW_IV_2019_GR_COTA_DEMANDA_TRI['#FK-Email-Gerente],Filtro_Demostrativo_GR_GR)</f>
        <v>54795</v>
      </c>
      <c r="E35" s="58">
        <f>SUMIFS(VIEW_IV_2019_GR_COTA_DEMANDA_TRI[Demanda.PRIVIGEN],VIEW_IV_2019_GR_COTA_DEMANDA_TRI[Ano-Fiscal],Filtro_Demostrativo_GR_ANO,VIEW_IV_2019_GR_COTA_DEMANDA_TRI[Tri-Fiscal],Filtro_Demostrativo_GR_TRI,VIEW_IV_2019_GR_COTA_DEMANDA_TRI['#FK-Email-Gerente],Filtro_Demostrativo_GR_GR)</f>
        <v>92831</v>
      </c>
      <c r="F35" s="77">
        <f>SUMIFS(VIEW_IV_2019_GR_COTA_DEMANDA_TRI[Cobertura.PRIVIGEN],VIEW_IV_2019_GR_COTA_DEMANDA_TRI[Ano-Fiscal],Filtro_Demostrativo_GR_ANO,VIEW_IV_2019_GR_COTA_DEMANDA_TRI[Tri-Fiscal],Filtro_Demostrativo_GR_TRI,VIEW_IV_2019_GR_COTA_DEMANDA_TRI['#FK-Email-Gerente],Filtro_Demostrativo_GR_GR)</f>
        <v>1.6941509261793959</v>
      </c>
      <c r="G35" s="77">
        <f>Peso_Demanda_GR_PRIVIGEN</f>
        <v>0.12</v>
      </c>
      <c r="H35" s="60">
        <f>SUMIFS(VIEW_IV_2019_GR_COTA_DEMANDA_TRI[Premio.PRIVIGEN],VIEW_IV_2019_GR_COTA_DEMANDA_TRI[Ano-Fiscal],Filtro_Demostrativo_GR_ANO,VIEW_IV_2019_GR_COTA_DEMANDA_TRI[Tri-Fiscal],Filtro_Demostrativo_GR_TRI,VIEW_IV_2019_GR_COTA_DEMANDA_TRI['#FK-Email-Gerente],Filtro_Demostrativo_GR_GR)</f>
        <v>4400.499781438104</v>
      </c>
      <c r="I35" s="60">
        <f>SUMIFS(VIEW_IV_2019_GR_COTA_DEMANDA_TRI[Recebido.PRIVIGEN],VIEW_IV_2019_GR_COTA_DEMANDA_TRI[Ano-Fiscal],Filtro_Demostrativo_GR_ANO,VIEW_IV_2019_GR_COTA_DEMANDA_TRI[Tri-Fiscal],Filtro_Demostrativo_GR_TRI,VIEW_IV_2019_GR_COTA_DEMANDA_TRI['#FK-Email-Gerente],Filtro_Demostrativo_GR_GR)</f>
        <v>4313.7203680491039</v>
      </c>
      <c r="J35" s="60">
        <f>SUMIFS(VIEW_IV_2019_GR_COTA_DEMANDA_TRI[Recuperavel.PRIVIGEN],VIEW_IV_2019_GR_COTA_DEMANDA_TRI[Ano-Fiscal],Filtro_Demostrativo_GR_ANO,VIEW_IV_2019_GR_COTA_DEMANDA_TRI[Tri-Fiscal],Filtro_Demostrativo_GR_TRI,VIEW_IV_2019_GR_COTA_DEMANDA_TRI['#FK-Email-Gerente],Filtro_Demostrativo_GR_GR)</f>
        <v>86.779413389000183</v>
      </c>
      <c r="L35" s="91" t="s">
        <v>696</v>
      </c>
      <c r="M35" s="10"/>
      <c r="N35" s="10"/>
      <c r="O35" s="10">
        <v>7</v>
      </c>
      <c r="P35" s="10"/>
      <c r="Q35" s="10"/>
      <c r="R35"/>
    </row>
    <row r="36" spans="3:18" x14ac:dyDescent="0.25">
      <c r="C36" s="181" t="s">
        <v>850</v>
      </c>
      <c r="D36" s="181"/>
      <c r="E36" s="181"/>
      <c r="F36" s="181"/>
      <c r="G36" s="182"/>
      <c r="H36" s="144">
        <f>SUM(H31:H35)</f>
        <v>10582.942357852347</v>
      </c>
      <c r="I36" s="144">
        <f>SUM(I31:I35)</f>
        <v>10292.703111095241</v>
      </c>
      <c r="J36" s="144">
        <f>SUMIFS(VIEW_IV_2019_GR_COTA_DEMANDA_TRI[Recuperavel-Total],VIEW_IV_2019_GR_COTA_DEMANDA_TRI[Ano-Fiscal],Filtro_Demostrativo_GR_ANO,VIEW_IV_2019_GR_COTA_DEMANDA_TRI[Tri-Fiscal],Filtro_Demostrativo_GR_TRI,VIEW_IV_2019_GR_COTA_DEMANDA_TRI['#FK-Email-Gerente],Filtro_Demostrativo_GR_GR)</f>
        <v>387.12325909113565</v>
      </c>
      <c r="L36" s="91" t="s">
        <v>658</v>
      </c>
      <c r="M36" s="10"/>
      <c r="N36" s="10">
        <v>13</v>
      </c>
      <c r="O36" s="10">
        <v>5</v>
      </c>
      <c r="P36" s="10"/>
      <c r="Q36" s="10"/>
      <c r="R36"/>
    </row>
    <row r="37" spans="3:18" x14ac:dyDescent="0.25">
      <c r="L37" s="91" t="s">
        <v>674</v>
      </c>
      <c r="M37" s="10"/>
      <c r="N37" s="10">
        <v>29</v>
      </c>
      <c r="O37" s="10">
        <v>14</v>
      </c>
      <c r="P37" s="10"/>
      <c r="Q37" s="10"/>
      <c r="R37"/>
    </row>
    <row r="38" spans="3:18" x14ac:dyDescent="0.25">
      <c r="C38" s="127" t="s">
        <v>1007</v>
      </c>
      <c r="L38" s="91" t="s">
        <v>285</v>
      </c>
      <c r="M38" s="10"/>
      <c r="N38" s="10">
        <v>2</v>
      </c>
      <c r="O38" s="10"/>
      <c r="P38" s="10"/>
      <c r="Q38" s="10"/>
      <c r="R38"/>
    </row>
    <row r="39" spans="3:18" x14ac:dyDescent="0.25">
      <c r="C39" s="123" t="s">
        <v>14</v>
      </c>
      <c r="D39" s="123" t="s">
        <v>994</v>
      </c>
      <c r="E39" s="123" t="s">
        <v>1006</v>
      </c>
      <c r="F39" s="123" t="s">
        <v>996</v>
      </c>
      <c r="G39" s="123" t="s">
        <v>997</v>
      </c>
      <c r="H39" s="123" t="s">
        <v>998</v>
      </c>
      <c r="I39" s="123" t="s">
        <v>1017</v>
      </c>
      <c r="J39" s="123" t="s">
        <v>999</v>
      </c>
      <c r="L39" s="91" t="s">
        <v>660</v>
      </c>
      <c r="M39" s="10"/>
      <c r="N39" s="10"/>
      <c r="O39" s="10">
        <v>13</v>
      </c>
      <c r="P39" s="10"/>
      <c r="Q39" s="10">
        <v>225</v>
      </c>
      <c r="R39"/>
    </row>
    <row r="40" spans="3:18" x14ac:dyDescent="0.25">
      <c r="C40" s="121" t="s">
        <v>850</v>
      </c>
      <c r="D40" s="124">
        <f>SUMIFS(VIEW_IV_2019_VENDA_TRI[Cota-TOTAL],VIEW_IV_2019_VENDA_TRI[Ano-Fiscal],Filtro_Demostrativo_GR_ANO,VIEW_IV_2019_VENDA_TRI[Tri-Fiscal],Filtro_Demostrativo_GR_TRI)</f>
        <v>53601496</v>
      </c>
      <c r="E40" s="124">
        <f>SUMIFS(VIEW_IV_2019_VENDA_TRI[Venda-TOTAL],VIEW_IV_2019_VENDA_TRI[Ano-Fiscal],Filtro_Demostrativo_GR_ANO,VIEW_IV_2019_VENDA_TRI[Tri-Fiscal],Filtro_Demostrativo_GR_TRI)</f>
        <v>78074590</v>
      </c>
      <c r="F40" s="125">
        <f>SUMIFS(VIEW_IV_2019_VENDA_TRI[Cobertura-TOTAL],VIEW_IV_2019_VENDA_TRI[Ano-Fiscal],Filtro_Demostrativo_GR_ANO,VIEW_IV_2019_VENDA_TRI[Tri-Fiscal],Filtro_Demostrativo_GR_TRI)</f>
        <v>1.4565748314188842</v>
      </c>
      <c r="G40" s="153">
        <f>Peso_Venda_Total_GR</f>
        <v>0.4</v>
      </c>
      <c r="H40" s="141">
        <f>SUMIFS(VIEW_IV_2019_VENDA_TRI[Premio-TOTAL-GR],VIEW_IV_2019_VENDA_TRI[Ano-Fiscal],Filtro_Demostrativo_GR_ANO,VIEW_IV_2019_VENDA_TRI[Tri-Fiscal],Filtro_Demostrativo_GR_TRI)</f>
        <v>3149.344375864378</v>
      </c>
      <c r="I40" s="141">
        <f>SUMIFS(VIEW_IV_2019_VENDA_TRI[Recebido-TOTAL-GR],VIEW_IV_2019_VENDA_TRI[Ano-Fiscal],Filtro_Demostrativo_GR_ANO,VIEW_IV_2019_VENDA_TRI[Tri-Fiscal],Filtro_Demostrativo_GR_TRI)</f>
        <v>12020.244240742424</v>
      </c>
      <c r="J40" s="141">
        <f>SUMIFS(VIEW_IV_2019_VENDA_TRI[Recuperavel-TOTAL-GR],VIEW_IV_2019_VENDA_TRI[Ano-Fiscal],Filtro_Demostrativo_GR_ANO,VIEW_IV_2019_VENDA_TRI[Tri-Fiscal],Filtro_Demostrativo_GR_TRI)</f>
        <v>0</v>
      </c>
      <c r="L40" s="91" t="s">
        <v>662</v>
      </c>
      <c r="M40" s="10"/>
      <c r="N40" s="10">
        <v>22</v>
      </c>
      <c r="O40" s="10">
        <v>10</v>
      </c>
      <c r="P40" s="10"/>
      <c r="Q40" s="10"/>
      <c r="R40"/>
    </row>
    <row r="41" spans="3:18" x14ac:dyDescent="0.25">
      <c r="L41" s="91" t="s">
        <v>655</v>
      </c>
      <c r="M41" s="10"/>
      <c r="N41" s="10"/>
      <c r="O41" s="10"/>
      <c r="P41" s="10"/>
      <c r="Q41" s="10">
        <v>200</v>
      </c>
      <c r="R41"/>
    </row>
    <row r="42" spans="3:18" x14ac:dyDescent="0.25">
      <c r="L42" s="91" t="s">
        <v>406</v>
      </c>
      <c r="M42" s="10"/>
      <c r="N42" s="10">
        <v>15</v>
      </c>
      <c r="O42" s="10">
        <v>3</v>
      </c>
      <c r="P42" s="10"/>
      <c r="Q42" s="10">
        <v>450</v>
      </c>
      <c r="R42"/>
    </row>
    <row r="43" spans="3:18" x14ac:dyDescent="0.25">
      <c r="L43" s="91" t="s">
        <v>391</v>
      </c>
      <c r="M43" s="10"/>
      <c r="N43" s="10">
        <v>12</v>
      </c>
      <c r="O43" s="10">
        <v>15</v>
      </c>
      <c r="P43" s="10"/>
      <c r="Q43" s="10"/>
      <c r="R43"/>
    </row>
    <row r="44" spans="3:18" x14ac:dyDescent="0.25">
      <c r="C44"/>
      <c r="D44"/>
      <c r="E44"/>
      <c r="F44"/>
      <c r="G44"/>
      <c r="H44"/>
      <c r="I44"/>
      <c r="L44" s="91" t="s">
        <v>573</v>
      </c>
      <c r="M44" s="10"/>
      <c r="N44" s="10"/>
      <c r="O44" s="10"/>
      <c r="P44" s="10"/>
      <c r="Q44" s="10">
        <v>650</v>
      </c>
      <c r="R44"/>
    </row>
    <row r="45" spans="3:18" x14ac:dyDescent="0.25">
      <c r="C45"/>
      <c r="D45"/>
      <c r="E45"/>
      <c r="F45"/>
      <c r="G45"/>
      <c r="H45"/>
      <c r="I45"/>
      <c r="L45" s="91" t="s">
        <v>463</v>
      </c>
      <c r="M45" s="10"/>
      <c r="N45" s="10"/>
      <c r="O45" s="10"/>
      <c r="P45" s="10">
        <v>16</v>
      </c>
      <c r="Q45" s="10"/>
      <c r="R45"/>
    </row>
    <row r="46" spans="3:18" x14ac:dyDescent="0.25">
      <c r="C46"/>
      <c r="D46"/>
      <c r="E46"/>
      <c r="F46"/>
      <c r="G46"/>
      <c r="H46"/>
      <c r="I46"/>
      <c r="L46" s="91" t="s">
        <v>461</v>
      </c>
      <c r="M46" s="10"/>
      <c r="N46" s="10"/>
      <c r="O46" s="10"/>
      <c r="P46" s="10"/>
      <c r="Q46" s="10">
        <v>200</v>
      </c>
      <c r="R46"/>
    </row>
    <row r="47" spans="3:18" x14ac:dyDescent="0.25">
      <c r="C47"/>
      <c r="D47"/>
      <c r="E47"/>
      <c r="F47"/>
      <c r="G47"/>
      <c r="H47"/>
      <c r="I47"/>
      <c r="L47" s="91" t="s">
        <v>628</v>
      </c>
      <c r="M47" s="10"/>
      <c r="N47" s="10"/>
      <c r="O47" s="10"/>
      <c r="P47" s="10"/>
      <c r="Q47" s="10">
        <v>10</v>
      </c>
      <c r="R47"/>
    </row>
    <row r="48" spans="3:18" x14ac:dyDescent="0.25">
      <c r="C48"/>
      <c r="D48"/>
      <c r="E48"/>
      <c r="F48"/>
      <c r="G48"/>
      <c r="H48"/>
      <c r="I48"/>
      <c r="L48" s="91" t="s">
        <v>462</v>
      </c>
      <c r="M48" s="10"/>
      <c r="N48" s="10"/>
      <c r="O48" s="10"/>
      <c r="P48" s="10">
        <v>32</v>
      </c>
      <c r="Q48" s="10"/>
      <c r="R48"/>
    </row>
    <row r="49" spans="12:17" customFormat="1" x14ac:dyDescent="0.25">
      <c r="L49" s="91" t="s">
        <v>257</v>
      </c>
      <c r="M49" s="10"/>
      <c r="N49" s="10"/>
      <c r="O49" s="10"/>
      <c r="P49" s="10">
        <v>12</v>
      </c>
      <c r="Q49" s="10"/>
    </row>
    <row r="50" spans="12:17" customFormat="1" x14ac:dyDescent="0.25">
      <c r="L50" s="91" t="s">
        <v>600</v>
      </c>
      <c r="M50" s="10"/>
      <c r="N50" s="10"/>
      <c r="O50" s="10"/>
      <c r="P50" s="10"/>
      <c r="Q50" s="10">
        <v>405</v>
      </c>
    </row>
    <row r="51" spans="12:17" customFormat="1" x14ac:dyDescent="0.25">
      <c r="L51" s="91" t="s">
        <v>675</v>
      </c>
      <c r="M51" s="10"/>
      <c r="N51" s="10"/>
      <c r="O51" s="10">
        <v>6</v>
      </c>
      <c r="P51" s="10"/>
      <c r="Q51" s="10"/>
    </row>
    <row r="52" spans="12:17" customFormat="1" x14ac:dyDescent="0.25">
      <c r="L52" s="91" t="s">
        <v>620</v>
      </c>
      <c r="M52" s="10"/>
      <c r="N52" s="10"/>
      <c r="O52" s="10"/>
      <c r="P52" s="10"/>
      <c r="Q52" s="10">
        <v>200</v>
      </c>
    </row>
    <row r="53" spans="12:17" customFormat="1" x14ac:dyDescent="0.25">
      <c r="L53" s="91" t="s">
        <v>353</v>
      </c>
      <c r="M53" s="10"/>
      <c r="N53" s="10"/>
      <c r="O53" s="10"/>
      <c r="P53" s="10">
        <v>18</v>
      </c>
      <c r="Q53" s="10"/>
    </row>
    <row r="54" spans="12:17" customFormat="1" x14ac:dyDescent="0.25">
      <c r="L54" s="91" t="s">
        <v>521</v>
      </c>
      <c r="M54" s="10"/>
      <c r="N54" s="10"/>
      <c r="O54" s="10"/>
      <c r="P54" s="10"/>
      <c r="Q54" s="10">
        <v>25</v>
      </c>
    </row>
    <row r="55" spans="12:17" customFormat="1" x14ac:dyDescent="0.25">
      <c r="L55" s="91" t="s">
        <v>449</v>
      </c>
      <c r="M55" s="10"/>
      <c r="N55" s="10"/>
      <c r="O55" s="10">
        <v>6</v>
      </c>
      <c r="P55" s="10"/>
      <c r="Q55" s="10"/>
    </row>
    <row r="56" spans="12:17" customFormat="1" x14ac:dyDescent="0.25">
      <c r="L56" s="91" t="s">
        <v>527</v>
      </c>
      <c r="M56" s="10"/>
      <c r="N56" s="10"/>
      <c r="O56" s="10"/>
      <c r="P56" s="10"/>
      <c r="Q56" s="10">
        <v>800</v>
      </c>
    </row>
    <row r="57" spans="12:17" customFormat="1" x14ac:dyDescent="0.25">
      <c r="L57" s="91" t="s">
        <v>401</v>
      </c>
      <c r="M57" s="10"/>
      <c r="N57" s="10">
        <v>9</v>
      </c>
      <c r="O57" s="10">
        <v>2</v>
      </c>
      <c r="P57" s="10"/>
      <c r="Q57" s="10"/>
    </row>
    <row r="58" spans="12:17" customFormat="1" x14ac:dyDescent="0.25">
      <c r="L58" s="91" t="s">
        <v>377</v>
      </c>
      <c r="M58" s="10"/>
      <c r="N58" s="10"/>
      <c r="O58" s="10">
        <v>13</v>
      </c>
      <c r="P58" s="10">
        <v>40</v>
      </c>
      <c r="Q58" s="10">
        <v>790</v>
      </c>
    </row>
    <row r="59" spans="12:17" customFormat="1" x14ac:dyDescent="0.25">
      <c r="L59" s="91" t="s">
        <v>386</v>
      </c>
      <c r="M59" s="10"/>
      <c r="N59" s="10"/>
      <c r="O59" s="10"/>
      <c r="P59" s="10">
        <v>12</v>
      </c>
      <c r="Q59" s="10">
        <v>1000</v>
      </c>
    </row>
    <row r="60" spans="12:17" customFormat="1" x14ac:dyDescent="0.25">
      <c r="L60" s="91" t="s">
        <v>396</v>
      </c>
      <c r="M60" s="10"/>
      <c r="N60" s="10">
        <v>19</v>
      </c>
      <c r="O60" s="10">
        <v>2</v>
      </c>
      <c r="P60" s="10"/>
      <c r="Q60" s="10"/>
    </row>
    <row r="61" spans="12:17" customFormat="1" x14ac:dyDescent="0.25">
      <c r="L61" s="91" t="s">
        <v>586</v>
      </c>
      <c r="M61" s="10"/>
      <c r="N61" s="10"/>
      <c r="O61" s="10"/>
      <c r="P61" s="10"/>
      <c r="Q61" s="10">
        <v>45</v>
      </c>
    </row>
    <row r="62" spans="12:17" customFormat="1" x14ac:dyDescent="0.25">
      <c r="L62" s="91" t="s">
        <v>351</v>
      </c>
      <c r="M62" s="10"/>
      <c r="N62" s="10"/>
      <c r="O62" s="10"/>
      <c r="P62" s="10">
        <v>52</v>
      </c>
      <c r="Q62" s="10"/>
    </row>
    <row r="63" spans="12:17" customFormat="1" x14ac:dyDescent="0.25">
      <c r="L63" s="91" t="s">
        <v>231</v>
      </c>
      <c r="M63" s="10"/>
      <c r="N63" s="10"/>
      <c r="O63" s="10"/>
      <c r="P63" s="10"/>
      <c r="Q63" s="10">
        <v>175</v>
      </c>
    </row>
    <row r="64" spans="12:17" customFormat="1" x14ac:dyDescent="0.25">
      <c r="L64" s="91" t="s">
        <v>697</v>
      </c>
      <c r="M64" s="10"/>
      <c r="N64" s="10">
        <v>5</v>
      </c>
      <c r="O64" s="10"/>
      <c r="P64" s="10"/>
      <c r="Q64" s="10"/>
    </row>
    <row r="65" spans="3:17" customFormat="1" x14ac:dyDescent="0.25">
      <c r="L65" s="91" t="s">
        <v>663</v>
      </c>
      <c r="M65" s="10"/>
      <c r="N65" s="10"/>
      <c r="O65" s="10">
        <v>1</v>
      </c>
      <c r="P65" s="10"/>
      <c r="Q65" s="10"/>
    </row>
    <row r="66" spans="3:17" customFormat="1" x14ac:dyDescent="0.25">
      <c r="L66" s="91" t="s">
        <v>680</v>
      </c>
      <c r="M66" s="10"/>
      <c r="N66" s="10">
        <v>1</v>
      </c>
      <c r="O66" s="10"/>
      <c r="P66" s="10"/>
      <c r="Q66" s="10">
        <v>250</v>
      </c>
    </row>
    <row r="67" spans="3:17" customFormat="1" x14ac:dyDescent="0.25">
      <c r="L67" s="91" t="s">
        <v>679</v>
      </c>
      <c r="M67" s="10"/>
      <c r="N67" s="10">
        <v>15</v>
      </c>
      <c r="O67" s="10">
        <v>14</v>
      </c>
      <c r="P67" s="10"/>
      <c r="Q67" s="10"/>
    </row>
    <row r="68" spans="3:17" customFormat="1" x14ac:dyDescent="0.25">
      <c r="L68" s="91" t="s">
        <v>661</v>
      </c>
      <c r="M68" s="10"/>
      <c r="N68" s="10">
        <v>33</v>
      </c>
      <c r="O68" s="10">
        <v>66</v>
      </c>
      <c r="P68" s="10"/>
      <c r="Q68" s="10"/>
    </row>
    <row r="69" spans="3:17" customFormat="1" x14ac:dyDescent="0.25">
      <c r="L69" s="91" t="s">
        <v>678</v>
      </c>
      <c r="M69" s="10"/>
      <c r="N69" s="10">
        <v>3</v>
      </c>
      <c r="O69" s="10"/>
      <c r="P69" s="10">
        <v>1</v>
      </c>
      <c r="Q69" s="10"/>
    </row>
    <row r="70" spans="3:17" customFormat="1" x14ac:dyDescent="0.25">
      <c r="L70" s="91" t="s">
        <v>665</v>
      </c>
      <c r="M70" s="10"/>
      <c r="N70" s="10">
        <v>23</v>
      </c>
      <c r="O70" s="10">
        <v>16</v>
      </c>
      <c r="P70" s="10"/>
      <c r="Q70" s="10"/>
    </row>
    <row r="71" spans="3:17" customFormat="1" x14ac:dyDescent="0.25">
      <c r="L71" s="91" t="s">
        <v>681</v>
      </c>
      <c r="M71" s="10"/>
      <c r="N71" s="10">
        <v>10</v>
      </c>
      <c r="O71" s="10"/>
      <c r="P71" s="10"/>
      <c r="Q71" s="10">
        <v>80</v>
      </c>
    </row>
    <row r="72" spans="3:17" customFormat="1" x14ac:dyDescent="0.25">
      <c r="L72" s="91" t="s">
        <v>513</v>
      </c>
      <c r="M72" s="10"/>
      <c r="N72" s="10"/>
      <c r="O72" s="10"/>
      <c r="P72" s="10"/>
      <c r="Q72" s="10">
        <v>125</v>
      </c>
    </row>
    <row r="73" spans="3:17" customFormat="1" x14ac:dyDescent="0.25">
      <c r="L73" s="91" t="s">
        <v>384</v>
      </c>
      <c r="M73" s="10"/>
      <c r="N73" s="10"/>
      <c r="O73" s="10">
        <v>2</v>
      </c>
      <c r="P73" s="10"/>
      <c r="Q73" s="10">
        <v>280</v>
      </c>
    </row>
    <row r="74" spans="3:17" customFormat="1" x14ac:dyDescent="0.25">
      <c r="L74" s="91" t="s">
        <v>379</v>
      </c>
      <c r="M74" s="10"/>
      <c r="N74" s="10">
        <v>1</v>
      </c>
      <c r="O74" s="10"/>
      <c r="P74" s="10"/>
      <c r="Q74" s="10"/>
    </row>
    <row r="75" spans="3:17" customFormat="1" x14ac:dyDescent="0.25">
      <c r="L75" s="91" t="s">
        <v>693</v>
      </c>
      <c r="M75" s="10"/>
      <c r="N75" s="10">
        <v>7</v>
      </c>
      <c r="O75" s="10">
        <v>5</v>
      </c>
      <c r="P75" s="10"/>
      <c r="Q75" s="10">
        <v>385</v>
      </c>
    </row>
    <row r="76" spans="3:17" customFormat="1" x14ac:dyDescent="0.25">
      <c r="L76" s="91" t="s">
        <v>671</v>
      </c>
      <c r="M76" s="10"/>
      <c r="N76" s="10"/>
      <c r="O76" s="10">
        <v>2</v>
      </c>
      <c r="P76" s="10"/>
      <c r="Q76" s="10">
        <v>290</v>
      </c>
    </row>
    <row r="77" spans="3:17" customFormat="1" x14ac:dyDescent="0.25">
      <c r="L77" s="91" t="s">
        <v>650</v>
      </c>
      <c r="M77" s="10"/>
      <c r="N77" s="10"/>
      <c r="O77" s="10"/>
      <c r="P77" s="10"/>
      <c r="Q77" s="10">
        <v>20</v>
      </c>
    </row>
    <row r="78" spans="3:17" customFormat="1" x14ac:dyDescent="0.25">
      <c r="L78" s="91" t="s">
        <v>366</v>
      </c>
      <c r="M78" s="10"/>
      <c r="N78" s="10"/>
      <c r="O78" s="10"/>
      <c r="P78" s="10">
        <v>96</v>
      </c>
      <c r="Q78" s="10"/>
    </row>
    <row r="79" spans="3:17" customFormat="1" x14ac:dyDescent="0.25">
      <c r="L79" s="91" t="s">
        <v>648</v>
      </c>
      <c r="M79" s="10"/>
      <c r="N79" s="10"/>
      <c r="O79" s="10"/>
      <c r="P79" s="10"/>
      <c r="Q79" s="10">
        <v>30</v>
      </c>
    </row>
    <row r="80" spans="3:17" customFormat="1" x14ac:dyDescent="0.25">
      <c r="C80" s="87"/>
      <c r="D80" s="87"/>
      <c r="E80" s="87"/>
      <c r="F80" s="87"/>
      <c r="G80" s="87"/>
      <c r="H80" s="2"/>
      <c r="L80" s="91" t="s">
        <v>457</v>
      </c>
      <c r="M80" s="10"/>
      <c r="N80" s="10"/>
      <c r="O80" s="10"/>
      <c r="P80" s="10">
        <v>30</v>
      </c>
      <c r="Q80" s="10"/>
    </row>
    <row r="81" spans="3:18" customFormat="1" x14ac:dyDescent="0.25">
      <c r="C81" s="87"/>
      <c r="D81" s="87"/>
      <c r="E81" s="87"/>
      <c r="F81" s="87"/>
      <c r="G81" s="87"/>
      <c r="H81" s="2"/>
      <c r="L81" s="91" t="s">
        <v>394</v>
      </c>
      <c r="M81" s="10"/>
      <c r="N81" s="10"/>
      <c r="O81" s="10"/>
      <c r="P81" s="10">
        <v>209</v>
      </c>
      <c r="Q81" s="10">
        <v>90</v>
      </c>
    </row>
    <row r="82" spans="3:18" customFormat="1" x14ac:dyDescent="0.25">
      <c r="C82" s="87"/>
      <c r="D82" s="87"/>
      <c r="E82" s="87"/>
      <c r="F82" s="87"/>
      <c r="G82" s="87"/>
      <c r="H82" s="2"/>
      <c r="L82" s="91" t="s">
        <v>390</v>
      </c>
      <c r="M82" s="10"/>
      <c r="N82" s="10"/>
      <c r="O82" s="10"/>
      <c r="P82" s="10">
        <v>18</v>
      </c>
      <c r="Q82" s="10"/>
    </row>
    <row r="83" spans="3:18" customFormat="1" x14ac:dyDescent="0.25">
      <c r="C83" s="87"/>
      <c r="D83" s="87"/>
      <c r="E83" s="87"/>
      <c r="F83" s="87"/>
      <c r="G83" s="87"/>
      <c r="H83" s="2"/>
      <c r="I83" s="87"/>
      <c r="L83" s="91" t="s">
        <v>459</v>
      </c>
      <c r="M83" s="10"/>
      <c r="N83" s="10">
        <v>2</v>
      </c>
      <c r="O83" s="10"/>
      <c r="P83" s="10"/>
      <c r="Q83" s="10">
        <v>200</v>
      </c>
    </row>
    <row r="84" spans="3:18" customFormat="1" x14ac:dyDescent="0.25">
      <c r="C84" s="87"/>
      <c r="D84" s="87"/>
      <c r="E84" s="87"/>
      <c r="F84" s="87"/>
      <c r="G84" s="87"/>
      <c r="H84" s="2"/>
      <c r="I84" s="87"/>
      <c r="L84" s="91" t="s">
        <v>688</v>
      </c>
      <c r="M84" s="10"/>
      <c r="N84" s="10">
        <v>24</v>
      </c>
      <c r="O84" s="10">
        <v>24</v>
      </c>
      <c r="P84" s="10"/>
      <c r="Q84" s="10">
        <v>2400</v>
      </c>
    </row>
    <row r="85" spans="3:18" customFormat="1" x14ac:dyDescent="0.25">
      <c r="C85" s="87"/>
      <c r="D85" s="87"/>
      <c r="E85" s="87"/>
      <c r="F85" s="87"/>
      <c r="G85" s="87"/>
      <c r="H85" s="2"/>
      <c r="I85" s="87"/>
      <c r="L85" s="91" t="s">
        <v>646</v>
      </c>
      <c r="M85" s="10"/>
      <c r="N85" s="10"/>
      <c r="O85" s="10"/>
      <c r="P85" s="10"/>
      <c r="Q85" s="10">
        <v>300</v>
      </c>
    </row>
    <row r="86" spans="3:18" customFormat="1" x14ac:dyDescent="0.25">
      <c r="C86" s="87"/>
      <c r="D86" s="87"/>
      <c r="E86" s="87"/>
      <c r="F86" s="87"/>
      <c r="G86" s="87"/>
      <c r="H86" s="2"/>
      <c r="I86" s="87"/>
      <c r="L86" s="91" t="s">
        <v>518</v>
      </c>
      <c r="M86" s="10"/>
      <c r="N86" s="10"/>
      <c r="O86" s="10"/>
      <c r="P86" s="10"/>
      <c r="Q86" s="10">
        <v>185</v>
      </c>
    </row>
    <row r="87" spans="3:18" customFormat="1" x14ac:dyDescent="0.25">
      <c r="C87" s="87"/>
      <c r="D87" s="87"/>
      <c r="E87" s="87"/>
      <c r="F87" s="87"/>
      <c r="G87" s="87"/>
      <c r="H87" s="2"/>
      <c r="I87" s="87"/>
      <c r="L87" s="91" t="s">
        <v>389</v>
      </c>
      <c r="M87" s="10"/>
      <c r="N87" s="10"/>
      <c r="O87" s="10">
        <v>6</v>
      </c>
      <c r="P87" s="10"/>
      <c r="Q87" s="10"/>
    </row>
    <row r="88" spans="3:18" x14ac:dyDescent="0.25">
      <c r="L88" s="91" t="s">
        <v>579</v>
      </c>
      <c r="M88" s="10"/>
      <c r="N88" s="10"/>
      <c r="O88" s="10"/>
      <c r="P88" s="10"/>
      <c r="Q88" s="10">
        <v>350</v>
      </c>
      <c r="R88"/>
    </row>
    <row r="89" spans="3:18" x14ac:dyDescent="0.25">
      <c r="L89" s="91" t="s">
        <v>542</v>
      </c>
      <c r="M89" s="10"/>
      <c r="N89" s="10"/>
      <c r="O89" s="10"/>
      <c r="P89" s="10"/>
      <c r="Q89" s="10">
        <v>660</v>
      </c>
      <c r="R89"/>
    </row>
    <row r="90" spans="3:18" x14ac:dyDescent="0.25">
      <c r="L90" s="91" t="s">
        <v>593</v>
      </c>
      <c r="M90" s="10"/>
      <c r="N90" s="10"/>
      <c r="O90" s="10"/>
      <c r="P90" s="10"/>
      <c r="Q90" s="10">
        <v>30</v>
      </c>
      <c r="R90"/>
    </row>
    <row r="91" spans="3:18" x14ac:dyDescent="0.25">
      <c r="L91" s="91" t="s">
        <v>698</v>
      </c>
      <c r="M91" s="10"/>
      <c r="N91" s="10">
        <v>20</v>
      </c>
      <c r="O91" s="10"/>
      <c r="P91" s="10"/>
      <c r="Q91" s="10"/>
      <c r="R91"/>
    </row>
    <row r="92" spans="3:18" x14ac:dyDescent="0.25">
      <c r="L92" s="91" t="s">
        <v>657</v>
      </c>
      <c r="M92" s="10"/>
      <c r="N92" s="10">
        <v>208</v>
      </c>
      <c r="O92" s="10">
        <v>250</v>
      </c>
      <c r="P92" s="10"/>
      <c r="Q92" s="10"/>
      <c r="R92"/>
    </row>
    <row r="93" spans="3:18" x14ac:dyDescent="0.25">
      <c r="L93" s="91" t="s">
        <v>403</v>
      </c>
      <c r="M93" s="10"/>
      <c r="N93" s="10">
        <v>25</v>
      </c>
      <c r="O93" s="10">
        <v>61</v>
      </c>
      <c r="P93" s="10">
        <v>28</v>
      </c>
      <c r="Q93" s="10">
        <v>90</v>
      </c>
      <c r="R93"/>
    </row>
    <row r="94" spans="3:18" x14ac:dyDescent="0.25">
      <c r="L94" s="91" t="s">
        <v>686</v>
      </c>
      <c r="M94" s="10"/>
      <c r="N94" s="10">
        <v>3</v>
      </c>
      <c r="O94" s="10">
        <v>7</v>
      </c>
      <c r="P94" s="10"/>
      <c r="Q94" s="10">
        <v>20</v>
      </c>
      <c r="R94"/>
    </row>
    <row r="95" spans="3:18" x14ac:dyDescent="0.25">
      <c r="L95" s="91" t="s">
        <v>501</v>
      </c>
      <c r="M95" s="10"/>
      <c r="N95" s="10">
        <v>2</v>
      </c>
      <c r="O95" s="10"/>
      <c r="P95" s="10"/>
      <c r="Q95" s="10"/>
      <c r="R95"/>
    </row>
    <row r="96" spans="3:18" x14ac:dyDescent="0.25">
      <c r="L96" s="91" t="s">
        <v>704</v>
      </c>
      <c r="M96" s="10">
        <v>3</v>
      </c>
      <c r="N96" s="10"/>
      <c r="O96" s="10"/>
      <c r="P96" s="10"/>
      <c r="Q96" s="10"/>
      <c r="R96"/>
    </row>
    <row r="97" spans="12:18" x14ac:dyDescent="0.25">
      <c r="L97" s="91" t="s">
        <v>469</v>
      </c>
      <c r="M97" s="10">
        <v>59</v>
      </c>
      <c r="N97" s="10"/>
      <c r="O97" s="10"/>
      <c r="P97" s="10"/>
      <c r="Q97" s="10"/>
      <c r="R97"/>
    </row>
    <row r="98" spans="12:18" x14ac:dyDescent="0.25">
      <c r="L98" s="91" t="s">
        <v>503</v>
      </c>
      <c r="M98" s="10"/>
      <c r="N98" s="10"/>
      <c r="O98" s="10"/>
      <c r="P98" s="10">
        <v>200</v>
      </c>
      <c r="Q98" s="10"/>
      <c r="R98"/>
    </row>
    <row r="99" spans="12:18" x14ac:dyDescent="0.25">
      <c r="L99" s="91" t="s">
        <v>538</v>
      </c>
      <c r="M99" s="10"/>
      <c r="N99" s="10"/>
      <c r="O99" s="10"/>
      <c r="P99" s="10"/>
      <c r="Q99" s="10">
        <v>20</v>
      </c>
      <c r="R99"/>
    </row>
    <row r="100" spans="12:18" x14ac:dyDescent="0.25">
      <c r="L100" s="91" t="s">
        <v>695</v>
      </c>
      <c r="M100" s="10"/>
      <c r="N100" s="10"/>
      <c r="O100" s="10"/>
      <c r="P100" s="10">
        <v>214</v>
      </c>
      <c r="Q100" s="10">
        <v>445</v>
      </c>
      <c r="R100"/>
    </row>
    <row r="101" spans="12:18" x14ac:dyDescent="0.25">
      <c r="L101" s="91" t="s">
        <v>526</v>
      </c>
      <c r="M101" s="10"/>
      <c r="N101" s="10"/>
      <c r="O101" s="10"/>
      <c r="P101" s="10"/>
      <c r="Q101" s="10">
        <v>297.5</v>
      </c>
      <c r="R101"/>
    </row>
    <row r="102" spans="12:18" x14ac:dyDescent="0.25">
      <c r="L102" s="91" t="s">
        <v>676</v>
      </c>
      <c r="M102" s="10"/>
      <c r="N102" s="10"/>
      <c r="O102" s="10"/>
      <c r="P102" s="10">
        <v>126</v>
      </c>
      <c r="Q102" s="10">
        <v>150</v>
      </c>
      <c r="R102"/>
    </row>
    <row r="103" spans="12:18" x14ac:dyDescent="0.25">
      <c r="L103" s="91" t="s">
        <v>483</v>
      </c>
      <c r="M103" s="10"/>
      <c r="N103" s="10">
        <v>25</v>
      </c>
      <c r="O103" s="10">
        <v>10</v>
      </c>
      <c r="P103" s="10">
        <v>98</v>
      </c>
      <c r="Q103" s="10">
        <v>1150</v>
      </c>
      <c r="R103"/>
    </row>
    <row r="104" spans="12:18" x14ac:dyDescent="0.25">
      <c r="L104" s="91" t="s">
        <v>578</v>
      </c>
      <c r="M104" s="10"/>
      <c r="N104" s="10"/>
      <c r="O104" s="10"/>
      <c r="P104" s="10"/>
      <c r="Q104" s="10">
        <v>205</v>
      </c>
      <c r="R104"/>
    </row>
    <row r="105" spans="12:18" x14ac:dyDescent="0.25">
      <c r="L105" s="91" t="s">
        <v>685</v>
      </c>
      <c r="M105" s="10"/>
      <c r="N105" s="10"/>
      <c r="O105" s="10"/>
      <c r="P105" s="10"/>
      <c r="Q105" s="10">
        <v>120</v>
      </c>
      <c r="R105"/>
    </row>
    <row r="106" spans="12:18" x14ac:dyDescent="0.25">
      <c r="L106" s="91" t="s">
        <v>324</v>
      </c>
      <c r="M106" s="10"/>
      <c r="N106" s="10"/>
      <c r="O106" s="10"/>
      <c r="P106" s="10">
        <v>8</v>
      </c>
      <c r="Q106" s="10"/>
      <c r="R106"/>
    </row>
    <row r="107" spans="12:18" x14ac:dyDescent="0.25">
      <c r="L107" s="91" t="s">
        <v>465</v>
      </c>
      <c r="M107" s="10"/>
      <c r="N107" s="10"/>
      <c r="O107" s="10">
        <v>15</v>
      </c>
      <c r="P107" s="10"/>
      <c r="Q107" s="10"/>
      <c r="R107"/>
    </row>
    <row r="108" spans="12:18" x14ac:dyDescent="0.25">
      <c r="L108" s="91" t="s">
        <v>584</v>
      </c>
      <c r="M108" s="10"/>
      <c r="N108" s="10"/>
      <c r="O108" s="10"/>
      <c r="P108" s="10"/>
      <c r="Q108" s="10">
        <v>1485</v>
      </c>
      <c r="R108"/>
    </row>
    <row r="109" spans="12:18" x14ac:dyDescent="0.25">
      <c r="L109" s="91" t="s">
        <v>582</v>
      </c>
      <c r="M109" s="10"/>
      <c r="N109" s="10"/>
      <c r="O109" s="10"/>
      <c r="P109" s="10"/>
      <c r="Q109" s="10">
        <v>20</v>
      </c>
      <c r="R109"/>
    </row>
    <row r="110" spans="12:18" x14ac:dyDescent="0.25">
      <c r="L110" s="91" t="s">
        <v>499</v>
      </c>
      <c r="M110" s="10"/>
      <c r="N110" s="10"/>
      <c r="O110" s="10"/>
      <c r="P110" s="10">
        <v>20</v>
      </c>
      <c r="Q110" s="10"/>
      <c r="R110"/>
    </row>
    <row r="111" spans="12:18" x14ac:dyDescent="0.25">
      <c r="L111" s="91" t="s">
        <v>705</v>
      </c>
      <c r="M111" s="10"/>
      <c r="N111" s="10"/>
      <c r="O111" s="10"/>
      <c r="P111" s="10"/>
      <c r="Q111" s="10">
        <v>20</v>
      </c>
      <c r="R111"/>
    </row>
    <row r="112" spans="12:18" x14ac:dyDescent="0.25">
      <c r="L112" s="91" t="s">
        <v>368</v>
      </c>
      <c r="M112" s="10"/>
      <c r="N112" s="10">
        <v>10</v>
      </c>
      <c r="O112" s="10"/>
      <c r="P112" s="10"/>
      <c r="Q112" s="10"/>
      <c r="R112"/>
    </row>
    <row r="113" spans="12:18" x14ac:dyDescent="0.25">
      <c r="L113" s="91" t="s">
        <v>547</v>
      </c>
      <c r="M113" s="10"/>
      <c r="N113" s="10"/>
      <c r="O113" s="10"/>
      <c r="P113" s="10"/>
      <c r="Q113" s="10">
        <v>25</v>
      </c>
      <c r="R113"/>
    </row>
    <row r="114" spans="12:18" x14ac:dyDescent="0.25">
      <c r="L114" s="91" t="s">
        <v>534</v>
      </c>
      <c r="M114" s="10"/>
      <c r="N114" s="10"/>
      <c r="O114" s="10"/>
      <c r="P114" s="10"/>
      <c r="Q114" s="10">
        <v>35</v>
      </c>
      <c r="R114"/>
    </row>
    <row r="115" spans="12:18" x14ac:dyDescent="0.25">
      <c r="L115" s="91" t="s">
        <v>345</v>
      </c>
      <c r="M115" s="10"/>
      <c r="N115" s="10"/>
      <c r="O115" s="10">
        <v>2</v>
      </c>
      <c r="P115" s="10"/>
      <c r="Q115" s="10"/>
      <c r="R115"/>
    </row>
    <row r="116" spans="12:18" x14ac:dyDescent="0.25">
      <c r="L116" s="91" t="s">
        <v>443</v>
      </c>
      <c r="M116" s="10"/>
      <c r="N116" s="10"/>
      <c r="O116" s="10"/>
      <c r="P116" s="10">
        <v>70</v>
      </c>
      <c r="Q116" s="10"/>
      <c r="R116"/>
    </row>
    <row r="117" spans="12:18" x14ac:dyDescent="0.25">
      <c r="L117" s="91" t="s">
        <v>644</v>
      </c>
      <c r="M117" s="10"/>
      <c r="N117" s="10"/>
      <c r="O117" s="10"/>
      <c r="P117" s="10"/>
      <c r="Q117" s="10">
        <v>30</v>
      </c>
      <c r="R117"/>
    </row>
    <row r="118" spans="12:18" x14ac:dyDescent="0.25">
      <c r="L118" s="91" t="s">
        <v>511</v>
      </c>
      <c r="M118" s="10"/>
      <c r="N118" s="10"/>
      <c r="O118" s="10"/>
      <c r="P118" s="10"/>
      <c r="Q118" s="10">
        <v>70</v>
      </c>
      <c r="R118"/>
    </row>
    <row r="119" spans="12:18" x14ac:dyDescent="0.25">
      <c r="L119" s="91" t="s">
        <v>460</v>
      </c>
      <c r="M119" s="10"/>
      <c r="N119" s="10"/>
      <c r="O119" s="10"/>
      <c r="P119" s="10"/>
      <c r="Q119" s="10">
        <v>250</v>
      </c>
      <c r="R119"/>
    </row>
    <row r="120" spans="12:18" x14ac:dyDescent="0.25">
      <c r="L120" s="91" t="s">
        <v>348</v>
      </c>
      <c r="M120" s="10"/>
      <c r="N120" s="10"/>
      <c r="O120" s="10"/>
      <c r="P120" s="10">
        <v>6</v>
      </c>
      <c r="Q120" s="10"/>
      <c r="R120"/>
    </row>
    <row r="121" spans="12:18" x14ac:dyDescent="0.25">
      <c r="L121" s="91" t="s">
        <v>706</v>
      </c>
      <c r="M121" s="10"/>
      <c r="N121" s="10"/>
      <c r="O121" s="10"/>
      <c r="P121" s="10"/>
      <c r="Q121" s="10">
        <v>285</v>
      </c>
      <c r="R121"/>
    </row>
    <row r="122" spans="12:18" x14ac:dyDescent="0.25">
      <c r="L122" s="91" t="s">
        <v>667</v>
      </c>
      <c r="M122" s="10"/>
      <c r="N122" s="10">
        <v>2</v>
      </c>
      <c r="O122" s="10"/>
      <c r="P122" s="10">
        <v>140</v>
      </c>
      <c r="Q122" s="10">
        <v>1455</v>
      </c>
      <c r="R122"/>
    </row>
    <row r="123" spans="12:18" x14ac:dyDescent="0.25">
      <c r="L123" s="91" t="s">
        <v>507</v>
      </c>
      <c r="M123" s="10"/>
      <c r="N123" s="10"/>
      <c r="O123" s="10">
        <v>3</v>
      </c>
      <c r="P123" s="10"/>
      <c r="Q123" s="10"/>
      <c r="R123"/>
    </row>
    <row r="124" spans="12:18" x14ac:dyDescent="0.25">
      <c r="L124" s="91" t="s">
        <v>677</v>
      </c>
      <c r="M124" s="10"/>
      <c r="N124" s="10">
        <v>5</v>
      </c>
      <c r="O124" s="10">
        <v>1</v>
      </c>
      <c r="P124" s="10">
        <v>4</v>
      </c>
      <c r="Q124" s="10"/>
      <c r="R124"/>
    </row>
    <row r="125" spans="12:18" x14ac:dyDescent="0.25">
      <c r="L125" s="91" t="s">
        <v>304</v>
      </c>
      <c r="M125" s="10"/>
      <c r="N125" s="10"/>
      <c r="O125" s="10"/>
      <c r="P125" s="10">
        <v>8</v>
      </c>
      <c r="Q125" s="10"/>
      <c r="R125"/>
    </row>
    <row r="126" spans="12:18" x14ac:dyDescent="0.25">
      <c r="L126" s="91" t="s">
        <v>515</v>
      </c>
      <c r="M126" s="10"/>
      <c r="N126" s="10"/>
      <c r="O126" s="10"/>
      <c r="P126" s="10"/>
      <c r="Q126" s="10">
        <v>375</v>
      </c>
      <c r="R126"/>
    </row>
    <row r="127" spans="12:18" x14ac:dyDescent="0.25">
      <c r="L127"/>
      <c r="M127"/>
      <c r="N127"/>
      <c r="O127"/>
      <c r="P127"/>
      <c r="Q127"/>
      <c r="R127"/>
    </row>
    <row r="128" spans="12:18" x14ac:dyDescent="0.25">
      <c r="L128"/>
      <c r="M128"/>
      <c r="N128"/>
      <c r="O128"/>
      <c r="P128"/>
      <c r="Q128"/>
      <c r="R128"/>
    </row>
    <row r="129" spans="12:18" x14ac:dyDescent="0.25">
      <c r="L129"/>
      <c r="M129"/>
      <c r="N129"/>
      <c r="O129"/>
      <c r="P129"/>
      <c r="Q129"/>
      <c r="R129"/>
    </row>
    <row r="130" spans="12:18" x14ac:dyDescent="0.25">
      <c r="L130"/>
      <c r="M130"/>
      <c r="N130"/>
      <c r="O130"/>
      <c r="P130"/>
      <c r="Q130"/>
      <c r="R130"/>
    </row>
    <row r="131" spans="12:18" x14ac:dyDescent="0.25">
      <c r="L131"/>
      <c r="M131"/>
      <c r="N131"/>
      <c r="O131"/>
      <c r="P131"/>
      <c r="Q131"/>
      <c r="R131"/>
    </row>
    <row r="132" spans="12:18" x14ac:dyDescent="0.25">
      <c r="L132"/>
      <c r="M132"/>
      <c r="N132"/>
      <c r="O132"/>
      <c r="P132"/>
      <c r="Q132"/>
      <c r="R132"/>
    </row>
    <row r="133" spans="12:18" x14ac:dyDescent="0.25">
      <c r="L133"/>
      <c r="M133"/>
      <c r="N133"/>
      <c r="O133"/>
      <c r="P133"/>
      <c r="Q133"/>
      <c r="R133"/>
    </row>
    <row r="134" spans="12:18" x14ac:dyDescent="0.25">
      <c r="L134"/>
      <c r="M134"/>
      <c r="N134"/>
      <c r="O134"/>
      <c r="P134"/>
      <c r="Q134"/>
      <c r="R134"/>
    </row>
    <row r="135" spans="12:18" x14ac:dyDescent="0.25">
      <c r="L135"/>
      <c r="M135"/>
      <c r="N135"/>
      <c r="O135"/>
      <c r="P135"/>
      <c r="Q135"/>
      <c r="R135"/>
    </row>
    <row r="136" spans="12:18" x14ac:dyDescent="0.25">
      <c r="L136"/>
      <c r="M136"/>
      <c r="N136"/>
      <c r="O136"/>
      <c r="P136"/>
      <c r="Q136"/>
      <c r="R136"/>
    </row>
    <row r="137" spans="12:18" x14ac:dyDescent="0.25">
      <c r="L137"/>
      <c r="M137"/>
      <c r="N137"/>
      <c r="O137"/>
      <c r="P137"/>
      <c r="Q137"/>
      <c r="R137"/>
    </row>
    <row r="138" spans="12:18" x14ac:dyDescent="0.25">
      <c r="L138"/>
      <c r="M138"/>
      <c r="N138"/>
      <c r="O138"/>
      <c r="P138"/>
      <c r="Q138"/>
      <c r="R138"/>
    </row>
    <row r="139" spans="12:18" x14ac:dyDescent="0.25">
      <c r="L139"/>
      <c r="M139"/>
      <c r="N139"/>
      <c r="O139"/>
      <c r="P139"/>
      <c r="Q139"/>
      <c r="R139"/>
    </row>
    <row r="140" spans="12:18" x14ac:dyDescent="0.25">
      <c r="L140"/>
      <c r="M140"/>
      <c r="N140"/>
      <c r="O140"/>
      <c r="P140"/>
      <c r="Q140"/>
      <c r="R140"/>
    </row>
    <row r="141" spans="12:18" x14ac:dyDescent="0.25">
      <c r="L141"/>
      <c r="M141"/>
      <c r="N141"/>
      <c r="O141"/>
      <c r="P141"/>
      <c r="Q141"/>
      <c r="R141"/>
    </row>
    <row r="142" spans="12:18" x14ac:dyDescent="0.25">
      <c r="L142"/>
      <c r="M142"/>
      <c r="N142"/>
      <c r="O142"/>
      <c r="P142"/>
      <c r="Q142"/>
      <c r="R142"/>
    </row>
    <row r="143" spans="12:18" x14ac:dyDescent="0.25">
      <c r="L143"/>
      <c r="M143"/>
      <c r="N143"/>
      <c r="O143"/>
      <c r="P143"/>
      <c r="Q143"/>
      <c r="R143"/>
    </row>
    <row r="144" spans="12:18" x14ac:dyDescent="0.25">
      <c r="L144"/>
      <c r="M144"/>
      <c r="N144"/>
      <c r="O144"/>
      <c r="P144"/>
      <c r="Q144"/>
      <c r="R144"/>
    </row>
    <row r="145" spans="12:18" x14ac:dyDescent="0.25">
      <c r="L145"/>
      <c r="M145"/>
      <c r="N145"/>
      <c r="O145"/>
      <c r="P145"/>
      <c r="Q145"/>
      <c r="R145"/>
    </row>
    <row r="146" spans="12:18" x14ac:dyDescent="0.25">
      <c r="L146"/>
      <c r="M146"/>
      <c r="N146"/>
      <c r="O146"/>
      <c r="P146"/>
      <c r="Q146"/>
      <c r="R146"/>
    </row>
    <row r="147" spans="12:18" x14ac:dyDescent="0.25">
      <c r="L147"/>
      <c r="M147"/>
      <c r="N147"/>
      <c r="O147"/>
      <c r="P147"/>
      <c r="Q147"/>
      <c r="R147"/>
    </row>
    <row r="148" spans="12:18" x14ac:dyDescent="0.25">
      <c r="L148"/>
      <c r="M148"/>
      <c r="N148"/>
      <c r="O148"/>
      <c r="P148"/>
      <c r="Q148"/>
      <c r="R148"/>
    </row>
    <row r="149" spans="12:18" x14ac:dyDescent="0.25">
      <c r="L149"/>
      <c r="M149"/>
      <c r="N149"/>
      <c r="O149"/>
      <c r="P149"/>
      <c r="Q149"/>
      <c r="R149"/>
    </row>
    <row r="150" spans="12:18" x14ac:dyDescent="0.25">
      <c r="L150"/>
      <c r="M150"/>
      <c r="N150"/>
      <c r="O150"/>
      <c r="P150"/>
      <c r="Q150"/>
      <c r="R150"/>
    </row>
    <row r="151" spans="12:18" x14ac:dyDescent="0.25">
      <c r="L151"/>
      <c r="M151"/>
      <c r="N151"/>
      <c r="O151"/>
      <c r="P151"/>
      <c r="Q151"/>
      <c r="R151"/>
    </row>
    <row r="152" spans="12:18" x14ac:dyDescent="0.25">
      <c r="L152"/>
      <c r="M152"/>
      <c r="N152"/>
      <c r="O152"/>
      <c r="P152"/>
      <c r="Q152"/>
      <c r="R152"/>
    </row>
    <row r="153" spans="12:18" x14ac:dyDescent="0.25">
      <c r="L153"/>
      <c r="M153"/>
      <c r="N153"/>
      <c r="O153"/>
      <c r="P153"/>
      <c r="Q153"/>
      <c r="R153"/>
    </row>
    <row r="154" spans="12:18" x14ac:dyDescent="0.25">
      <c r="L154"/>
      <c r="M154"/>
      <c r="N154"/>
      <c r="O154"/>
      <c r="P154"/>
      <c r="Q154"/>
      <c r="R154"/>
    </row>
    <row r="155" spans="12:18" x14ac:dyDescent="0.25">
      <c r="L155"/>
      <c r="M155"/>
      <c r="N155"/>
      <c r="O155"/>
      <c r="P155"/>
      <c r="Q155"/>
      <c r="R155"/>
    </row>
    <row r="156" spans="12:18" x14ac:dyDescent="0.25">
      <c r="L156"/>
      <c r="M156"/>
      <c r="N156"/>
      <c r="O156"/>
      <c r="P156"/>
      <c r="Q156"/>
      <c r="R156"/>
    </row>
    <row r="157" spans="12:18" x14ac:dyDescent="0.25">
      <c r="L157"/>
      <c r="M157"/>
      <c r="N157"/>
      <c r="O157"/>
      <c r="P157"/>
      <c r="Q157"/>
      <c r="R157"/>
    </row>
    <row r="158" spans="12:18" x14ac:dyDescent="0.25">
      <c r="L158"/>
      <c r="M158"/>
      <c r="N158"/>
      <c r="O158"/>
      <c r="P158"/>
      <c r="Q158"/>
      <c r="R158"/>
    </row>
    <row r="159" spans="12:18" x14ac:dyDescent="0.25">
      <c r="L159"/>
      <c r="M159"/>
      <c r="N159"/>
      <c r="O159"/>
      <c r="P159"/>
      <c r="Q159"/>
      <c r="R159"/>
    </row>
    <row r="160" spans="12:18" x14ac:dyDescent="0.25">
      <c r="L160"/>
      <c r="M160"/>
      <c r="N160"/>
      <c r="O160"/>
      <c r="P160"/>
      <c r="Q160"/>
      <c r="R160"/>
    </row>
    <row r="161" spans="12:18" x14ac:dyDescent="0.25">
      <c r="L161"/>
      <c r="M161"/>
      <c r="N161"/>
      <c r="O161"/>
      <c r="P161"/>
      <c r="Q161"/>
      <c r="R161"/>
    </row>
    <row r="162" spans="12:18" x14ac:dyDescent="0.25">
      <c r="L162"/>
      <c r="M162"/>
      <c r="N162"/>
      <c r="O162"/>
      <c r="P162"/>
      <c r="Q162"/>
      <c r="R162"/>
    </row>
    <row r="163" spans="12:18" x14ac:dyDescent="0.25">
      <c r="L163"/>
      <c r="M163"/>
      <c r="N163"/>
      <c r="O163"/>
      <c r="P163"/>
      <c r="Q163"/>
      <c r="R163"/>
    </row>
    <row r="164" spans="12:18" x14ac:dyDescent="0.25">
      <c r="L164"/>
      <c r="M164"/>
      <c r="N164"/>
      <c r="O164"/>
      <c r="P164"/>
      <c r="Q164"/>
      <c r="R164"/>
    </row>
    <row r="165" spans="12:18" x14ac:dyDescent="0.25">
      <c r="L165"/>
      <c r="M165"/>
      <c r="N165"/>
      <c r="O165"/>
      <c r="P165"/>
      <c r="Q165"/>
      <c r="R165"/>
    </row>
    <row r="166" spans="12:18" x14ac:dyDescent="0.25">
      <c r="L166"/>
      <c r="M166"/>
      <c r="N166"/>
      <c r="O166"/>
      <c r="P166"/>
      <c r="Q166"/>
      <c r="R166"/>
    </row>
    <row r="167" spans="12:18" x14ac:dyDescent="0.25">
      <c r="L167"/>
      <c r="M167"/>
      <c r="N167"/>
      <c r="O167"/>
      <c r="P167"/>
      <c r="Q167"/>
      <c r="R167"/>
    </row>
    <row r="168" spans="12:18" x14ac:dyDescent="0.25">
      <c r="L168"/>
      <c r="M168"/>
      <c r="N168"/>
      <c r="O168"/>
      <c r="P168"/>
      <c r="Q168"/>
      <c r="R168"/>
    </row>
    <row r="169" spans="12:18" x14ac:dyDescent="0.25">
      <c r="L169"/>
      <c r="M169"/>
      <c r="N169"/>
      <c r="O169"/>
      <c r="P169"/>
      <c r="Q169"/>
      <c r="R169"/>
    </row>
    <row r="170" spans="12:18" x14ac:dyDescent="0.25">
      <c r="L170"/>
      <c r="M170"/>
      <c r="N170"/>
      <c r="O170"/>
      <c r="P170"/>
      <c r="Q170"/>
      <c r="R170"/>
    </row>
    <row r="171" spans="12:18" x14ac:dyDescent="0.25">
      <c r="L171"/>
      <c r="M171"/>
      <c r="N171"/>
      <c r="O171"/>
      <c r="P171"/>
      <c r="Q171"/>
      <c r="R171"/>
    </row>
    <row r="172" spans="12:18" x14ac:dyDescent="0.25">
      <c r="L172"/>
      <c r="M172"/>
      <c r="N172"/>
      <c r="O172"/>
      <c r="P172"/>
      <c r="Q172"/>
      <c r="R172"/>
    </row>
    <row r="173" spans="12:18" x14ac:dyDescent="0.25">
      <c r="L173"/>
      <c r="M173"/>
      <c r="N173"/>
      <c r="O173"/>
      <c r="P173"/>
      <c r="Q173"/>
      <c r="R173"/>
    </row>
    <row r="174" spans="12:18" x14ac:dyDescent="0.25">
      <c r="L174"/>
      <c r="M174"/>
      <c r="N174"/>
      <c r="O174"/>
      <c r="P174"/>
      <c r="Q174"/>
      <c r="R174"/>
    </row>
    <row r="175" spans="12:18" x14ac:dyDescent="0.25">
      <c r="L175"/>
      <c r="M175"/>
      <c r="N175"/>
      <c r="O175"/>
      <c r="P175"/>
      <c r="Q175"/>
      <c r="R175"/>
    </row>
    <row r="176" spans="12:18" x14ac:dyDescent="0.25">
      <c r="L176"/>
      <c r="M176"/>
      <c r="N176"/>
      <c r="O176"/>
      <c r="P176"/>
      <c r="Q176"/>
      <c r="R176"/>
    </row>
    <row r="177" spans="12:18" x14ac:dyDescent="0.25">
      <c r="L177"/>
      <c r="M177"/>
      <c r="N177"/>
      <c r="O177"/>
      <c r="P177"/>
      <c r="Q177"/>
      <c r="R177"/>
    </row>
    <row r="178" spans="12:18" x14ac:dyDescent="0.25">
      <c r="L178"/>
      <c r="M178"/>
      <c r="N178"/>
      <c r="O178"/>
      <c r="P178"/>
      <c r="Q178"/>
      <c r="R178"/>
    </row>
    <row r="179" spans="12:18" x14ac:dyDescent="0.25">
      <c r="L179"/>
      <c r="M179"/>
      <c r="N179"/>
      <c r="O179"/>
      <c r="P179"/>
      <c r="Q179"/>
      <c r="R179"/>
    </row>
    <row r="180" spans="12:18" x14ac:dyDescent="0.25">
      <c r="L180"/>
      <c r="M180"/>
      <c r="N180"/>
      <c r="O180"/>
      <c r="P180"/>
      <c r="Q180"/>
      <c r="R180"/>
    </row>
    <row r="181" spans="12:18" x14ac:dyDescent="0.25">
      <c r="L181"/>
      <c r="M181"/>
      <c r="N181"/>
      <c r="O181"/>
      <c r="P181"/>
      <c r="Q181"/>
      <c r="R181"/>
    </row>
    <row r="182" spans="12:18" x14ac:dyDescent="0.25">
      <c r="L182"/>
      <c r="M182"/>
      <c r="N182"/>
      <c r="O182"/>
      <c r="P182"/>
      <c r="Q182"/>
      <c r="R182"/>
    </row>
    <row r="183" spans="12:18" x14ac:dyDescent="0.25">
      <c r="L183"/>
      <c r="M183"/>
      <c r="N183"/>
      <c r="O183"/>
      <c r="P183"/>
      <c r="Q183"/>
      <c r="R183"/>
    </row>
    <row r="184" spans="12:18" x14ac:dyDescent="0.25">
      <c r="L184"/>
      <c r="M184"/>
      <c r="N184"/>
      <c r="O184"/>
      <c r="P184"/>
      <c r="Q184"/>
      <c r="R184"/>
    </row>
    <row r="185" spans="12:18" x14ac:dyDescent="0.25">
      <c r="L185"/>
      <c r="M185"/>
      <c r="N185"/>
      <c r="O185"/>
      <c r="P185"/>
      <c r="Q185"/>
      <c r="R185"/>
    </row>
    <row r="186" spans="12:18" x14ac:dyDescent="0.25">
      <c r="L186"/>
      <c r="M186"/>
      <c r="N186"/>
      <c r="O186"/>
      <c r="P186"/>
      <c r="Q186"/>
      <c r="R186"/>
    </row>
    <row r="187" spans="12:18" x14ac:dyDescent="0.25">
      <c r="L187"/>
      <c r="M187"/>
      <c r="N187"/>
      <c r="O187"/>
      <c r="P187"/>
      <c r="Q187"/>
      <c r="R187"/>
    </row>
    <row r="188" spans="12:18" x14ac:dyDescent="0.25">
      <c r="L188"/>
      <c r="M188"/>
      <c r="N188"/>
      <c r="O188"/>
      <c r="P188"/>
      <c r="Q188"/>
      <c r="R188"/>
    </row>
    <row r="189" spans="12:18" x14ac:dyDescent="0.25">
      <c r="L189"/>
      <c r="M189"/>
      <c r="N189"/>
      <c r="O189"/>
      <c r="P189"/>
      <c r="Q189"/>
      <c r="R189"/>
    </row>
    <row r="190" spans="12:18" x14ac:dyDescent="0.25">
      <c r="L190"/>
      <c r="M190"/>
      <c r="N190"/>
      <c r="O190"/>
      <c r="P190"/>
      <c r="Q190"/>
      <c r="R190"/>
    </row>
    <row r="191" spans="12:18" x14ac:dyDescent="0.25">
      <c r="L191"/>
      <c r="M191"/>
      <c r="N191"/>
      <c r="O191"/>
      <c r="P191"/>
      <c r="Q191"/>
      <c r="R191"/>
    </row>
    <row r="192" spans="12:18" x14ac:dyDescent="0.25">
      <c r="L192"/>
      <c r="M192"/>
      <c r="N192"/>
      <c r="O192"/>
      <c r="P192"/>
      <c r="Q192"/>
      <c r="R192"/>
    </row>
    <row r="193" spans="12:18" x14ac:dyDescent="0.25">
      <c r="L193"/>
      <c r="M193"/>
      <c r="N193"/>
      <c r="O193"/>
      <c r="P193"/>
      <c r="Q193"/>
      <c r="R193"/>
    </row>
    <row r="194" spans="12:18" x14ac:dyDescent="0.25">
      <c r="L194"/>
      <c r="M194"/>
      <c r="N194"/>
      <c r="O194"/>
      <c r="P194"/>
      <c r="Q194"/>
      <c r="R194"/>
    </row>
    <row r="195" spans="12:18" x14ac:dyDescent="0.25">
      <c r="L195"/>
      <c r="M195"/>
      <c r="N195"/>
      <c r="O195"/>
      <c r="P195"/>
      <c r="Q195"/>
      <c r="R195"/>
    </row>
    <row r="196" spans="12:18" x14ac:dyDescent="0.25">
      <c r="L196"/>
      <c r="M196"/>
      <c r="N196"/>
      <c r="O196"/>
      <c r="P196"/>
      <c r="Q196"/>
      <c r="R196"/>
    </row>
    <row r="197" spans="12:18" x14ac:dyDescent="0.25">
      <c r="L197"/>
      <c r="M197"/>
      <c r="N197"/>
      <c r="O197"/>
      <c r="P197"/>
      <c r="Q197"/>
      <c r="R197"/>
    </row>
    <row r="198" spans="12:18" x14ac:dyDescent="0.25">
      <c r="L198"/>
      <c r="M198"/>
      <c r="N198"/>
      <c r="O198"/>
      <c r="P198"/>
      <c r="Q198"/>
      <c r="R198"/>
    </row>
    <row r="199" spans="12:18" x14ac:dyDescent="0.25">
      <c r="L199"/>
      <c r="M199"/>
      <c r="N199"/>
      <c r="O199"/>
      <c r="P199"/>
      <c r="Q199"/>
      <c r="R199"/>
    </row>
    <row r="200" spans="12:18" x14ac:dyDescent="0.25">
      <c r="L200"/>
      <c r="M200"/>
      <c r="N200"/>
      <c r="O200"/>
      <c r="P200"/>
      <c r="Q200"/>
      <c r="R200"/>
    </row>
    <row r="201" spans="12:18" x14ac:dyDescent="0.25">
      <c r="L201"/>
      <c r="M201"/>
      <c r="N201"/>
      <c r="O201"/>
      <c r="P201"/>
      <c r="Q201"/>
      <c r="R201"/>
    </row>
    <row r="202" spans="12:18" x14ac:dyDescent="0.25">
      <c r="L202"/>
      <c r="M202"/>
      <c r="N202"/>
      <c r="O202"/>
      <c r="P202"/>
      <c r="Q202"/>
      <c r="R202"/>
    </row>
    <row r="203" spans="12:18" x14ac:dyDescent="0.25">
      <c r="L203"/>
      <c r="M203"/>
      <c r="N203"/>
      <c r="O203"/>
      <c r="P203"/>
      <c r="Q203"/>
      <c r="R203"/>
    </row>
    <row r="204" spans="12:18" x14ac:dyDescent="0.25">
      <c r="L204"/>
      <c r="M204"/>
      <c r="N204"/>
      <c r="O204"/>
      <c r="P204"/>
      <c r="Q204"/>
      <c r="R204"/>
    </row>
    <row r="205" spans="12:18" x14ac:dyDescent="0.25">
      <c r="L205"/>
      <c r="M205"/>
      <c r="N205"/>
      <c r="O205"/>
      <c r="P205"/>
      <c r="Q205"/>
      <c r="R205"/>
    </row>
    <row r="206" spans="12:18" x14ac:dyDescent="0.25">
      <c r="L206"/>
      <c r="M206"/>
      <c r="N206"/>
      <c r="O206"/>
      <c r="P206"/>
      <c r="Q206"/>
      <c r="R206"/>
    </row>
    <row r="207" spans="12:18" x14ac:dyDescent="0.25">
      <c r="L207"/>
      <c r="M207"/>
      <c r="N207"/>
      <c r="O207"/>
      <c r="P207"/>
      <c r="Q207"/>
      <c r="R207"/>
    </row>
    <row r="208" spans="12:18" x14ac:dyDescent="0.25">
      <c r="L208"/>
      <c r="M208"/>
      <c r="N208"/>
      <c r="O208"/>
      <c r="P208"/>
      <c r="Q208"/>
      <c r="R208"/>
    </row>
    <row r="209" spans="12:18" x14ac:dyDescent="0.25">
      <c r="L209"/>
      <c r="M209"/>
      <c r="N209"/>
      <c r="O209"/>
      <c r="P209"/>
      <c r="Q209"/>
      <c r="R209"/>
    </row>
    <row r="210" spans="12:18" x14ac:dyDescent="0.25">
      <c r="L210"/>
      <c r="M210"/>
      <c r="N210"/>
      <c r="O210"/>
      <c r="P210"/>
      <c r="Q210"/>
      <c r="R210"/>
    </row>
    <row r="211" spans="12:18" x14ac:dyDescent="0.25">
      <c r="L211"/>
      <c r="M211"/>
      <c r="N211"/>
      <c r="O211"/>
      <c r="P211"/>
      <c r="Q211"/>
      <c r="R211"/>
    </row>
    <row r="212" spans="12:18" x14ac:dyDescent="0.25">
      <c r="L212"/>
      <c r="M212"/>
      <c r="N212"/>
      <c r="O212"/>
      <c r="P212"/>
      <c r="Q212"/>
      <c r="R212"/>
    </row>
    <row r="213" spans="12:18" x14ac:dyDescent="0.25">
      <c r="L213"/>
      <c r="M213"/>
      <c r="N213"/>
      <c r="O213"/>
      <c r="P213"/>
      <c r="Q213"/>
      <c r="R213"/>
    </row>
    <row r="214" spans="12:18" x14ac:dyDescent="0.25">
      <c r="L214"/>
      <c r="M214"/>
      <c r="N214"/>
      <c r="O214"/>
      <c r="P214"/>
      <c r="Q214"/>
      <c r="R214"/>
    </row>
    <row r="215" spans="12:18" x14ac:dyDescent="0.25">
      <c r="L215"/>
      <c r="M215"/>
      <c r="N215"/>
      <c r="O215"/>
      <c r="P215"/>
      <c r="Q215"/>
      <c r="R215"/>
    </row>
    <row r="216" spans="12:18" x14ac:dyDescent="0.25">
      <c r="L216"/>
      <c r="M216"/>
      <c r="N216"/>
      <c r="O216"/>
      <c r="P216"/>
      <c r="Q216"/>
      <c r="R216"/>
    </row>
    <row r="217" spans="12:18" x14ac:dyDescent="0.25">
      <c r="L217"/>
      <c r="M217"/>
      <c r="N217"/>
      <c r="O217"/>
      <c r="P217"/>
      <c r="Q217"/>
      <c r="R217"/>
    </row>
    <row r="218" spans="12:18" x14ac:dyDescent="0.25">
      <c r="L218"/>
      <c r="M218"/>
      <c r="N218"/>
      <c r="O218"/>
      <c r="P218"/>
      <c r="Q218"/>
      <c r="R218"/>
    </row>
    <row r="219" spans="12:18" x14ac:dyDescent="0.25">
      <c r="L219"/>
      <c r="M219"/>
      <c r="N219"/>
      <c r="O219"/>
      <c r="P219"/>
      <c r="Q219"/>
      <c r="R219"/>
    </row>
    <row r="220" spans="12:18" x14ac:dyDescent="0.25">
      <c r="L220"/>
      <c r="M220"/>
      <c r="N220"/>
      <c r="O220"/>
      <c r="P220"/>
      <c r="Q220"/>
      <c r="R220"/>
    </row>
    <row r="221" spans="12:18" x14ac:dyDescent="0.25">
      <c r="L221"/>
      <c r="M221"/>
      <c r="N221"/>
      <c r="O221"/>
      <c r="P221"/>
      <c r="Q221"/>
      <c r="R221"/>
    </row>
    <row r="222" spans="12:18" x14ac:dyDescent="0.25">
      <c r="L222"/>
      <c r="M222"/>
      <c r="N222"/>
      <c r="O222"/>
      <c r="P222"/>
      <c r="Q222"/>
      <c r="R222"/>
    </row>
    <row r="223" spans="12:18" x14ac:dyDescent="0.25">
      <c r="L223"/>
      <c r="M223"/>
      <c r="N223"/>
      <c r="O223"/>
      <c r="P223"/>
      <c r="Q223"/>
      <c r="R223"/>
    </row>
    <row r="224" spans="12:18" x14ac:dyDescent="0.25">
      <c r="L224"/>
      <c r="M224"/>
      <c r="N224"/>
      <c r="O224"/>
      <c r="P224"/>
      <c r="Q224"/>
      <c r="R224"/>
    </row>
    <row r="225" spans="12:18" x14ac:dyDescent="0.25">
      <c r="L225"/>
      <c r="M225"/>
      <c r="N225"/>
      <c r="O225"/>
      <c r="P225"/>
      <c r="Q225"/>
      <c r="R225"/>
    </row>
    <row r="226" spans="12:18" x14ac:dyDescent="0.25">
      <c r="L226"/>
      <c r="M226"/>
      <c r="N226"/>
      <c r="O226"/>
      <c r="P226"/>
      <c r="Q226"/>
      <c r="R226"/>
    </row>
    <row r="227" spans="12:18" x14ac:dyDescent="0.25">
      <c r="L227"/>
      <c r="M227"/>
      <c r="N227"/>
      <c r="O227"/>
      <c r="P227"/>
      <c r="Q227"/>
      <c r="R227"/>
    </row>
    <row r="228" spans="12:18" x14ac:dyDescent="0.25">
      <c r="L228"/>
      <c r="M228"/>
      <c r="N228"/>
      <c r="O228"/>
      <c r="P228"/>
      <c r="Q228"/>
      <c r="R228"/>
    </row>
    <row r="229" spans="12:18" x14ac:dyDescent="0.25">
      <c r="L229"/>
      <c r="M229"/>
      <c r="N229"/>
      <c r="O229"/>
      <c r="P229"/>
      <c r="Q229"/>
      <c r="R229"/>
    </row>
    <row r="230" spans="12:18" x14ac:dyDescent="0.25">
      <c r="L230"/>
      <c r="M230"/>
      <c r="N230"/>
      <c r="O230"/>
      <c r="P230"/>
      <c r="Q230"/>
      <c r="R230"/>
    </row>
    <row r="231" spans="12:18" x14ac:dyDescent="0.25">
      <c r="L231"/>
      <c r="M231"/>
      <c r="N231"/>
      <c r="O231"/>
      <c r="P231"/>
      <c r="Q231"/>
      <c r="R231"/>
    </row>
    <row r="232" spans="12:18" x14ac:dyDescent="0.25">
      <c r="L232"/>
      <c r="M232"/>
      <c r="N232"/>
      <c r="O232"/>
      <c r="P232"/>
      <c r="Q232"/>
      <c r="R232"/>
    </row>
    <row r="233" spans="12:18" x14ac:dyDescent="0.25">
      <c r="L233"/>
      <c r="M233"/>
      <c r="N233"/>
      <c r="O233"/>
      <c r="P233"/>
      <c r="Q233"/>
      <c r="R233"/>
    </row>
    <row r="234" spans="12:18" x14ac:dyDescent="0.25">
      <c r="L234"/>
      <c r="M234"/>
      <c r="N234"/>
      <c r="O234"/>
      <c r="P234"/>
      <c r="Q234"/>
      <c r="R234"/>
    </row>
    <row r="235" spans="12:18" x14ac:dyDescent="0.25">
      <c r="L235"/>
      <c r="M235"/>
      <c r="N235"/>
      <c r="O235"/>
      <c r="P235"/>
      <c r="Q235"/>
      <c r="R235"/>
    </row>
    <row r="236" spans="12:18" x14ac:dyDescent="0.25">
      <c r="L236"/>
      <c r="M236"/>
      <c r="N236"/>
      <c r="O236"/>
      <c r="P236"/>
      <c r="Q236"/>
      <c r="R236"/>
    </row>
    <row r="237" spans="12:18" x14ac:dyDescent="0.25">
      <c r="L237"/>
      <c r="M237"/>
      <c r="N237"/>
      <c r="O237"/>
      <c r="P237"/>
      <c r="Q237"/>
      <c r="R237"/>
    </row>
    <row r="238" spans="12:18" x14ac:dyDescent="0.25">
      <c r="L238"/>
      <c r="M238"/>
      <c r="N238"/>
      <c r="O238"/>
      <c r="P238"/>
      <c r="Q238"/>
      <c r="R238"/>
    </row>
    <row r="239" spans="12:18" x14ac:dyDescent="0.25">
      <c r="L239"/>
      <c r="M239"/>
      <c r="N239"/>
      <c r="O239"/>
      <c r="P239"/>
      <c r="Q239"/>
      <c r="R239"/>
    </row>
    <row r="240" spans="12:18" x14ac:dyDescent="0.25">
      <c r="L240"/>
      <c r="M240"/>
      <c r="N240"/>
      <c r="O240"/>
      <c r="P240"/>
      <c r="Q240"/>
      <c r="R240"/>
    </row>
    <row r="241" spans="12:18" x14ac:dyDescent="0.25">
      <c r="L241"/>
      <c r="M241"/>
      <c r="N241"/>
      <c r="O241"/>
      <c r="P241"/>
      <c r="Q241"/>
      <c r="R241"/>
    </row>
    <row r="242" spans="12:18" x14ac:dyDescent="0.25">
      <c r="L242"/>
      <c r="M242"/>
      <c r="N242"/>
      <c r="O242"/>
      <c r="P242"/>
      <c r="Q242"/>
      <c r="R242"/>
    </row>
    <row r="243" spans="12:18" x14ac:dyDescent="0.25">
      <c r="L243"/>
      <c r="M243"/>
      <c r="N243"/>
      <c r="O243"/>
      <c r="P243"/>
      <c r="Q243"/>
      <c r="R243"/>
    </row>
    <row r="244" spans="12:18" x14ac:dyDescent="0.25">
      <c r="L244"/>
      <c r="M244"/>
      <c r="N244"/>
      <c r="O244"/>
      <c r="P244"/>
      <c r="Q244"/>
      <c r="R244"/>
    </row>
    <row r="245" spans="12:18" x14ac:dyDescent="0.25">
      <c r="L245"/>
      <c r="M245"/>
      <c r="N245"/>
      <c r="O245"/>
      <c r="P245"/>
      <c r="Q245"/>
      <c r="R245"/>
    </row>
    <row r="246" spans="12:18" x14ac:dyDescent="0.25">
      <c r="L246"/>
      <c r="M246"/>
      <c r="N246"/>
      <c r="O246"/>
      <c r="P246"/>
      <c r="Q246"/>
      <c r="R246"/>
    </row>
    <row r="247" spans="12:18" x14ac:dyDescent="0.25">
      <c r="L247"/>
      <c r="M247"/>
      <c r="N247"/>
      <c r="O247"/>
      <c r="P247"/>
      <c r="Q247"/>
      <c r="R247"/>
    </row>
    <row r="248" spans="12:18" x14ac:dyDescent="0.25">
      <c r="L248"/>
      <c r="M248"/>
      <c r="N248"/>
      <c r="O248"/>
      <c r="P248"/>
      <c r="Q248"/>
      <c r="R248"/>
    </row>
    <row r="249" spans="12:18" x14ac:dyDescent="0.25">
      <c r="L249"/>
      <c r="M249"/>
      <c r="N249"/>
      <c r="O249"/>
      <c r="P249"/>
      <c r="Q249"/>
      <c r="R249"/>
    </row>
    <row r="250" spans="12:18" x14ac:dyDescent="0.25">
      <c r="L250"/>
      <c r="M250"/>
      <c r="N250"/>
      <c r="O250"/>
      <c r="P250"/>
      <c r="Q250"/>
      <c r="R250"/>
    </row>
    <row r="251" spans="12:18" x14ac:dyDescent="0.25">
      <c r="L251"/>
      <c r="M251"/>
      <c r="N251"/>
      <c r="O251"/>
      <c r="P251"/>
      <c r="Q251"/>
      <c r="R251"/>
    </row>
    <row r="252" spans="12:18" x14ac:dyDescent="0.25">
      <c r="L252"/>
      <c r="M252"/>
      <c r="N252"/>
      <c r="O252"/>
      <c r="P252"/>
      <c r="Q252"/>
      <c r="R252"/>
    </row>
    <row r="253" spans="12:18" x14ac:dyDescent="0.25">
      <c r="L253"/>
      <c r="M253"/>
      <c r="N253"/>
      <c r="O253"/>
      <c r="P253"/>
      <c r="Q253"/>
      <c r="R253"/>
    </row>
    <row r="254" spans="12:18" x14ac:dyDescent="0.25">
      <c r="L254"/>
      <c r="M254"/>
      <c r="N254"/>
      <c r="O254"/>
      <c r="P254"/>
      <c r="Q254"/>
      <c r="R254"/>
    </row>
    <row r="255" spans="12:18" x14ac:dyDescent="0.25">
      <c r="L255"/>
      <c r="M255"/>
      <c r="N255"/>
      <c r="O255"/>
      <c r="P255"/>
      <c r="Q255"/>
      <c r="R255"/>
    </row>
    <row r="256" spans="12:18" x14ac:dyDescent="0.25">
      <c r="L256"/>
      <c r="M256"/>
      <c r="N256"/>
      <c r="O256"/>
      <c r="P256"/>
      <c r="Q256"/>
      <c r="R256"/>
    </row>
    <row r="257" spans="12:18" x14ac:dyDescent="0.25">
      <c r="L257"/>
      <c r="M257"/>
      <c r="N257"/>
      <c r="O257"/>
      <c r="P257"/>
      <c r="Q257"/>
      <c r="R257"/>
    </row>
    <row r="258" spans="12:18" x14ac:dyDescent="0.25">
      <c r="L258"/>
      <c r="M258"/>
      <c r="N258"/>
      <c r="O258"/>
      <c r="P258"/>
      <c r="Q258"/>
      <c r="R258"/>
    </row>
    <row r="259" spans="12:18" x14ac:dyDescent="0.25">
      <c r="L259"/>
      <c r="M259"/>
      <c r="N259"/>
      <c r="O259"/>
      <c r="P259"/>
      <c r="Q259"/>
      <c r="R259"/>
    </row>
    <row r="260" spans="12:18" x14ac:dyDescent="0.25">
      <c r="L260"/>
      <c r="M260"/>
      <c r="N260"/>
      <c r="O260"/>
      <c r="P260"/>
      <c r="Q260"/>
      <c r="R260"/>
    </row>
    <row r="261" spans="12:18" x14ac:dyDescent="0.25">
      <c r="L261"/>
      <c r="M261"/>
      <c r="N261"/>
      <c r="O261"/>
      <c r="P261"/>
      <c r="Q261"/>
      <c r="R261"/>
    </row>
    <row r="262" spans="12:18" x14ac:dyDescent="0.25">
      <c r="L262"/>
      <c r="M262"/>
      <c r="N262"/>
      <c r="O262"/>
      <c r="P262"/>
      <c r="Q262"/>
      <c r="R262"/>
    </row>
    <row r="263" spans="12:18" x14ac:dyDescent="0.25">
      <c r="L263"/>
      <c r="M263"/>
      <c r="N263"/>
      <c r="O263"/>
      <c r="P263"/>
      <c r="Q263"/>
      <c r="R263"/>
    </row>
    <row r="264" spans="12:18" x14ac:dyDescent="0.25">
      <c r="L264"/>
      <c r="M264"/>
      <c r="N264"/>
      <c r="O264"/>
      <c r="P264"/>
      <c r="Q264"/>
      <c r="R264"/>
    </row>
    <row r="265" spans="12:18" x14ac:dyDescent="0.25">
      <c r="L265"/>
      <c r="M265"/>
      <c r="N265"/>
      <c r="O265"/>
      <c r="P265"/>
      <c r="Q265"/>
      <c r="R265"/>
    </row>
    <row r="266" spans="12:18" x14ac:dyDescent="0.25">
      <c r="L266"/>
      <c r="M266"/>
      <c r="N266"/>
      <c r="O266"/>
      <c r="P266"/>
      <c r="Q266"/>
      <c r="R266"/>
    </row>
    <row r="267" spans="12:18" x14ac:dyDescent="0.25">
      <c r="L267"/>
      <c r="M267"/>
      <c r="N267"/>
      <c r="O267"/>
      <c r="P267"/>
      <c r="Q267"/>
      <c r="R267"/>
    </row>
    <row r="268" spans="12:18" x14ac:dyDescent="0.25">
      <c r="L268"/>
      <c r="M268"/>
      <c r="N268"/>
      <c r="O268"/>
      <c r="P268"/>
      <c r="Q268"/>
      <c r="R268"/>
    </row>
    <row r="269" spans="12:18" x14ac:dyDescent="0.25">
      <c r="L269"/>
      <c r="M269"/>
      <c r="N269"/>
      <c r="O269"/>
      <c r="P269"/>
      <c r="Q269"/>
      <c r="R269"/>
    </row>
    <row r="270" spans="12:18" x14ac:dyDescent="0.25">
      <c r="L270"/>
      <c r="M270"/>
      <c r="N270"/>
      <c r="O270"/>
      <c r="P270"/>
      <c r="Q270"/>
      <c r="R270"/>
    </row>
    <row r="271" spans="12:18" x14ac:dyDescent="0.25">
      <c r="L271"/>
      <c r="M271"/>
      <c r="N271"/>
      <c r="O271"/>
      <c r="P271"/>
      <c r="Q271"/>
      <c r="R271"/>
    </row>
    <row r="272" spans="12:18" x14ac:dyDescent="0.25">
      <c r="L272"/>
      <c r="M272"/>
      <c r="N272"/>
      <c r="O272"/>
      <c r="P272"/>
      <c r="Q272"/>
      <c r="R272"/>
    </row>
    <row r="273" spans="12:18" x14ac:dyDescent="0.25">
      <c r="L273"/>
      <c r="M273"/>
      <c r="N273"/>
      <c r="O273"/>
      <c r="P273"/>
      <c r="Q273"/>
      <c r="R273"/>
    </row>
    <row r="274" spans="12:18" x14ac:dyDescent="0.25">
      <c r="L274"/>
      <c r="M274"/>
      <c r="N274"/>
      <c r="O274"/>
      <c r="P274"/>
      <c r="Q274"/>
      <c r="R274"/>
    </row>
    <row r="275" spans="12:18" x14ac:dyDescent="0.25">
      <c r="L275"/>
      <c r="M275"/>
      <c r="N275"/>
      <c r="O275"/>
      <c r="P275"/>
      <c r="Q275"/>
      <c r="R275"/>
    </row>
    <row r="276" spans="12:18" x14ac:dyDescent="0.25">
      <c r="L276"/>
      <c r="M276"/>
      <c r="N276"/>
      <c r="O276"/>
      <c r="P276"/>
      <c r="Q276"/>
      <c r="R276"/>
    </row>
    <row r="277" spans="12:18" x14ac:dyDescent="0.25">
      <c r="L277"/>
      <c r="M277"/>
      <c r="N277"/>
      <c r="O277"/>
      <c r="P277"/>
      <c r="Q277"/>
      <c r="R277"/>
    </row>
    <row r="278" spans="12:18" x14ac:dyDescent="0.25">
      <c r="L278"/>
      <c r="M278"/>
      <c r="N278"/>
      <c r="O278"/>
      <c r="P278"/>
      <c r="Q278"/>
      <c r="R278"/>
    </row>
    <row r="279" spans="12:18" x14ac:dyDescent="0.25">
      <c r="L279"/>
      <c r="M279"/>
      <c r="N279"/>
      <c r="O279"/>
      <c r="P279"/>
      <c r="Q279"/>
      <c r="R279"/>
    </row>
    <row r="280" spans="12:18" x14ac:dyDescent="0.25">
      <c r="L280"/>
      <c r="M280"/>
      <c r="N280"/>
      <c r="O280"/>
      <c r="P280"/>
      <c r="Q280"/>
      <c r="R280"/>
    </row>
    <row r="281" spans="12:18" x14ac:dyDescent="0.25">
      <c r="L281"/>
      <c r="M281"/>
      <c r="N281"/>
      <c r="O281"/>
      <c r="P281"/>
      <c r="Q281"/>
      <c r="R281"/>
    </row>
    <row r="282" spans="12:18" x14ac:dyDescent="0.25">
      <c r="L282"/>
      <c r="M282"/>
      <c r="N282"/>
      <c r="O282"/>
      <c r="P282"/>
      <c r="Q282"/>
      <c r="R282"/>
    </row>
    <row r="283" spans="12:18" x14ac:dyDescent="0.25">
      <c r="L283"/>
      <c r="M283"/>
      <c r="N283"/>
      <c r="O283"/>
      <c r="P283"/>
      <c r="Q283"/>
      <c r="R283"/>
    </row>
    <row r="284" spans="12:18" x14ac:dyDescent="0.25">
      <c r="L284"/>
      <c r="M284"/>
      <c r="N284"/>
      <c r="O284"/>
      <c r="P284"/>
      <c r="Q284"/>
      <c r="R284"/>
    </row>
    <row r="285" spans="12:18" x14ac:dyDescent="0.25">
      <c r="L285"/>
      <c r="M285"/>
      <c r="N285"/>
      <c r="O285"/>
      <c r="P285"/>
      <c r="Q285"/>
      <c r="R285"/>
    </row>
    <row r="286" spans="12:18" x14ac:dyDescent="0.25">
      <c r="L286"/>
      <c r="M286"/>
      <c r="N286"/>
      <c r="O286"/>
      <c r="P286"/>
      <c r="Q286"/>
      <c r="R286"/>
    </row>
    <row r="287" spans="12:18" x14ac:dyDescent="0.25">
      <c r="L287"/>
      <c r="M287"/>
      <c r="N287"/>
      <c r="O287"/>
      <c r="P287"/>
      <c r="Q287"/>
      <c r="R287"/>
    </row>
    <row r="288" spans="12:18" x14ac:dyDescent="0.25">
      <c r="L288"/>
      <c r="M288"/>
      <c r="N288"/>
      <c r="O288"/>
      <c r="P288"/>
      <c r="Q288"/>
      <c r="R288"/>
    </row>
    <row r="289" spans="12:18" x14ac:dyDescent="0.25">
      <c r="L289"/>
      <c r="M289"/>
      <c r="N289"/>
      <c r="O289"/>
      <c r="P289"/>
      <c r="Q289"/>
      <c r="R289"/>
    </row>
    <row r="290" spans="12:18" x14ac:dyDescent="0.25">
      <c r="L290"/>
      <c r="M290"/>
      <c r="N290"/>
      <c r="O290"/>
      <c r="P290"/>
      <c r="Q290"/>
      <c r="R290"/>
    </row>
    <row r="291" spans="12:18" x14ac:dyDescent="0.25">
      <c r="L291"/>
      <c r="M291"/>
      <c r="N291"/>
      <c r="O291"/>
      <c r="P291"/>
      <c r="Q291"/>
      <c r="R291"/>
    </row>
    <row r="292" spans="12:18" x14ac:dyDescent="0.25">
      <c r="L292"/>
      <c r="M292"/>
      <c r="N292"/>
      <c r="O292"/>
      <c r="P292"/>
      <c r="Q292"/>
      <c r="R292"/>
    </row>
    <row r="293" spans="12:18" x14ac:dyDescent="0.25">
      <c r="L293"/>
      <c r="M293"/>
      <c r="N293"/>
      <c r="O293"/>
      <c r="P293"/>
      <c r="Q293"/>
      <c r="R293"/>
    </row>
    <row r="294" spans="12:18" x14ac:dyDescent="0.25">
      <c r="L294"/>
      <c r="M294"/>
      <c r="N294"/>
      <c r="O294"/>
      <c r="P294"/>
      <c r="Q294"/>
      <c r="R294"/>
    </row>
    <row r="295" spans="12:18" x14ac:dyDescent="0.25">
      <c r="L295"/>
      <c r="M295"/>
      <c r="N295"/>
      <c r="O295"/>
      <c r="P295"/>
      <c r="Q295"/>
      <c r="R295"/>
    </row>
    <row r="296" spans="12:18" x14ac:dyDescent="0.25">
      <c r="L296"/>
      <c r="M296"/>
      <c r="N296"/>
      <c r="O296"/>
      <c r="P296"/>
      <c r="Q296"/>
      <c r="R296"/>
    </row>
    <row r="297" spans="12:18" x14ac:dyDescent="0.25">
      <c r="L297"/>
      <c r="M297"/>
      <c r="N297"/>
      <c r="O297"/>
      <c r="P297"/>
      <c r="Q297"/>
      <c r="R297"/>
    </row>
    <row r="298" spans="12:18" x14ac:dyDescent="0.25">
      <c r="L298"/>
      <c r="M298"/>
      <c r="N298"/>
      <c r="O298"/>
      <c r="P298"/>
      <c r="Q298"/>
      <c r="R298"/>
    </row>
    <row r="299" spans="12:18" x14ac:dyDescent="0.25">
      <c r="L299"/>
      <c r="M299"/>
      <c r="N299"/>
      <c r="O299"/>
      <c r="P299"/>
      <c r="Q299"/>
      <c r="R299"/>
    </row>
    <row r="300" spans="12:18" x14ac:dyDescent="0.25">
      <c r="L300"/>
      <c r="M300"/>
      <c r="N300"/>
      <c r="O300"/>
      <c r="P300"/>
      <c r="Q300"/>
      <c r="R300"/>
    </row>
    <row r="301" spans="12:18" x14ac:dyDescent="0.25">
      <c r="L301"/>
      <c r="M301"/>
      <c r="N301"/>
      <c r="O301"/>
      <c r="P301"/>
      <c r="Q301"/>
      <c r="R301"/>
    </row>
    <row r="302" spans="12:18" x14ac:dyDescent="0.25">
      <c r="L302"/>
      <c r="M302"/>
      <c r="N302"/>
      <c r="O302"/>
      <c r="P302"/>
      <c r="Q302"/>
      <c r="R302"/>
    </row>
    <row r="303" spans="12:18" x14ac:dyDescent="0.25">
      <c r="L303"/>
      <c r="M303"/>
      <c r="N303"/>
      <c r="O303"/>
      <c r="P303"/>
      <c r="Q303"/>
      <c r="R303"/>
    </row>
    <row r="304" spans="12:18" x14ac:dyDescent="0.25">
      <c r="L304"/>
      <c r="M304"/>
      <c r="N304"/>
      <c r="O304"/>
      <c r="P304"/>
      <c r="Q304"/>
      <c r="R304"/>
    </row>
    <row r="305" spans="12:18" x14ac:dyDescent="0.25">
      <c r="L305"/>
      <c r="M305"/>
      <c r="N305"/>
      <c r="O305"/>
      <c r="P305"/>
      <c r="Q305"/>
      <c r="R305"/>
    </row>
    <row r="306" spans="12:18" x14ac:dyDescent="0.25">
      <c r="L306"/>
      <c r="M306"/>
      <c r="N306"/>
      <c r="O306"/>
      <c r="P306"/>
      <c r="Q306"/>
      <c r="R306"/>
    </row>
    <row r="307" spans="12:18" x14ac:dyDescent="0.25">
      <c r="L307"/>
      <c r="M307"/>
      <c r="N307"/>
      <c r="O307"/>
      <c r="P307"/>
      <c r="Q307"/>
      <c r="R307"/>
    </row>
    <row r="308" spans="12:18" x14ac:dyDescent="0.25">
      <c r="L308"/>
      <c r="M308"/>
      <c r="N308"/>
      <c r="O308"/>
      <c r="P308"/>
      <c r="Q308"/>
      <c r="R308"/>
    </row>
    <row r="309" spans="12:18" x14ac:dyDescent="0.25">
      <c r="L309"/>
      <c r="M309"/>
      <c r="N309"/>
      <c r="O309"/>
      <c r="P309"/>
      <c r="Q309"/>
      <c r="R309"/>
    </row>
    <row r="310" spans="12:18" x14ac:dyDescent="0.25">
      <c r="L310"/>
      <c r="M310"/>
      <c r="N310"/>
      <c r="O310"/>
      <c r="P310"/>
      <c r="Q310"/>
      <c r="R310"/>
    </row>
    <row r="311" spans="12:18" x14ac:dyDescent="0.25">
      <c r="L311"/>
      <c r="M311"/>
      <c r="N311"/>
      <c r="O311"/>
      <c r="P311"/>
      <c r="Q311"/>
      <c r="R311"/>
    </row>
    <row r="312" spans="12:18" x14ac:dyDescent="0.25">
      <c r="L312"/>
      <c r="M312"/>
      <c r="N312"/>
      <c r="O312"/>
      <c r="P312"/>
      <c r="Q312"/>
      <c r="R312"/>
    </row>
    <row r="313" spans="12:18" x14ac:dyDescent="0.25">
      <c r="L313"/>
      <c r="M313"/>
      <c r="N313"/>
      <c r="O313"/>
      <c r="P313"/>
      <c r="Q313"/>
      <c r="R313"/>
    </row>
    <row r="314" spans="12:18" x14ac:dyDescent="0.25">
      <c r="L314"/>
      <c r="M314"/>
      <c r="N314"/>
      <c r="O314"/>
      <c r="P314"/>
      <c r="Q314"/>
      <c r="R314"/>
    </row>
    <row r="315" spans="12:18" x14ac:dyDescent="0.25">
      <c r="L315"/>
      <c r="M315"/>
      <c r="N315"/>
      <c r="O315"/>
      <c r="P315"/>
      <c r="Q315"/>
      <c r="R315"/>
    </row>
    <row r="316" spans="12:18" x14ac:dyDescent="0.25">
      <c r="L316"/>
      <c r="M316"/>
      <c r="N316"/>
      <c r="O316"/>
      <c r="P316"/>
      <c r="Q316"/>
      <c r="R316"/>
    </row>
    <row r="317" spans="12:18" x14ac:dyDescent="0.25">
      <c r="L317"/>
      <c r="M317"/>
      <c r="N317"/>
      <c r="O317"/>
      <c r="P317"/>
      <c r="Q317"/>
      <c r="R317"/>
    </row>
    <row r="318" spans="12:18" x14ac:dyDescent="0.25">
      <c r="L318"/>
      <c r="M318"/>
      <c r="N318"/>
      <c r="O318"/>
      <c r="P318"/>
      <c r="Q318"/>
      <c r="R318"/>
    </row>
    <row r="319" spans="12:18" x14ac:dyDescent="0.25">
      <c r="L319"/>
      <c r="M319"/>
      <c r="N319"/>
      <c r="O319"/>
      <c r="P319"/>
      <c r="Q319"/>
      <c r="R319"/>
    </row>
    <row r="320" spans="12:18" x14ac:dyDescent="0.25">
      <c r="L320"/>
      <c r="M320"/>
      <c r="N320"/>
      <c r="O320"/>
      <c r="P320"/>
      <c r="Q320"/>
      <c r="R320"/>
    </row>
    <row r="321" spans="12:18" x14ac:dyDescent="0.25">
      <c r="L321"/>
      <c r="M321"/>
      <c r="N321"/>
      <c r="O321"/>
      <c r="P321"/>
      <c r="Q321"/>
      <c r="R321"/>
    </row>
    <row r="322" spans="12:18" x14ac:dyDescent="0.25">
      <c r="L322"/>
      <c r="M322"/>
      <c r="N322"/>
      <c r="O322"/>
      <c r="P322"/>
      <c r="Q322"/>
      <c r="R322"/>
    </row>
    <row r="323" spans="12:18" x14ac:dyDescent="0.25">
      <c r="L323"/>
      <c r="M323"/>
      <c r="N323"/>
      <c r="O323"/>
      <c r="P323"/>
      <c r="Q323"/>
      <c r="R323"/>
    </row>
    <row r="324" spans="12:18" x14ac:dyDescent="0.25">
      <c r="L324"/>
      <c r="M324"/>
      <c r="N324"/>
      <c r="O324"/>
      <c r="P324"/>
      <c r="Q324"/>
      <c r="R324"/>
    </row>
    <row r="325" spans="12:18" x14ac:dyDescent="0.25">
      <c r="L325"/>
      <c r="M325"/>
      <c r="N325"/>
      <c r="O325"/>
      <c r="P325"/>
      <c r="Q325"/>
      <c r="R325"/>
    </row>
    <row r="326" spans="12:18" x14ac:dyDescent="0.25">
      <c r="L326"/>
      <c r="M326"/>
      <c r="N326"/>
      <c r="O326"/>
      <c r="P326"/>
      <c r="Q326"/>
      <c r="R326"/>
    </row>
    <row r="327" spans="12:18" x14ac:dyDescent="0.25">
      <c r="L327"/>
      <c r="M327"/>
      <c r="N327"/>
      <c r="O327"/>
      <c r="P327"/>
      <c r="Q327"/>
      <c r="R327"/>
    </row>
    <row r="328" spans="12:18" x14ac:dyDescent="0.25">
      <c r="L328"/>
      <c r="M328"/>
      <c r="N328"/>
      <c r="O328"/>
      <c r="P328"/>
      <c r="Q328"/>
      <c r="R328"/>
    </row>
    <row r="329" spans="12:18" x14ac:dyDescent="0.25">
      <c r="L329"/>
      <c r="M329"/>
      <c r="N329"/>
      <c r="O329"/>
      <c r="P329"/>
      <c r="Q329"/>
      <c r="R329"/>
    </row>
    <row r="330" spans="12:18" x14ac:dyDescent="0.25">
      <c r="L330"/>
      <c r="M330"/>
      <c r="N330"/>
      <c r="O330"/>
      <c r="P330"/>
      <c r="Q330"/>
      <c r="R330"/>
    </row>
    <row r="331" spans="12:18" x14ac:dyDescent="0.25">
      <c r="L331"/>
      <c r="M331"/>
      <c r="N331"/>
      <c r="O331"/>
      <c r="P331"/>
      <c r="Q331"/>
      <c r="R331"/>
    </row>
    <row r="332" spans="12:18" x14ac:dyDescent="0.25">
      <c r="L332"/>
      <c r="M332"/>
      <c r="N332"/>
      <c r="O332"/>
      <c r="P332"/>
      <c r="Q332"/>
      <c r="R332"/>
    </row>
    <row r="333" spans="12:18" x14ac:dyDescent="0.25">
      <c r="L333"/>
      <c r="M333"/>
      <c r="N333"/>
      <c r="O333"/>
      <c r="P333"/>
      <c r="Q333"/>
      <c r="R333"/>
    </row>
    <row r="334" spans="12:18" x14ac:dyDescent="0.25">
      <c r="L334"/>
      <c r="M334"/>
      <c r="N334"/>
      <c r="O334"/>
      <c r="P334"/>
      <c r="Q334"/>
      <c r="R334"/>
    </row>
    <row r="335" spans="12:18" x14ac:dyDescent="0.25">
      <c r="L335"/>
      <c r="M335"/>
      <c r="N335"/>
      <c r="O335"/>
      <c r="P335"/>
      <c r="Q335"/>
      <c r="R335"/>
    </row>
    <row r="336" spans="12:18" x14ac:dyDescent="0.25">
      <c r="L336"/>
      <c r="M336"/>
      <c r="N336"/>
      <c r="O336"/>
      <c r="P336"/>
      <c r="Q336"/>
      <c r="R336"/>
    </row>
    <row r="337" spans="12:18" x14ac:dyDescent="0.25">
      <c r="L337"/>
      <c r="M337"/>
      <c r="N337"/>
      <c r="O337"/>
      <c r="P337"/>
      <c r="Q337"/>
      <c r="R337"/>
    </row>
    <row r="338" spans="12:18" x14ac:dyDescent="0.25">
      <c r="L338"/>
      <c r="M338"/>
      <c r="N338"/>
      <c r="O338"/>
      <c r="P338"/>
      <c r="Q338"/>
      <c r="R338"/>
    </row>
    <row r="339" spans="12:18" x14ac:dyDescent="0.25">
      <c r="L339"/>
      <c r="M339"/>
      <c r="N339"/>
      <c r="O339"/>
      <c r="P339"/>
      <c r="Q339"/>
      <c r="R339"/>
    </row>
    <row r="340" spans="12:18" x14ac:dyDescent="0.25">
      <c r="L340"/>
      <c r="M340"/>
      <c r="N340"/>
      <c r="O340"/>
      <c r="P340"/>
      <c r="Q340"/>
      <c r="R340"/>
    </row>
    <row r="341" spans="12:18" x14ac:dyDescent="0.25">
      <c r="L341"/>
      <c r="M341"/>
      <c r="N341"/>
      <c r="O341"/>
      <c r="P341"/>
      <c r="Q341"/>
      <c r="R341"/>
    </row>
    <row r="342" spans="12:18" x14ac:dyDescent="0.25">
      <c r="L342"/>
      <c r="M342"/>
      <c r="N342"/>
      <c r="O342"/>
      <c r="P342"/>
      <c r="Q342"/>
      <c r="R342"/>
    </row>
    <row r="343" spans="12:18" x14ac:dyDescent="0.25">
      <c r="L343"/>
      <c r="M343"/>
      <c r="N343"/>
      <c r="O343"/>
      <c r="P343"/>
      <c r="Q343"/>
      <c r="R343"/>
    </row>
    <row r="344" spans="12:18" x14ac:dyDescent="0.25">
      <c r="L344"/>
      <c r="M344"/>
      <c r="N344"/>
      <c r="O344"/>
      <c r="P344"/>
      <c r="Q344"/>
      <c r="R344"/>
    </row>
    <row r="345" spans="12:18" x14ac:dyDescent="0.25">
      <c r="L345"/>
      <c r="M345"/>
      <c r="N345"/>
      <c r="O345"/>
      <c r="P345"/>
      <c r="Q345"/>
      <c r="R345"/>
    </row>
    <row r="346" spans="12:18" x14ac:dyDescent="0.25">
      <c r="L346"/>
      <c r="M346"/>
      <c r="N346"/>
      <c r="O346"/>
      <c r="P346"/>
      <c r="Q346"/>
      <c r="R346"/>
    </row>
    <row r="347" spans="12:18" x14ac:dyDescent="0.25">
      <c r="L347"/>
      <c r="M347"/>
      <c r="N347"/>
      <c r="O347"/>
      <c r="P347"/>
      <c r="Q347"/>
      <c r="R347"/>
    </row>
    <row r="348" spans="12:18" x14ac:dyDescent="0.25">
      <c r="L348"/>
      <c r="M348"/>
      <c r="N348"/>
      <c r="O348"/>
      <c r="P348"/>
      <c r="Q348"/>
      <c r="R348"/>
    </row>
    <row r="349" spans="12:18" x14ac:dyDescent="0.25">
      <c r="L349"/>
      <c r="M349"/>
      <c r="N349"/>
      <c r="O349"/>
      <c r="P349"/>
      <c r="Q349"/>
      <c r="R349"/>
    </row>
    <row r="350" spans="12:18" x14ac:dyDescent="0.25">
      <c r="L350"/>
      <c r="M350"/>
      <c r="N350"/>
      <c r="O350"/>
      <c r="P350"/>
      <c r="Q350"/>
      <c r="R350"/>
    </row>
    <row r="351" spans="12:18" x14ac:dyDescent="0.25">
      <c r="L351"/>
      <c r="M351"/>
      <c r="N351"/>
      <c r="O351"/>
      <c r="P351"/>
      <c r="Q351"/>
      <c r="R351"/>
    </row>
    <row r="352" spans="12:18" x14ac:dyDescent="0.25">
      <c r="L352"/>
      <c r="M352"/>
      <c r="N352"/>
      <c r="O352"/>
      <c r="P352"/>
      <c r="Q352"/>
      <c r="R352"/>
    </row>
    <row r="353" spans="12:18" x14ac:dyDescent="0.25">
      <c r="L353"/>
      <c r="M353"/>
      <c r="N353"/>
      <c r="O353"/>
      <c r="P353"/>
      <c r="Q353"/>
      <c r="R353"/>
    </row>
    <row r="354" spans="12:18" x14ac:dyDescent="0.25">
      <c r="L354"/>
      <c r="M354"/>
      <c r="N354"/>
      <c r="O354"/>
      <c r="P354"/>
      <c r="Q354"/>
      <c r="R354"/>
    </row>
    <row r="355" spans="12:18" x14ac:dyDescent="0.25">
      <c r="L355"/>
      <c r="M355"/>
      <c r="N355"/>
      <c r="O355"/>
      <c r="P355"/>
      <c r="Q355"/>
      <c r="R355"/>
    </row>
    <row r="356" spans="12:18" x14ac:dyDescent="0.25">
      <c r="L356"/>
      <c r="M356"/>
      <c r="N356"/>
      <c r="O356"/>
      <c r="P356"/>
      <c r="Q356"/>
      <c r="R356"/>
    </row>
    <row r="357" spans="12:18" x14ac:dyDescent="0.25">
      <c r="L357"/>
      <c r="M357"/>
      <c r="N357"/>
      <c r="O357"/>
      <c r="P357"/>
      <c r="Q357"/>
      <c r="R357"/>
    </row>
    <row r="358" spans="12:18" x14ac:dyDescent="0.25">
      <c r="L358"/>
      <c r="M358"/>
      <c r="N358"/>
      <c r="O358"/>
      <c r="P358"/>
      <c r="Q358"/>
      <c r="R358"/>
    </row>
    <row r="359" spans="12:18" x14ac:dyDescent="0.25">
      <c r="L359"/>
      <c r="M359"/>
      <c r="N359"/>
      <c r="O359"/>
      <c r="P359"/>
      <c r="Q359"/>
      <c r="R359"/>
    </row>
    <row r="360" spans="12:18" x14ac:dyDescent="0.25">
      <c r="L360"/>
      <c r="M360"/>
      <c r="N360"/>
      <c r="O360"/>
      <c r="P360"/>
      <c r="Q360"/>
      <c r="R360"/>
    </row>
    <row r="361" spans="12:18" x14ac:dyDescent="0.25">
      <c r="L361"/>
      <c r="M361"/>
      <c r="N361"/>
      <c r="O361"/>
      <c r="P361"/>
      <c r="Q361"/>
      <c r="R361"/>
    </row>
    <row r="362" spans="12:18" x14ac:dyDescent="0.25">
      <c r="L362"/>
      <c r="M362"/>
      <c r="N362"/>
      <c r="O362"/>
      <c r="P362"/>
      <c r="Q362"/>
      <c r="R362"/>
    </row>
    <row r="363" spans="12:18" x14ac:dyDescent="0.25">
      <c r="L363"/>
      <c r="M363"/>
      <c r="N363"/>
      <c r="O363"/>
      <c r="P363"/>
      <c r="Q363"/>
      <c r="R363"/>
    </row>
    <row r="364" spans="12:18" x14ac:dyDescent="0.25">
      <c r="L364"/>
      <c r="M364"/>
      <c r="N364"/>
      <c r="O364"/>
      <c r="P364"/>
      <c r="Q364"/>
      <c r="R364"/>
    </row>
    <row r="365" spans="12:18" x14ac:dyDescent="0.25">
      <c r="L365"/>
      <c r="M365"/>
      <c r="N365"/>
      <c r="O365"/>
      <c r="P365"/>
      <c r="Q365"/>
      <c r="R365"/>
    </row>
    <row r="366" spans="12:18" x14ac:dyDescent="0.25">
      <c r="L366"/>
      <c r="M366"/>
      <c r="N366"/>
      <c r="O366"/>
      <c r="P366"/>
      <c r="Q366"/>
      <c r="R366"/>
    </row>
    <row r="367" spans="12:18" x14ac:dyDescent="0.25">
      <c r="L367"/>
      <c r="M367"/>
      <c r="N367"/>
      <c r="O367"/>
      <c r="P367"/>
      <c r="Q367"/>
      <c r="R367"/>
    </row>
    <row r="368" spans="12:18" x14ac:dyDescent="0.25">
      <c r="L368"/>
      <c r="M368"/>
      <c r="N368"/>
      <c r="O368"/>
      <c r="P368"/>
      <c r="Q368"/>
      <c r="R368"/>
    </row>
    <row r="369" spans="12:18" x14ac:dyDescent="0.25">
      <c r="L369"/>
      <c r="M369"/>
      <c r="N369"/>
      <c r="O369"/>
      <c r="P369"/>
      <c r="Q369"/>
      <c r="R369"/>
    </row>
    <row r="370" spans="12:18" x14ac:dyDescent="0.25">
      <c r="L370"/>
      <c r="M370"/>
      <c r="N370"/>
      <c r="O370"/>
      <c r="P370"/>
      <c r="Q370"/>
      <c r="R370"/>
    </row>
    <row r="371" spans="12:18" x14ac:dyDescent="0.25">
      <c r="L371"/>
      <c r="M371"/>
      <c r="N371"/>
      <c r="O371"/>
      <c r="P371"/>
      <c r="Q371"/>
      <c r="R371"/>
    </row>
    <row r="372" spans="12:18" x14ac:dyDescent="0.25">
      <c r="L372"/>
      <c r="M372"/>
      <c r="N372"/>
      <c r="O372"/>
      <c r="P372"/>
      <c r="Q372"/>
      <c r="R372"/>
    </row>
    <row r="373" spans="12:18" x14ac:dyDescent="0.25">
      <c r="L373"/>
      <c r="M373"/>
      <c r="N373"/>
      <c r="O373"/>
      <c r="P373"/>
      <c r="Q373"/>
      <c r="R373"/>
    </row>
    <row r="374" spans="12:18" x14ac:dyDescent="0.25">
      <c r="L374"/>
      <c r="M374"/>
      <c r="N374"/>
      <c r="O374"/>
      <c r="P374"/>
      <c r="Q374"/>
      <c r="R374"/>
    </row>
    <row r="375" spans="12:18" x14ac:dyDescent="0.25">
      <c r="L375"/>
      <c r="M375"/>
      <c r="N375"/>
      <c r="O375"/>
      <c r="P375"/>
      <c r="Q375"/>
      <c r="R375"/>
    </row>
    <row r="376" spans="12:18" x14ac:dyDescent="0.25">
      <c r="L376"/>
      <c r="M376"/>
      <c r="N376"/>
      <c r="O376"/>
      <c r="P376"/>
      <c r="Q376"/>
      <c r="R376"/>
    </row>
    <row r="377" spans="12:18" x14ac:dyDescent="0.25">
      <c r="L377"/>
      <c r="M377"/>
      <c r="N377"/>
      <c r="O377"/>
      <c r="P377"/>
      <c r="Q377"/>
      <c r="R377"/>
    </row>
    <row r="378" spans="12:18" x14ac:dyDescent="0.25">
      <c r="L378"/>
      <c r="M378"/>
      <c r="N378"/>
      <c r="O378"/>
      <c r="P378"/>
      <c r="Q378"/>
      <c r="R378"/>
    </row>
    <row r="379" spans="12:18" x14ac:dyDescent="0.25">
      <c r="L379"/>
      <c r="M379"/>
      <c r="N379"/>
      <c r="O379"/>
      <c r="P379"/>
      <c r="Q379"/>
      <c r="R379"/>
    </row>
    <row r="380" spans="12:18" x14ac:dyDescent="0.25">
      <c r="L380"/>
      <c r="M380"/>
      <c r="N380"/>
      <c r="O380"/>
      <c r="P380"/>
      <c r="Q380"/>
      <c r="R380"/>
    </row>
    <row r="381" spans="12:18" x14ac:dyDescent="0.25">
      <c r="L381"/>
      <c r="M381"/>
      <c r="N381"/>
      <c r="O381"/>
      <c r="P381"/>
      <c r="Q381"/>
      <c r="R381"/>
    </row>
    <row r="382" spans="12:18" x14ac:dyDescent="0.25">
      <c r="L382"/>
      <c r="M382"/>
      <c r="N382"/>
      <c r="O382"/>
      <c r="P382"/>
      <c r="Q382"/>
      <c r="R382"/>
    </row>
    <row r="383" spans="12:18" x14ac:dyDescent="0.25">
      <c r="L383"/>
      <c r="M383"/>
      <c r="N383"/>
      <c r="O383"/>
      <c r="P383"/>
      <c r="Q383"/>
      <c r="R383"/>
    </row>
    <row r="384" spans="12:18" x14ac:dyDescent="0.25">
      <c r="L384"/>
      <c r="M384"/>
      <c r="N384"/>
      <c r="O384"/>
      <c r="P384"/>
      <c r="Q384"/>
      <c r="R384"/>
    </row>
    <row r="385" spans="12:18" x14ac:dyDescent="0.25">
      <c r="L385"/>
      <c r="M385"/>
      <c r="N385"/>
      <c r="O385"/>
      <c r="P385"/>
      <c r="Q385"/>
      <c r="R385"/>
    </row>
    <row r="386" spans="12:18" x14ac:dyDescent="0.25">
      <c r="L386"/>
      <c r="M386"/>
      <c r="N386"/>
      <c r="O386"/>
      <c r="P386"/>
      <c r="Q386"/>
      <c r="R386"/>
    </row>
    <row r="387" spans="12:18" x14ac:dyDescent="0.25">
      <c r="L387"/>
      <c r="M387"/>
      <c r="N387"/>
      <c r="O387"/>
      <c r="P387"/>
      <c r="Q387"/>
      <c r="R387"/>
    </row>
    <row r="388" spans="12:18" x14ac:dyDescent="0.25">
      <c r="L388"/>
      <c r="M388"/>
      <c r="N388"/>
      <c r="O388"/>
      <c r="P388"/>
      <c r="Q388"/>
      <c r="R388"/>
    </row>
    <row r="389" spans="12:18" x14ac:dyDescent="0.25">
      <c r="L389"/>
      <c r="M389"/>
      <c r="N389"/>
      <c r="O389"/>
      <c r="P389"/>
      <c r="Q389"/>
      <c r="R389"/>
    </row>
    <row r="390" spans="12:18" x14ac:dyDescent="0.25">
      <c r="L390"/>
      <c r="M390"/>
      <c r="N390"/>
      <c r="O390"/>
      <c r="P390"/>
      <c r="Q390"/>
      <c r="R390"/>
    </row>
    <row r="391" spans="12:18" x14ac:dyDescent="0.25">
      <c r="L391"/>
      <c r="M391"/>
      <c r="N391"/>
      <c r="O391"/>
      <c r="P391"/>
      <c r="Q391"/>
      <c r="R391"/>
    </row>
    <row r="392" spans="12:18" x14ac:dyDescent="0.25">
      <c r="L392"/>
      <c r="M392"/>
      <c r="N392"/>
      <c r="O392"/>
      <c r="P392"/>
      <c r="Q392"/>
      <c r="R392"/>
    </row>
    <row r="393" spans="12:18" x14ac:dyDescent="0.25">
      <c r="L393"/>
      <c r="M393"/>
      <c r="N393"/>
      <c r="O393"/>
      <c r="P393"/>
      <c r="Q393"/>
      <c r="R393"/>
    </row>
    <row r="394" spans="12:18" x14ac:dyDescent="0.25">
      <c r="L394"/>
      <c r="M394"/>
      <c r="N394"/>
      <c r="O394"/>
      <c r="P394"/>
      <c r="Q394"/>
      <c r="R394"/>
    </row>
    <row r="395" spans="12:18" x14ac:dyDescent="0.25">
      <c r="L395"/>
      <c r="M395"/>
      <c r="N395"/>
      <c r="O395"/>
      <c r="P395"/>
      <c r="Q395"/>
      <c r="R395"/>
    </row>
    <row r="396" spans="12:18" x14ac:dyDescent="0.25">
      <c r="L396"/>
      <c r="M396"/>
      <c r="N396"/>
      <c r="O396"/>
      <c r="P396"/>
      <c r="Q396"/>
      <c r="R396"/>
    </row>
    <row r="397" spans="12:18" x14ac:dyDescent="0.25">
      <c r="L397"/>
      <c r="M397"/>
      <c r="N397"/>
      <c r="O397"/>
      <c r="P397"/>
      <c r="Q397"/>
      <c r="R397"/>
    </row>
    <row r="398" spans="12:18" x14ac:dyDescent="0.25">
      <c r="L398"/>
      <c r="M398"/>
      <c r="N398"/>
      <c r="O398"/>
      <c r="P398"/>
      <c r="Q398"/>
      <c r="R398"/>
    </row>
    <row r="399" spans="12:18" x14ac:dyDescent="0.25">
      <c r="L399"/>
      <c r="M399"/>
      <c r="N399"/>
      <c r="O399"/>
      <c r="P399"/>
      <c r="Q399"/>
      <c r="R399"/>
    </row>
    <row r="400" spans="12:18" x14ac:dyDescent="0.25">
      <c r="L400"/>
      <c r="M400"/>
      <c r="N400"/>
      <c r="O400"/>
      <c r="P400"/>
      <c r="Q400"/>
      <c r="R400"/>
    </row>
    <row r="401" spans="12:18" x14ac:dyDescent="0.25">
      <c r="L401"/>
      <c r="M401"/>
      <c r="N401"/>
      <c r="O401"/>
      <c r="P401"/>
      <c r="Q401"/>
      <c r="R401"/>
    </row>
    <row r="402" spans="12:18" x14ac:dyDescent="0.25">
      <c r="L402"/>
      <c r="M402"/>
      <c r="N402"/>
      <c r="O402"/>
      <c r="P402"/>
      <c r="Q402"/>
      <c r="R402"/>
    </row>
    <row r="403" spans="12:18" x14ac:dyDescent="0.25">
      <c r="L403"/>
      <c r="M403"/>
      <c r="N403"/>
      <c r="O403"/>
      <c r="P403"/>
      <c r="Q403"/>
      <c r="R403"/>
    </row>
    <row r="404" spans="12:18" x14ac:dyDescent="0.25">
      <c r="L404"/>
      <c r="M404"/>
      <c r="N404"/>
      <c r="O404"/>
      <c r="P404"/>
      <c r="Q404"/>
      <c r="R404"/>
    </row>
    <row r="405" spans="12:18" x14ac:dyDescent="0.25">
      <c r="L405"/>
      <c r="M405"/>
      <c r="N405"/>
      <c r="O405"/>
      <c r="P405"/>
      <c r="Q405"/>
      <c r="R405"/>
    </row>
    <row r="406" spans="12:18" x14ac:dyDescent="0.25">
      <c r="L406"/>
      <c r="M406"/>
      <c r="N406"/>
      <c r="O406"/>
      <c r="P406"/>
      <c r="Q406"/>
      <c r="R406"/>
    </row>
    <row r="407" spans="12:18" x14ac:dyDescent="0.25">
      <c r="L407"/>
      <c r="M407"/>
      <c r="N407"/>
      <c r="O407"/>
      <c r="P407"/>
      <c r="Q407"/>
      <c r="R407"/>
    </row>
    <row r="408" spans="12:18" x14ac:dyDescent="0.25">
      <c r="L408"/>
      <c r="M408"/>
      <c r="N408"/>
      <c r="O408"/>
      <c r="P408"/>
      <c r="Q408"/>
      <c r="R408"/>
    </row>
    <row r="409" spans="12:18" x14ac:dyDescent="0.25">
      <c r="L409"/>
      <c r="M409"/>
      <c r="N409"/>
      <c r="O409"/>
      <c r="P409"/>
      <c r="Q409"/>
      <c r="R409"/>
    </row>
    <row r="410" spans="12:18" x14ac:dyDescent="0.25">
      <c r="L410"/>
      <c r="M410"/>
      <c r="N410"/>
      <c r="O410"/>
      <c r="P410"/>
      <c r="Q410"/>
      <c r="R410"/>
    </row>
    <row r="411" spans="12:18" x14ac:dyDescent="0.25">
      <c r="L411"/>
      <c r="M411"/>
      <c r="N411"/>
      <c r="O411"/>
      <c r="P411"/>
      <c r="Q411"/>
      <c r="R411"/>
    </row>
    <row r="412" spans="12:18" x14ac:dyDescent="0.25">
      <c r="L412"/>
      <c r="M412"/>
      <c r="N412"/>
      <c r="O412"/>
      <c r="P412"/>
      <c r="Q412"/>
      <c r="R412"/>
    </row>
    <row r="413" spans="12:18" x14ac:dyDescent="0.25">
      <c r="L413"/>
      <c r="M413"/>
      <c r="N413"/>
      <c r="O413"/>
      <c r="P413"/>
      <c r="Q413"/>
      <c r="R413"/>
    </row>
    <row r="414" spans="12:18" x14ac:dyDescent="0.25">
      <c r="L414"/>
      <c r="M414"/>
      <c r="N414"/>
      <c r="O414"/>
      <c r="P414"/>
      <c r="Q414"/>
      <c r="R414"/>
    </row>
    <row r="415" spans="12:18" x14ac:dyDescent="0.25">
      <c r="L415"/>
      <c r="M415"/>
      <c r="N415"/>
      <c r="O415"/>
      <c r="P415"/>
      <c r="Q415"/>
      <c r="R415"/>
    </row>
    <row r="416" spans="12:18" x14ac:dyDescent="0.25">
      <c r="L416"/>
      <c r="M416"/>
      <c r="N416"/>
      <c r="O416"/>
      <c r="P416"/>
      <c r="Q416"/>
      <c r="R416"/>
    </row>
    <row r="417" spans="12:18" x14ac:dyDescent="0.25">
      <c r="L417"/>
      <c r="M417"/>
      <c r="N417"/>
      <c r="O417"/>
      <c r="P417"/>
      <c r="Q417"/>
      <c r="R417"/>
    </row>
    <row r="418" spans="12:18" x14ac:dyDescent="0.25">
      <c r="L418"/>
      <c r="M418"/>
      <c r="N418"/>
      <c r="O418"/>
      <c r="P418"/>
      <c r="Q418"/>
      <c r="R418"/>
    </row>
    <row r="419" spans="12:18" x14ac:dyDescent="0.25">
      <c r="L419"/>
      <c r="M419"/>
      <c r="N419"/>
      <c r="O419"/>
      <c r="P419"/>
      <c r="Q419"/>
      <c r="R419"/>
    </row>
    <row r="420" spans="12:18" x14ac:dyDescent="0.25">
      <c r="L420"/>
      <c r="M420"/>
      <c r="N420"/>
      <c r="O420"/>
      <c r="P420"/>
      <c r="Q420"/>
      <c r="R420"/>
    </row>
    <row r="421" spans="12:18" x14ac:dyDescent="0.25">
      <c r="L421"/>
      <c r="M421"/>
      <c r="N421"/>
      <c r="O421"/>
      <c r="P421"/>
      <c r="Q421"/>
      <c r="R421"/>
    </row>
    <row r="422" spans="12:18" x14ac:dyDescent="0.25">
      <c r="L422"/>
      <c r="M422"/>
      <c r="N422"/>
      <c r="O422"/>
      <c r="P422"/>
      <c r="Q422"/>
      <c r="R422"/>
    </row>
    <row r="423" spans="12:18" x14ac:dyDescent="0.25">
      <c r="L423"/>
      <c r="M423"/>
      <c r="N423"/>
      <c r="O423"/>
      <c r="P423"/>
      <c r="Q423"/>
      <c r="R423"/>
    </row>
    <row r="424" spans="12:18" x14ac:dyDescent="0.25">
      <c r="L424"/>
      <c r="M424"/>
      <c r="N424"/>
      <c r="O424"/>
      <c r="P424"/>
      <c r="Q424"/>
      <c r="R424"/>
    </row>
    <row r="425" spans="12:18" x14ac:dyDescent="0.25">
      <c r="L425"/>
      <c r="M425"/>
      <c r="N425"/>
      <c r="O425"/>
      <c r="P425"/>
      <c r="Q425"/>
      <c r="R425"/>
    </row>
    <row r="426" spans="12:18" x14ac:dyDescent="0.25">
      <c r="L426"/>
      <c r="M426"/>
      <c r="N426"/>
      <c r="O426"/>
      <c r="P426"/>
      <c r="Q426"/>
      <c r="R426"/>
    </row>
    <row r="427" spans="12:18" x14ac:dyDescent="0.25">
      <c r="L427"/>
      <c r="M427"/>
      <c r="N427"/>
      <c r="O427"/>
      <c r="P427"/>
      <c r="Q427"/>
      <c r="R427"/>
    </row>
    <row r="428" spans="12:18" x14ac:dyDescent="0.25">
      <c r="L428"/>
      <c r="M428"/>
      <c r="N428"/>
      <c r="O428"/>
      <c r="P428"/>
      <c r="Q428"/>
      <c r="R428"/>
    </row>
    <row r="429" spans="12:18" x14ac:dyDescent="0.25">
      <c r="L429"/>
      <c r="M429"/>
      <c r="N429"/>
      <c r="O429"/>
      <c r="P429"/>
      <c r="Q429"/>
      <c r="R429"/>
    </row>
    <row r="430" spans="12:18" x14ac:dyDescent="0.25">
      <c r="L430"/>
      <c r="M430"/>
      <c r="N430"/>
      <c r="O430"/>
      <c r="P430"/>
      <c r="Q430"/>
      <c r="R430"/>
    </row>
    <row r="431" spans="12:18" x14ac:dyDescent="0.25">
      <c r="L431"/>
      <c r="M431"/>
      <c r="N431"/>
      <c r="O431"/>
      <c r="P431"/>
      <c r="Q431"/>
      <c r="R431"/>
    </row>
    <row r="432" spans="12:18" x14ac:dyDescent="0.25">
      <c r="L432"/>
      <c r="M432"/>
      <c r="N432"/>
      <c r="O432"/>
      <c r="P432"/>
      <c r="Q432"/>
      <c r="R432"/>
    </row>
    <row r="433" spans="12:18" x14ac:dyDescent="0.25">
      <c r="L433"/>
      <c r="M433"/>
      <c r="N433"/>
      <c r="O433"/>
      <c r="P433"/>
      <c r="Q433"/>
      <c r="R433"/>
    </row>
    <row r="434" spans="12:18" x14ac:dyDescent="0.25">
      <c r="L434"/>
      <c r="M434"/>
      <c r="N434"/>
      <c r="O434"/>
      <c r="P434"/>
      <c r="Q434"/>
      <c r="R434"/>
    </row>
    <row r="435" spans="12:18" x14ac:dyDescent="0.25">
      <c r="L435"/>
      <c r="M435"/>
      <c r="N435"/>
      <c r="O435"/>
      <c r="P435"/>
      <c r="Q435"/>
      <c r="R435"/>
    </row>
    <row r="436" spans="12:18" x14ac:dyDescent="0.25">
      <c r="L436"/>
      <c r="M436"/>
      <c r="N436"/>
      <c r="O436"/>
      <c r="P436"/>
      <c r="Q436"/>
      <c r="R436"/>
    </row>
    <row r="437" spans="12:18" x14ac:dyDescent="0.25">
      <c r="L437"/>
      <c r="M437"/>
      <c r="N437"/>
      <c r="O437"/>
      <c r="P437"/>
      <c r="Q437"/>
      <c r="R437"/>
    </row>
    <row r="438" spans="12:18" x14ac:dyDescent="0.25">
      <c r="L438"/>
      <c r="M438"/>
      <c r="N438"/>
      <c r="O438"/>
      <c r="P438"/>
      <c r="Q438"/>
      <c r="R438"/>
    </row>
    <row r="439" spans="12:18" x14ac:dyDescent="0.25">
      <c r="L439"/>
      <c r="M439"/>
      <c r="N439"/>
      <c r="O439"/>
      <c r="P439"/>
      <c r="Q439"/>
      <c r="R439"/>
    </row>
    <row r="440" spans="12:18" x14ac:dyDescent="0.25">
      <c r="L440"/>
      <c r="M440"/>
      <c r="N440"/>
      <c r="O440"/>
      <c r="P440"/>
      <c r="Q440"/>
      <c r="R440"/>
    </row>
    <row r="441" spans="12:18" x14ac:dyDescent="0.25">
      <c r="L441"/>
      <c r="M441"/>
      <c r="N441"/>
      <c r="O441"/>
      <c r="P441"/>
      <c r="Q441"/>
      <c r="R441"/>
    </row>
    <row r="442" spans="12:18" x14ac:dyDescent="0.25">
      <c r="L442"/>
      <c r="M442"/>
      <c r="N442"/>
      <c r="O442"/>
      <c r="P442"/>
      <c r="Q442"/>
      <c r="R442"/>
    </row>
    <row r="443" spans="12:18" x14ac:dyDescent="0.25">
      <c r="L443"/>
      <c r="M443"/>
      <c r="N443"/>
      <c r="O443"/>
      <c r="P443"/>
      <c r="Q443"/>
      <c r="R443"/>
    </row>
    <row r="444" spans="12:18" x14ac:dyDescent="0.25">
      <c r="L444"/>
      <c r="M444"/>
      <c r="N444"/>
      <c r="O444"/>
      <c r="P444"/>
      <c r="Q444"/>
      <c r="R444"/>
    </row>
    <row r="445" spans="12:18" x14ac:dyDescent="0.25">
      <c r="L445"/>
      <c r="M445"/>
      <c r="N445"/>
      <c r="O445"/>
      <c r="P445"/>
      <c r="Q445"/>
      <c r="R445"/>
    </row>
    <row r="446" spans="12:18" x14ac:dyDescent="0.25">
      <c r="L446"/>
      <c r="M446"/>
      <c r="N446"/>
      <c r="O446"/>
      <c r="P446"/>
      <c r="Q446"/>
      <c r="R446"/>
    </row>
    <row r="447" spans="12:18" x14ac:dyDescent="0.25">
      <c r="L447"/>
      <c r="M447"/>
      <c r="N447"/>
      <c r="O447"/>
      <c r="P447"/>
      <c r="Q447"/>
      <c r="R447"/>
    </row>
    <row r="448" spans="12:18" x14ac:dyDescent="0.25">
      <c r="L448"/>
      <c r="M448"/>
      <c r="N448"/>
      <c r="O448"/>
      <c r="P448"/>
      <c r="Q448"/>
      <c r="R448"/>
    </row>
    <row r="449" spans="12:18" x14ac:dyDescent="0.25">
      <c r="L449"/>
      <c r="M449"/>
      <c r="N449"/>
      <c r="O449"/>
      <c r="P449"/>
      <c r="Q449"/>
      <c r="R449"/>
    </row>
    <row r="450" spans="12:18" x14ac:dyDescent="0.25">
      <c r="L450"/>
      <c r="M450"/>
      <c r="N450"/>
      <c r="O450"/>
      <c r="P450"/>
      <c r="Q450"/>
      <c r="R450"/>
    </row>
    <row r="451" spans="12:18" x14ac:dyDescent="0.25">
      <c r="L451"/>
      <c r="M451"/>
      <c r="N451"/>
      <c r="O451"/>
      <c r="P451"/>
      <c r="Q451"/>
      <c r="R451"/>
    </row>
    <row r="452" spans="12:18" x14ac:dyDescent="0.25">
      <c r="L452"/>
      <c r="M452"/>
      <c r="N452"/>
      <c r="O452"/>
      <c r="P452"/>
      <c r="Q452"/>
      <c r="R452"/>
    </row>
    <row r="453" spans="12:18" x14ac:dyDescent="0.25">
      <c r="L453"/>
      <c r="M453"/>
      <c r="N453"/>
      <c r="O453"/>
      <c r="P453"/>
      <c r="Q453"/>
      <c r="R453"/>
    </row>
    <row r="454" spans="12:18" x14ac:dyDescent="0.25">
      <c r="L454"/>
      <c r="M454"/>
      <c r="N454"/>
      <c r="O454"/>
      <c r="P454"/>
      <c r="Q454"/>
      <c r="R454"/>
    </row>
    <row r="455" spans="12:18" x14ac:dyDescent="0.25">
      <c r="L455"/>
      <c r="M455"/>
      <c r="N455"/>
      <c r="O455"/>
      <c r="P455"/>
      <c r="Q455"/>
      <c r="R455"/>
    </row>
    <row r="456" spans="12:18" x14ac:dyDescent="0.25">
      <c r="L456"/>
      <c r="M456"/>
      <c r="N456"/>
      <c r="O456"/>
      <c r="P456"/>
      <c r="Q456"/>
      <c r="R456"/>
    </row>
    <row r="457" spans="12:18" x14ac:dyDescent="0.25">
      <c r="L457"/>
      <c r="M457"/>
      <c r="N457"/>
      <c r="O457"/>
      <c r="P457"/>
      <c r="Q457"/>
      <c r="R457"/>
    </row>
    <row r="458" spans="12:18" x14ac:dyDescent="0.25">
      <c r="L458"/>
      <c r="M458"/>
      <c r="N458"/>
      <c r="O458"/>
      <c r="P458"/>
      <c r="Q458"/>
      <c r="R458"/>
    </row>
    <row r="459" spans="12:18" x14ac:dyDescent="0.25">
      <c r="L459"/>
      <c r="M459"/>
      <c r="N459"/>
      <c r="O459"/>
      <c r="P459"/>
      <c r="Q459"/>
      <c r="R459"/>
    </row>
    <row r="460" spans="12:18" x14ac:dyDescent="0.25">
      <c r="L460"/>
      <c r="M460"/>
      <c r="N460"/>
      <c r="O460"/>
      <c r="P460"/>
      <c r="Q460"/>
      <c r="R460"/>
    </row>
    <row r="461" spans="12:18" x14ac:dyDescent="0.25">
      <c r="L461"/>
      <c r="M461"/>
      <c r="N461"/>
      <c r="O461"/>
      <c r="P461"/>
      <c r="Q461"/>
      <c r="R461"/>
    </row>
    <row r="462" spans="12:18" x14ac:dyDescent="0.25">
      <c r="L462"/>
      <c r="M462"/>
      <c r="N462"/>
      <c r="O462"/>
      <c r="P462"/>
      <c r="Q462"/>
      <c r="R462"/>
    </row>
    <row r="463" spans="12:18" x14ac:dyDescent="0.25">
      <c r="L463"/>
      <c r="M463"/>
      <c r="N463"/>
      <c r="O463"/>
      <c r="P463"/>
      <c r="Q463"/>
      <c r="R463"/>
    </row>
    <row r="464" spans="12:18" x14ac:dyDescent="0.25">
      <c r="L464"/>
      <c r="M464"/>
      <c r="N464"/>
      <c r="O464"/>
      <c r="P464"/>
      <c r="Q464"/>
      <c r="R464"/>
    </row>
    <row r="465" spans="12:18" x14ac:dyDescent="0.25">
      <c r="L465"/>
      <c r="M465"/>
      <c r="N465"/>
      <c r="O465"/>
      <c r="P465"/>
      <c r="Q465"/>
      <c r="R465"/>
    </row>
    <row r="466" spans="12:18" x14ac:dyDescent="0.25">
      <c r="L466"/>
      <c r="M466"/>
      <c r="N466"/>
      <c r="O466"/>
      <c r="P466"/>
      <c r="Q466"/>
      <c r="R466"/>
    </row>
    <row r="467" spans="12:18" x14ac:dyDescent="0.25">
      <c r="L467"/>
      <c r="M467"/>
      <c r="N467"/>
      <c r="O467"/>
      <c r="P467"/>
      <c r="Q467"/>
      <c r="R467"/>
    </row>
    <row r="468" spans="12:18" x14ac:dyDescent="0.25">
      <c r="L468"/>
      <c r="M468"/>
      <c r="N468"/>
      <c r="O468"/>
      <c r="P468"/>
      <c r="Q468"/>
      <c r="R468"/>
    </row>
    <row r="469" spans="12:18" x14ac:dyDescent="0.25">
      <c r="L469"/>
      <c r="M469"/>
      <c r="N469"/>
      <c r="O469"/>
      <c r="P469"/>
      <c r="Q469"/>
      <c r="R469"/>
    </row>
    <row r="470" spans="12:18" x14ac:dyDescent="0.25">
      <c r="L470"/>
      <c r="M470"/>
      <c r="N470"/>
      <c r="O470"/>
      <c r="P470"/>
      <c r="Q470"/>
      <c r="R470"/>
    </row>
    <row r="471" spans="12:18" x14ac:dyDescent="0.25">
      <c r="L471"/>
      <c r="M471"/>
      <c r="N471"/>
      <c r="O471"/>
      <c r="P471"/>
      <c r="Q471"/>
      <c r="R471"/>
    </row>
    <row r="472" spans="12:18" x14ac:dyDescent="0.25">
      <c r="L472"/>
      <c r="M472"/>
      <c r="N472"/>
      <c r="O472"/>
      <c r="P472"/>
      <c r="Q472"/>
      <c r="R472"/>
    </row>
    <row r="473" spans="12:18" x14ac:dyDescent="0.25">
      <c r="L473"/>
      <c r="M473"/>
      <c r="N473"/>
      <c r="O473"/>
      <c r="P473"/>
      <c r="Q473"/>
      <c r="R473"/>
    </row>
    <row r="474" spans="12:18" x14ac:dyDescent="0.25">
      <c r="L474"/>
      <c r="M474"/>
      <c r="N474"/>
      <c r="O474"/>
      <c r="P474"/>
      <c r="Q474"/>
      <c r="R474"/>
    </row>
    <row r="475" spans="12:18" x14ac:dyDescent="0.25">
      <c r="L475"/>
      <c r="M475"/>
      <c r="N475"/>
      <c r="O475"/>
      <c r="P475"/>
      <c r="Q475"/>
      <c r="R475"/>
    </row>
    <row r="476" spans="12:18" x14ac:dyDescent="0.25">
      <c r="L476"/>
      <c r="M476"/>
      <c r="N476"/>
      <c r="O476"/>
      <c r="P476"/>
      <c r="Q476"/>
      <c r="R476"/>
    </row>
    <row r="477" spans="12:18" x14ac:dyDescent="0.25">
      <c r="L477"/>
      <c r="M477"/>
      <c r="N477"/>
      <c r="O477"/>
      <c r="P477"/>
      <c r="Q477"/>
      <c r="R477"/>
    </row>
    <row r="478" spans="12:18" x14ac:dyDescent="0.25">
      <c r="L478"/>
      <c r="M478"/>
      <c r="N478"/>
      <c r="O478"/>
      <c r="P478"/>
      <c r="Q478"/>
      <c r="R478"/>
    </row>
    <row r="479" spans="12:18" x14ac:dyDescent="0.25">
      <c r="L479"/>
      <c r="M479"/>
      <c r="N479"/>
      <c r="O479"/>
      <c r="P479"/>
      <c r="Q479"/>
      <c r="R479"/>
    </row>
    <row r="480" spans="12:18" x14ac:dyDescent="0.25">
      <c r="L480"/>
      <c r="M480"/>
      <c r="N480"/>
      <c r="O480"/>
      <c r="P480"/>
      <c r="Q480"/>
      <c r="R480"/>
    </row>
    <row r="481" spans="12:18" x14ac:dyDescent="0.25">
      <c r="L481"/>
      <c r="M481"/>
      <c r="N481"/>
      <c r="O481"/>
      <c r="P481"/>
      <c r="Q481"/>
      <c r="R481"/>
    </row>
    <row r="482" spans="12:18" x14ac:dyDescent="0.25">
      <c r="L482"/>
      <c r="M482"/>
      <c r="N482"/>
      <c r="O482"/>
      <c r="P482"/>
      <c r="Q482"/>
      <c r="R482"/>
    </row>
    <row r="483" spans="12:18" x14ac:dyDescent="0.25">
      <c r="L483"/>
      <c r="M483"/>
      <c r="N483"/>
      <c r="O483"/>
      <c r="P483"/>
      <c r="Q483"/>
      <c r="R483"/>
    </row>
    <row r="484" spans="12:18" x14ac:dyDescent="0.25">
      <c r="L484"/>
      <c r="M484"/>
      <c r="N484"/>
      <c r="O484"/>
      <c r="P484"/>
      <c r="Q484"/>
      <c r="R484"/>
    </row>
    <row r="485" spans="12:18" x14ac:dyDescent="0.25">
      <c r="L485"/>
      <c r="M485"/>
      <c r="N485"/>
      <c r="O485"/>
      <c r="P485"/>
      <c r="Q485"/>
      <c r="R485"/>
    </row>
    <row r="486" spans="12:18" x14ac:dyDescent="0.25">
      <c r="L486"/>
      <c r="M486"/>
      <c r="N486"/>
      <c r="O486"/>
      <c r="P486"/>
      <c r="Q486"/>
      <c r="R486"/>
    </row>
    <row r="487" spans="12:18" x14ac:dyDescent="0.25">
      <c r="L487"/>
      <c r="M487"/>
      <c r="N487"/>
      <c r="O487"/>
      <c r="P487"/>
      <c r="Q487"/>
      <c r="R487"/>
    </row>
    <row r="488" spans="12:18" x14ac:dyDescent="0.25">
      <c r="L488"/>
      <c r="M488"/>
      <c r="N488"/>
      <c r="O488"/>
      <c r="P488"/>
      <c r="Q488"/>
      <c r="R488"/>
    </row>
    <row r="489" spans="12:18" x14ac:dyDescent="0.25">
      <c r="L489"/>
      <c r="M489"/>
      <c r="N489"/>
      <c r="O489"/>
      <c r="P489"/>
      <c r="Q489"/>
      <c r="R489"/>
    </row>
    <row r="490" spans="12:18" x14ac:dyDescent="0.25">
      <c r="L490"/>
      <c r="M490"/>
      <c r="N490"/>
      <c r="O490"/>
      <c r="P490"/>
      <c r="Q490"/>
      <c r="R490"/>
    </row>
    <row r="491" spans="12:18" x14ac:dyDescent="0.25">
      <c r="L491"/>
      <c r="M491"/>
      <c r="N491"/>
      <c r="O491"/>
      <c r="P491"/>
      <c r="Q491"/>
      <c r="R491"/>
    </row>
    <row r="492" spans="12:18" x14ac:dyDescent="0.25">
      <c r="L492"/>
      <c r="M492"/>
      <c r="N492"/>
      <c r="O492"/>
      <c r="P492"/>
      <c r="Q492"/>
      <c r="R492"/>
    </row>
    <row r="493" spans="12:18" x14ac:dyDescent="0.25">
      <c r="L493"/>
      <c r="M493"/>
      <c r="N493"/>
      <c r="O493"/>
      <c r="P493"/>
      <c r="Q493"/>
      <c r="R493"/>
    </row>
    <row r="494" spans="12:18" x14ac:dyDescent="0.25">
      <c r="L494"/>
      <c r="M494"/>
      <c r="N494"/>
      <c r="O494"/>
      <c r="P494"/>
      <c r="Q494"/>
      <c r="R494"/>
    </row>
    <row r="495" spans="12:18" x14ac:dyDescent="0.25">
      <c r="L495"/>
      <c r="M495"/>
      <c r="N495"/>
      <c r="O495"/>
      <c r="P495"/>
      <c r="Q495"/>
      <c r="R495"/>
    </row>
    <row r="496" spans="12:18" x14ac:dyDescent="0.25">
      <c r="L496"/>
      <c r="M496"/>
      <c r="N496"/>
      <c r="O496"/>
      <c r="P496"/>
      <c r="Q496"/>
      <c r="R496"/>
    </row>
    <row r="497" spans="12:18" x14ac:dyDescent="0.25">
      <c r="L497"/>
      <c r="M497"/>
      <c r="N497"/>
      <c r="O497"/>
      <c r="P497"/>
      <c r="Q497"/>
      <c r="R497"/>
    </row>
    <row r="498" spans="12:18" x14ac:dyDescent="0.25">
      <c r="L498"/>
      <c r="M498"/>
      <c r="N498"/>
      <c r="O498"/>
      <c r="P498"/>
      <c r="Q498"/>
      <c r="R498"/>
    </row>
    <row r="499" spans="12:18" x14ac:dyDescent="0.25">
      <c r="L499"/>
      <c r="M499"/>
      <c r="N499"/>
      <c r="O499"/>
      <c r="P499"/>
      <c r="Q499"/>
      <c r="R499"/>
    </row>
    <row r="500" spans="12:18" x14ac:dyDescent="0.25">
      <c r="L500"/>
      <c r="M500"/>
      <c r="N500"/>
      <c r="O500"/>
      <c r="P500"/>
      <c r="Q500"/>
      <c r="R500"/>
    </row>
    <row r="501" spans="12:18" x14ac:dyDescent="0.25">
      <c r="L501"/>
      <c r="M501"/>
      <c r="N501"/>
      <c r="O501"/>
      <c r="P501"/>
      <c r="Q501"/>
      <c r="R501"/>
    </row>
    <row r="502" spans="12:18" x14ac:dyDescent="0.25">
      <c r="L502"/>
      <c r="M502"/>
      <c r="N502"/>
      <c r="O502"/>
      <c r="P502"/>
      <c r="Q502"/>
      <c r="R502"/>
    </row>
    <row r="503" spans="12:18" x14ac:dyDescent="0.25">
      <c r="L503"/>
      <c r="M503"/>
      <c r="N503"/>
      <c r="O503"/>
      <c r="P503"/>
      <c r="Q503"/>
      <c r="R503"/>
    </row>
    <row r="504" spans="12:18" x14ac:dyDescent="0.25">
      <c r="L504"/>
      <c r="M504"/>
      <c r="N504"/>
      <c r="O504"/>
      <c r="P504"/>
      <c r="Q504"/>
      <c r="R504"/>
    </row>
    <row r="505" spans="12:18" x14ac:dyDescent="0.25">
      <c r="L505"/>
      <c r="M505"/>
      <c r="N505"/>
      <c r="O505"/>
      <c r="P505"/>
      <c r="Q505"/>
      <c r="R505"/>
    </row>
    <row r="506" spans="12:18" x14ac:dyDescent="0.25">
      <c r="L506"/>
      <c r="M506"/>
      <c r="N506"/>
      <c r="O506"/>
      <c r="P506"/>
      <c r="Q506"/>
      <c r="R506"/>
    </row>
    <row r="507" spans="12:18" x14ac:dyDescent="0.25">
      <c r="L507"/>
      <c r="M507"/>
      <c r="N507"/>
      <c r="O507"/>
      <c r="P507"/>
      <c r="Q507"/>
      <c r="R507"/>
    </row>
    <row r="508" spans="12:18" x14ac:dyDescent="0.25">
      <c r="L508"/>
      <c r="M508"/>
      <c r="N508"/>
      <c r="O508"/>
      <c r="P508"/>
      <c r="Q508"/>
      <c r="R508"/>
    </row>
    <row r="509" spans="12:18" x14ac:dyDescent="0.25">
      <c r="L509"/>
      <c r="M509"/>
      <c r="N509"/>
      <c r="O509"/>
      <c r="P509"/>
      <c r="Q509"/>
      <c r="R509"/>
    </row>
    <row r="510" spans="12:18" x14ac:dyDescent="0.25">
      <c r="L510"/>
      <c r="M510"/>
      <c r="N510"/>
      <c r="O510"/>
      <c r="P510"/>
      <c r="Q510"/>
      <c r="R510"/>
    </row>
    <row r="511" spans="12:18" x14ac:dyDescent="0.25">
      <c r="L511"/>
      <c r="M511"/>
      <c r="N511"/>
      <c r="O511"/>
      <c r="P511"/>
      <c r="Q511"/>
      <c r="R511"/>
    </row>
    <row r="512" spans="12:18" x14ac:dyDescent="0.25">
      <c r="L512"/>
      <c r="M512"/>
      <c r="N512"/>
      <c r="O512"/>
      <c r="P512"/>
      <c r="Q512"/>
      <c r="R512"/>
    </row>
    <row r="513" spans="12:18" x14ac:dyDescent="0.25">
      <c r="L513"/>
      <c r="M513"/>
      <c r="N513"/>
      <c r="O513"/>
      <c r="P513"/>
      <c r="Q513"/>
      <c r="R513"/>
    </row>
    <row r="514" spans="12:18" x14ac:dyDescent="0.25">
      <c r="L514"/>
      <c r="M514"/>
      <c r="N514"/>
      <c r="O514"/>
      <c r="P514"/>
      <c r="Q514"/>
      <c r="R514"/>
    </row>
    <row r="515" spans="12:18" x14ac:dyDescent="0.25">
      <c r="L515"/>
      <c r="M515"/>
      <c r="N515"/>
      <c r="O515"/>
      <c r="P515"/>
      <c r="Q515"/>
      <c r="R515"/>
    </row>
    <row r="516" spans="12:18" x14ac:dyDescent="0.25">
      <c r="L516"/>
      <c r="M516"/>
      <c r="N516"/>
      <c r="O516"/>
      <c r="P516"/>
      <c r="Q516"/>
      <c r="R516"/>
    </row>
    <row r="517" spans="12:18" x14ac:dyDescent="0.25">
      <c r="L517"/>
      <c r="M517"/>
      <c r="N517"/>
      <c r="O517"/>
      <c r="P517"/>
      <c r="Q517"/>
      <c r="R517"/>
    </row>
    <row r="518" spans="12:18" x14ac:dyDescent="0.25">
      <c r="L518"/>
      <c r="M518"/>
      <c r="N518"/>
      <c r="O518"/>
      <c r="P518"/>
      <c r="Q518"/>
      <c r="R518"/>
    </row>
    <row r="519" spans="12:18" x14ac:dyDescent="0.25">
      <c r="L519"/>
      <c r="M519"/>
      <c r="N519"/>
      <c r="O519"/>
      <c r="P519"/>
      <c r="Q519"/>
      <c r="R519"/>
    </row>
    <row r="520" spans="12:18" x14ac:dyDescent="0.25">
      <c r="L520"/>
      <c r="M520"/>
      <c r="N520"/>
      <c r="O520"/>
      <c r="P520"/>
      <c r="Q520"/>
      <c r="R520"/>
    </row>
    <row r="521" spans="12:18" x14ac:dyDescent="0.25">
      <c r="L521"/>
      <c r="M521"/>
      <c r="N521"/>
      <c r="O521"/>
      <c r="P521"/>
      <c r="Q521"/>
      <c r="R521"/>
    </row>
    <row r="522" spans="12:18" x14ac:dyDescent="0.25">
      <c r="L522"/>
      <c r="M522"/>
      <c r="N522"/>
      <c r="O522"/>
      <c r="P522"/>
      <c r="Q522"/>
      <c r="R522"/>
    </row>
    <row r="523" spans="12:18" x14ac:dyDescent="0.25">
      <c r="L523"/>
      <c r="M523"/>
      <c r="N523"/>
      <c r="O523"/>
      <c r="P523"/>
      <c r="Q523"/>
      <c r="R523"/>
    </row>
    <row r="524" spans="12:18" x14ac:dyDescent="0.25">
      <c r="L524"/>
      <c r="M524"/>
      <c r="N524"/>
      <c r="O524"/>
      <c r="P524"/>
      <c r="Q524"/>
      <c r="R524"/>
    </row>
    <row r="525" spans="12:18" x14ac:dyDescent="0.25">
      <c r="L525"/>
      <c r="M525"/>
      <c r="N525"/>
      <c r="O525"/>
      <c r="P525"/>
      <c r="Q525"/>
      <c r="R525"/>
    </row>
    <row r="526" spans="12:18" x14ac:dyDescent="0.25">
      <c r="L526"/>
      <c r="M526"/>
      <c r="N526"/>
      <c r="O526"/>
      <c r="P526"/>
      <c r="Q526"/>
      <c r="R526"/>
    </row>
    <row r="527" spans="12:18" x14ac:dyDescent="0.25">
      <c r="L527"/>
      <c r="M527"/>
      <c r="N527"/>
      <c r="O527"/>
      <c r="P527"/>
      <c r="Q527"/>
      <c r="R527"/>
    </row>
    <row r="528" spans="12:18" x14ac:dyDescent="0.25">
      <c r="L528"/>
      <c r="M528"/>
      <c r="N528"/>
      <c r="O528"/>
      <c r="P528"/>
      <c r="Q528"/>
      <c r="R528"/>
    </row>
    <row r="529" spans="12:18" x14ac:dyDescent="0.25">
      <c r="L529"/>
      <c r="M529"/>
      <c r="N529"/>
      <c r="O529"/>
      <c r="P529"/>
      <c r="Q529"/>
      <c r="R529"/>
    </row>
    <row r="530" spans="12:18" x14ac:dyDescent="0.25">
      <c r="L530"/>
      <c r="M530"/>
      <c r="N530"/>
      <c r="O530"/>
      <c r="P530"/>
      <c r="Q530"/>
      <c r="R530"/>
    </row>
  </sheetData>
  <mergeCells count="7">
    <mergeCell ref="D7:F7"/>
    <mergeCell ref="C18:G18"/>
    <mergeCell ref="C36:G36"/>
    <mergeCell ref="D3:F3"/>
    <mergeCell ref="D4:F4"/>
    <mergeCell ref="D5:F5"/>
    <mergeCell ref="D6:F6"/>
  </mergeCells>
  <conditionalFormatting sqref="J36 J30 D3:D7 C30:G30 C12:H12 G39 G21 G26 H30:I36 H39:I40">
    <cfRule type="cellIs" dxfId="424" priority="80" operator="equal">
      <formula>0</formula>
    </cfRule>
  </conditionalFormatting>
  <conditionalFormatting sqref="D31:D35">
    <cfRule type="cellIs" dxfId="423" priority="67" operator="equal">
      <formula>0</formula>
    </cfRule>
  </conditionalFormatting>
  <conditionalFormatting sqref="D13:D17">
    <cfRule type="cellIs" dxfId="422" priority="76" operator="equal">
      <formula>0</formula>
    </cfRule>
  </conditionalFormatting>
  <conditionalFormatting sqref="E13:E17">
    <cfRule type="cellIs" dxfId="421" priority="75" operator="equal">
      <formula>0</formula>
    </cfRule>
  </conditionalFormatting>
  <conditionalFormatting sqref="F13:F17">
    <cfRule type="cellIs" dxfId="420" priority="74" operator="equal">
      <formula>0</formula>
    </cfRule>
  </conditionalFormatting>
  <conditionalFormatting sqref="G13:G17">
    <cfRule type="cellIs" dxfId="419" priority="73" operator="equal">
      <formula>0</formula>
    </cfRule>
  </conditionalFormatting>
  <conditionalFormatting sqref="H13:H17">
    <cfRule type="cellIs" dxfId="418" priority="72" operator="equal">
      <formula>0</formula>
    </cfRule>
  </conditionalFormatting>
  <conditionalFormatting sqref="G31:G35">
    <cfRule type="cellIs" dxfId="417" priority="68" operator="equal">
      <formula>0</formula>
    </cfRule>
  </conditionalFormatting>
  <conditionalFormatting sqref="E31:E35">
    <cfRule type="cellIs" dxfId="416" priority="66" operator="equal">
      <formula>0</formula>
    </cfRule>
  </conditionalFormatting>
  <conditionalFormatting sqref="F31:F35">
    <cfRule type="cellIs" dxfId="415" priority="65" operator="equal">
      <formula>0</formula>
    </cfRule>
  </conditionalFormatting>
  <conditionalFormatting sqref="J31:J35">
    <cfRule type="cellIs" dxfId="414" priority="63" operator="equal">
      <formula>0</formula>
    </cfRule>
  </conditionalFormatting>
  <conditionalFormatting sqref="C39:D39">
    <cfRule type="cellIs" dxfId="413" priority="60" operator="equal">
      <formula>0</formula>
    </cfRule>
  </conditionalFormatting>
  <conditionalFormatting sqref="E21">
    <cfRule type="cellIs" dxfId="412" priority="30" operator="equal">
      <formula>0</formula>
    </cfRule>
  </conditionalFormatting>
  <conditionalFormatting sqref="E39">
    <cfRule type="cellIs" dxfId="411" priority="53" operator="equal">
      <formula>0</formula>
    </cfRule>
  </conditionalFormatting>
  <conditionalFormatting sqref="F22">
    <cfRule type="cellIs" dxfId="410" priority="41" operator="equal">
      <formula>0</formula>
    </cfRule>
  </conditionalFormatting>
  <conditionalFormatting sqref="G22">
    <cfRule type="cellIs" dxfId="409" priority="40" operator="equal">
      <formula>0</formula>
    </cfRule>
  </conditionalFormatting>
  <conditionalFormatting sqref="G40">
    <cfRule type="cellIs" dxfId="408" priority="56" operator="equal">
      <formula>"Não"</formula>
    </cfRule>
    <cfRule type="cellIs" dxfId="407" priority="57" operator="equal">
      <formula>"Sim"</formula>
    </cfRule>
  </conditionalFormatting>
  <conditionalFormatting sqref="D40">
    <cfRule type="cellIs" dxfId="406" priority="54" operator="equal">
      <formula>0</formula>
    </cfRule>
  </conditionalFormatting>
  <conditionalFormatting sqref="F21">
    <cfRule type="cellIs" dxfId="405" priority="29" operator="equal">
      <formula>0</formula>
    </cfRule>
  </conditionalFormatting>
  <conditionalFormatting sqref="H21">
    <cfRule type="cellIs" dxfId="404" priority="28" operator="equal">
      <formula>0</formula>
    </cfRule>
  </conditionalFormatting>
  <conditionalFormatting sqref="E40">
    <cfRule type="cellIs" dxfId="403" priority="51" operator="equal">
      <formula>0</formula>
    </cfRule>
  </conditionalFormatting>
  <conditionalFormatting sqref="F39">
    <cfRule type="cellIs" dxfId="402" priority="49" operator="equal">
      <formula>0</formula>
    </cfRule>
  </conditionalFormatting>
  <conditionalFormatting sqref="F40">
    <cfRule type="cellIs" dxfId="401" priority="48" operator="equal">
      <formula>0</formula>
    </cfRule>
  </conditionalFormatting>
  <conditionalFormatting sqref="J39">
    <cfRule type="cellIs" dxfId="400" priority="46" operator="equal">
      <formula>0</formula>
    </cfRule>
  </conditionalFormatting>
  <conditionalFormatting sqref="D22">
    <cfRule type="cellIs" dxfId="399" priority="42" operator="equal">
      <formula>0</formula>
    </cfRule>
  </conditionalFormatting>
  <conditionalFormatting sqref="E22">
    <cfRule type="cellIs" dxfId="398" priority="38" operator="equal">
      <formula>0</formula>
    </cfRule>
  </conditionalFormatting>
  <conditionalFormatting sqref="H22">
    <cfRule type="cellIs" dxfId="397" priority="39" operator="equal">
      <formula>0</formula>
    </cfRule>
  </conditionalFormatting>
  <conditionalFormatting sqref="H23">
    <cfRule type="cellIs" dxfId="396" priority="34" operator="equal">
      <formula>0</formula>
    </cfRule>
  </conditionalFormatting>
  <conditionalFormatting sqref="G23">
    <cfRule type="cellIs" dxfId="395" priority="35" operator="equal">
      <formula>0</formula>
    </cfRule>
  </conditionalFormatting>
  <conditionalFormatting sqref="D23:F23">
    <cfRule type="cellIs" dxfId="394" priority="32" operator="equal">
      <formula>"Não"</formula>
    </cfRule>
    <cfRule type="cellIs" dxfId="393" priority="33" operator="equal">
      <formula>"Sim"</formula>
    </cfRule>
  </conditionalFormatting>
  <conditionalFormatting sqref="C21:D21">
    <cfRule type="cellIs" dxfId="392" priority="31" operator="equal">
      <formula>0</formula>
    </cfRule>
  </conditionalFormatting>
  <conditionalFormatting sqref="C26:D26">
    <cfRule type="cellIs" dxfId="391" priority="25" operator="equal">
      <formula>0</formula>
    </cfRule>
  </conditionalFormatting>
  <conditionalFormatting sqref="G27">
    <cfRule type="cellIs" dxfId="390" priority="21" operator="equal">
      <formula>"Não"</formula>
    </cfRule>
    <cfRule type="cellIs" dxfId="389" priority="22" operator="equal">
      <formula>"Sim"</formula>
    </cfRule>
  </conditionalFormatting>
  <conditionalFormatting sqref="D27">
    <cfRule type="cellIs" dxfId="388" priority="19" operator="equal">
      <formula>0</formula>
    </cfRule>
  </conditionalFormatting>
  <conditionalFormatting sqref="E26">
    <cfRule type="cellIs" dxfId="387" priority="18" operator="equal">
      <formula>0</formula>
    </cfRule>
  </conditionalFormatting>
  <conditionalFormatting sqref="E27">
    <cfRule type="cellIs" dxfId="386" priority="16" operator="equal">
      <formula>0</formula>
    </cfRule>
  </conditionalFormatting>
  <conditionalFormatting sqref="F26">
    <cfRule type="cellIs" dxfId="385" priority="14" operator="equal">
      <formula>0</formula>
    </cfRule>
  </conditionalFormatting>
  <conditionalFormatting sqref="F27">
    <cfRule type="cellIs" dxfId="384" priority="13" operator="equal">
      <formula>0</formula>
    </cfRule>
  </conditionalFormatting>
  <conditionalFormatting sqref="H26">
    <cfRule type="cellIs" dxfId="383" priority="11" operator="equal">
      <formula>0</formula>
    </cfRule>
  </conditionalFormatting>
  <conditionalFormatting sqref="H27">
    <cfRule type="cellIs" dxfId="382" priority="9" operator="equal">
      <formula>0</formula>
    </cfRule>
  </conditionalFormatting>
  <conditionalFormatting sqref="H9">
    <cfRule type="cellIs" dxfId="381" priority="8" operator="equal">
      <formula>0</formula>
    </cfRule>
  </conditionalFormatting>
  <conditionalFormatting sqref="J40">
    <cfRule type="cellIs" dxfId="380" priority="7" operator="equal">
      <formula>0</formula>
    </cfRule>
  </conditionalFormatting>
  <conditionalFormatting sqref="M6:Q6">
    <cfRule type="cellIs" dxfId="379" priority="1" operator="equal">
      <formula>0</formula>
    </cfRule>
  </conditionalFormatting>
  <pageMargins left="0.511811024" right="0.511811024" top="0.78740157499999996" bottom="0.78740157499999996" header="0.31496062000000002" footer="0.31496062000000002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ABD6A9-F880-49F9-8938-A1B8D0833DD7}">
  <sheetPr>
    <tabColor theme="4" tint="-0.249977111117893"/>
  </sheetPr>
  <dimension ref="A1:AA7"/>
  <sheetViews>
    <sheetView showGridLines="0" workbookViewId="0">
      <pane xSplit="2" ySplit="5" topLeftCell="L6" activePane="bottomRight" state="frozen"/>
      <selection pane="topRight" activeCell="C1" sqref="C1"/>
      <selection pane="bottomLeft" activeCell="A6" sqref="A6"/>
      <selection pane="bottomRight" activeCell="P7" sqref="P7"/>
    </sheetView>
  </sheetViews>
  <sheetFormatPr defaultRowHeight="12.75" x14ac:dyDescent="0.25"/>
  <cols>
    <col min="1" max="1" width="13.42578125" style="3" bestFit="1" customWidth="1"/>
    <col min="2" max="2" width="12.28515625" style="3" bestFit="1" customWidth="1"/>
    <col min="3" max="3" width="16.85546875" style="3" bestFit="1" customWidth="1"/>
    <col min="4" max="4" width="18.42578125" style="3" bestFit="1" customWidth="1"/>
    <col min="5" max="5" width="19.42578125" style="3" bestFit="1" customWidth="1"/>
    <col min="6" max="6" width="14.85546875" style="3" bestFit="1" customWidth="1"/>
    <col min="7" max="7" width="18.42578125" style="3" bestFit="1" customWidth="1"/>
    <col min="8" max="9" width="19.42578125" style="3" bestFit="1" customWidth="1"/>
    <col min="10" max="10" width="16.28515625" style="3" bestFit="1" customWidth="1"/>
    <col min="11" max="14" width="19.42578125" style="3" bestFit="1" customWidth="1"/>
    <col min="15" max="15" width="19.140625" style="3" bestFit="1" customWidth="1"/>
    <col min="16" max="16" width="19.42578125" style="3" bestFit="1" customWidth="1"/>
    <col min="17" max="17" width="18.5703125" style="3" bestFit="1" customWidth="1"/>
    <col min="18" max="27" width="19.42578125" style="3" bestFit="1" customWidth="1"/>
    <col min="28" max="28" width="19" style="3" bestFit="1" customWidth="1"/>
    <col min="29" max="29" width="20.42578125" style="3" bestFit="1" customWidth="1"/>
    <col min="30" max="30" width="18.42578125" style="3" bestFit="1" customWidth="1"/>
    <col min="31" max="32" width="19.7109375" style="3" bestFit="1" customWidth="1"/>
    <col min="33" max="33" width="19" style="3" bestFit="1" customWidth="1"/>
    <col min="34" max="34" width="20.42578125" style="3" bestFit="1" customWidth="1"/>
    <col min="35" max="35" width="18.42578125" style="3" bestFit="1" customWidth="1"/>
    <col min="36" max="36" width="19.7109375" style="3" bestFit="1" customWidth="1"/>
    <col min="37" max="37" width="16.140625" style="3" bestFit="1" customWidth="1"/>
    <col min="38" max="38" width="12.42578125" style="3" bestFit="1" customWidth="1"/>
    <col min="39" max="39" width="19.28515625" style="3" bestFit="1" customWidth="1"/>
    <col min="40" max="40" width="19" style="3" bestFit="1" customWidth="1"/>
    <col min="41" max="41" width="20.42578125" style="3" bestFit="1" customWidth="1"/>
    <col min="42" max="42" width="18.42578125" style="3" bestFit="1" customWidth="1"/>
    <col min="43" max="43" width="19.7109375" style="3" bestFit="1" customWidth="1"/>
    <col min="44" max="16384" width="9.140625" style="3"/>
  </cols>
  <sheetData>
    <row r="1" spans="1:27" ht="27.75" customHeight="1" x14ac:dyDescent="0.25">
      <c r="A1" s="49" t="s">
        <v>925</v>
      </c>
      <c r="O1" s="146">
        <f>MAX(VIEW_IV_2019_VENDA[Peso-ALBUREX])</f>
        <v>0.1</v>
      </c>
      <c r="P1" s="146">
        <f>MAX(VIEW_IV_2019_VENDA[Peso-RHOPHYLAC])</f>
        <v>0.05</v>
      </c>
      <c r="Q1" s="146">
        <f>MAX(VIEW_IV_2019_VENDA[Peso-OUTROS PRODUTOS])</f>
        <v>0.05</v>
      </c>
      <c r="R1" s="146">
        <f>MAX(VIEW_IV_2019_VENDA[Peso-TOTAL])</f>
        <v>0.4</v>
      </c>
      <c r="S1" s="6" t="str">
        <f>IF(S2='IV Venda Mensal'!T2,"OK","Erro")</f>
        <v>OK</v>
      </c>
      <c r="T1" s="6" t="str">
        <f>IF(T2='IV Venda Mensal'!U2,"OK","Erro")</f>
        <v>OK</v>
      </c>
      <c r="U1" s="6" t="str">
        <f>IF(U2='IV Venda Mensal'!V2,"OK","Erro")</f>
        <v>OK</v>
      </c>
      <c r="V1" s="6" t="str">
        <f>IF(V2='IV Venda Mensal'!X2,"OK","Erro")</f>
        <v>OK</v>
      </c>
    </row>
    <row r="2" spans="1:27" ht="15" customHeight="1" x14ac:dyDescent="0.25">
      <c r="C2" s="67">
        <f>SUM(VIEW_IV_2019_VENDA_TRI[Cota-ALBUREX])</f>
        <v>14523407</v>
      </c>
      <c r="D2" s="67">
        <f>SUM(VIEW_IV_2019_VENDA_TRI[Cota-RHOPYLAC])</f>
        <v>6058025</v>
      </c>
      <c r="E2" s="67">
        <f>SUM(VIEW_IV_2019_VENDA_TRI[Cota-OUTRO PRODUTOS])</f>
        <v>54019785</v>
      </c>
      <c r="F2" s="67">
        <f>SUM(VIEW_IV_2019_VENDA_TRI[Cota-TOTAL])</f>
        <v>74601216</v>
      </c>
      <c r="G2" s="67">
        <f>SUM(VIEW_IV_2019_VENDA_TRI[Venda-ALBUREX])</f>
        <v>13584502</v>
      </c>
      <c r="H2" s="67">
        <f>SUM(VIEW_IV_2019_VENDA_TRI[Venda-RHOPYLAC])</f>
        <v>8766000</v>
      </c>
      <c r="I2" s="67">
        <f>SUM(VIEW_IV_2019_VENDA_TRI[Venda-OUTRO PRODUTOS])</f>
        <v>58927624</v>
      </c>
      <c r="J2" s="67">
        <f>SUM(VIEW_IV_2019_VENDA_TRI[Venda-TOTAL])</f>
        <v>81278127</v>
      </c>
      <c r="K2" s="69">
        <f>IFERROR(G2/C2,0)</f>
        <v>0.93535229027183497</v>
      </c>
      <c r="L2" s="69">
        <f t="shared" ref="L2:N3" si="0">IFERROR(H2/D2,0)</f>
        <v>1.4470062437840716</v>
      </c>
      <c r="M2" s="69">
        <f t="shared" si="0"/>
        <v>1.0908526200169069</v>
      </c>
      <c r="N2" s="69">
        <f t="shared" si="0"/>
        <v>1.0895013695219125</v>
      </c>
      <c r="O2" s="145">
        <f>SUM(VIEW_IV_2019_VENDA_TRI[Premio-ALBUREX])</f>
        <v>2023.3742467262427</v>
      </c>
      <c r="P2" s="145">
        <f>SUM(VIEW_IV_2019_VENDA_TRI[Premio-RHOPYLAC])</f>
        <v>407.45368346649059</v>
      </c>
      <c r="Q2" s="145">
        <f>SUM(VIEW_IV_2019_VENDA_TRI[Premio-OUTROS])</f>
        <v>392.63607137058602</v>
      </c>
      <c r="R2" s="145">
        <f>SUM(VIEW_IV_2019_VENDA_TRI[Premio-TOTAL-GR])</f>
        <v>3149.344375864378</v>
      </c>
      <c r="S2" s="67">
        <f>SUM(VIEW_IV_2019_VENDA_TRI[Recebido-ALBUREX])</f>
        <v>1434.0206187134788</v>
      </c>
      <c r="T2" s="67">
        <f>SUM(VIEW_IV_2019_VENDA_TRI[Recebido-RHOPYLAC])</f>
        <v>1222.3610503994719</v>
      </c>
      <c r="U2" s="67">
        <f>SUM(VIEW_IV_2019_VENDA_TRI[Recebido-OUTROS])</f>
        <v>998.44181373337346</v>
      </c>
      <c r="V2" s="67">
        <f>SUM(VIEW_IV_2019_VENDA_TRI[Recebido-TOTAL-GR])</f>
        <v>12020.244240742424</v>
      </c>
      <c r="W2" s="67">
        <f>SUM(VIEW_IV_2019_VENDA_TRI[Recuperavel-ALBUREX])</f>
        <v>589.35362801276392</v>
      </c>
      <c r="X2" s="67">
        <f>SUM(VIEW_IV_2019_VENDA_TRI[Recuperavel-RHOPYLAC])</f>
        <v>0</v>
      </c>
      <c r="Y2" s="67">
        <f>SUM(VIEW_IV_2019_VENDA_TRI[Recuperavel-OUTROS])</f>
        <v>0</v>
      </c>
      <c r="Z2" s="67">
        <f>SUM(VIEW_IV_2019_VENDA_TRI[Recuperavel-Total-REP])</f>
        <v>589.35362801276392</v>
      </c>
      <c r="AA2" s="67">
        <f>SUM(VIEW_IV_2019_VENDA_TRI[Recuperavel-TOTAL-GR])</f>
        <v>0</v>
      </c>
    </row>
    <row r="3" spans="1:27" ht="15" customHeight="1" x14ac:dyDescent="0.25">
      <c r="C3" s="68">
        <f>SUBTOTAL(9,VIEW_IV_2019_VENDA_TRI[Cota-ALBUREX])</f>
        <v>14523407</v>
      </c>
      <c r="D3" s="68">
        <f>SUBTOTAL(9,VIEW_IV_2019_VENDA_TRI[Cota-RHOPYLAC])</f>
        <v>6058025</v>
      </c>
      <c r="E3" s="68">
        <f>SUBTOTAL(9,VIEW_IV_2019_VENDA_TRI[Cota-OUTRO PRODUTOS])</f>
        <v>54019785</v>
      </c>
      <c r="F3" s="68">
        <f>SUBTOTAL(9,VIEW_IV_2019_VENDA_TRI[Cota-TOTAL])</f>
        <v>74601216</v>
      </c>
      <c r="G3" s="68">
        <f>SUBTOTAL(9,VIEW_IV_2019_VENDA_TRI[Venda-ALBUREX])</f>
        <v>13584502</v>
      </c>
      <c r="H3" s="68">
        <f>SUBTOTAL(9,VIEW_IV_2019_VENDA_TRI[Venda-RHOPYLAC])</f>
        <v>8766000</v>
      </c>
      <c r="I3" s="68">
        <f>SUBTOTAL(9,VIEW_IV_2019_VENDA_TRI[Venda-OUTRO PRODUTOS])</f>
        <v>58927624</v>
      </c>
      <c r="J3" s="68">
        <f>SUBTOTAL(9,VIEW_IV_2019_VENDA_TRI[Venda-TOTAL])</f>
        <v>81278127</v>
      </c>
      <c r="K3" s="70">
        <f>IFERROR(G3/C3,0)</f>
        <v>0.93535229027183497</v>
      </c>
      <c r="L3" s="70">
        <f t="shared" si="0"/>
        <v>1.4470062437840716</v>
      </c>
      <c r="M3" s="70">
        <f t="shared" si="0"/>
        <v>1.0908526200169069</v>
      </c>
      <c r="N3" s="70">
        <f t="shared" si="0"/>
        <v>1.0895013695219125</v>
      </c>
      <c r="O3" s="68">
        <f>SUBTOTAL(9,VIEW_IV_2019_VENDA_TRI[Premio-ALBUREX])</f>
        <v>2023.3742467262427</v>
      </c>
      <c r="P3" s="68">
        <f>SUBTOTAL(9,VIEW_IV_2019_VENDA_TRI[Premio-RHOPYLAC])</f>
        <v>407.45368346649059</v>
      </c>
      <c r="Q3" s="68">
        <f>SUBTOTAL(9,VIEW_IV_2019_VENDA_TRI[Premio-OUTROS])</f>
        <v>392.63607137058602</v>
      </c>
      <c r="R3" s="68">
        <f>SUBTOTAL(9,VIEW_IV_2019_VENDA_TRI[Premio-TOTAL-GR])</f>
        <v>3149.344375864378</v>
      </c>
      <c r="S3" s="68">
        <f>SUBTOTAL(9,VIEW_IV_2019_VENDA_TRI[Recebido-ALBUREX])</f>
        <v>1434.0206187134788</v>
      </c>
      <c r="T3" s="68">
        <f>SUBTOTAL(9,VIEW_IV_2019_VENDA_TRI[Recebido-RHOPYLAC])</f>
        <v>1222.3610503994719</v>
      </c>
      <c r="U3" s="68">
        <f>SUBTOTAL(9,VIEW_IV_2019_VENDA_TRI[Recebido-OUTROS])</f>
        <v>998.44181373337346</v>
      </c>
      <c r="V3" s="68">
        <f>SUBTOTAL(9,VIEW_IV_2019_VENDA_TRI[Recebido-TOTAL-GR])</f>
        <v>12020.244240742424</v>
      </c>
      <c r="W3" s="68">
        <f>SUBTOTAL(9,VIEW_IV_2019_VENDA_TRI[Recuperavel-ALBUREX])</f>
        <v>589.35362801276392</v>
      </c>
      <c r="X3" s="68">
        <f>SUBTOTAL(9,VIEW_IV_2019_VENDA_TRI[Recuperavel-RHOPYLAC])</f>
        <v>0</v>
      </c>
      <c r="Y3" s="68">
        <f>SUBTOTAL(9,VIEW_IV_2019_VENDA_TRI[Recuperavel-OUTROS])</f>
        <v>0</v>
      </c>
      <c r="Z3" s="68">
        <f>SUBTOTAL(9,VIEW_IV_2019_VENDA_TRI[Recuperavel-Total-REP])</f>
        <v>589.35362801276392</v>
      </c>
      <c r="AA3" s="68">
        <f>SUBTOTAL(9,VIEW_IV_2019_VENDA_TRI[Recuperavel-TOTAL-GR])</f>
        <v>0</v>
      </c>
    </row>
    <row r="5" spans="1:27" x14ac:dyDescent="0.25">
      <c r="A5" s="6" t="s">
        <v>2</v>
      </c>
      <c r="B5" s="6" t="s">
        <v>4</v>
      </c>
      <c r="C5" s="6" t="s">
        <v>837</v>
      </c>
      <c r="D5" s="6" t="s">
        <v>913</v>
      </c>
      <c r="E5" s="6" t="s">
        <v>915</v>
      </c>
      <c r="F5" s="6" t="s">
        <v>845</v>
      </c>
      <c r="G5" s="6" t="s">
        <v>838</v>
      </c>
      <c r="H5" s="6" t="s">
        <v>914</v>
      </c>
      <c r="I5" s="6" t="s">
        <v>916</v>
      </c>
      <c r="J5" s="6" t="s">
        <v>846</v>
      </c>
      <c r="K5" s="6" t="s">
        <v>839</v>
      </c>
      <c r="L5" s="6" t="s">
        <v>842</v>
      </c>
      <c r="M5" s="6" t="s">
        <v>844</v>
      </c>
      <c r="N5" s="6" t="s">
        <v>847</v>
      </c>
      <c r="O5" s="36" t="s">
        <v>903</v>
      </c>
      <c r="P5" s="36" t="s">
        <v>904</v>
      </c>
      <c r="Q5" s="36" t="s">
        <v>905</v>
      </c>
      <c r="R5" s="36" t="s">
        <v>906</v>
      </c>
      <c r="S5" s="6" t="s">
        <v>917</v>
      </c>
      <c r="T5" s="6" t="s">
        <v>918</v>
      </c>
      <c r="U5" s="6" t="s">
        <v>919</v>
      </c>
      <c r="V5" s="6" t="s">
        <v>920</v>
      </c>
      <c r="W5" s="36" t="s">
        <v>921</v>
      </c>
      <c r="X5" s="36" t="s">
        <v>922</v>
      </c>
      <c r="Y5" s="36" t="s">
        <v>923</v>
      </c>
      <c r="Z5" s="36" t="s">
        <v>977</v>
      </c>
      <c r="AA5" s="36" t="s">
        <v>924</v>
      </c>
    </row>
    <row r="6" spans="1:27" x14ac:dyDescent="0.25">
      <c r="A6" s="7" t="s">
        <v>16</v>
      </c>
      <c r="B6" s="7" t="s">
        <v>18</v>
      </c>
      <c r="C6" s="72">
        <v>10555263</v>
      </c>
      <c r="D6" s="72">
        <v>4203528</v>
      </c>
      <c r="E6" s="72">
        <v>38842706</v>
      </c>
      <c r="F6" s="72">
        <v>53601496</v>
      </c>
      <c r="G6" s="72">
        <v>13227125</v>
      </c>
      <c r="H6" s="72">
        <v>8434402</v>
      </c>
      <c r="I6" s="72">
        <v>56413062</v>
      </c>
      <c r="J6" s="72">
        <v>78074590</v>
      </c>
      <c r="K6" s="71">
        <f>IFERROR(VIEW_IV_2019_VENDA_TRI[[#This Row],[Venda-ALBUREX]]/VIEW_IV_2019_VENDA_TRI[[#This Row],[Cota-ALBUREX]],0)</f>
        <v>1.2531307841405752</v>
      </c>
      <c r="L6" s="71">
        <f>IFERROR(VIEW_IV_2019_VENDA_TRI[[#This Row],[Venda-RHOPYLAC]]/VIEW_IV_2019_VENDA_TRI[[#This Row],[Cota-RHOPYLAC]],0)</f>
        <v>2.0065054877712245</v>
      </c>
      <c r="M6" s="71">
        <f>IFERROR(VIEW_IV_2019_VENDA_TRI[[#This Row],[Venda-OUTRO PRODUTOS]]/VIEW_IV_2019_VENDA_TRI[[#This Row],[Cota-OUTRO PRODUTOS]],0)</f>
        <v>1.4523463427084611</v>
      </c>
      <c r="N6" s="71">
        <f>IFERROR(VIEW_IV_2019_VENDA_TRI[[#This Row],[Venda-TOTAL]]/VIEW_IV_2019_VENDA_TRI[[#This Row],[Cota-TOTAL]],0)</f>
        <v>1.4565748314188842</v>
      </c>
      <c r="O6" s="46">
        <f>(IF(VIEW_IV_2019_VENDA_TRI[[#This Row],[Cobertura-ALBUREX]]&lt;Cob_Min_REP,0,IF(VIEW_IV_2019_VENDA_TRI[[#This Row],[Cobertura-ALBUREX]]&gt;Cob_Max_REP,Vlr_Max_REP,VLOOKUP(VIEW_IV_2019_VENDA_TRI[[#This Row],[Cobertura-ALBUREX]],Tabela_Valores_REP,2,1)))*O$1)*3</f>
        <v>2023.3742467262427</v>
      </c>
      <c r="P6" s="46">
        <f>IF(VIEW_IV_2019_VENDA_TRI[[#This Row],[Cobertura-RHOPYLAC]]&lt;Cob_Min_REP,0,IF(VIEW_IV_2019_VENDA_TRI[[#This Row],[Cobertura-RHOPYLAC]]&gt;Cob_Max_REP,Vlr_Max_REP,VLOOKUP(VIEW_IV_2019_VENDA_TRI[[#This Row],[Cobertura-RHOPYLAC]],Tabela_Valores_REP,2,1)))*P$1</f>
        <v>407.45368346649059</v>
      </c>
      <c r="Q6" s="46">
        <f>IF(VIEW_IV_2019_VENDA_TRI[[#This Row],[Cobertura-OUTROS PRODUTOS]]&lt;Cob_Min_REP,0,IF(VIEW_IV_2019_VENDA_TRI[[#This Row],[Cobertura-OUTROS PRODUTOS]]&gt;Cob_Max_REP,Vlr_Max_REP,VLOOKUP(VIEW_IV_2019_VENDA_TRI[[#This Row],[Cobertura-OUTROS PRODUTOS]],Tabela_Valores_REP,2,1)))*Q$1</f>
        <v>392.63607137058602</v>
      </c>
      <c r="R6" s="46">
        <f>IF(VIEW_IV_2019_VENDA_TRI[[#This Row],[Cobertura-TOTAL]]&lt;Cob_Min_REP,0,IF(VIEW_IV_2019_VENDA_TRI[[#This Row],[Cobertura-TOTAL]]&gt;Cob_Max_REP,Vlr_Max_REP,VLOOKUP(VIEW_IV_2019_VENDA_TRI[[#This Row],[Cobertura-TOTAL]],Tabela_Valores_REP,2,1)))*R$1</f>
        <v>3149.344375864378</v>
      </c>
      <c r="S6" s="73">
        <f>SUMIFS(VIEW_IV_2019_VENDA[Premio-ALBUREX],VIEW_IV_2019_VENDA[Ano-Fiscal],VIEW_IV_2019_VENDA_TRI[[#This Row],[Ano-Fiscal]],VIEW_IV_2019_VENDA[Tri-Fiscal],VIEW_IV_2019_VENDA_TRI[[#This Row],[Tri-Fiscal]])</f>
        <v>1434.0206187134788</v>
      </c>
      <c r="T6" s="73">
        <f>SUMIFS(VIEW_IV_2019_VENDA[Premio-RHOPYLAC],VIEW_IV_2019_VENDA[Ano-Fiscal],VIEW_IV_2019_VENDA_TRI[[#This Row],[Ano-Fiscal]],VIEW_IV_2019_VENDA[Tri-Fiscal],VIEW_IV_2019_VENDA_TRI[[#This Row],[Tri-Fiscal]])</f>
        <v>1222.3610503994719</v>
      </c>
      <c r="U6" s="73">
        <f>SUMIFS(VIEW_IV_2019_VENDA[Premio-OUTROS],VIEW_IV_2019_VENDA[Ano-Fiscal],VIEW_IV_2019_VENDA_TRI[[#This Row],[Ano-Fiscal]],VIEW_IV_2019_VENDA[Tri-Fiscal],VIEW_IV_2019_VENDA_TRI[[#This Row],[Tri-Fiscal]])</f>
        <v>998.44181373337346</v>
      </c>
      <c r="V6" s="73">
        <f>SUMIFS(VIEW_IV_2019_VENDA[Premio-TOTAL-GR],VIEW_IV_2019_VENDA[Ano-Fiscal],VIEW_IV_2019_VENDA_TRI[[#This Row],[Ano-Fiscal]],VIEW_IV_2019_VENDA[Tri-Fiscal],VIEW_IV_2019_VENDA_TRI[[#This Row],[Tri-Fiscal]])</f>
        <v>12020.244240742424</v>
      </c>
      <c r="W6" s="73">
        <f>IF(VIEW_IV_2019_VENDA_TRI[[#This Row],[Premio-ALBUREX]]-VIEW_IV_2019_VENDA_TRI[[#This Row],[Recebido-ALBUREX]]&lt;=0,0,VIEW_IV_2019_VENDA_TRI[[#This Row],[Premio-ALBUREX]]-VIEW_IV_2019_VENDA_TRI[[#This Row],[Recebido-ALBUREX]])</f>
        <v>589.35362801276392</v>
      </c>
      <c r="X6" s="73">
        <f>IF(VIEW_IV_2019_VENDA_TRI[[#This Row],[Premio-RHOPYLAC]]-VIEW_IV_2019_VENDA_TRI[[#This Row],[Recebido-RHOPYLAC]]&lt;=0,0,VIEW_IV_2019_VENDA_TRI[[#This Row],[Premio-RHOPYLAC]]-VIEW_IV_2019_VENDA_TRI[[#This Row],[Recebido-RHOPYLAC]])</f>
        <v>0</v>
      </c>
      <c r="Y6" s="73">
        <f>IF(VIEW_IV_2019_VENDA_TRI[[#This Row],[Premio-OUTROS]]-VIEW_IV_2019_VENDA_TRI[[#This Row],[Recebido-OUTROS]]&lt;=0,0,VIEW_IV_2019_VENDA_TRI[[#This Row],[Premio-OUTROS]]-VIEW_IV_2019_VENDA_TRI[[#This Row],[Recebido-OUTROS]])</f>
        <v>0</v>
      </c>
      <c r="Z6" s="106">
        <f>SUM(VIEW_IV_2019_VENDA_TRI[[#This Row],[Recuperavel-ALBUREX]:[Recuperavel-OUTROS]])</f>
        <v>589.35362801276392</v>
      </c>
      <c r="AA6" s="106">
        <f>IF(VIEW_IV_2019_VENDA_TRI[[#This Row],[Premio-TOTAL-GR]]-VIEW_IV_2019_VENDA_TRI[[#This Row],[Recebido-TOTAL-GR]]&lt;=0,0,VIEW_IV_2019_VENDA_TRI[[#This Row],[Premio-TOTAL-GR]]-VIEW_IV_2019_VENDA_TRI[[#This Row],[Recebido-TOTAL-GR]])</f>
        <v>0</v>
      </c>
    </row>
    <row r="7" spans="1:27" x14ac:dyDescent="0.25">
      <c r="A7" s="7" t="s">
        <v>16</v>
      </c>
      <c r="B7" s="7" t="s">
        <v>66</v>
      </c>
      <c r="C7" s="72">
        <v>3968144</v>
      </c>
      <c r="D7" s="72">
        <v>1854497</v>
      </c>
      <c r="E7" s="72">
        <v>15177079</v>
      </c>
      <c r="F7" s="72">
        <v>20999720</v>
      </c>
      <c r="G7" s="72">
        <v>357377</v>
      </c>
      <c r="H7" s="72">
        <v>331598</v>
      </c>
      <c r="I7" s="72">
        <v>2514562</v>
      </c>
      <c r="J7" s="72">
        <v>3203537</v>
      </c>
      <c r="K7" s="71">
        <f>IFERROR(VIEW_IV_2019_VENDA_TRI[[#This Row],[Venda-ALBUREX]]/VIEW_IV_2019_VENDA_TRI[[#This Row],[Cota-ALBUREX]],0)</f>
        <v>9.0061499784282018E-2</v>
      </c>
      <c r="L7" s="71">
        <f>IFERROR(VIEW_IV_2019_VENDA_TRI[[#This Row],[Venda-RHOPYLAC]]/VIEW_IV_2019_VENDA_TRI[[#This Row],[Cota-RHOPYLAC]],0)</f>
        <v>0.17880751492183594</v>
      </c>
      <c r="M7" s="71">
        <f>IFERROR(VIEW_IV_2019_VENDA_TRI[[#This Row],[Venda-OUTRO PRODUTOS]]/VIEW_IV_2019_VENDA_TRI[[#This Row],[Cota-OUTRO PRODUTOS]],0)</f>
        <v>0.16568155176631813</v>
      </c>
      <c r="N7" s="71">
        <f>IFERROR(VIEW_IV_2019_VENDA_TRI[[#This Row],[Venda-TOTAL]]/VIEW_IV_2019_VENDA_TRI[[#This Row],[Cota-TOTAL]],0)</f>
        <v>0.15255141497124725</v>
      </c>
      <c r="O7" s="46">
        <f>(IF(VIEW_IV_2019_VENDA_TRI[[#This Row],[Cobertura-ALBUREX]]&lt;Cob_Min_REP,0,IF(VIEW_IV_2019_VENDA_TRI[[#This Row],[Cobertura-ALBUREX]]&gt;Cob_Max_REP,Vlr_Max_REP,VLOOKUP(VIEW_IV_2019_VENDA_TRI[[#This Row],[Cobertura-ALBUREX]],Tabela_Valores_REP,2,1)))*O$1)*3</f>
        <v>0</v>
      </c>
      <c r="P7" s="46">
        <f>IF(VIEW_IV_2019_VENDA_TRI[[#This Row],[Cobertura-RHOPYLAC]]&lt;Cob_Min_REP,0,IF(VIEW_IV_2019_VENDA_TRI[[#This Row],[Cobertura-RHOPYLAC]]&gt;Cob_Max_REP,Vlr_Max_REP,VLOOKUP(VIEW_IV_2019_VENDA_TRI[[#This Row],[Cobertura-RHOPYLAC]],Tabela_Valores_REP,2,1)))*P$1</f>
        <v>0</v>
      </c>
      <c r="Q7" s="45">
        <f>IF(VIEW_IV_2019_VENDA_TRI[[#This Row],[Cobertura-OUTROS PRODUTOS]]&lt;Cob_Min_REP,0,IF(VIEW_IV_2019_VENDA_TRI[[#This Row],[Cobertura-OUTROS PRODUTOS]]&gt;Cob_Max_REP,Vlr_Max_REP,VLOOKUP(VIEW_IV_2019_VENDA_TRI[[#This Row],[Cobertura-OUTROS PRODUTOS]],Tabela_Valores_REP,2,1)))*Q$1</f>
        <v>0</v>
      </c>
      <c r="R7" s="45">
        <f>IF(VIEW_IV_2019_VENDA_TRI[[#This Row],[Cobertura-TOTAL]]&lt;Cob_Min_REP,0,IF(VIEW_IV_2019_VENDA_TRI[[#This Row],[Cobertura-TOTAL]]&gt;Cob_Max_REP,Vlr_Max_REP,VLOOKUP(VIEW_IV_2019_VENDA_TRI[[#This Row],[Cobertura-TOTAL]],Tabela_Valores_REP,2,1)))*R$1</f>
        <v>0</v>
      </c>
      <c r="S7" s="73">
        <f>SUMIFS(VIEW_IV_2019_VENDA[Premio-ALBUREX],VIEW_IV_2019_VENDA[Ano-Fiscal],VIEW_IV_2019_VENDA_TRI[[#This Row],[Ano-Fiscal]],VIEW_IV_2019_VENDA[Tri-Fiscal],VIEW_IV_2019_VENDA_TRI[[#This Row],[Tri-Fiscal]])</f>
        <v>0</v>
      </c>
      <c r="T7" s="73">
        <f>SUMIFS(VIEW_IV_2019_VENDA[Premio-RHOPYLAC],VIEW_IV_2019_VENDA[Ano-Fiscal],VIEW_IV_2019_VENDA_TRI[[#This Row],[Ano-Fiscal]],VIEW_IV_2019_VENDA[Tri-Fiscal],VIEW_IV_2019_VENDA_TRI[[#This Row],[Tri-Fiscal]])</f>
        <v>0</v>
      </c>
      <c r="U7" s="73">
        <f>SUMIFS(VIEW_IV_2019_VENDA[Premio-OUTROS],VIEW_IV_2019_VENDA[Ano-Fiscal],VIEW_IV_2019_VENDA_TRI[[#This Row],[Ano-Fiscal]],VIEW_IV_2019_VENDA[Tri-Fiscal],VIEW_IV_2019_VENDA_TRI[[#This Row],[Tri-Fiscal]])</f>
        <v>0</v>
      </c>
      <c r="V7" s="73">
        <f>SUMIFS(VIEW_IV_2019_VENDA[Premio-TOTAL-GR],VIEW_IV_2019_VENDA[Ano-Fiscal],VIEW_IV_2019_VENDA_TRI[[#This Row],[Ano-Fiscal]],VIEW_IV_2019_VENDA[Tri-Fiscal],VIEW_IV_2019_VENDA_TRI[[#This Row],[Tri-Fiscal]])</f>
        <v>0</v>
      </c>
      <c r="W7" s="73">
        <f>IF(VIEW_IV_2019_VENDA_TRI[[#This Row],[Premio-ALBUREX]]-VIEW_IV_2019_VENDA_TRI[[#This Row],[Recebido-ALBUREX]]&lt;=0,0,VIEW_IV_2019_VENDA_TRI[[#This Row],[Premio-ALBUREX]]-VIEW_IV_2019_VENDA_TRI[[#This Row],[Recebido-ALBUREX]])</f>
        <v>0</v>
      </c>
      <c r="X7" s="73">
        <f>IF(VIEW_IV_2019_VENDA_TRI[[#This Row],[Premio-RHOPYLAC]]-VIEW_IV_2019_VENDA_TRI[[#This Row],[Recebido-RHOPYLAC]]&lt;=0,0,VIEW_IV_2019_VENDA_TRI[[#This Row],[Premio-RHOPYLAC]]-VIEW_IV_2019_VENDA_TRI[[#This Row],[Recebido-RHOPYLAC]])</f>
        <v>0</v>
      </c>
      <c r="Y7" s="73">
        <f>IF(VIEW_IV_2019_VENDA_TRI[[#This Row],[Premio-OUTROS]]-VIEW_IV_2019_VENDA_TRI[[#This Row],[Recebido-OUTROS]]&lt;=0,0,VIEW_IV_2019_VENDA_TRI[[#This Row],[Premio-OUTROS]]-VIEW_IV_2019_VENDA_TRI[[#This Row],[Recebido-OUTROS]])</f>
        <v>0</v>
      </c>
      <c r="Z7" s="106">
        <f>SUM(VIEW_IV_2019_VENDA_TRI[[#This Row],[Recuperavel-ALBUREX]:[Recuperavel-OUTROS]])</f>
        <v>0</v>
      </c>
      <c r="AA7" s="106">
        <f>IF(VIEW_IV_2019_VENDA_TRI[[#This Row],[Premio-TOTAL-GR]]-VIEW_IV_2019_VENDA_TRI[[#This Row],[Recebido-TOTAL-GR]]&lt;=0,0,VIEW_IV_2019_VENDA_TRI[[#This Row],[Premio-TOTAL-GR]]-VIEW_IV_2019_VENDA_TRI[[#This Row],[Recebido-TOTAL-GR]])</f>
        <v>0</v>
      </c>
    </row>
  </sheetData>
  <phoneticPr fontId="5" type="noConversion"/>
  <conditionalFormatting sqref="S1:V1">
    <cfRule type="cellIs" dxfId="333" priority="1" operator="equal">
      <formula>"Erro"</formula>
    </cfRule>
    <cfRule type="cellIs" dxfId="332" priority="2" operator="equal">
      <formula>"OK"</formula>
    </cfRule>
  </conditionalFormatting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6C6012-582F-4CD6-B8FD-E102A9BAB752}">
  <sheetPr>
    <tabColor theme="4" tint="-0.249977111117893"/>
  </sheetPr>
  <dimension ref="A1:X9"/>
  <sheetViews>
    <sheetView showGridLines="0" workbookViewId="0">
      <pane xSplit="3" ySplit="5" topLeftCell="M6" activePane="bottomRight" state="frozen"/>
      <selection pane="topRight" activeCell="D1" sqref="D1"/>
      <selection pane="bottomLeft" activeCell="A6" sqref="A6"/>
      <selection pane="bottomRight" activeCell="S6" sqref="S6:S9"/>
    </sheetView>
  </sheetViews>
  <sheetFormatPr defaultRowHeight="12.75" x14ac:dyDescent="0.25"/>
  <cols>
    <col min="1" max="1" width="13.42578125" style="3" bestFit="1" customWidth="1"/>
    <col min="2" max="2" width="13.5703125" style="3" bestFit="1" customWidth="1"/>
    <col min="3" max="3" width="12.28515625" style="3" bestFit="1" customWidth="1"/>
    <col min="4" max="4" width="16.85546875" style="3" bestFit="1" customWidth="1"/>
    <col min="5" max="5" width="19.5703125" style="3" bestFit="1" customWidth="1"/>
    <col min="6" max="6" width="25.5703125" style="3" bestFit="1" customWidth="1"/>
    <col min="7" max="7" width="15" style="3" bestFit="1" customWidth="1"/>
    <col min="8" max="8" width="18.42578125" style="3" bestFit="1" customWidth="1"/>
    <col min="9" max="9" width="21" style="3" bestFit="1" customWidth="1"/>
    <col min="10" max="10" width="27.140625" style="3" bestFit="1" customWidth="1"/>
    <col min="11" max="11" width="16.28515625" style="3" bestFit="1" customWidth="1"/>
    <col min="12" max="12" width="21.42578125" style="3" bestFit="1" customWidth="1"/>
    <col min="13" max="13" width="23" style="3" bestFit="1" customWidth="1"/>
    <col min="14" max="14" width="28.5703125" style="3" bestFit="1" customWidth="1"/>
    <col min="15" max="15" width="19.42578125" style="3" bestFit="1" customWidth="1"/>
    <col min="16" max="16" width="17" style="3" bestFit="1" customWidth="1"/>
    <col min="17" max="17" width="19.7109375" style="3" bestFit="1" customWidth="1"/>
    <col min="18" max="18" width="25.7109375" style="3" bestFit="1" customWidth="1"/>
    <col min="19" max="19" width="15" style="3" bestFit="1" customWidth="1"/>
    <col min="20" max="20" width="19.140625" style="3" bestFit="1" customWidth="1"/>
    <col min="21" max="21" width="20.5703125" style="3" bestFit="1" customWidth="1"/>
    <col min="22" max="22" width="18.5703125" style="3" bestFit="1" customWidth="1"/>
    <col min="23" max="23" width="19.42578125" style="3" bestFit="1" customWidth="1"/>
    <col min="24" max="24" width="19.85546875" style="3" bestFit="1" customWidth="1"/>
    <col min="25" max="25" width="19" style="3" bestFit="1" customWidth="1"/>
    <col min="26" max="26" width="20.42578125" style="3" bestFit="1" customWidth="1"/>
    <col min="27" max="27" width="18.42578125" style="3" bestFit="1" customWidth="1"/>
    <col min="28" max="28" width="19.7109375" style="3" bestFit="1" customWidth="1"/>
    <col min="29" max="29" width="16.140625" style="3" bestFit="1" customWidth="1"/>
    <col min="30" max="30" width="12.42578125" style="3" bestFit="1" customWidth="1"/>
    <col min="31" max="31" width="19.28515625" style="3" bestFit="1" customWidth="1"/>
    <col min="32" max="32" width="19" style="3" bestFit="1" customWidth="1"/>
    <col min="33" max="33" width="20.42578125" style="3" bestFit="1" customWidth="1"/>
    <col min="34" max="34" width="18.42578125" style="3" bestFit="1" customWidth="1"/>
    <col min="35" max="35" width="19.7109375" style="3" bestFit="1" customWidth="1"/>
    <col min="36" max="16384" width="9.140625" style="3"/>
  </cols>
  <sheetData>
    <row r="1" spans="1:24" ht="24.75" customHeight="1" x14ac:dyDescent="0.25">
      <c r="A1" s="49" t="s">
        <v>912</v>
      </c>
    </row>
    <row r="2" spans="1:24" ht="15" x14ac:dyDescent="0.25">
      <c r="C2" s="82" t="s">
        <v>850</v>
      </c>
      <c r="D2" s="67">
        <f>SUM(VIEW_IV_2019_VENDA[Cota-ALBUREX])</f>
        <v>14523407</v>
      </c>
      <c r="E2" s="67">
        <f>SUM(VIEW_IV_2019_VENDA[Cota-RHOPHYLAC])</f>
        <v>6058025</v>
      </c>
      <c r="F2" s="67">
        <f>SUM(VIEW_IV_2019_VENDA[Cota-OUTROS PRODUTOS])</f>
        <v>54019785</v>
      </c>
      <c r="G2" s="67">
        <f>SUM(VIEW_IV_2019_VENDA[Cota-TOTAL])</f>
        <v>74601216</v>
      </c>
      <c r="H2" s="67">
        <f>SUM(VIEW_IV_2019_VENDA[Venda-ALBUREX])</f>
        <v>13584502</v>
      </c>
      <c r="I2" s="67">
        <f>SUM(VIEW_IV_2019_VENDA[Venda-RHOPHYLAC])</f>
        <v>8766000</v>
      </c>
      <c r="J2" s="67">
        <f>SUM(VIEW_IV_2019_VENDA[Venda-OUTROS PRODUTOS])</f>
        <v>58927624</v>
      </c>
      <c r="K2" s="67">
        <f>SUM(VIEW_IV_2019_VENDA[Venda-TOTAL])</f>
        <v>81278127</v>
      </c>
      <c r="L2" s="69">
        <f>IFERROR(H2/D2,0)</f>
        <v>0.93535229027183497</v>
      </c>
      <c r="M2" s="69">
        <f t="shared" ref="M2:O3" si="0">IFERROR(I2/E2,0)</f>
        <v>1.4470062437840716</v>
      </c>
      <c r="N2" s="69">
        <f t="shared" si="0"/>
        <v>1.0908526200169069</v>
      </c>
      <c r="O2" s="69">
        <f t="shared" si="0"/>
        <v>1.0895013695219125</v>
      </c>
      <c r="P2"/>
      <c r="Q2"/>
      <c r="R2"/>
      <c r="S2"/>
      <c r="T2" s="67">
        <f>SUM(VIEW_IV_2019_VENDA[Premio-ALBUREX])</f>
        <v>1434.0206187134788</v>
      </c>
      <c r="U2" s="67">
        <f>SUM(VIEW_IV_2019_VENDA[Premio-RHOPYLAC])</f>
        <v>1222.3610503994719</v>
      </c>
      <c r="V2" s="67">
        <f>SUM(VIEW_IV_2019_VENDA[Premio-OUTROS])</f>
        <v>998.44181373337346</v>
      </c>
      <c r="W2" s="67">
        <f>SUM(VIEW_IV_2019_VENDA[Premio-Total-REP])</f>
        <v>3654.8234828463242</v>
      </c>
      <c r="X2" s="67">
        <f>SUM(VIEW_IV_2019_VENDA[Premio-TOTAL-GR])</f>
        <v>12020.244240742424</v>
      </c>
    </row>
    <row r="3" spans="1:24" ht="15" x14ac:dyDescent="0.25">
      <c r="C3" s="82" t="s">
        <v>969</v>
      </c>
      <c r="D3" s="68">
        <f>SUBTOTAL(9,VIEW_IV_2019_VENDA[Cota-ALBUREX])</f>
        <v>14523407</v>
      </c>
      <c r="E3" s="68">
        <f>SUBTOTAL(9,VIEW_IV_2019_VENDA[Cota-RHOPHYLAC])</f>
        <v>6058025</v>
      </c>
      <c r="F3" s="68">
        <f>SUBTOTAL(9,VIEW_IV_2019_VENDA[Cota-OUTROS PRODUTOS])</f>
        <v>54019785</v>
      </c>
      <c r="G3" s="68">
        <f>SUBTOTAL(9,VIEW_IV_2019_VENDA[Cota-TOTAL])</f>
        <v>74601216</v>
      </c>
      <c r="H3" s="68">
        <f>SUBTOTAL(9,VIEW_IV_2019_VENDA[Venda-ALBUREX])</f>
        <v>13584502</v>
      </c>
      <c r="I3" s="68">
        <f>SUBTOTAL(9,VIEW_IV_2019_VENDA[Venda-RHOPHYLAC])</f>
        <v>8766000</v>
      </c>
      <c r="J3" s="68">
        <f>SUBTOTAL(9,VIEW_IV_2019_VENDA[Venda-OUTROS PRODUTOS])</f>
        <v>58927624</v>
      </c>
      <c r="K3" s="68">
        <f>SUBTOTAL(9,VIEW_IV_2019_VENDA[Venda-TOTAL])</f>
        <v>81278127</v>
      </c>
      <c r="L3" s="70">
        <f>IFERROR(H3/D3,0)</f>
        <v>0.93535229027183497</v>
      </c>
      <c r="M3" s="70">
        <f t="shared" si="0"/>
        <v>1.4470062437840716</v>
      </c>
      <c r="N3" s="70">
        <f t="shared" si="0"/>
        <v>1.0908526200169069</v>
      </c>
      <c r="O3" s="70">
        <f t="shared" si="0"/>
        <v>1.0895013695219125</v>
      </c>
      <c r="P3"/>
      <c r="Q3"/>
      <c r="R3"/>
      <c r="S3"/>
      <c r="T3" s="68">
        <f>SUBTOTAL(9,VIEW_IV_2019_VENDA[Premio-ALBUREX])</f>
        <v>1434.0206187134788</v>
      </c>
      <c r="U3" s="68">
        <f>SUBTOTAL(9,VIEW_IV_2019_VENDA[Premio-RHOPYLAC])</f>
        <v>1222.3610503994719</v>
      </c>
      <c r="V3" s="68">
        <f>SUBTOTAL(9,VIEW_IV_2019_VENDA[Premio-OUTROS])</f>
        <v>998.44181373337346</v>
      </c>
      <c r="W3" s="68">
        <f>SUBTOTAL(9,VIEW_IV_2019_VENDA[Premio-Total-REP])</f>
        <v>3654.8234828463242</v>
      </c>
      <c r="X3" s="68">
        <f>SUBTOTAL(9,VIEW_IV_2019_VENDA[Premio-TOTAL-GR])</f>
        <v>12020.244240742424</v>
      </c>
    </row>
    <row r="5" spans="1:24" x14ac:dyDescent="0.25">
      <c r="A5" s="6" t="s">
        <v>2</v>
      </c>
      <c r="B5" s="6" t="s">
        <v>3</v>
      </c>
      <c r="C5" s="6" t="s">
        <v>4</v>
      </c>
      <c r="D5" s="6" t="s">
        <v>837</v>
      </c>
      <c r="E5" s="6" t="s">
        <v>840</v>
      </c>
      <c r="F5" s="6" t="s">
        <v>843</v>
      </c>
      <c r="G5" s="6" t="s">
        <v>845</v>
      </c>
      <c r="H5" s="6" t="s">
        <v>838</v>
      </c>
      <c r="I5" s="6" t="s">
        <v>841</v>
      </c>
      <c r="J5" s="6" t="s">
        <v>909</v>
      </c>
      <c r="K5" s="6" t="s">
        <v>846</v>
      </c>
      <c r="L5" s="6" t="s">
        <v>839</v>
      </c>
      <c r="M5" s="6" t="s">
        <v>842</v>
      </c>
      <c r="N5" s="6" t="s">
        <v>844</v>
      </c>
      <c r="O5" s="6" t="s">
        <v>847</v>
      </c>
      <c r="P5" s="6" t="s">
        <v>911</v>
      </c>
      <c r="Q5" s="6" t="s">
        <v>910</v>
      </c>
      <c r="R5" s="6" t="s">
        <v>908</v>
      </c>
      <c r="S5" s="6" t="s">
        <v>907</v>
      </c>
      <c r="T5" s="36" t="s">
        <v>903</v>
      </c>
      <c r="U5" s="36" t="s">
        <v>904</v>
      </c>
      <c r="V5" s="36" t="s">
        <v>905</v>
      </c>
      <c r="W5" s="36" t="s">
        <v>976</v>
      </c>
      <c r="X5" s="36" t="s">
        <v>906</v>
      </c>
    </row>
    <row r="6" spans="1:24" x14ac:dyDescent="0.25">
      <c r="A6" s="7" t="s">
        <v>16</v>
      </c>
      <c r="B6" s="7" t="s">
        <v>17</v>
      </c>
      <c r="C6" s="7" t="s">
        <v>18</v>
      </c>
      <c r="D6" s="45">
        <v>3174515</v>
      </c>
      <c r="E6" s="45">
        <v>1236332</v>
      </c>
      <c r="F6" s="45">
        <v>11394795</v>
      </c>
      <c r="G6" s="45">
        <v>15805642</v>
      </c>
      <c r="H6" s="45">
        <v>6059605</v>
      </c>
      <c r="I6" s="45">
        <v>3417517</v>
      </c>
      <c r="J6" s="46">
        <v>20302844</v>
      </c>
      <c r="K6" s="45">
        <v>29779966</v>
      </c>
      <c r="L6" s="12">
        <v>1.91</v>
      </c>
      <c r="M6" s="12">
        <v>2.76</v>
      </c>
      <c r="N6" s="12">
        <v>1.78</v>
      </c>
      <c r="O6" s="12">
        <v>1.88</v>
      </c>
      <c r="P6" s="12">
        <v>0.1</v>
      </c>
      <c r="Q6" s="12">
        <v>0.05</v>
      </c>
      <c r="R6" s="12">
        <v>0.05</v>
      </c>
      <c r="S6" s="12">
        <v>0.4</v>
      </c>
      <c r="T6" s="46">
        <f>IF(VIEW_IV_2019_VENDA[[#This Row],[Cobertura-ALBUREX]]&lt;Cob_Min_REP,0,IF(VIEW_IV_2019_VENDA[[#This Row],[Cobertura-ALBUREX]]&gt;Cob_Max_REP,Vlr_Max_REP,VLOOKUP(VIEW_IV_2019_VENDA[[#This Row],[Cobertura-ALBUREX]],Tabela_Valores_REP,2,1)))*VIEW_IV_2019_VENDA[[#This Row],[Peso-ALBUREX]]</f>
        <v>814.90736693298118</v>
      </c>
      <c r="U6" s="46">
        <f>IF(VIEW_IV_2019_VENDA[[#This Row],[Cobertura-RHOPYLAC]]&lt;Cob_Min_REP,0,IF(VIEW_IV_2019_VENDA[[#This Row],[Cobertura-RHOPYLAC]]&gt;Cob_Max_REP,Vlr_Max_REP,VLOOKUP(VIEW_IV_2019_VENDA[[#This Row],[Cobertura-RHOPYLAC]],Tabela_Valores_REP,2,1)))*VIEW_IV_2019_VENDA[[#This Row],[Peso-RHOPHYLAC]]</f>
        <v>407.45368346649059</v>
      </c>
      <c r="V6" s="45">
        <f>IF(VIEW_IV_2019_VENDA[[#This Row],[Cobertura-OUTROS PRODUTOS]]&lt;Cob_Min_REP,0,IF(VIEW_IV_2019_VENDA[[#This Row],[Cobertura-OUTROS PRODUTOS]]&gt;Cob_Max_REP,Vlr_Max_REP,VLOOKUP(VIEW_IV_2019_VENDA[[#This Row],[Cobertura-OUTROS PRODUTOS]],Tabela_Valores_REP,2,1)))*VIEW_IV_2019_VENDA[[#This Row],[Peso-OUTROS PRODUTOS]]</f>
        <v>407.45368346649059</v>
      </c>
      <c r="W6" s="105">
        <f>SUM(VIEW_IV_2019_VENDA[[#This Row],[Premio-ALBUREX]:[Premio-OUTROS]])</f>
        <v>1629.8147338659624</v>
      </c>
      <c r="X6" s="105">
        <f>IF(VIEW_IV_2019_VENDA[[#This Row],[Cobertura-TOTAL]]&lt;Cob_Min_GR,0,IF(VIEW_IV_2019_VENDA[[#This Row],[Cobertura-TOTAL]]&gt;Cob_Max_GR,Vlr_Max_GR,VLOOKUP(VIEW_IV_2019_VENDA[[#This Row],[Cobertura-TOTAL]],Tabela_Valores_GR,2,1)))*VIEW_IV_2019_VENDA[[#This Row],[Peso-TOTAL]]</f>
        <v>4889.444201597893</v>
      </c>
    </row>
    <row r="7" spans="1:24" x14ac:dyDescent="0.25">
      <c r="A7" s="7" t="s">
        <v>16</v>
      </c>
      <c r="B7" s="7" t="s">
        <v>55</v>
      </c>
      <c r="C7" s="7" t="s">
        <v>18</v>
      </c>
      <c r="D7" s="45">
        <v>3571330</v>
      </c>
      <c r="E7" s="45">
        <v>1483598</v>
      </c>
      <c r="F7" s="45">
        <v>12035950</v>
      </c>
      <c r="G7" s="45">
        <v>17090877</v>
      </c>
      <c r="H7" s="45">
        <v>3669574</v>
      </c>
      <c r="I7" s="45">
        <v>2696447</v>
      </c>
      <c r="J7" s="46">
        <v>20405836</v>
      </c>
      <c r="K7" s="45">
        <v>26771857</v>
      </c>
      <c r="L7" s="12">
        <v>1.03</v>
      </c>
      <c r="M7" s="12">
        <v>1.82</v>
      </c>
      <c r="N7" s="12">
        <v>1.7</v>
      </c>
      <c r="O7" s="12">
        <v>1.57</v>
      </c>
      <c r="P7" s="12">
        <v>0.1</v>
      </c>
      <c r="Q7" s="12">
        <v>0.05</v>
      </c>
      <c r="R7" s="12">
        <v>0.05</v>
      </c>
      <c r="S7" s="12">
        <v>0.4</v>
      </c>
      <c r="T7" s="46">
        <f>IF(VIEW_IV_2019_VENDA[[#This Row],[Cobertura-ALBUREX]]&lt;Cob_Min_REP,0,IF(VIEW_IV_2019_VENDA[[#This Row],[Cobertura-ALBUREX]]&gt;Cob_Max_REP,Vlr_Max_REP,VLOOKUP(VIEW_IV_2019_VENDA[[#This Row],[Cobertura-ALBUREX]],Tabela_Valores_REP,2,1)))*VIEW_IV_2019_VENDA[[#This Row],[Peso-ALBUREX]]</f>
        <v>370.31409992927854</v>
      </c>
      <c r="U7" s="46">
        <f>IF(VIEW_IV_2019_VENDA[[#This Row],[Cobertura-RHOPYLAC]]&lt;Cob_Min_REP,0,IF(VIEW_IV_2019_VENDA[[#This Row],[Cobertura-RHOPYLAC]]&gt;Cob_Max_REP,Vlr_Max_REP,VLOOKUP(VIEW_IV_2019_VENDA[[#This Row],[Cobertura-RHOPYLAC]],Tabela_Valores_REP,2,1)))*VIEW_IV_2019_VENDA[[#This Row],[Peso-RHOPHYLAC]]</f>
        <v>407.45368346649059</v>
      </c>
      <c r="V7" s="45">
        <f>IF(VIEW_IV_2019_VENDA[[#This Row],[Cobertura-OUTROS PRODUTOS]]&lt;Cob_Min_REP,0,IF(VIEW_IV_2019_VENDA[[#This Row],[Cobertura-OUTROS PRODUTOS]]&gt;Cob_Max_REP,Vlr_Max_REP,VLOOKUP(VIEW_IV_2019_VENDA[[#This Row],[Cobertura-OUTROS PRODUTOS]],Tabela_Valores_REP,2,1)))*VIEW_IV_2019_VENDA[[#This Row],[Peso-OUTROS PRODUTOS]]</f>
        <v>407.45368346649059</v>
      </c>
      <c r="W7" s="105">
        <f>SUM(VIEW_IV_2019_VENDA[[#This Row],[Premio-ALBUREX]:[Premio-OUTROS]])</f>
        <v>1185.2214668622596</v>
      </c>
      <c r="X7" s="105">
        <f>IF(VIEW_IV_2019_VENDA[[#This Row],[Cobertura-TOTAL]]&lt;Cob_Min_GR,0,IF(VIEW_IV_2019_VENDA[[#This Row],[Cobertura-TOTAL]]&gt;Cob_Max_GR,Vlr_Max_GR,VLOOKUP(VIEW_IV_2019_VENDA[[#This Row],[Cobertura-TOTAL]],Tabela_Valores_GR,2,1)))*VIEW_IV_2019_VENDA[[#This Row],[Peso-TOTAL]]</f>
        <v>4889.444201597893</v>
      </c>
    </row>
    <row r="8" spans="1:24" x14ac:dyDescent="0.25">
      <c r="A8" s="7" t="s">
        <v>16</v>
      </c>
      <c r="B8" s="7" t="s">
        <v>60</v>
      </c>
      <c r="C8" s="7" t="s">
        <v>18</v>
      </c>
      <c r="D8" s="45">
        <v>3809418</v>
      </c>
      <c r="E8" s="45">
        <v>1483598</v>
      </c>
      <c r="F8" s="45">
        <v>15411961</v>
      </c>
      <c r="G8" s="45">
        <v>20704977</v>
      </c>
      <c r="H8" s="45">
        <v>3497946</v>
      </c>
      <c r="I8" s="45">
        <v>2320438</v>
      </c>
      <c r="J8" s="46">
        <v>15704382</v>
      </c>
      <c r="K8" s="45">
        <v>21522767</v>
      </c>
      <c r="L8" s="12">
        <v>0.92</v>
      </c>
      <c r="M8" s="12">
        <v>1.56</v>
      </c>
      <c r="N8" s="12">
        <v>1.02</v>
      </c>
      <c r="O8" s="12">
        <v>1.04</v>
      </c>
      <c r="P8" s="12">
        <v>0.1</v>
      </c>
      <c r="Q8" s="12">
        <v>0.05</v>
      </c>
      <c r="R8" s="12">
        <v>0.05</v>
      </c>
      <c r="S8" s="12">
        <v>0.4</v>
      </c>
      <c r="T8" s="46">
        <f>IF(VIEW_IV_2019_VENDA[[#This Row],[Cobertura-ALBUREX]]&lt;Cob_Min_REP,0,IF(VIEW_IV_2019_VENDA[[#This Row],[Cobertura-ALBUREX]]&gt;Cob_Max_REP,Vlr_Max_REP,VLOOKUP(VIEW_IV_2019_VENDA[[#This Row],[Cobertura-ALBUREX]],Tabela_Valores_REP,2,1)))*VIEW_IV_2019_VENDA[[#This Row],[Peso-ALBUREX]]</f>
        <v>248.79915185121919</v>
      </c>
      <c r="U8" s="46">
        <f>IF(VIEW_IV_2019_VENDA[[#This Row],[Cobertura-RHOPYLAC]]&lt;Cob_Min_REP,0,IF(VIEW_IV_2019_VENDA[[#This Row],[Cobertura-RHOPYLAC]]&gt;Cob_Max_REP,Vlr_Max_REP,VLOOKUP(VIEW_IV_2019_VENDA[[#This Row],[Cobertura-RHOPYLAC]],Tabela_Valores_REP,2,1)))*VIEW_IV_2019_VENDA[[#This Row],[Peso-RHOPHYLAC]]</f>
        <v>407.45368346649059</v>
      </c>
      <c r="V8" s="45">
        <f>IF(VIEW_IV_2019_VENDA[[#This Row],[Cobertura-OUTROS PRODUTOS]]&lt;Cob_Min_REP,0,IF(VIEW_IV_2019_VENDA[[#This Row],[Cobertura-OUTROS PRODUTOS]]&gt;Cob_Max_REP,Vlr_Max_REP,VLOOKUP(VIEW_IV_2019_VENDA[[#This Row],[Cobertura-OUTROS PRODUTOS]],Tabela_Valores_REP,2,1)))*VIEW_IV_2019_VENDA[[#This Row],[Peso-OUTROS PRODUTOS]]</f>
        <v>183.53444680039229</v>
      </c>
      <c r="W8" s="105">
        <f>SUM(VIEW_IV_2019_VENDA[[#This Row],[Premio-ALBUREX]:[Premio-OUTROS]])</f>
        <v>839.7872821181021</v>
      </c>
      <c r="X8" s="105">
        <f>IF(VIEW_IV_2019_VENDA[[#This Row],[Cobertura-TOTAL]]&lt;Cob_Min_GR,0,IF(VIEW_IV_2019_VENDA[[#This Row],[Cobertura-TOTAL]]&gt;Cob_Max_GR,Vlr_Max_GR,VLOOKUP(VIEW_IV_2019_VENDA[[#This Row],[Cobertura-TOTAL]],Tabela_Valores_GR,2,1)))*VIEW_IV_2019_VENDA[[#This Row],[Peso-TOTAL]]</f>
        <v>2241.3558375466391</v>
      </c>
    </row>
    <row r="9" spans="1:24" x14ac:dyDescent="0.25">
      <c r="A9" s="7" t="s">
        <v>16</v>
      </c>
      <c r="B9" s="7" t="s">
        <v>65</v>
      </c>
      <c r="C9" s="7" t="s">
        <v>66</v>
      </c>
      <c r="D9" s="45">
        <v>3968144</v>
      </c>
      <c r="E9" s="45">
        <v>1854497</v>
      </c>
      <c r="F9" s="45">
        <v>15177079</v>
      </c>
      <c r="G9" s="45">
        <v>20999720</v>
      </c>
      <c r="H9" s="45">
        <v>357377</v>
      </c>
      <c r="I9" s="45">
        <v>331598</v>
      </c>
      <c r="J9" s="46">
        <v>2514562</v>
      </c>
      <c r="K9" s="45">
        <v>3203537</v>
      </c>
      <c r="L9" s="12">
        <v>0.09</v>
      </c>
      <c r="M9" s="12">
        <v>0.18</v>
      </c>
      <c r="N9" s="12">
        <v>0.17</v>
      </c>
      <c r="O9" s="12">
        <v>0.15</v>
      </c>
      <c r="P9" s="12">
        <v>0.1</v>
      </c>
      <c r="Q9" s="12">
        <v>0.05</v>
      </c>
      <c r="R9" s="12">
        <v>0.05</v>
      </c>
      <c r="S9" s="12">
        <v>0.4</v>
      </c>
      <c r="T9" s="46">
        <f>IF(VIEW_IV_2019_VENDA[[#This Row],[Cobertura-ALBUREX]]&lt;Cob_Min_REP,0,IF(VIEW_IV_2019_VENDA[[#This Row],[Cobertura-ALBUREX]]&gt;Cob_Max_REP,Vlr_Max_REP,VLOOKUP(VIEW_IV_2019_VENDA[[#This Row],[Cobertura-ALBUREX]],Tabela_Valores_REP,2,1)))*VIEW_IV_2019_VENDA[[#This Row],[Peso-ALBUREX]]</f>
        <v>0</v>
      </c>
      <c r="U9" s="46">
        <f>IF(VIEW_IV_2019_VENDA[[#This Row],[Cobertura-RHOPYLAC]]&lt;Cob_Min_REP,0,IF(VIEW_IV_2019_VENDA[[#This Row],[Cobertura-RHOPYLAC]]&gt;Cob_Max_REP,Vlr_Max_REP,VLOOKUP(VIEW_IV_2019_VENDA[[#This Row],[Cobertura-RHOPYLAC]],Tabela_Valores_REP,2,1)))*VIEW_IV_2019_VENDA[[#This Row],[Peso-RHOPHYLAC]]</f>
        <v>0</v>
      </c>
      <c r="V9" s="45">
        <f>IF(VIEW_IV_2019_VENDA[[#This Row],[Cobertura-OUTROS PRODUTOS]]&lt;Cob_Min_REP,0,IF(VIEW_IV_2019_VENDA[[#This Row],[Cobertura-OUTROS PRODUTOS]]&gt;Cob_Max_REP,Vlr_Max_REP,VLOOKUP(VIEW_IV_2019_VENDA[[#This Row],[Cobertura-OUTROS PRODUTOS]],Tabela_Valores_REP,2,1)))*VIEW_IV_2019_VENDA[[#This Row],[Peso-OUTROS PRODUTOS]]</f>
        <v>0</v>
      </c>
      <c r="W9" s="105">
        <f>SUM(VIEW_IV_2019_VENDA[[#This Row],[Premio-ALBUREX]:[Premio-OUTROS]])</f>
        <v>0</v>
      </c>
      <c r="X9" s="105">
        <f>IF(VIEW_IV_2019_VENDA[[#This Row],[Cobertura-TOTAL]]&lt;Cob_Min_GR,0,IF(VIEW_IV_2019_VENDA[[#This Row],[Cobertura-TOTAL]]&gt;Cob_Max_GR,Vlr_Max_GR,VLOOKUP(VIEW_IV_2019_VENDA[[#This Row],[Cobertura-TOTAL]],Tabela_Valores_GR,2,1)))*VIEW_IV_2019_VENDA[[#This Row],[Peso-TOTAL]]</f>
        <v>0</v>
      </c>
    </row>
  </sheetData>
  <phoneticPr fontId="5" type="noConversion"/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A16221-3B85-4B15-A87D-71F346E05581}">
  <sheetPr codeName="Planilha3">
    <tabColor theme="9" tint="0.39997558519241921"/>
  </sheetPr>
  <dimension ref="A1:BB125"/>
  <sheetViews>
    <sheetView showGridLines="0" workbookViewId="0">
      <pane xSplit="5" ySplit="5" topLeftCell="AC6" activePane="bottomRight" state="frozen"/>
      <selection pane="topRight" activeCell="F1" sqref="F1"/>
      <selection pane="bottomLeft" activeCell="A6" sqref="A6"/>
      <selection pane="bottomRight" activeCell="A6" sqref="A6"/>
    </sheetView>
  </sheetViews>
  <sheetFormatPr defaultRowHeight="12.75" x14ac:dyDescent="0.25"/>
  <cols>
    <col min="1" max="1" width="13.28515625" style="6" bestFit="1" customWidth="1"/>
    <col min="2" max="2" width="13.42578125" style="6" bestFit="1" customWidth="1"/>
    <col min="3" max="3" width="12.140625" style="6" bestFit="1" customWidth="1"/>
    <col min="4" max="4" width="32.42578125" style="6" bestFit="1" customWidth="1"/>
    <col min="5" max="5" width="46.85546875" style="6" bestFit="1" customWidth="1"/>
    <col min="6" max="6" width="12" style="6" bestFit="1" customWidth="1"/>
    <col min="7" max="7" width="24.85546875" style="6" bestFit="1" customWidth="1"/>
    <col min="8" max="8" width="12" style="6" bestFit="1" customWidth="1"/>
    <col min="9" max="9" width="9.5703125" style="6" bestFit="1" customWidth="1"/>
    <col min="10" max="10" width="17" style="6" bestFit="1" customWidth="1"/>
    <col min="11" max="11" width="16.7109375" style="3" bestFit="1" customWidth="1"/>
    <col min="12" max="12" width="15.7109375" style="3" bestFit="1" customWidth="1"/>
    <col min="13" max="13" width="17.28515625" style="3" bestFit="1" customWidth="1"/>
    <col min="14" max="14" width="17" style="3" bestFit="1" customWidth="1"/>
    <col min="15" max="15" width="21" style="3" bestFit="1" customWidth="1"/>
    <col min="16" max="16" width="20.7109375" style="3" bestFit="1" customWidth="1"/>
    <col min="17" max="17" width="19.7109375" style="3" bestFit="1" customWidth="1"/>
    <col min="18" max="18" width="21.28515625" style="3" bestFit="1" customWidth="1"/>
    <col min="19" max="19" width="21" style="3" bestFit="1" customWidth="1"/>
    <col min="20" max="20" width="21.28515625" style="3" bestFit="1" customWidth="1"/>
    <col min="21" max="21" width="21" style="3" bestFit="1" customWidth="1"/>
    <col min="22" max="22" width="20" style="3" bestFit="1" customWidth="1"/>
    <col min="23" max="23" width="21.5703125" style="3" bestFit="1" customWidth="1"/>
    <col min="24" max="24" width="21.28515625" style="3" bestFit="1" customWidth="1"/>
    <col min="25" max="25" width="21.5703125" style="5" bestFit="1" customWidth="1"/>
    <col min="26" max="26" width="21.28515625" style="3" bestFit="1" customWidth="1"/>
    <col min="27" max="27" width="20.28515625" style="3" bestFit="1" customWidth="1"/>
    <col min="28" max="28" width="22" style="3" bestFit="1" customWidth="1"/>
    <col min="29" max="29" width="21.5703125" style="3" bestFit="1" customWidth="1"/>
    <col min="30" max="30" width="17.140625" style="3" bestFit="1" customWidth="1"/>
    <col min="31" max="31" width="16.85546875" style="3" bestFit="1" customWidth="1"/>
    <col min="32" max="32" width="15.85546875" style="3" bestFit="1" customWidth="1"/>
    <col min="33" max="33" width="17.42578125" style="3" bestFit="1" customWidth="1"/>
    <col min="34" max="34" width="17.140625" style="3" bestFit="1" customWidth="1"/>
    <col min="35" max="35" width="19.28515625" style="3" bestFit="1" customWidth="1"/>
    <col min="36" max="36" width="19" style="3" bestFit="1" customWidth="1"/>
    <col min="37" max="37" width="18" style="3" bestFit="1" customWidth="1"/>
    <col min="38" max="38" width="19.5703125" style="3" bestFit="1" customWidth="1"/>
    <col min="39" max="39" width="19.28515625" style="3" bestFit="1" customWidth="1"/>
    <col min="40" max="40" width="15.7109375" style="3" bestFit="1" customWidth="1"/>
    <col min="41" max="41" width="19" style="3" bestFit="1" customWidth="1"/>
    <col min="42" max="42" width="19.28515625" style="3" bestFit="1" customWidth="1"/>
    <col min="43" max="43" width="19.7109375" style="3" bestFit="1" customWidth="1"/>
    <col min="44" max="44" width="12.7109375" style="3" bestFit="1" customWidth="1"/>
    <col min="45" max="45" width="14.7109375" style="3" bestFit="1" customWidth="1"/>
    <col min="46" max="46" width="18.7109375" style="3" bestFit="1" customWidth="1"/>
    <col min="47" max="47" width="19" style="3" bestFit="1" customWidth="1"/>
    <col min="48" max="48" width="19.28515625" style="3" bestFit="1" customWidth="1"/>
    <col min="49" max="49" width="12.42578125" style="3" bestFit="1" customWidth="1"/>
    <col min="50" max="51" width="17.28515625" style="6" bestFit="1" customWidth="1"/>
    <col min="52" max="52" width="16.28515625" style="6" bestFit="1" customWidth="1"/>
    <col min="53" max="53" width="18" style="6" bestFit="1" customWidth="1"/>
    <col min="54" max="54" width="17.7109375" style="6" bestFit="1" customWidth="1"/>
    <col min="55" max="56" width="17.7109375" style="3" bestFit="1" customWidth="1"/>
    <col min="57" max="16384" width="9.140625" style="3"/>
  </cols>
  <sheetData>
    <row r="1" spans="1:54" ht="15.75" x14ac:dyDescent="0.25">
      <c r="A1" s="49" t="s">
        <v>902</v>
      </c>
    </row>
    <row r="2" spans="1:54" ht="15" x14ac:dyDescent="0.25">
      <c r="A2" s="63" t="s">
        <v>901</v>
      </c>
      <c r="I2" s="83" t="s">
        <v>850</v>
      </c>
      <c r="J2" s="50">
        <f>SUM(VIEW_IV_2019_REP_CALCULO[Cota-BERINERT])</f>
        <v>1840</v>
      </c>
      <c r="K2" s="50">
        <f>SUM(VIEW_IV_2019_REP_CALCULO[Cota-BERIPLEX])</f>
        <v>11100</v>
      </c>
      <c r="L2" s="50">
        <f>SUM(VIEW_IV_2019_REP_CALCULO[Cota-HAEMO])</f>
        <v>8200</v>
      </c>
      <c r="M2" s="50">
        <f>SUM(VIEW_IV_2019_REP_CALCULO[Cota-HIZENTRA])</f>
        <v>40440</v>
      </c>
      <c r="N2" s="50">
        <f>SUM(VIEW_IV_2019_REP_CALCULO[Cota-PRIVIGEN])</f>
        <v>541260</v>
      </c>
      <c r="O2" s="50">
        <f>SUM(VIEW_IV_2019_REP_CALCULO[Demanda-BERINERT])</f>
        <v>903</v>
      </c>
      <c r="P2" s="50">
        <f>SUM(VIEW_IV_2019_REP_CALCULO[Demanda-BERIPLEX])</f>
        <v>6302</v>
      </c>
      <c r="Q2" s="50">
        <f>SUM(VIEW_IV_2019_REP_CALCULO[Demanda-HAEMO])</f>
        <v>4297</v>
      </c>
      <c r="R2" s="50">
        <f>SUM(VIEW_IV_2019_REP_CALCULO[Demanda-HIZENTRA])</f>
        <v>13331</v>
      </c>
      <c r="S2" s="50">
        <f>SUM(VIEW_IV_2019_REP_CALCULO[Demanda-PRIVIGEN])</f>
        <v>458849</v>
      </c>
      <c r="X2"/>
      <c r="Y2" s="53">
        <f>IFERROR(O2/J2,0)</f>
        <v>0.49076086956521742</v>
      </c>
      <c r="Z2" s="53">
        <f t="shared" ref="Z2:AC3" si="0">IFERROR(P2/K2,0)</f>
        <v>0.56774774774774772</v>
      </c>
      <c r="AA2" s="53">
        <f t="shared" si="0"/>
        <v>0.52402439024390246</v>
      </c>
      <c r="AB2" s="53">
        <f t="shared" si="0"/>
        <v>0.32964886251236397</v>
      </c>
      <c r="AC2" s="53">
        <f t="shared" si="0"/>
        <v>0.84774230499205561</v>
      </c>
      <c r="AI2" s="59">
        <f>SUM(VIEW_IV_2019_REP_CALCULO[Premio-BERINERT])</f>
        <v>5658.2047345396804</v>
      </c>
      <c r="AJ2" s="59">
        <f>SUM(VIEW_IV_2019_REP_CALCULO[Premio-BERIPLEX])</f>
        <v>32515.921733916846</v>
      </c>
      <c r="AK2" s="59">
        <f>SUM(VIEW_IV_2019_REP_CALCULO[Premio-HAEMO])</f>
        <v>19986.720967322271</v>
      </c>
      <c r="AL2" s="59">
        <f>SUM(VIEW_IV_2019_REP_CALCULO[Premio-HIZENTRA])</f>
        <v>10270.717451203103</v>
      </c>
      <c r="AM2" s="59">
        <f>SUM(VIEW_IV_2019_REP_CALCULO[Premio-PRIVIGEN])</f>
        <v>67266.826080729676</v>
      </c>
      <c r="AN2" s="59">
        <f>SUM(VIEW_IV_2019_REP_CALCULO[Premio-Total])</f>
        <v>135698.39096771154</v>
      </c>
    </row>
    <row r="3" spans="1:54" ht="15" x14ac:dyDescent="0.25">
      <c r="A3" s="3"/>
      <c r="I3" s="83" t="s">
        <v>969</v>
      </c>
      <c r="J3" s="58">
        <f>SUBTOTAL(9,VIEW_IV_2019_REP_CALCULO[Cota-BERINERT])</f>
        <v>1840</v>
      </c>
      <c r="K3" s="58">
        <f>SUBTOTAL(9,VIEW_IV_2019_REP_CALCULO[Cota-BERIPLEX])</f>
        <v>11100</v>
      </c>
      <c r="L3" s="58">
        <f>SUBTOTAL(9,VIEW_IV_2019_REP_CALCULO[Cota-HAEMO])</f>
        <v>8200</v>
      </c>
      <c r="M3" s="58">
        <f>SUBTOTAL(9,VIEW_IV_2019_REP_CALCULO[Cota-HIZENTRA])</f>
        <v>40440</v>
      </c>
      <c r="N3" s="58">
        <f>SUBTOTAL(9,VIEW_IV_2019_REP_CALCULO[Cota-PRIVIGEN])</f>
        <v>541260</v>
      </c>
      <c r="O3" s="58">
        <f>SUBTOTAL(9,VIEW_IV_2019_REP_CALCULO[Demanda-BERINERT])</f>
        <v>903</v>
      </c>
      <c r="P3" s="58">
        <f>SUBTOTAL(9,VIEW_IV_2019_REP_CALCULO[Demanda-BERIPLEX])</f>
        <v>6302</v>
      </c>
      <c r="Q3" s="58">
        <f>SUBTOTAL(9,VIEW_IV_2019_REP_CALCULO[Demanda-HAEMO])</f>
        <v>4297</v>
      </c>
      <c r="R3" s="58">
        <f>SUBTOTAL(9,VIEW_IV_2019_REP_CALCULO[Demanda-HIZENTRA])</f>
        <v>13331</v>
      </c>
      <c r="S3" s="58">
        <f>SUBTOTAL(9,VIEW_IV_2019_REP_CALCULO[Demanda-PRIVIGEN])</f>
        <v>458849</v>
      </c>
      <c r="X3"/>
      <c r="Y3" s="54">
        <f>IFERROR(O3/J3,0)</f>
        <v>0.49076086956521742</v>
      </c>
      <c r="Z3" s="54">
        <f t="shared" si="0"/>
        <v>0.56774774774774772</v>
      </c>
      <c r="AA3" s="54">
        <f t="shared" si="0"/>
        <v>0.52402439024390246</v>
      </c>
      <c r="AB3" s="54">
        <f t="shared" si="0"/>
        <v>0.32964886251236397</v>
      </c>
      <c r="AC3" s="54">
        <f t="shared" si="0"/>
        <v>0.84774230499205561</v>
      </c>
      <c r="AI3" s="60">
        <f>SUBTOTAL(9,VIEW_IV_2019_REP_CALCULO[Premio-BERINERT])</f>
        <v>5658.2047345396804</v>
      </c>
      <c r="AJ3" s="60">
        <f>SUBTOTAL(9,VIEW_IV_2019_REP_CALCULO[Premio-BERIPLEX])</f>
        <v>32515.921733916846</v>
      </c>
      <c r="AK3" s="60">
        <f>SUBTOTAL(9,VIEW_IV_2019_REP_CALCULO[Premio-HAEMO])</f>
        <v>19986.720967322271</v>
      </c>
      <c r="AL3" s="60">
        <f>SUBTOTAL(9,VIEW_IV_2019_REP_CALCULO[Premio-HIZENTRA])</f>
        <v>10270.717451203103</v>
      </c>
      <c r="AM3" s="60">
        <f>SUBTOTAL(9,VIEW_IV_2019_REP_CALCULO[Premio-PRIVIGEN])</f>
        <v>67266.826080729676</v>
      </c>
      <c r="AN3" s="60">
        <f>SUBTOTAL(9,VIEW_IV_2019_REP_CALCULO[Premio-Total])</f>
        <v>135698.39096771154</v>
      </c>
    </row>
    <row r="5" spans="1:54" x14ac:dyDescent="0.2">
      <c r="A5" s="6" t="s">
        <v>2</v>
      </c>
      <c r="B5" s="6" t="s">
        <v>3</v>
      </c>
      <c r="C5" s="6" t="s">
        <v>4</v>
      </c>
      <c r="D5" s="6" t="s">
        <v>708</v>
      </c>
      <c r="E5" s="6" t="s">
        <v>709</v>
      </c>
      <c r="F5" s="6" t="s">
        <v>712</v>
      </c>
      <c r="G5" s="6" t="s">
        <v>783</v>
      </c>
      <c r="H5" s="6" t="s">
        <v>713</v>
      </c>
      <c r="I5" s="6" t="s">
        <v>714</v>
      </c>
      <c r="J5" s="6" t="s">
        <v>815</v>
      </c>
      <c r="K5" s="10" t="s">
        <v>818</v>
      </c>
      <c r="L5" s="6" t="s">
        <v>821</v>
      </c>
      <c r="M5" s="6" t="s">
        <v>824</v>
      </c>
      <c r="N5" s="6" t="s">
        <v>827</v>
      </c>
      <c r="O5" s="6" t="s">
        <v>816</v>
      </c>
      <c r="P5" s="6" t="s">
        <v>819</v>
      </c>
      <c r="Q5" s="6" t="s">
        <v>822</v>
      </c>
      <c r="R5" s="6" t="s">
        <v>825</v>
      </c>
      <c r="S5" s="6" t="s">
        <v>828</v>
      </c>
      <c r="T5" s="6" t="s">
        <v>808</v>
      </c>
      <c r="U5" s="6" t="s">
        <v>809</v>
      </c>
      <c r="V5" s="6" t="s">
        <v>810</v>
      </c>
      <c r="W5" s="6" t="s">
        <v>811</v>
      </c>
      <c r="X5" s="6" t="s">
        <v>812</v>
      </c>
      <c r="Y5" s="6" t="s">
        <v>817</v>
      </c>
      <c r="Z5" s="6" t="s">
        <v>820</v>
      </c>
      <c r="AA5" s="6" t="s">
        <v>823</v>
      </c>
      <c r="AB5" s="6" t="s">
        <v>826</v>
      </c>
      <c r="AC5" s="6" t="s">
        <v>829</v>
      </c>
      <c r="AD5" s="81" t="s">
        <v>896</v>
      </c>
      <c r="AE5" s="81" t="s">
        <v>897</v>
      </c>
      <c r="AF5" s="81" t="s">
        <v>898</v>
      </c>
      <c r="AG5" s="81" t="s">
        <v>899</v>
      </c>
      <c r="AH5" s="81" t="s">
        <v>900</v>
      </c>
      <c r="AI5" s="36" t="s">
        <v>927</v>
      </c>
      <c r="AJ5" s="36" t="s">
        <v>928</v>
      </c>
      <c r="AK5" s="36" t="s">
        <v>929</v>
      </c>
      <c r="AL5" s="36" t="s">
        <v>930</v>
      </c>
      <c r="AM5" s="36" t="s">
        <v>931</v>
      </c>
      <c r="AN5" s="36" t="s">
        <v>974</v>
      </c>
      <c r="AX5" s="3"/>
      <c r="AY5" s="3"/>
      <c r="AZ5" s="3"/>
      <c r="BA5" s="3"/>
      <c r="BB5" s="3"/>
    </row>
    <row r="6" spans="1:54" x14ac:dyDescent="0.2">
      <c r="A6" s="7" t="s">
        <v>16</v>
      </c>
      <c r="B6" s="7" t="s">
        <v>17</v>
      </c>
      <c r="C6" s="7" t="s">
        <v>18</v>
      </c>
      <c r="D6" s="8" t="s">
        <v>728</v>
      </c>
      <c r="E6" s="8" t="s">
        <v>729</v>
      </c>
      <c r="F6" s="8" t="s">
        <v>730</v>
      </c>
      <c r="G6" s="8" t="s">
        <v>787</v>
      </c>
      <c r="H6" s="13" t="b">
        <v>1</v>
      </c>
      <c r="I6" s="13" t="b">
        <v>1</v>
      </c>
      <c r="J6" s="10">
        <v>15</v>
      </c>
      <c r="K6" s="10">
        <v>0</v>
      </c>
      <c r="L6" s="10">
        <v>0</v>
      </c>
      <c r="M6" s="10">
        <v>867</v>
      </c>
      <c r="N6" s="10">
        <v>6090</v>
      </c>
      <c r="O6" s="10">
        <v>0</v>
      </c>
      <c r="P6" s="10">
        <v>0</v>
      </c>
      <c r="Q6" s="10">
        <v>0</v>
      </c>
      <c r="R6" s="10">
        <v>964</v>
      </c>
      <c r="S6" s="10">
        <v>7730</v>
      </c>
      <c r="T6" s="14" t="b">
        <v>0</v>
      </c>
      <c r="U6" s="14" t="b">
        <v>0</v>
      </c>
      <c r="V6" s="14" t="b">
        <v>0</v>
      </c>
      <c r="W6" s="14" t="b">
        <v>0</v>
      </c>
      <c r="X6" s="14" t="b">
        <v>0</v>
      </c>
      <c r="Y6" s="55">
        <v>0</v>
      </c>
      <c r="Z6" s="55">
        <v>0</v>
      </c>
      <c r="AA6" s="55">
        <v>0</v>
      </c>
      <c r="AB6" s="55">
        <v>1.1100000000000001</v>
      </c>
      <c r="AC6" s="55">
        <v>1.27</v>
      </c>
      <c r="AD6" s="62">
        <v>0.1</v>
      </c>
      <c r="AE6" s="62">
        <v>0</v>
      </c>
      <c r="AF6" s="62">
        <v>0</v>
      </c>
      <c r="AG6" s="62">
        <v>0.4</v>
      </c>
      <c r="AH6" s="62">
        <v>0.2</v>
      </c>
      <c r="AI6" s="66">
        <f>IF(VIEW_IV_2019_REP_CALCULO[[#This Row],[Cobertura-BERINERT]]&lt;Cob_Min_REP,0,IF(VIEW_IV_2019_REP_CALCULO[[#This Row],[Cobertura-BERINERT]]&gt;Cob_Max_REP,Vlr_Max_REP,VLOOKUP(VIEW_IV_2019_REP_CALCULO[[#This Row],[Cobertura-BERINERT]],Tabela_Valores_REP,2,1)))*VIEW_IV_2019_REP_CALCULO[[#This Row],[Peso-BERINERT]]</f>
        <v>0</v>
      </c>
      <c r="AJ6" s="66">
        <f>IF(VIEW_IV_2019_REP_CALCULO[[#This Row],[Cobertura-BERIPLEX]]&lt;Cob_Min_REP,0,IF(VIEW_IV_2019_REP_CALCULO[[#This Row],[Cobertura-BERIPLEX]]&gt;Cob_Max_REP,Vlr_Max_REP,VLOOKUP(VIEW_IV_2019_REP_CALCULO[[#This Row],[Cobertura-BERIPLEX]],Tabela_Valores_REP,2,1)))*VIEW_IV_2019_REP_CALCULO[[#This Row],[Peso-BERIPLEX]]</f>
        <v>0</v>
      </c>
      <c r="AK6" s="66">
        <f>IF(VIEW_IV_2019_REP_CALCULO[[#This Row],[Cobertura-HAEMO]]&lt;Cob_Min_REP,0,IF(VIEW_IV_2019_REP_CALCULO[[#This Row],[Cobertura-HAEMO]]&gt;Cob_Max_REP,Vlr_Max_REP,VLOOKUP(VIEW_IV_2019_REP_CALCULO[[#This Row],[Cobertura-HAEMO]],Tabela_Valores_REP,2,1)))*VIEW_IV_2019_REP_CALCULO[[#This Row],[Peso-HAEMO]]</f>
        <v>0</v>
      </c>
      <c r="AL6" s="66">
        <f>IF(VIEW_IV_2019_REP_CALCULO[[#This Row],[Cobertura-HIZENTRA]]&lt;Cob_Min_REP,0,IF(VIEW_IV_2019_REP_CALCULO[[#This Row],[Cobertura-HIZENTRA]]&gt;Cob_Max_REP,Vlr_Max_REP,VLOOKUP(VIEW_IV_2019_REP_CALCULO[[#This Row],[Cobertura-HIZENTRA]],Tabela_Valores_REP,2,1)))*VIEW_IV_2019_REP_CALCULO[[#This Row],[Peso-HIZENTRA]]</f>
        <v>2017.3644851843526</v>
      </c>
      <c r="AM6" s="66">
        <f>IF(VIEW_IV_2019_REP_CALCULO[[#This Row],[Cobertura-PRIVIGEN]]&lt;Cob_Min_REP,0,IF(VIEW_IV_2019_REP_CALCULO[[#This Row],[Cobertura-PRIVIGEN]]&gt;Cob_Max_REP,Vlr_Max_REP,VLOOKUP(VIEW_IV_2019_REP_CALCULO[[#This Row],[Cobertura-PRIVIGEN]],Tabela_Valores_REP,2,1)))*VIEW_IV_2019_REP_CALCULO[[#This Row],[Peso-PRIVIGEN]]</f>
        <v>1366.2390758656638</v>
      </c>
      <c r="AN6" s="102">
        <f>SUM(VIEW_IV_2019_REP_CALCULO[[#This Row],[Premio-BERINERT]:[Premio-PRIVIGEN]])</f>
        <v>3383.6035610500167</v>
      </c>
      <c r="AX6" s="3"/>
      <c r="AY6" s="3"/>
      <c r="AZ6" s="3"/>
      <c r="BA6" s="3"/>
      <c r="BB6" s="3"/>
    </row>
    <row r="7" spans="1:54" x14ac:dyDescent="0.2">
      <c r="A7" s="7" t="s">
        <v>16</v>
      </c>
      <c r="B7" s="7" t="s">
        <v>17</v>
      </c>
      <c r="C7" s="7" t="s">
        <v>18</v>
      </c>
      <c r="D7" s="8" t="s">
        <v>733</v>
      </c>
      <c r="E7" s="8" t="s">
        <v>734</v>
      </c>
      <c r="F7" s="8" t="s">
        <v>730</v>
      </c>
      <c r="G7" s="8" t="s">
        <v>785</v>
      </c>
      <c r="H7" s="13" t="b">
        <v>1</v>
      </c>
      <c r="I7" s="13" t="b">
        <v>1</v>
      </c>
      <c r="J7" s="10">
        <v>10</v>
      </c>
      <c r="K7" s="10">
        <v>0</v>
      </c>
      <c r="L7" s="10">
        <v>0</v>
      </c>
      <c r="M7" s="10">
        <v>1071</v>
      </c>
      <c r="N7" s="10">
        <v>5655</v>
      </c>
      <c r="O7" s="10">
        <v>0</v>
      </c>
      <c r="P7" s="10">
        <v>0</v>
      </c>
      <c r="Q7" s="10">
        <v>0</v>
      </c>
      <c r="R7" s="10">
        <v>1275</v>
      </c>
      <c r="S7" s="10">
        <v>8352</v>
      </c>
      <c r="T7" s="14" t="b">
        <v>0</v>
      </c>
      <c r="U7" s="14" t="b">
        <v>0</v>
      </c>
      <c r="V7" s="14" t="b">
        <v>0</v>
      </c>
      <c r="W7" s="14" t="b">
        <v>0</v>
      </c>
      <c r="X7" s="14" t="b">
        <v>0</v>
      </c>
      <c r="Y7" s="55">
        <v>0</v>
      </c>
      <c r="Z7" s="55">
        <v>0</v>
      </c>
      <c r="AA7" s="55">
        <v>0</v>
      </c>
      <c r="AB7" s="55">
        <v>1.19</v>
      </c>
      <c r="AC7" s="55">
        <v>1.48</v>
      </c>
      <c r="AD7" s="62">
        <v>0.1</v>
      </c>
      <c r="AE7" s="62">
        <v>0</v>
      </c>
      <c r="AF7" s="62">
        <v>0</v>
      </c>
      <c r="AG7" s="62">
        <v>0.4</v>
      </c>
      <c r="AH7" s="62">
        <v>0.2</v>
      </c>
      <c r="AI7" s="66">
        <f>IF(VIEW_IV_2019_REP_CALCULO[[#This Row],[Cobertura-BERINERT]]&lt;Cob_Min_REP,0,IF(VIEW_IV_2019_REP_CALCULO[[#This Row],[Cobertura-BERINERT]]&gt;Cob_Max_REP,Vlr_Max_REP,VLOOKUP(VIEW_IV_2019_REP_CALCULO[[#This Row],[Cobertura-BERINERT]],Tabela_Valores_REP,2,1)))*VIEW_IV_2019_REP_CALCULO[[#This Row],[Peso-BERINERT]]</f>
        <v>0</v>
      </c>
      <c r="AJ7" s="65">
        <f>IF(VIEW_IV_2019_REP_CALCULO[[#This Row],[Cobertura-BERIPLEX]]&lt;Cob_Min_REP,0,IF(VIEW_IV_2019_REP_CALCULO[[#This Row],[Cobertura-BERIPLEX]]&gt;Cob_Max_REP,Vlr_Max_REP,VLOOKUP(VIEW_IV_2019_REP_CALCULO[[#This Row],[Cobertura-BERIPLEX]],Tabela_Valores_REP,2,1)))*VIEW_IV_2019_REP_CALCULO[[#This Row],[Peso-BERIPLEX]]</f>
        <v>0</v>
      </c>
      <c r="AK7" s="65">
        <f>IF(VIEW_IV_2019_REP_CALCULO[[#This Row],[Cobertura-HAEMO]]&lt;Cob_Min_REP,0,IF(VIEW_IV_2019_REP_CALCULO[[#This Row],[Cobertura-HAEMO]]&gt;Cob_Max_REP,Vlr_Max_REP,VLOOKUP(VIEW_IV_2019_REP_CALCULO[[#This Row],[Cobertura-HAEMO]],Tabela_Valores_REP,2,1)))*VIEW_IV_2019_REP_CALCULO[[#This Row],[Peso-HAEMO]]</f>
        <v>0</v>
      </c>
      <c r="AL7" s="65">
        <f>IF(VIEW_IV_2019_REP_CALCULO[[#This Row],[Cobertura-HIZENTRA]]&lt;Cob_Min_REP,0,IF(VIEW_IV_2019_REP_CALCULO[[#This Row],[Cobertura-HIZENTRA]]&gt;Cob_Max_REP,Vlr_Max_REP,VLOOKUP(VIEW_IV_2019_REP_CALCULO[[#This Row],[Cobertura-HIZENTRA]],Tabela_Valores_REP,2,1)))*VIEW_IV_2019_REP_CALCULO[[#This Row],[Peso-HIZENTRA]]</f>
        <v>2152.3650684497102</v>
      </c>
      <c r="AM7" s="65">
        <f>IF(VIEW_IV_2019_REP_CALCULO[[#This Row],[Cobertura-PRIVIGEN]]&lt;Cob_Min_REP,0,IF(VIEW_IV_2019_REP_CALCULO[[#This Row],[Cobertura-PRIVIGEN]]&gt;Cob_Max_REP,Vlr_Max_REP,VLOOKUP(VIEW_IV_2019_REP_CALCULO[[#This Row],[Cobertura-PRIVIGEN]],Tabela_Valores_REP,2,1)))*VIEW_IV_2019_REP_CALCULO[[#This Row],[Peso-PRIVIGEN]]</f>
        <v>1599.4396026312575</v>
      </c>
      <c r="AN7" s="102">
        <f>SUM(VIEW_IV_2019_REP_CALCULO[[#This Row],[Premio-BERINERT]:[Premio-PRIVIGEN]])</f>
        <v>3751.8046710809676</v>
      </c>
      <c r="AX7" s="3"/>
      <c r="AY7" s="3"/>
      <c r="AZ7" s="3"/>
      <c r="BA7" s="3"/>
      <c r="BB7" s="3"/>
    </row>
    <row r="8" spans="1:54" x14ac:dyDescent="0.2">
      <c r="A8" s="7" t="s">
        <v>16</v>
      </c>
      <c r="B8" s="7" t="s">
        <v>17</v>
      </c>
      <c r="C8" s="7" t="s">
        <v>18</v>
      </c>
      <c r="D8" s="8" t="s">
        <v>740</v>
      </c>
      <c r="E8" s="8" t="s">
        <v>741</v>
      </c>
      <c r="F8" s="8" t="s">
        <v>730</v>
      </c>
      <c r="G8" s="8" t="s">
        <v>787</v>
      </c>
      <c r="H8" s="13" t="b">
        <v>1</v>
      </c>
      <c r="I8" s="13" t="b">
        <v>1</v>
      </c>
      <c r="J8" s="10">
        <v>15</v>
      </c>
      <c r="K8" s="10">
        <v>0</v>
      </c>
      <c r="L8" s="10">
        <v>0</v>
      </c>
      <c r="M8" s="10">
        <v>612</v>
      </c>
      <c r="N8" s="10">
        <v>6090</v>
      </c>
      <c r="O8" s="10">
        <v>2</v>
      </c>
      <c r="P8" s="10">
        <v>0</v>
      </c>
      <c r="Q8" s="10">
        <v>0</v>
      </c>
      <c r="R8" s="10">
        <v>419</v>
      </c>
      <c r="S8" s="10">
        <v>11410</v>
      </c>
      <c r="T8" s="14" t="b">
        <v>0</v>
      </c>
      <c r="U8" s="14" t="b">
        <v>0</v>
      </c>
      <c r="V8" s="14" t="b">
        <v>0</v>
      </c>
      <c r="W8" s="14" t="b">
        <v>0</v>
      </c>
      <c r="X8" s="14" t="b">
        <v>0</v>
      </c>
      <c r="Y8" s="55">
        <v>0.13</v>
      </c>
      <c r="Z8" s="55">
        <v>0</v>
      </c>
      <c r="AA8" s="55">
        <v>0</v>
      </c>
      <c r="AB8" s="55">
        <v>0.68</v>
      </c>
      <c r="AC8" s="55">
        <v>1.87</v>
      </c>
      <c r="AD8" s="62">
        <v>0.1</v>
      </c>
      <c r="AE8" s="62">
        <v>0</v>
      </c>
      <c r="AF8" s="62">
        <v>0</v>
      </c>
      <c r="AG8" s="62">
        <v>0.4</v>
      </c>
      <c r="AH8" s="62">
        <v>0.2</v>
      </c>
      <c r="AI8" s="66">
        <f>IF(VIEW_IV_2019_REP_CALCULO[[#This Row],[Cobertura-BERINERT]]&lt;Cob_Min_REP,0,IF(VIEW_IV_2019_REP_CALCULO[[#This Row],[Cobertura-BERINERT]]&gt;Cob_Max_REP,Vlr_Max_REP,VLOOKUP(VIEW_IV_2019_REP_CALCULO[[#This Row],[Cobertura-BERINERT]],Tabela_Valores_REP,2,1)))*VIEW_IV_2019_REP_CALCULO[[#This Row],[Peso-BERINERT]]</f>
        <v>0</v>
      </c>
      <c r="AJ8" s="65">
        <f>IF(VIEW_IV_2019_REP_CALCULO[[#This Row],[Cobertura-BERIPLEX]]&lt;Cob_Min_REP,0,IF(VIEW_IV_2019_REP_CALCULO[[#This Row],[Cobertura-BERIPLEX]]&gt;Cob_Max_REP,Vlr_Max_REP,VLOOKUP(VIEW_IV_2019_REP_CALCULO[[#This Row],[Cobertura-BERIPLEX]],Tabela_Valores_REP,2,1)))*VIEW_IV_2019_REP_CALCULO[[#This Row],[Peso-BERIPLEX]]</f>
        <v>0</v>
      </c>
      <c r="AK8" s="65">
        <f>IF(VIEW_IV_2019_REP_CALCULO[[#This Row],[Cobertura-HAEMO]]&lt;Cob_Min_REP,0,IF(VIEW_IV_2019_REP_CALCULO[[#This Row],[Cobertura-HAEMO]]&gt;Cob_Max_REP,Vlr_Max_REP,VLOOKUP(VIEW_IV_2019_REP_CALCULO[[#This Row],[Cobertura-HAEMO]],Tabela_Valores_REP,2,1)))*VIEW_IV_2019_REP_CALCULO[[#This Row],[Peso-HAEMO]]</f>
        <v>0</v>
      </c>
      <c r="AL8" s="65">
        <f>IF(VIEW_IV_2019_REP_CALCULO[[#This Row],[Cobertura-HIZENTRA]]&lt;Cob_Min_REP,0,IF(VIEW_IV_2019_REP_CALCULO[[#This Row],[Cobertura-HIZENTRA]]&gt;Cob_Max_REP,Vlr_Max_REP,VLOOKUP(VIEW_IV_2019_REP_CALCULO[[#This Row],[Cobertura-HIZENTRA]],Tabela_Valores_REP,2,1)))*VIEW_IV_2019_REP_CALCULO[[#This Row],[Peso-HIZENTRA]]</f>
        <v>0</v>
      </c>
      <c r="AM8" s="65">
        <f>IF(VIEW_IV_2019_REP_CALCULO[[#This Row],[Cobertura-PRIVIGEN]]&lt;Cob_Min_REP,0,IF(VIEW_IV_2019_REP_CALCULO[[#This Row],[Cobertura-PRIVIGEN]]&gt;Cob_Max_REP,Vlr_Max_REP,VLOOKUP(VIEW_IV_2019_REP_CALCULO[[#This Row],[Cobertura-PRIVIGEN]],Tabela_Valores_REP,2,1)))*VIEW_IV_2019_REP_CALCULO[[#This Row],[Peso-PRIVIGEN]]</f>
        <v>1629.8147338659624</v>
      </c>
      <c r="AN8" s="102">
        <f>SUM(VIEW_IV_2019_REP_CALCULO[[#This Row],[Premio-BERINERT]:[Premio-PRIVIGEN]])</f>
        <v>1629.8147338659624</v>
      </c>
      <c r="AX8" s="3"/>
      <c r="AY8" s="3"/>
      <c r="AZ8" s="3"/>
      <c r="BA8" s="3"/>
      <c r="BB8" s="3"/>
    </row>
    <row r="9" spans="1:54" x14ac:dyDescent="0.2">
      <c r="A9" s="7" t="s">
        <v>16</v>
      </c>
      <c r="B9" s="7" t="s">
        <v>17</v>
      </c>
      <c r="C9" s="7" t="s">
        <v>18</v>
      </c>
      <c r="D9" s="8" t="s">
        <v>754</v>
      </c>
      <c r="E9" s="8" t="s">
        <v>755</v>
      </c>
      <c r="F9" s="8" t="s">
        <v>730</v>
      </c>
      <c r="G9" s="8" t="s">
        <v>785</v>
      </c>
      <c r="H9" s="13" t="b">
        <v>1</v>
      </c>
      <c r="I9" s="13" t="b">
        <v>1</v>
      </c>
      <c r="J9" s="10">
        <v>38</v>
      </c>
      <c r="K9" s="10">
        <v>0</v>
      </c>
      <c r="L9" s="10">
        <v>0</v>
      </c>
      <c r="M9" s="10">
        <v>663</v>
      </c>
      <c r="N9" s="10">
        <v>8700</v>
      </c>
      <c r="O9" s="10">
        <v>86</v>
      </c>
      <c r="P9" s="10">
        <v>0</v>
      </c>
      <c r="Q9" s="10">
        <v>0</v>
      </c>
      <c r="R9" s="10">
        <v>363</v>
      </c>
      <c r="S9" s="10">
        <v>25572</v>
      </c>
      <c r="T9" s="14" t="b">
        <v>0</v>
      </c>
      <c r="U9" s="14" t="b">
        <v>0</v>
      </c>
      <c r="V9" s="14" t="b">
        <v>0</v>
      </c>
      <c r="W9" s="14" t="b">
        <v>0</v>
      </c>
      <c r="X9" s="14" t="b">
        <v>0</v>
      </c>
      <c r="Y9" s="55">
        <v>2.29</v>
      </c>
      <c r="Z9" s="55">
        <v>0</v>
      </c>
      <c r="AA9" s="55">
        <v>0</v>
      </c>
      <c r="AB9" s="55">
        <v>0.55000000000000004</v>
      </c>
      <c r="AC9" s="55">
        <v>2.94</v>
      </c>
      <c r="AD9" s="62">
        <v>0.1</v>
      </c>
      <c r="AE9" s="62">
        <v>0</v>
      </c>
      <c r="AF9" s="62">
        <v>0</v>
      </c>
      <c r="AG9" s="62">
        <v>0.4</v>
      </c>
      <c r="AH9" s="62">
        <v>0.2</v>
      </c>
      <c r="AI9" s="66">
        <f>IF(VIEW_IV_2019_REP_CALCULO[[#This Row],[Cobertura-BERINERT]]&lt;Cob_Min_REP,0,IF(VIEW_IV_2019_REP_CALCULO[[#This Row],[Cobertura-BERINERT]]&gt;Cob_Max_REP,Vlr_Max_REP,VLOOKUP(VIEW_IV_2019_REP_CALCULO[[#This Row],[Cobertura-BERINERT]],Tabela_Valores_REP,2,1)))*VIEW_IV_2019_REP_CALCULO[[#This Row],[Peso-BERINERT]]</f>
        <v>814.90736693298118</v>
      </c>
      <c r="AJ9" s="65">
        <f>IF(VIEW_IV_2019_REP_CALCULO[[#This Row],[Cobertura-BERIPLEX]]&lt;Cob_Min_REP,0,IF(VIEW_IV_2019_REP_CALCULO[[#This Row],[Cobertura-BERIPLEX]]&gt;Cob_Max_REP,Vlr_Max_REP,VLOOKUP(VIEW_IV_2019_REP_CALCULO[[#This Row],[Cobertura-BERIPLEX]],Tabela_Valores_REP,2,1)))*VIEW_IV_2019_REP_CALCULO[[#This Row],[Peso-BERIPLEX]]</f>
        <v>0</v>
      </c>
      <c r="AK9" s="65">
        <f>IF(VIEW_IV_2019_REP_CALCULO[[#This Row],[Cobertura-HAEMO]]&lt;Cob_Min_REP,0,IF(VIEW_IV_2019_REP_CALCULO[[#This Row],[Cobertura-HAEMO]]&gt;Cob_Max_REP,Vlr_Max_REP,VLOOKUP(VIEW_IV_2019_REP_CALCULO[[#This Row],[Cobertura-HAEMO]],Tabela_Valores_REP,2,1)))*VIEW_IV_2019_REP_CALCULO[[#This Row],[Peso-HAEMO]]</f>
        <v>0</v>
      </c>
      <c r="AL9" s="65">
        <f>IF(VIEW_IV_2019_REP_CALCULO[[#This Row],[Cobertura-HIZENTRA]]&lt;Cob_Min_REP,0,IF(VIEW_IV_2019_REP_CALCULO[[#This Row],[Cobertura-HIZENTRA]]&gt;Cob_Max_REP,Vlr_Max_REP,VLOOKUP(VIEW_IV_2019_REP_CALCULO[[#This Row],[Cobertura-HIZENTRA]],Tabela_Valores_REP,2,1)))*VIEW_IV_2019_REP_CALCULO[[#This Row],[Peso-HIZENTRA]]</f>
        <v>0</v>
      </c>
      <c r="AM9" s="65">
        <f>IF(VIEW_IV_2019_REP_CALCULO[[#This Row],[Cobertura-PRIVIGEN]]&lt;Cob_Min_REP,0,IF(VIEW_IV_2019_REP_CALCULO[[#This Row],[Cobertura-PRIVIGEN]]&gt;Cob_Max_REP,Vlr_Max_REP,VLOOKUP(VIEW_IV_2019_REP_CALCULO[[#This Row],[Cobertura-PRIVIGEN]],Tabela_Valores_REP,2,1)))*VIEW_IV_2019_REP_CALCULO[[#This Row],[Peso-PRIVIGEN]]</f>
        <v>1629.8147338659624</v>
      </c>
      <c r="AN9" s="102">
        <f>SUM(VIEW_IV_2019_REP_CALCULO[[#This Row],[Premio-BERINERT]:[Premio-PRIVIGEN]])</f>
        <v>2444.7221007989438</v>
      </c>
      <c r="AX9" s="3"/>
      <c r="AY9" s="3"/>
      <c r="AZ9" s="3"/>
      <c r="BA9" s="3"/>
      <c r="BB9" s="3"/>
    </row>
    <row r="10" spans="1:54" x14ac:dyDescent="0.2">
      <c r="A10" s="7" t="s">
        <v>16</v>
      </c>
      <c r="B10" s="7" t="s">
        <v>17</v>
      </c>
      <c r="C10" s="7" t="s">
        <v>18</v>
      </c>
      <c r="D10" s="8" t="s">
        <v>778</v>
      </c>
      <c r="E10" s="8" t="s">
        <v>779</v>
      </c>
      <c r="F10" s="8" t="s">
        <v>730</v>
      </c>
      <c r="G10" s="8" t="s">
        <v>791</v>
      </c>
      <c r="H10" s="13" t="b">
        <v>1</v>
      </c>
      <c r="I10" s="13" t="b">
        <v>1</v>
      </c>
      <c r="J10" s="10">
        <v>38</v>
      </c>
      <c r="K10" s="10">
        <v>0</v>
      </c>
      <c r="L10" s="10">
        <v>0</v>
      </c>
      <c r="M10" s="10">
        <v>612</v>
      </c>
      <c r="N10" s="10">
        <v>5220</v>
      </c>
      <c r="O10" s="10">
        <v>74</v>
      </c>
      <c r="P10" s="10">
        <v>0</v>
      </c>
      <c r="Q10" s="10">
        <v>0</v>
      </c>
      <c r="R10" s="10">
        <v>346</v>
      </c>
      <c r="S10" s="10">
        <v>5728</v>
      </c>
      <c r="T10" s="14" t="b">
        <v>0</v>
      </c>
      <c r="U10" s="14" t="b">
        <v>0</v>
      </c>
      <c r="V10" s="14" t="b">
        <v>0</v>
      </c>
      <c r="W10" s="14" t="b">
        <v>0</v>
      </c>
      <c r="X10" s="14" t="b">
        <v>0</v>
      </c>
      <c r="Y10" s="55">
        <v>1.97</v>
      </c>
      <c r="Z10" s="55">
        <v>0</v>
      </c>
      <c r="AA10" s="55">
        <v>0</v>
      </c>
      <c r="AB10" s="55">
        <v>0.56999999999999995</v>
      </c>
      <c r="AC10" s="55">
        <v>1.1000000000000001</v>
      </c>
      <c r="AD10" s="62">
        <v>0.1</v>
      </c>
      <c r="AE10" s="62">
        <v>0</v>
      </c>
      <c r="AF10" s="62">
        <v>0</v>
      </c>
      <c r="AG10" s="62">
        <v>0.4</v>
      </c>
      <c r="AH10" s="62">
        <v>0.2</v>
      </c>
      <c r="AI10" s="66">
        <f>IF(VIEW_IV_2019_REP_CALCULO[[#This Row],[Cobertura-BERINERT]]&lt;Cob_Min_REP,0,IF(VIEW_IV_2019_REP_CALCULO[[#This Row],[Cobertura-BERINERT]]&gt;Cob_Max_REP,Vlr_Max_REP,VLOOKUP(VIEW_IV_2019_REP_CALCULO[[#This Row],[Cobertura-BERINERT]],Tabela_Valores_REP,2,1)))*VIEW_IV_2019_REP_CALCULO[[#This Row],[Peso-BERINERT]]</f>
        <v>814.90736693298118</v>
      </c>
      <c r="AJ10" s="65">
        <f>IF(VIEW_IV_2019_REP_CALCULO[[#This Row],[Cobertura-BERIPLEX]]&lt;Cob_Min_REP,0,IF(VIEW_IV_2019_REP_CALCULO[[#This Row],[Cobertura-BERIPLEX]]&gt;Cob_Max_REP,Vlr_Max_REP,VLOOKUP(VIEW_IV_2019_REP_CALCULO[[#This Row],[Cobertura-BERIPLEX]],Tabela_Valores_REP,2,1)))*VIEW_IV_2019_REP_CALCULO[[#This Row],[Peso-BERIPLEX]]</f>
        <v>0</v>
      </c>
      <c r="AK10" s="65">
        <f>IF(VIEW_IV_2019_REP_CALCULO[[#This Row],[Cobertura-HAEMO]]&lt;Cob_Min_REP,0,IF(VIEW_IV_2019_REP_CALCULO[[#This Row],[Cobertura-HAEMO]]&gt;Cob_Max_REP,Vlr_Max_REP,VLOOKUP(VIEW_IV_2019_REP_CALCULO[[#This Row],[Cobertura-HAEMO]],Tabela_Valores_REP,2,1)))*VIEW_IV_2019_REP_CALCULO[[#This Row],[Peso-HAEMO]]</f>
        <v>0</v>
      </c>
      <c r="AL10" s="65">
        <f>IF(VIEW_IV_2019_REP_CALCULO[[#This Row],[Cobertura-HIZENTRA]]&lt;Cob_Min_REP,0,IF(VIEW_IV_2019_REP_CALCULO[[#This Row],[Cobertura-HIZENTRA]]&gt;Cob_Max_REP,Vlr_Max_REP,VLOOKUP(VIEW_IV_2019_REP_CALCULO[[#This Row],[Cobertura-HIZENTRA]],Tabela_Valores_REP,2,1)))*VIEW_IV_2019_REP_CALCULO[[#This Row],[Peso-HIZENTRA]]</f>
        <v>0</v>
      </c>
      <c r="AM10" s="65">
        <f>IF(VIEW_IV_2019_REP_CALCULO[[#This Row],[Cobertura-PRIVIGEN]]&lt;Cob_Min_REP,0,IF(VIEW_IV_2019_REP_CALCULO[[#This Row],[Cobertura-PRIVIGEN]]&gt;Cob_Max_REP,Vlr_Max_REP,VLOOKUP(VIEW_IV_2019_REP_CALCULO[[#This Row],[Cobertura-PRIVIGEN]],Tabela_Valores_REP,2,1)))*VIEW_IV_2019_REP_CALCULO[[#This Row],[Peso-PRIVIGEN]]</f>
        <v>1000.244706138091</v>
      </c>
      <c r="AN10" s="102">
        <f>SUM(VIEW_IV_2019_REP_CALCULO[[#This Row],[Premio-BERINERT]:[Premio-PRIVIGEN]])</f>
        <v>1815.1520730710722</v>
      </c>
      <c r="AX10" s="3"/>
      <c r="AY10" s="3"/>
      <c r="AZ10" s="3"/>
      <c r="BA10" s="3"/>
      <c r="BB10" s="3"/>
    </row>
    <row r="11" spans="1:54" x14ac:dyDescent="0.2">
      <c r="A11" s="7" t="s">
        <v>16</v>
      </c>
      <c r="B11" s="7" t="s">
        <v>17</v>
      </c>
      <c r="C11" s="7" t="s">
        <v>18</v>
      </c>
      <c r="D11" s="8" t="s">
        <v>770</v>
      </c>
      <c r="E11" s="8" t="s">
        <v>771</v>
      </c>
      <c r="F11" s="8" t="s">
        <v>730</v>
      </c>
      <c r="G11" s="8" t="s">
        <v>787</v>
      </c>
      <c r="H11" s="13" t="b">
        <v>1</v>
      </c>
      <c r="I11" s="13" t="b">
        <v>0</v>
      </c>
      <c r="J11" s="10">
        <v>15</v>
      </c>
      <c r="K11" s="10">
        <v>0</v>
      </c>
      <c r="L11" s="10">
        <v>0</v>
      </c>
      <c r="M11" s="10">
        <v>612</v>
      </c>
      <c r="N11" s="10">
        <v>5655</v>
      </c>
      <c r="O11" s="10">
        <v>0</v>
      </c>
      <c r="P11" s="10">
        <v>0</v>
      </c>
      <c r="Q11" s="10">
        <v>0</v>
      </c>
      <c r="R11" s="10">
        <v>209</v>
      </c>
      <c r="S11" s="10">
        <v>5815</v>
      </c>
      <c r="T11" s="14" t="b">
        <v>0</v>
      </c>
      <c r="U11" s="14" t="b">
        <v>0</v>
      </c>
      <c r="V11" s="14" t="b">
        <v>0</v>
      </c>
      <c r="W11" s="14" t="b">
        <v>0</v>
      </c>
      <c r="X11" s="14" t="b">
        <v>0</v>
      </c>
      <c r="Y11" s="55">
        <v>0</v>
      </c>
      <c r="Z11" s="55">
        <v>0</v>
      </c>
      <c r="AA11" s="55">
        <v>0</v>
      </c>
      <c r="AB11" s="55">
        <v>0.34</v>
      </c>
      <c r="AC11" s="55">
        <v>1.03</v>
      </c>
      <c r="AD11" s="62">
        <v>0</v>
      </c>
      <c r="AE11" s="62">
        <v>0</v>
      </c>
      <c r="AF11" s="62">
        <v>0</v>
      </c>
      <c r="AG11" s="62">
        <v>0</v>
      </c>
      <c r="AH11" s="62">
        <v>0</v>
      </c>
      <c r="AI11" s="66">
        <f>IF(VIEW_IV_2019_REP_CALCULO[[#This Row],[Cobertura-BERINERT]]&lt;Cob_Min_REP,0,IF(VIEW_IV_2019_REP_CALCULO[[#This Row],[Cobertura-BERINERT]]&gt;Cob_Max_REP,Vlr_Max_REP,VLOOKUP(VIEW_IV_2019_REP_CALCULO[[#This Row],[Cobertura-BERINERT]],Tabela_Valores_REP,2,1)))*VIEW_IV_2019_REP_CALCULO[[#This Row],[Peso-BERINERT]]</f>
        <v>0</v>
      </c>
      <c r="AJ11" s="65">
        <f>IF(VIEW_IV_2019_REP_CALCULO[[#This Row],[Cobertura-BERIPLEX]]&lt;Cob_Min_REP,0,IF(VIEW_IV_2019_REP_CALCULO[[#This Row],[Cobertura-BERIPLEX]]&gt;Cob_Max_REP,Vlr_Max_REP,VLOOKUP(VIEW_IV_2019_REP_CALCULO[[#This Row],[Cobertura-BERIPLEX]],Tabela_Valores_REP,2,1)))*VIEW_IV_2019_REP_CALCULO[[#This Row],[Peso-BERIPLEX]]</f>
        <v>0</v>
      </c>
      <c r="AK11" s="65">
        <f>IF(VIEW_IV_2019_REP_CALCULO[[#This Row],[Cobertura-HAEMO]]&lt;Cob_Min_REP,0,IF(VIEW_IV_2019_REP_CALCULO[[#This Row],[Cobertura-HAEMO]]&gt;Cob_Max_REP,Vlr_Max_REP,VLOOKUP(VIEW_IV_2019_REP_CALCULO[[#This Row],[Cobertura-HAEMO]],Tabela_Valores_REP,2,1)))*VIEW_IV_2019_REP_CALCULO[[#This Row],[Peso-HAEMO]]</f>
        <v>0</v>
      </c>
      <c r="AL11" s="65">
        <f>IF(VIEW_IV_2019_REP_CALCULO[[#This Row],[Cobertura-HIZENTRA]]&lt;Cob_Min_REP,0,IF(VIEW_IV_2019_REP_CALCULO[[#This Row],[Cobertura-HIZENTRA]]&gt;Cob_Max_REP,Vlr_Max_REP,VLOOKUP(VIEW_IV_2019_REP_CALCULO[[#This Row],[Cobertura-HIZENTRA]],Tabela_Valores_REP,2,1)))*VIEW_IV_2019_REP_CALCULO[[#This Row],[Peso-HIZENTRA]]</f>
        <v>0</v>
      </c>
      <c r="AM11" s="65">
        <f>IF(VIEW_IV_2019_REP_CALCULO[[#This Row],[Cobertura-PRIVIGEN]]&lt;Cob_Min_REP,0,IF(VIEW_IV_2019_REP_CALCULO[[#This Row],[Cobertura-PRIVIGEN]]&gt;Cob_Max_REP,Vlr_Max_REP,VLOOKUP(VIEW_IV_2019_REP_CALCULO[[#This Row],[Cobertura-PRIVIGEN]],Tabela_Valores_REP,2,1)))*VIEW_IV_2019_REP_CALCULO[[#This Row],[Peso-PRIVIGEN]]</f>
        <v>0</v>
      </c>
      <c r="AN11" s="102">
        <f>SUM(VIEW_IV_2019_REP_CALCULO[[#This Row],[Premio-BERINERT]:[Premio-PRIVIGEN]])</f>
        <v>0</v>
      </c>
      <c r="AX11" s="3"/>
      <c r="AY11" s="3"/>
      <c r="AZ11" s="3"/>
      <c r="BA11" s="3"/>
      <c r="BB11" s="3"/>
    </row>
    <row r="12" spans="1:54" x14ac:dyDescent="0.2">
      <c r="A12" s="7" t="s">
        <v>16</v>
      </c>
      <c r="B12" s="7" t="s">
        <v>17</v>
      </c>
      <c r="C12" s="7" t="s">
        <v>18</v>
      </c>
      <c r="D12" s="8" t="s">
        <v>737</v>
      </c>
      <c r="E12" s="8" t="s">
        <v>738</v>
      </c>
      <c r="F12" s="8" t="s">
        <v>739</v>
      </c>
      <c r="G12" s="8" t="s">
        <v>785</v>
      </c>
      <c r="H12" s="13" t="b">
        <v>1</v>
      </c>
      <c r="I12" s="13" t="b">
        <v>1</v>
      </c>
      <c r="J12" s="10">
        <v>4</v>
      </c>
      <c r="K12" s="10">
        <v>56</v>
      </c>
      <c r="L12" s="10">
        <v>48</v>
      </c>
      <c r="M12" s="10">
        <v>102</v>
      </c>
      <c r="N12" s="10">
        <v>2610</v>
      </c>
      <c r="O12" s="10">
        <v>26</v>
      </c>
      <c r="P12" s="10">
        <v>0</v>
      </c>
      <c r="Q12" s="10">
        <v>22</v>
      </c>
      <c r="R12" s="10">
        <v>184</v>
      </c>
      <c r="S12" s="10">
        <v>3338</v>
      </c>
      <c r="T12" s="14" t="b">
        <v>0</v>
      </c>
      <c r="U12" s="14" t="b">
        <v>0</v>
      </c>
      <c r="V12" s="14" t="b">
        <v>0</v>
      </c>
      <c r="W12" s="14" t="b">
        <v>0</v>
      </c>
      <c r="X12" s="14" t="b">
        <v>0</v>
      </c>
      <c r="Y12" s="55">
        <v>5.78</v>
      </c>
      <c r="Z12" s="55">
        <v>0</v>
      </c>
      <c r="AA12" s="55">
        <v>0.46</v>
      </c>
      <c r="AB12" s="55">
        <v>1.8</v>
      </c>
      <c r="AC12" s="55">
        <v>1.28</v>
      </c>
      <c r="AD12" s="62">
        <v>0.05</v>
      </c>
      <c r="AE12" s="62">
        <v>0.15</v>
      </c>
      <c r="AF12" s="62">
        <v>0.15</v>
      </c>
      <c r="AG12" s="62">
        <v>0.2</v>
      </c>
      <c r="AH12" s="62">
        <v>0.15</v>
      </c>
      <c r="AI12" s="66">
        <f>IF(VIEW_IV_2019_REP_CALCULO[[#This Row],[Cobertura-BERINERT]]&lt;Cob_Min_REP,0,IF(VIEW_IV_2019_REP_CALCULO[[#This Row],[Cobertura-BERINERT]]&gt;Cob_Max_REP,Vlr_Max_REP,VLOOKUP(VIEW_IV_2019_REP_CALCULO[[#This Row],[Cobertura-BERINERT]],Tabela_Valores_REP,2,1)))*VIEW_IV_2019_REP_CALCULO[[#This Row],[Peso-BERINERT]]</f>
        <v>407.45368346649059</v>
      </c>
      <c r="AJ12" s="65">
        <f>IF(VIEW_IV_2019_REP_CALCULO[[#This Row],[Cobertura-BERIPLEX]]&lt;Cob_Min_REP,0,IF(VIEW_IV_2019_REP_CALCULO[[#This Row],[Cobertura-BERIPLEX]]&gt;Cob_Max_REP,Vlr_Max_REP,VLOOKUP(VIEW_IV_2019_REP_CALCULO[[#This Row],[Cobertura-BERIPLEX]],Tabela_Valores_REP,2,1)))*VIEW_IV_2019_REP_CALCULO[[#This Row],[Peso-BERIPLEX]]</f>
        <v>0</v>
      </c>
      <c r="AK12" s="65">
        <f>IF(VIEW_IV_2019_REP_CALCULO[[#This Row],[Cobertura-HAEMO]]&lt;Cob_Min_REP,0,IF(VIEW_IV_2019_REP_CALCULO[[#This Row],[Cobertura-HAEMO]]&gt;Cob_Max_REP,Vlr_Max_REP,VLOOKUP(VIEW_IV_2019_REP_CALCULO[[#This Row],[Cobertura-HAEMO]],Tabela_Valores_REP,2,1)))*VIEW_IV_2019_REP_CALCULO[[#This Row],[Peso-HAEMO]]</f>
        <v>0</v>
      </c>
      <c r="AL12" s="65">
        <f>IF(VIEW_IV_2019_REP_CALCULO[[#This Row],[Cobertura-HIZENTRA]]&lt;Cob_Min_REP,0,IF(VIEW_IV_2019_REP_CALCULO[[#This Row],[Cobertura-HIZENTRA]]&gt;Cob_Max_REP,Vlr_Max_REP,VLOOKUP(VIEW_IV_2019_REP_CALCULO[[#This Row],[Cobertura-HIZENTRA]],Tabela_Valores_REP,2,1)))*VIEW_IV_2019_REP_CALCULO[[#This Row],[Peso-HIZENTRA]]</f>
        <v>1629.8147338659624</v>
      </c>
      <c r="AM12" s="65">
        <f>IF(VIEW_IV_2019_REP_CALCULO[[#This Row],[Cobertura-PRIVIGEN]]&lt;Cob_Min_REP,0,IF(VIEW_IV_2019_REP_CALCULO[[#This Row],[Cobertura-PRIVIGEN]]&gt;Cob_Max_REP,Vlr_Max_REP,VLOOKUP(VIEW_IV_2019_REP_CALCULO[[#This Row],[Cobertura-PRIVIGEN]],Tabela_Valores_REP,2,1)))*VIEW_IV_2019_REP_CALCULO[[#This Row],[Peso-PRIVIGEN]]</f>
        <v>1032.3217678028516</v>
      </c>
      <c r="AN12" s="102">
        <f>SUM(VIEW_IV_2019_REP_CALCULO[[#This Row],[Premio-BERINERT]:[Premio-PRIVIGEN]])</f>
        <v>3069.5901851353046</v>
      </c>
      <c r="AX12" s="3"/>
      <c r="AY12" s="3"/>
      <c r="AZ12" s="3"/>
      <c r="BA12" s="3"/>
      <c r="BB12" s="3"/>
    </row>
    <row r="13" spans="1:54" x14ac:dyDescent="0.2">
      <c r="A13" s="7" t="s">
        <v>16</v>
      </c>
      <c r="B13" s="7" t="s">
        <v>17</v>
      </c>
      <c r="C13" s="7" t="s">
        <v>18</v>
      </c>
      <c r="D13" s="8" t="s">
        <v>780</v>
      </c>
      <c r="E13" s="8" t="s">
        <v>781</v>
      </c>
      <c r="F13" s="8" t="s">
        <v>739</v>
      </c>
      <c r="G13" s="8" t="s">
        <v>791</v>
      </c>
      <c r="H13" s="13" t="b">
        <v>1</v>
      </c>
      <c r="I13" s="13" t="b">
        <v>1</v>
      </c>
      <c r="J13" s="10">
        <v>15</v>
      </c>
      <c r="K13" s="10">
        <v>28</v>
      </c>
      <c r="L13" s="10">
        <v>12</v>
      </c>
      <c r="M13" s="10">
        <v>561</v>
      </c>
      <c r="N13" s="10">
        <v>1305</v>
      </c>
      <c r="O13" s="10">
        <v>0</v>
      </c>
      <c r="P13" s="10">
        <v>3</v>
      </c>
      <c r="Q13" s="10">
        <v>3</v>
      </c>
      <c r="R13" s="10">
        <v>315</v>
      </c>
      <c r="S13" s="10">
        <v>2345</v>
      </c>
      <c r="T13" s="14" t="b">
        <v>0</v>
      </c>
      <c r="U13" s="14" t="b">
        <v>0</v>
      </c>
      <c r="V13" s="14" t="b">
        <v>0</v>
      </c>
      <c r="W13" s="14" t="b">
        <v>0</v>
      </c>
      <c r="X13" s="14" t="b">
        <v>0</v>
      </c>
      <c r="Y13" s="55">
        <v>0</v>
      </c>
      <c r="Z13" s="55">
        <v>0.11</v>
      </c>
      <c r="AA13" s="55">
        <v>0.25</v>
      </c>
      <c r="AB13" s="55">
        <v>0.56000000000000005</v>
      </c>
      <c r="AC13" s="55">
        <v>1.8</v>
      </c>
      <c r="AD13" s="62">
        <v>0.05</v>
      </c>
      <c r="AE13" s="62">
        <v>0.15</v>
      </c>
      <c r="AF13" s="62">
        <v>0.15</v>
      </c>
      <c r="AG13" s="62">
        <v>0.2</v>
      </c>
      <c r="AH13" s="62">
        <v>0.15</v>
      </c>
      <c r="AI13" s="66">
        <f>IF(VIEW_IV_2019_REP_CALCULO[[#This Row],[Cobertura-BERINERT]]&lt;Cob_Min_REP,0,IF(VIEW_IV_2019_REP_CALCULO[[#This Row],[Cobertura-BERINERT]]&gt;Cob_Max_REP,Vlr_Max_REP,VLOOKUP(VIEW_IV_2019_REP_CALCULO[[#This Row],[Cobertura-BERINERT]],Tabela_Valores_REP,2,1)))*VIEW_IV_2019_REP_CALCULO[[#This Row],[Peso-BERINERT]]</f>
        <v>0</v>
      </c>
      <c r="AJ13" s="65">
        <f>IF(VIEW_IV_2019_REP_CALCULO[[#This Row],[Cobertura-BERIPLEX]]&lt;Cob_Min_REP,0,IF(VIEW_IV_2019_REP_CALCULO[[#This Row],[Cobertura-BERIPLEX]]&gt;Cob_Max_REP,Vlr_Max_REP,VLOOKUP(VIEW_IV_2019_REP_CALCULO[[#This Row],[Cobertura-BERIPLEX]],Tabela_Valores_REP,2,1)))*VIEW_IV_2019_REP_CALCULO[[#This Row],[Peso-BERIPLEX]]</f>
        <v>0</v>
      </c>
      <c r="AK13" s="65">
        <f>IF(VIEW_IV_2019_REP_CALCULO[[#This Row],[Cobertura-HAEMO]]&lt;Cob_Min_REP,0,IF(VIEW_IV_2019_REP_CALCULO[[#This Row],[Cobertura-HAEMO]]&gt;Cob_Max_REP,Vlr_Max_REP,VLOOKUP(VIEW_IV_2019_REP_CALCULO[[#This Row],[Cobertura-HAEMO]],Tabela_Valores_REP,2,1)))*VIEW_IV_2019_REP_CALCULO[[#This Row],[Peso-HAEMO]]</f>
        <v>0</v>
      </c>
      <c r="AL13" s="65">
        <f>IF(VIEW_IV_2019_REP_CALCULO[[#This Row],[Cobertura-HIZENTRA]]&lt;Cob_Min_REP,0,IF(VIEW_IV_2019_REP_CALCULO[[#This Row],[Cobertura-HIZENTRA]]&gt;Cob_Max_REP,Vlr_Max_REP,VLOOKUP(VIEW_IV_2019_REP_CALCULO[[#This Row],[Cobertura-HIZENTRA]],Tabela_Valores_REP,2,1)))*VIEW_IV_2019_REP_CALCULO[[#This Row],[Peso-HIZENTRA]]</f>
        <v>0</v>
      </c>
      <c r="AM13" s="65">
        <f>IF(VIEW_IV_2019_REP_CALCULO[[#This Row],[Cobertura-PRIVIGEN]]&lt;Cob_Min_REP,0,IF(VIEW_IV_2019_REP_CALCULO[[#This Row],[Cobertura-PRIVIGEN]]&gt;Cob_Max_REP,Vlr_Max_REP,VLOOKUP(VIEW_IV_2019_REP_CALCULO[[#This Row],[Cobertura-PRIVIGEN]],Tabela_Valores_REP,2,1)))*VIEW_IV_2019_REP_CALCULO[[#This Row],[Peso-PRIVIGEN]]</f>
        <v>1222.3610503994717</v>
      </c>
      <c r="AN13" s="102">
        <f>SUM(VIEW_IV_2019_REP_CALCULO[[#This Row],[Premio-BERINERT]:[Premio-PRIVIGEN]])</f>
        <v>1222.3610503994717</v>
      </c>
      <c r="AX13" s="3"/>
      <c r="AY13" s="3"/>
      <c r="AZ13" s="3"/>
      <c r="BA13" s="3"/>
      <c r="BB13" s="3"/>
    </row>
    <row r="14" spans="1:54" x14ac:dyDescent="0.2">
      <c r="A14" s="7" t="s">
        <v>16</v>
      </c>
      <c r="B14" s="7" t="s">
        <v>17</v>
      </c>
      <c r="C14" s="7" t="s">
        <v>18</v>
      </c>
      <c r="D14" s="8" t="s">
        <v>720</v>
      </c>
      <c r="E14" s="8" t="s">
        <v>721</v>
      </c>
      <c r="F14" s="8" t="s">
        <v>723</v>
      </c>
      <c r="G14" s="8" t="s">
        <v>785</v>
      </c>
      <c r="H14" s="13" t="b">
        <v>1</v>
      </c>
      <c r="I14" s="13" t="b">
        <v>1</v>
      </c>
      <c r="J14" s="10">
        <v>0</v>
      </c>
      <c r="K14" s="10">
        <v>84</v>
      </c>
      <c r="L14" s="10">
        <v>120</v>
      </c>
      <c r="M14" s="10">
        <v>0</v>
      </c>
      <c r="N14" s="10">
        <v>2175</v>
      </c>
      <c r="O14" s="10">
        <v>0</v>
      </c>
      <c r="P14" s="10">
        <v>112</v>
      </c>
      <c r="Q14" s="10">
        <v>156</v>
      </c>
      <c r="R14" s="10">
        <v>0</v>
      </c>
      <c r="S14" s="10">
        <v>1180</v>
      </c>
      <c r="T14" s="14" t="b">
        <v>0</v>
      </c>
      <c r="U14" s="14" t="b">
        <v>0</v>
      </c>
      <c r="V14" s="14" t="b">
        <v>0</v>
      </c>
      <c r="W14" s="14" t="b">
        <v>0</v>
      </c>
      <c r="X14" s="14" t="b">
        <v>0</v>
      </c>
      <c r="Y14" s="55">
        <v>0</v>
      </c>
      <c r="Z14" s="55">
        <v>1.33</v>
      </c>
      <c r="AA14" s="55">
        <v>1.3</v>
      </c>
      <c r="AB14" s="55">
        <v>0</v>
      </c>
      <c r="AC14" s="55">
        <v>0.54</v>
      </c>
      <c r="AD14" s="62">
        <v>0</v>
      </c>
      <c r="AE14" s="62">
        <v>0.25</v>
      </c>
      <c r="AF14" s="62">
        <v>0.25</v>
      </c>
      <c r="AG14" s="62">
        <v>0</v>
      </c>
      <c r="AH14" s="62">
        <v>0.2</v>
      </c>
      <c r="AI14" s="66">
        <f>IF(VIEW_IV_2019_REP_CALCULO[[#This Row],[Cobertura-BERINERT]]&lt;Cob_Min_REP,0,IF(VIEW_IV_2019_REP_CALCULO[[#This Row],[Cobertura-BERINERT]]&gt;Cob_Max_REP,Vlr_Max_REP,VLOOKUP(VIEW_IV_2019_REP_CALCULO[[#This Row],[Cobertura-BERINERT]],Tabela_Valores_REP,2,1)))*VIEW_IV_2019_REP_CALCULO[[#This Row],[Peso-BERINERT]]</f>
        <v>0</v>
      </c>
      <c r="AJ14" s="65">
        <f>IF(VIEW_IV_2019_REP_CALCULO[[#This Row],[Cobertura-BERIPLEX]]&lt;Cob_Min_REP,0,IF(VIEW_IV_2019_REP_CALCULO[[#This Row],[Cobertura-BERIPLEX]]&gt;Cob_Max_REP,Vlr_Max_REP,VLOOKUP(VIEW_IV_2019_REP_CALCULO[[#This Row],[Cobertura-BERIPLEX]],Tabela_Valores_REP,2,1)))*VIEW_IV_2019_REP_CALCULO[[#This Row],[Peso-BERIPLEX]]</f>
        <v>1795.0137649103629</v>
      </c>
      <c r="AK14" s="65">
        <f>IF(VIEW_IV_2019_REP_CALCULO[[#This Row],[Cobertura-HAEMO]]&lt;Cob_Min_REP,0,IF(VIEW_IV_2019_REP_CALCULO[[#This Row],[Cobertura-HAEMO]]&gt;Cob_Max_REP,Vlr_Max_REP,VLOOKUP(VIEW_IV_2019_REP_CALCULO[[#This Row],[Cobertura-HAEMO]],Tabela_Valores_REP,2,1)))*VIEW_IV_2019_REP_CALCULO[[#This Row],[Peso-HAEMO]]</f>
        <v>1756.5580699177058</v>
      </c>
      <c r="AL14" s="65">
        <f>IF(VIEW_IV_2019_REP_CALCULO[[#This Row],[Cobertura-HIZENTRA]]&lt;Cob_Min_REP,0,IF(VIEW_IV_2019_REP_CALCULO[[#This Row],[Cobertura-HIZENTRA]]&gt;Cob_Max_REP,Vlr_Max_REP,VLOOKUP(VIEW_IV_2019_REP_CALCULO[[#This Row],[Cobertura-HIZENTRA]],Tabela_Valores_REP,2,1)))*VIEW_IV_2019_REP_CALCULO[[#This Row],[Peso-HIZENTRA]]</f>
        <v>0</v>
      </c>
      <c r="AM14" s="65">
        <f>IF(VIEW_IV_2019_REP_CALCULO[[#This Row],[Cobertura-PRIVIGEN]]&lt;Cob_Min_REP,0,IF(VIEW_IV_2019_REP_CALCULO[[#This Row],[Cobertura-PRIVIGEN]]&gt;Cob_Max_REP,Vlr_Max_REP,VLOOKUP(VIEW_IV_2019_REP_CALCULO[[#This Row],[Cobertura-PRIVIGEN]],Tabela_Valores_REP,2,1)))*VIEW_IV_2019_REP_CALCULO[[#This Row],[Peso-PRIVIGEN]]</f>
        <v>0</v>
      </c>
      <c r="AN14" s="102">
        <f>SUM(VIEW_IV_2019_REP_CALCULO[[#This Row],[Premio-BERINERT]:[Premio-PRIVIGEN]])</f>
        <v>3551.5718348280689</v>
      </c>
      <c r="AX14" s="3"/>
      <c r="AY14" s="3"/>
      <c r="AZ14" s="3"/>
      <c r="BA14" s="3"/>
      <c r="BB14" s="3"/>
    </row>
    <row r="15" spans="1:54" x14ac:dyDescent="0.2">
      <c r="A15" s="7" t="s">
        <v>16</v>
      </c>
      <c r="B15" s="7" t="s">
        <v>17</v>
      </c>
      <c r="C15" s="7" t="s">
        <v>18</v>
      </c>
      <c r="D15" s="8" t="s">
        <v>724</v>
      </c>
      <c r="E15" s="8" t="s">
        <v>725</v>
      </c>
      <c r="F15" s="8" t="s">
        <v>723</v>
      </c>
      <c r="G15" s="8" t="s">
        <v>787</v>
      </c>
      <c r="H15" s="13" t="b">
        <v>1</v>
      </c>
      <c r="I15" s="13" t="b">
        <v>1</v>
      </c>
      <c r="J15" s="10">
        <v>0</v>
      </c>
      <c r="K15" s="10">
        <v>98</v>
      </c>
      <c r="L15" s="10">
        <v>144</v>
      </c>
      <c r="M15" s="10">
        <v>0</v>
      </c>
      <c r="N15" s="10">
        <v>3915</v>
      </c>
      <c r="O15" s="10">
        <v>0</v>
      </c>
      <c r="P15" s="10">
        <v>73</v>
      </c>
      <c r="Q15" s="10">
        <v>123</v>
      </c>
      <c r="R15" s="10">
        <v>0</v>
      </c>
      <c r="S15" s="10">
        <v>2700</v>
      </c>
      <c r="T15" s="14" t="b">
        <v>0</v>
      </c>
      <c r="U15" s="14" t="b">
        <v>0</v>
      </c>
      <c r="V15" s="14" t="b">
        <v>0</v>
      </c>
      <c r="W15" s="14" t="b">
        <v>0</v>
      </c>
      <c r="X15" s="14" t="b">
        <v>0</v>
      </c>
      <c r="Y15" s="55">
        <v>0</v>
      </c>
      <c r="Z15" s="55">
        <v>0.74</v>
      </c>
      <c r="AA15" s="55">
        <v>0.85</v>
      </c>
      <c r="AB15" s="55">
        <v>0</v>
      </c>
      <c r="AC15" s="55">
        <v>0.69</v>
      </c>
      <c r="AD15" s="62">
        <v>0</v>
      </c>
      <c r="AE15" s="62">
        <v>0.25</v>
      </c>
      <c r="AF15" s="62">
        <v>0.25</v>
      </c>
      <c r="AG15" s="62">
        <v>0</v>
      </c>
      <c r="AH15" s="62">
        <v>0.2</v>
      </c>
      <c r="AI15" s="66">
        <f>IF(VIEW_IV_2019_REP_CALCULO[[#This Row],[Cobertura-BERINERT]]&lt;Cob_Min_REP,0,IF(VIEW_IV_2019_REP_CALCULO[[#This Row],[Cobertura-BERINERT]]&gt;Cob_Max_REP,Vlr_Max_REP,VLOOKUP(VIEW_IV_2019_REP_CALCULO[[#This Row],[Cobertura-BERINERT]],Tabela_Valores_REP,2,1)))*VIEW_IV_2019_REP_CALCULO[[#This Row],[Peso-BERINERT]]</f>
        <v>0</v>
      </c>
      <c r="AJ15" s="65">
        <f>IF(VIEW_IV_2019_REP_CALCULO[[#This Row],[Cobertura-BERIPLEX]]&lt;Cob_Min_REP,0,IF(VIEW_IV_2019_REP_CALCULO[[#This Row],[Cobertura-BERIPLEX]]&gt;Cob_Max_REP,Vlr_Max_REP,VLOOKUP(VIEW_IV_2019_REP_CALCULO[[#This Row],[Cobertura-BERIPLEX]],Tabela_Valores_REP,2,1)))*VIEW_IV_2019_REP_CALCULO[[#This Row],[Peso-BERIPLEX]]</f>
        <v>0</v>
      </c>
      <c r="AK15" s="65">
        <f>IF(VIEW_IV_2019_REP_CALCULO[[#This Row],[Cobertura-HAEMO]]&lt;Cob_Min_REP,0,IF(VIEW_IV_2019_REP_CALCULO[[#This Row],[Cobertura-HAEMO]]&gt;Cob_Max_REP,Vlr_Max_REP,VLOOKUP(VIEW_IV_2019_REP_CALCULO[[#This Row],[Cobertura-HAEMO]],Tabela_Valores_REP,2,1)))*VIEW_IV_2019_REP_CALCULO[[#This Row],[Peso-HAEMO]]</f>
        <v>383.11463600278285</v>
      </c>
      <c r="AL15" s="65">
        <f>IF(VIEW_IV_2019_REP_CALCULO[[#This Row],[Cobertura-HIZENTRA]]&lt;Cob_Min_REP,0,IF(VIEW_IV_2019_REP_CALCULO[[#This Row],[Cobertura-HIZENTRA]]&gt;Cob_Max_REP,Vlr_Max_REP,VLOOKUP(VIEW_IV_2019_REP_CALCULO[[#This Row],[Cobertura-HIZENTRA]],Tabela_Valores_REP,2,1)))*VIEW_IV_2019_REP_CALCULO[[#This Row],[Peso-HIZENTRA]]</f>
        <v>0</v>
      </c>
      <c r="AM15" s="65">
        <f>IF(VIEW_IV_2019_REP_CALCULO[[#This Row],[Cobertura-PRIVIGEN]]&lt;Cob_Min_REP,0,IF(VIEW_IV_2019_REP_CALCULO[[#This Row],[Cobertura-PRIVIGEN]]&gt;Cob_Max_REP,Vlr_Max_REP,VLOOKUP(VIEW_IV_2019_REP_CALCULO[[#This Row],[Cobertura-PRIVIGEN]],Tabela_Valores_REP,2,1)))*VIEW_IV_2019_REP_CALCULO[[#This Row],[Peso-PRIVIGEN]]</f>
        <v>0</v>
      </c>
      <c r="AN15" s="102">
        <f>SUM(VIEW_IV_2019_REP_CALCULO[[#This Row],[Premio-BERINERT]:[Premio-PRIVIGEN]])</f>
        <v>383.11463600278285</v>
      </c>
      <c r="AX15" s="3"/>
      <c r="AY15" s="3"/>
      <c r="AZ15" s="3"/>
      <c r="BA15" s="3"/>
      <c r="BB15" s="3"/>
    </row>
    <row r="16" spans="1:54" x14ac:dyDescent="0.2">
      <c r="A16" s="7" t="s">
        <v>16</v>
      </c>
      <c r="B16" s="7" t="s">
        <v>17</v>
      </c>
      <c r="C16" s="7" t="s">
        <v>18</v>
      </c>
      <c r="D16" s="8" t="s">
        <v>726</v>
      </c>
      <c r="E16" s="8" t="s">
        <v>727</v>
      </c>
      <c r="F16" s="8" t="s">
        <v>723</v>
      </c>
      <c r="G16" s="8" t="s">
        <v>787</v>
      </c>
      <c r="H16" s="13" t="b">
        <v>1</v>
      </c>
      <c r="I16" s="13" t="b">
        <v>1</v>
      </c>
      <c r="J16" s="10">
        <v>0</v>
      </c>
      <c r="K16" s="10">
        <v>84</v>
      </c>
      <c r="L16" s="10">
        <v>60</v>
      </c>
      <c r="M16" s="10">
        <v>0</v>
      </c>
      <c r="N16" s="10">
        <v>5220</v>
      </c>
      <c r="O16" s="10">
        <v>0</v>
      </c>
      <c r="P16" s="10">
        <v>14</v>
      </c>
      <c r="Q16" s="10">
        <v>9</v>
      </c>
      <c r="R16" s="10">
        <v>0</v>
      </c>
      <c r="S16" s="10">
        <v>7730</v>
      </c>
      <c r="T16" s="14" t="b">
        <v>0</v>
      </c>
      <c r="U16" s="14" t="b">
        <v>0</v>
      </c>
      <c r="V16" s="14" t="b">
        <v>0</v>
      </c>
      <c r="W16" s="14" t="b">
        <v>0</v>
      </c>
      <c r="X16" s="14" t="b">
        <v>0</v>
      </c>
      <c r="Y16" s="55">
        <v>0</v>
      </c>
      <c r="Z16" s="55">
        <v>0.17</v>
      </c>
      <c r="AA16" s="55">
        <v>0.15</v>
      </c>
      <c r="AB16" s="55">
        <v>0</v>
      </c>
      <c r="AC16" s="55">
        <v>1.48</v>
      </c>
      <c r="AD16" s="62">
        <v>0</v>
      </c>
      <c r="AE16" s="62">
        <v>0.25</v>
      </c>
      <c r="AF16" s="62">
        <v>0.25</v>
      </c>
      <c r="AG16" s="62">
        <v>0</v>
      </c>
      <c r="AH16" s="62">
        <v>0.2</v>
      </c>
      <c r="AI16" s="66">
        <f>IF(VIEW_IV_2019_REP_CALCULO[[#This Row],[Cobertura-BERINERT]]&lt;Cob_Min_REP,0,IF(VIEW_IV_2019_REP_CALCULO[[#This Row],[Cobertura-BERINERT]]&gt;Cob_Max_REP,Vlr_Max_REP,VLOOKUP(VIEW_IV_2019_REP_CALCULO[[#This Row],[Cobertura-BERINERT]],Tabela_Valores_REP,2,1)))*VIEW_IV_2019_REP_CALCULO[[#This Row],[Peso-BERINERT]]</f>
        <v>0</v>
      </c>
      <c r="AJ16" s="65">
        <f>IF(VIEW_IV_2019_REP_CALCULO[[#This Row],[Cobertura-BERIPLEX]]&lt;Cob_Min_REP,0,IF(VIEW_IV_2019_REP_CALCULO[[#This Row],[Cobertura-BERIPLEX]]&gt;Cob_Max_REP,Vlr_Max_REP,VLOOKUP(VIEW_IV_2019_REP_CALCULO[[#This Row],[Cobertura-BERIPLEX]],Tabela_Valores_REP,2,1)))*VIEW_IV_2019_REP_CALCULO[[#This Row],[Peso-BERIPLEX]]</f>
        <v>0</v>
      </c>
      <c r="AK16" s="65">
        <f>IF(VIEW_IV_2019_REP_CALCULO[[#This Row],[Cobertura-HAEMO]]&lt;Cob_Min_REP,0,IF(VIEW_IV_2019_REP_CALCULO[[#This Row],[Cobertura-HAEMO]]&gt;Cob_Max_REP,Vlr_Max_REP,VLOOKUP(VIEW_IV_2019_REP_CALCULO[[#This Row],[Cobertura-HAEMO]],Tabela_Valores_REP,2,1)))*VIEW_IV_2019_REP_CALCULO[[#This Row],[Peso-HAEMO]]</f>
        <v>0</v>
      </c>
      <c r="AL16" s="65">
        <f>IF(VIEW_IV_2019_REP_CALCULO[[#This Row],[Cobertura-HIZENTRA]]&lt;Cob_Min_REP,0,IF(VIEW_IV_2019_REP_CALCULO[[#This Row],[Cobertura-HIZENTRA]]&gt;Cob_Max_REP,Vlr_Max_REP,VLOOKUP(VIEW_IV_2019_REP_CALCULO[[#This Row],[Cobertura-HIZENTRA]],Tabela_Valores_REP,2,1)))*VIEW_IV_2019_REP_CALCULO[[#This Row],[Peso-HIZENTRA]]</f>
        <v>0</v>
      </c>
      <c r="AM16" s="65">
        <f>IF(VIEW_IV_2019_REP_CALCULO[[#This Row],[Cobertura-PRIVIGEN]]&lt;Cob_Min_REP,0,IF(VIEW_IV_2019_REP_CALCULO[[#This Row],[Cobertura-PRIVIGEN]]&gt;Cob_Max_REP,Vlr_Max_REP,VLOOKUP(VIEW_IV_2019_REP_CALCULO[[#This Row],[Cobertura-PRIVIGEN]],Tabela_Valores_REP,2,1)))*VIEW_IV_2019_REP_CALCULO[[#This Row],[Peso-PRIVIGEN]]</f>
        <v>1599.4396026312575</v>
      </c>
      <c r="AN16" s="102">
        <f>SUM(VIEW_IV_2019_REP_CALCULO[[#This Row],[Premio-BERINERT]:[Premio-PRIVIGEN]])</f>
        <v>1599.4396026312575</v>
      </c>
      <c r="AX16" s="3"/>
      <c r="AY16" s="3"/>
      <c r="AZ16" s="3"/>
      <c r="BA16" s="3"/>
      <c r="BB16" s="3"/>
    </row>
    <row r="17" spans="1:54" x14ac:dyDescent="0.2">
      <c r="A17" s="7" t="s">
        <v>16</v>
      </c>
      <c r="B17" s="7" t="s">
        <v>17</v>
      </c>
      <c r="C17" s="7" t="s">
        <v>18</v>
      </c>
      <c r="D17" s="8" t="s">
        <v>735</v>
      </c>
      <c r="E17" s="8" t="s">
        <v>736</v>
      </c>
      <c r="F17" s="8" t="s">
        <v>723</v>
      </c>
      <c r="G17" s="8" t="s">
        <v>785</v>
      </c>
      <c r="H17" s="13" t="b">
        <v>1</v>
      </c>
      <c r="I17" s="13" t="b">
        <v>1</v>
      </c>
      <c r="J17" s="10">
        <v>0</v>
      </c>
      <c r="K17" s="10">
        <v>56</v>
      </c>
      <c r="L17" s="10">
        <v>48</v>
      </c>
      <c r="M17" s="10">
        <v>0</v>
      </c>
      <c r="N17" s="10">
        <v>6525</v>
      </c>
      <c r="O17" s="10">
        <v>0</v>
      </c>
      <c r="P17" s="10">
        <v>6</v>
      </c>
      <c r="Q17" s="10">
        <v>19</v>
      </c>
      <c r="R17" s="10">
        <v>0</v>
      </c>
      <c r="S17" s="10">
        <v>24392</v>
      </c>
      <c r="T17" s="14" t="b">
        <v>0</v>
      </c>
      <c r="U17" s="14" t="b">
        <v>0</v>
      </c>
      <c r="V17" s="14" t="b">
        <v>0</v>
      </c>
      <c r="W17" s="14" t="b">
        <v>0</v>
      </c>
      <c r="X17" s="14" t="b">
        <v>0</v>
      </c>
      <c r="Y17" s="55">
        <v>0</v>
      </c>
      <c r="Z17" s="55">
        <v>0.11</v>
      </c>
      <c r="AA17" s="55">
        <v>0.4</v>
      </c>
      <c r="AB17" s="55">
        <v>0</v>
      </c>
      <c r="AC17" s="55">
        <v>3.74</v>
      </c>
      <c r="AD17" s="62">
        <v>0</v>
      </c>
      <c r="AE17" s="62">
        <v>0.25</v>
      </c>
      <c r="AF17" s="62">
        <v>0.25</v>
      </c>
      <c r="AG17" s="62">
        <v>0</v>
      </c>
      <c r="AH17" s="62">
        <v>0.2</v>
      </c>
      <c r="AI17" s="66">
        <f>IF(VIEW_IV_2019_REP_CALCULO[[#This Row],[Cobertura-BERINERT]]&lt;Cob_Min_REP,0,IF(VIEW_IV_2019_REP_CALCULO[[#This Row],[Cobertura-BERINERT]]&gt;Cob_Max_REP,Vlr_Max_REP,VLOOKUP(VIEW_IV_2019_REP_CALCULO[[#This Row],[Cobertura-BERINERT]],Tabela_Valores_REP,2,1)))*VIEW_IV_2019_REP_CALCULO[[#This Row],[Peso-BERINERT]]</f>
        <v>0</v>
      </c>
      <c r="AJ17" s="65">
        <f>IF(VIEW_IV_2019_REP_CALCULO[[#This Row],[Cobertura-BERIPLEX]]&lt;Cob_Min_REP,0,IF(VIEW_IV_2019_REP_CALCULO[[#This Row],[Cobertura-BERIPLEX]]&gt;Cob_Max_REP,Vlr_Max_REP,VLOOKUP(VIEW_IV_2019_REP_CALCULO[[#This Row],[Cobertura-BERIPLEX]],Tabela_Valores_REP,2,1)))*VIEW_IV_2019_REP_CALCULO[[#This Row],[Peso-BERIPLEX]]</f>
        <v>0</v>
      </c>
      <c r="AK17" s="65">
        <f>IF(VIEW_IV_2019_REP_CALCULO[[#This Row],[Cobertura-HAEMO]]&lt;Cob_Min_REP,0,IF(VIEW_IV_2019_REP_CALCULO[[#This Row],[Cobertura-HAEMO]]&gt;Cob_Max_REP,Vlr_Max_REP,VLOOKUP(VIEW_IV_2019_REP_CALCULO[[#This Row],[Cobertura-HAEMO]],Tabela_Valores_REP,2,1)))*VIEW_IV_2019_REP_CALCULO[[#This Row],[Peso-HAEMO]]</f>
        <v>0</v>
      </c>
      <c r="AL17" s="65">
        <f>IF(VIEW_IV_2019_REP_CALCULO[[#This Row],[Cobertura-HIZENTRA]]&lt;Cob_Min_REP,0,IF(VIEW_IV_2019_REP_CALCULO[[#This Row],[Cobertura-HIZENTRA]]&gt;Cob_Max_REP,Vlr_Max_REP,VLOOKUP(VIEW_IV_2019_REP_CALCULO[[#This Row],[Cobertura-HIZENTRA]],Tabela_Valores_REP,2,1)))*VIEW_IV_2019_REP_CALCULO[[#This Row],[Peso-HIZENTRA]]</f>
        <v>0</v>
      </c>
      <c r="AM17" s="65">
        <f>IF(VIEW_IV_2019_REP_CALCULO[[#This Row],[Cobertura-PRIVIGEN]]&lt;Cob_Min_REP,0,IF(VIEW_IV_2019_REP_CALCULO[[#This Row],[Cobertura-PRIVIGEN]]&gt;Cob_Max_REP,Vlr_Max_REP,VLOOKUP(VIEW_IV_2019_REP_CALCULO[[#This Row],[Cobertura-PRIVIGEN]],Tabela_Valores_REP,2,1)))*VIEW_IV_2019_REP_CALCULO[[#This Row],[Peso-PRIVIGEN]]</f>
        <v>1629.8147338659624</v>
      </c>
      <c r="AN17" s="102">
        <f>SUM(VIEW_IV_2019_REP_CALCULO[[#This Row],[Premio-BERINERT]:[Premio-PRIVIGEN]])</f>
        <v>1629.8147338659624</v>
      </c>
      <c r="AX17" s="3"/>
      <c r="AY17" s="3"/>
      <c r="AZ17" s="3"/>
      <c r="BA17" s="3"/>
      <c r="BB17" s="3"/>
    </row>
    <row r="18" spans="1:54" x14ac:dyDescent="0.2">
      <c r="A18" s="7" t="s">
        <v>16</v>
      </c>
      <c r="B18" s="7" t="s">
        <v>17</v>
      </c>
      <c r="C18" s="7" t="s">
        <v>18</v>
      </c>
      <c r="D18" s="8" t="s">
        <v>742</v>
      </c>
      <c r="E18" s="8" t="s">
        <v>743</v>
      </c>
      <c r="F18" s="8" t="s">
        <v>723</v>
      </c>
      <c r="G18" s="8" t="s">
        <v>791</v>
      </c>
      <c r="H18" s="13" t="b">
        <v>1</v>
      </c>
      <c r="I18" s="13" t="b">
        <v>1</v>
      </c>
      <c r="J18" s="10">
        <v>0</v>
      </c>
      <c r="K18" s="10">
        <v>154</v>
      </c>
      <c r="L18" s="10">
        <v>84</v>
      </c>
      <c r="M18" s="10">
        <v>0</v>
      </c>
      <c r="N18" s="10">
        <v>2175</v>
      </c>
      <c r="O18" s="10">
        <v>0</v>
      </c>
      <c r="P18" s="10">
        <v>415</v>
      </c>
      <c r="Q18" s="10">
        <v>40</v>
      </c>
      <c r="R18" s="10">
        <v>0</v>
      </c>
      <c r="S18" s="10">
        <v>2812</v>
      </c>
      <c r="T18" s="14" t="b">
        <v>0</v>
      </c>
      <c r="U18" s="14" t="b">
        <v>0</v>
      </c>
      <c r="V18" s="14" t="b">
        <v>0</v>
      </c>
      <c r="W18" s="14" t="b">
        <v>0</v>
      </c>
      <c r="X18" s="14" t="b">
        <v>0</v>
      </c>
      <c r="Y18" s="55">
        <v>0</v>
      </c>
      <c r="Z18" s="55">
        <v>2.69</v>
      </c>
      <c r="AA18" s="55">
        <v>0.48</v>
      </c>
      <c r="AB18" s="55">
        <v>0</v>
      </c>
      <c r="AC18" s="55">
        <v>1.29</v>
      </c>
      <c r="AD18" s="62">
        <v>0</v>
      </c>
      <c r="AE18" s="62">
        <v>0.25</v>
      </c>
      <c r="AF18" s="62">
        <v>0.25</v>
      </c>
      <c r="AG18" s="62">
        <v>0</v>
      </c>
      <c r="AH18" s="62">
        <v>0.2</v>
      </c>
      <c r="AI18" s="66">
        <f>IF(VIEW_IV_2019_REP_CALCULO[[#This Row],[Cobertura-BERINERT]]&lt;Cob_Min_REP,0,IF(VIEW_IV_2019_REP_CALCULO[[#This Row],[Cobertura-BERINERT]]&gt;Cob_Max_REP,Vlr_Max_REP,VLOOKUP(VIEW_IV_2019_REP_CALCULO[[#This Row],[Cobertura-BERINERT]],Tabela_Valores_REP,2,1)))*VIEW_IV_2019_REP_CALCULO[[#This Row],[Peso-BERINERT]]</f>
        <v>0</v>
      </c>
      <c r="AJ18" s="65">
        <f>IF(VIEW_IV_2019_REP_CALCULO[[#This Row],[Cobertura-BERIPLEX]]&lt;Cob_Min_REP,0,IF(VIEW_IV_2019_REP_CALCULO[[#This Row],[Cobertura-BERIPLEX]]&gt;Cob_Max_REP,Vlr_Max_REP,VLOOKUP(VIEW_IV_2019_REP_CALCULO[[#This Row],[Cobertura-BERIPLEX]],Tabela_Valores_REP,2,1)))*VIEW_IV_2019_REP_CALCULO[[#This Row],[Peso-BERIPLEX]]</f>
        <v>2037.2684173324528</v>
      </c>
      <c r="AK18" s="65">
        <f>IF(VIEW_IV_2019_REP_CALCULO[[#This Row],[Cobertura-HAEMO]]&lt;Cob_Min_REP,0,IF(VIEW_IV_2019_REP_CALCULO[[#This Row],[Cobertura-HAEMO]]&gt;Cob_Max_REP,Vlr_Max_REP,VLOOKUP(VIEW_IV_2019_REP_CALCULO[[#This Row],[Cobertura-HAEMO]],Tabela_Valores_REP,2,1)))*VIEW_IV_2019_REP_CALCULO[[#This Row],[Peso-HAEMO]]</f>
        <v>0</v>
      </c>
      <c r="AL18" s="65">
        <f>IF(VIEW_IV_2019_REP_CALCULO[[#This Row],[Cobertura-HIZENTRA]]&lt;Cob_Min_REP,0,IF(VIEW_IV_2019_REP_CALCULO[[#This Row],[Cobertura-HIZENTRA]]&gt;Cob_Max_REP,Vlr_Max_REP,VLOOKUP(VIEW_IV_2019_REP_CALCULO[[#This Row],[Cobertura-HIZENTRA]],Tabela_Valores_REP,2,1)))*VIEW_IV_2019_REP_CALCULO[[#This Row],[Peso-HIZENTRA]]</f>
        <v>0</v>
      </c>
      <c r="AM18" s="65">
        <f>IF(VIEW_IV_2019_REP_CALCULO[[#This Row],[Cobertura-PRIVIGEN]]&lt;Cob_Min_REP,0,IF(VIEW_IV_2019_REP_CALCULO[[#This Row],[Cobertura-PRIVIGEN]]&gt;Cob_Max_REP,Vlr_Max_REP,VLOOKUP(VIEW_IV_2019_REP_CALCULO[[#This Row],[Cobertura-PRIVIGEN]],Tabela_Valores_REP,2,1)))*VIEW_IV_2019_REP_CALCULO[[#This Row],[Peso-PRIVIGEN]]</f>
        <v>1386.618971608608</v>
      </c>
      <c r="AN18" s="102">
        <f>SUM(VIEW_IV_2019_REP_CALCULO[[#This Row],[Premio-BERINERT]:[Premio-PRIVIGEN]])</f>
        <v>3423.8873889410606</v>
      </c>
      <c r="AX18" s="3"/>
      <c r="AY18" s="3"/>
      <c r="AZ18" s="3"/>
      <c r="BA18" s="3"/>
      <c r="BB18" s="3"/>
    </row>
    <row r="19" spans="1:54" x14ac:dyDescent="0.2">
      <c r="A19" s="7" t="s">
        <v>16</v>
      </c>
      <c r="B19" s="7" t="s">
        <v>17</v>
      </c>
      <c r="C19" s="7" t="s">
        <v>18</v>
      </c>
      <c r="D19" s="8" t="s">
        <v>744</v>
      </c>
      <c r="E19" s="8" t="s">
        <v>745</v>
      </c>
      <c r="F19" s="8" t="s">
        <v>723</v>
      </c>
      <c r="G19" s="8" t="s">
        <v>791</v>
      </c>
      <c r="H19" s="13" t="b">
        <v>1</v>
      </c>
      <c r="I19" s="13" t="b">
        <v>1</v>
      </c>
      <c r="J19" s="10">
        <v>0</v>
      </c>
      <c r="K19" s="10">
        <v>126</v>
      </c>
      <c r="L19" s="10">
        <v>132</v>
      </c>
      <c r="M19" s="10">
        <v>0</v>
      </c>
      <c r="N19" s="10">
        <v>1305</v>
      </c>
      <c r="O19" s="10">
        <v>0</v>
      </c>
      <c r="P19" s="10">
        <v>171</v>
      </c>
      <c r="Q19" s="10">
        <v>497</v>
      </c>
      <c r="R19" s="10">
        <v>0</v>
      </c>
      <c r="S19" s="10">
        <v>848</v>
      </c>
      <c r="T19" s="14" t="b">
        <v>0</v>
      </c>
      <c r="U19" s="14" t="b">
        <v>0</v>
      </c>
      <c r="V19" s="14" t="b">
        <v>0</v>
      </c>
      <c r="W19" s="14" t="b">
        <v>0</v>
      </c>
      <c r="X19" s="14" t="b">
        <v>0</v>
      </c>
      <c r="Y19" s="55">
        <v>0</v>
      </c>
      <c r="Z19" s="55">
        <v>1.36</v>
      </c>
      <c r="AA19" s="55">
        <v>3.77</v>
      </c>
      <c r="AB19" s="55">
        <v>0</v>
      </c>
      <c r="AC19" s="55">
        <v>0.65</v>
      </c>
      <c r="AD19" s="62">
        <v>0</v>
      </c>
      <c r="AE19" s="62">
        <v>0.25</v>
      </c>
      <c r="AF19" s="62">
        <v>0.25</v>
      </c>
      <c r="AG19" s="62">
        <v>0</v>
      </c>
      <c r="AH19" s="62">
        <v>0.2</v>
      </c>
      <c r="AI19" s="66">
        <f>IF(VIEW_IV_2019_REP_CALCULO[[#This Row],[Cobertura-BERINERT]]&lt;Cob_Min_REP,0,IF(VIEW_IV_2019_REP_CALCULO[[#This Row],[Cobertura-BERINERT]]&gt;Cob_Max_REP,Vlr_Max_REP,VLOOKUP(VIEW_IV_2019_REP_CALCULO[[#This Row],[Cobertura-BERINERT]],Tabela_Valores_REP,2,1)))*VIEW_IV_2019_REP_CALCULO[[#This Row],[Peso-BERINERT]]</f>
        <v>0</v>
      </c>
      <c r="AJ19" s="65">
        <f>IF(VIEW_IV_2019_REP_CALCULO[[#This Row],[Cobertura-BERIPLEX]]&lt;Cob_Min_REP,0,IF(VIEW_IV_2019_REP_CALCULO[[#This Row],[Cobertura-BERIPLEX]]&gt;Cob_Max_REP,Vlr_Max_REP,VLOOKUP(VIEW_IV_2019_REP_CALCULO[[#This Row],[Cobertura-BERIPLEX]],Tabela_Valores_REP,2,1)))*VIEW_IV_2019_REP_CALCULO[[#This Row],[Peso-BERIPLEX]]</f>
        <v>1833.469459903019</v>
      </c>
      <c r="AK19" s="65">
        <f>IF(VIEW_IV_2019_REP_CALCULO[[#This Row],[Cobertura-HAEMO]]&lt;Cob_Min_REP,0,IF(VIEW_IV_2019_REP_CALCULO[[#This Row],[Cobertura-HAEMO]]&gt;Cob_Max_REP,Vlr_Max_REP,VLOOKUP(VIEW_IV_2019_REP_CALCULO[[#This Row],[Cobertura-HAEMO]],Tabela_Valores_REP,2,1)))*VIEW_IV_2019_REP_CALCULO[[#This Row],[Peso-HAEMO]]</f>
        <v>2037.2684173324528</v>
      </c>
      <c r="AL19" s="65">
        <f>IF(VIEW_IV_2019_REP_CALCULO[[#This Row],[Cobertura-HIZENTRA]]&lt;Cob_Min_REP,0,IF(VIEW_IV_2019_REP_CALCULO[[#This Row],[Cobertura-HIZENTRA]]&gt;Cob_Max_REP,Vlr_Max_REP,VLOOKUP(VIEW_IV_2019_REP_CALCULO[[#This Row],[Cobertura-HIZENTRA]],Tabela_Valores_REP,2,1)))*VIEW_IV_2019_REP_CALCULO[[#This Row],[Peso-HIZENTRA]]</f>
        <v>0</v>
      </c>
      <c r="AM19" s="65">
        <f>IF(VIEW_IV_2019_REP_CALCULO[[#This Row],[Cobertura-PRIVIGEN]]&lt;Cob_Min_REP,0,IF(VIEW_IV_2019_REP_CALCULO[[#This Row],[Cobertura-PRIVIGEN]]&gt;Cob_Max_REP,Vlr_Max_REP,VLOOKUP(VIEW_IV_2019_REP_CALCULO[[#This Row],[Cobertura-PRIVIGEN]],Tabela_Valores_REP,2,1)))*VIEW_IV_2019_REP_CALCULO[[#This Row],[Peso-PRIVIGEN]]</f>
        <v>0</v>
      </c>
      <c r="AN19" s="102">
        <f>SUM(VIEW_IV_2019_REP_CALCULO[[#This Row],[Premio-BERINERT]:[Premio-PRIVIGEN]])</f>
        <v>3870.7378772354718</v>
      </c>
      <c r="AX19" s="3"/>
      <c r="AY19" s="3"/>
      <c r="AZ19" s="3"/>
      <c r="BA19" s="3"/>
      <c r="BB19" s="3"/>
    </row>
    <row r="20" spans="1:54" x14ac:dyDescent="0.2">
      <c r="A20" s="7" t="s">
        <v>16</v>
      </c>
      <c r="B20" s="7" t="s">
        <v>17</v>
      </c>
      <c r="C20" s="7" t="s">
        <v>18</v>
      </c>
      <c r="D20" s="8" t="s">
        <v>746</v>
      </c>
      <c r="E20" s="8" t="s">
        <v>747</v>
      </c>
      <c r="F20" s="8" t="s">
        <v>723</v>
      </c>
      <c r="G20" s="8" t="s">
        <v>791</v>
      </c>
      <c r="H20" s="13" t="b">
        <v>1</v>
      </c>
      <c r="I20" s="13" t="b">
        <v>1</v>
      </c>
      <c r="J20" s="10">
        <v>0</v>
      </c>
      <c r="K20" s="10">
        <v>112</v>
      </c>
      <c r="L20" s="10">
        <v>84</v>
      </c>
      <c r="M20" s="10">
        <v>0</v>
      </c>
      <c r="N20" s="10">
        <v>2610</v>
      </c>
      <c r="O20" s="10">
        <v>0</v>
      </c>
      <c r="P20" s="10">
        <v>115</v>
      </c>
      <c r="Q20" s="10">
        <v>29</v>
      </c>
      <c r="R20" s="10">
        <v>0</v>
      </c>
      <c r="S20" s="10">
        <v>2410</v>
      </c>
      <c r="T20" s="14" t="b">
        <v>0</v>
      </c>
      <c r="U20" s="14" t="b">
        <v>0</v>
      </c>
      <c r="V20" s="14" t="b">
        <v>0</v>
      </c>
      <c r="W20" s="14" t="b">
        <v>0</v>
      </c>
      <c r="X20" s="14" t="b">
        <v>0</v>
      </c>
      <c r="Y20" s="55">
        <v>0</v>
      </c>
      <c r="Z20" s="55">
        <v>1.03</v>
      </c>
      <c r="AA20" s="55">
        <v>0.35</v>
      </c>
      <c r="AB20" s="55">
        <v>0</v>
      </c>
      <c r="AC20" s="55">
        <v>0.92</v>
      </c>
      <c r="AD20" s="62">
        <v>0</v>
      </c>
      <c r="AE20" s="62">
        <v>0.25</v>
      </c>
      <c r="AF20" s="62">
        <v>0.25</v>
      </c>
      <c r="AG20" s="62">
        <v>0</v>
      </c>
      <c r="AH20" s="62">
        <v>0.2</v>
      </c>
      <c r="AI20" s="66">
        <f>IF(VIEW_IV_2019_REP_CALCULO[[#This Row],[Cobertura-BERINERT]]&lt;Cob_Min_REP,0,IF(VIEW_IV_2019_REP_CALCULO[[#This Row],[Cobertura-BERINERT]]&gt;Cob_Max_REP,Vlr_Max_REP,VLOOKUP(VIEW_IV_2019_REP_CALCULO[[#This Row],[Cobertura-BERINERT]],Tabela_Valores_REP,2,1)))*VIEW_IV_2019_REP_CALCULO[[#This Row],[Peso-BERINERT]]</f>
        <v>0</v>
      </c>
      <c r="AJ20" s="65">
        <f>IF(VIEW_IV_2019_REP_CALCULO[[#This Row],[Cobertura-BERIPLEX]]&lt;Cob_Min_REP,0,IF(VIEW_IV_2019_REP_CALCULO[[#This Row],[Cobertura-BERIPLEX]]&gt;Cob_Max_REP,Vlr_Max_REP,VLOOKUP(VIEW_IV_2019_REP_CALCULO[[#This Row],[Cobertura-BERIPLEX]],Tabela_Valores_REP,2,1)))*VIEW_IV_2019_REP_CALCULO[[#This Row],[Peso-BERIPLEX]]</f>
        <v>925.7852498231963</v>
      </c>
      <c r="AK20" s="65">
        <f>IF(VIEW_IV_2019_REP_CALCULO[[#This Row],[Cobertura-HAEMO]]&lt;Cob_Min_REP,0,IF(VIEW_IV_2019_REP_CALCULO[[#This Row],[Cobertura-HAEMO]]&gt;Cob_Max_REP,Vlr_Max_REP,VLOOKUP(VIEW_IV_2019_REP_CALCULO[[#This Row],[Cobertura-HAEMO]],Tabela_Valores_REP,2,1)))*VIEW_IV_2019_REP_CALCULO[[#This Row],[Peso-HAEMO]]</f>
        <v>0</v>
      </c>
      <c r="AL20" s="65">
        <f>IF(VIEW_IV_2019_REP_CALCULO[[#This Row],[Cobertura-HIZENTRA]]&lt;Cob_Min_REP,0,IF(VIEW_IV_2019_REP_CALCULO[[#This Row],[Cobertura-HIZENTRA]]&gt;Cob_Max_REP,Vlr_Max_REP,VLOOKUP(VIEW_IV_2019_REP_CALCULO[[#This Row],[Cobertura-HIZENTRA]],Tabela_Valores_REP,2,1)))*VIEW_IV_2019_REP_CALCULO[[#This Row],[Peso-HIZENTRA]]</f>
        <v>0</v>
      </c>
      <c r="AM20" s="65">
        <f>IF(VIEW_IV_2019_REP_CALCULO[[#This Row],[Cobertura-PRIVIGEN]]&lt;Cob_Min_REP,0,IF(VIEW_IV_2019_REP_CALCULO[[#This Row],[Cobertura-PRIVIGEN]]&gt;Cob_Max_REP,Vlr_Max_REP,VLOOKUP(VIEW_IV_2019_REP_CALCULO[[#This Row],[Cobertura-PRIVIGEN]],Tabela_Valores_REP,2,1)))*VIEW_IV_2019_REP_CALCULO[[#This Row],[Peso-PRIVIGEN]]</f>
        <v>497.59830370243839</v>
      </c>
      <c r="AN20" s="102">
        <f>SUM(VIEW_IV_2019_REP_CALCULO[[#This Row],[Premio-BERINERT]:[Premio-PRIVIGEN]])</f>
        <v>1423.3835535256346</v>
      </c>
      <c r="AX20" s="3"/>
      <c r="AY20" s="3"/>
      <c r="AZ20" s="3"/>
      <c r="BA20" s="3"/>
      <c r="BB20" s="3"/>
    </row>
    <row r="21" spans="1:54" x14ac:dyDescent="0.2">
      <c r="A21" s="7" t="s">
        <v>16</v>
      </c>
      <c r="B21" s="7" t="s">
        <v>17</v>
      </c>
      <c r="C21" s="7" t="s">
        <v>18</v>
      </c>
      <c r="D21" s="8" t="s">
        <v>748</v>
      </c>
      <c r="E21" s="8" t="s">
        <v>749</v>
      </c>
      <c r="F21" s="8" t="s">
        <v>723</v>
      </c>
      <c r="G21" s="8" t="s">
        <v>791</v>
      </c>
      <c r="H21" s="13" t="b">
        <v>1</v>
      </c>
      <c r="I21" s="13" t="b">
        <v>1</v>
      </c>
      <c r="J21" s="10">
        <v>0</v>
      </c>
      <c r="K21" s="10">
        <v>140</v>
      </c>
      <c r="L21" s="10">
        <v>48</v>
      </c>
      <c r="M21" s="10">
        <v>0</v>
      </c>
      <c r="N21" s="10">
        <v>1305</v>
      </c>
      <c r="O21" s="10">
        <v>0</v>
      </c>
      <c r="P21" s="10">
        <v>236</v>
      </c>
      <c r="Q21" s="10">
        <v>26</v>
      </c>
      <c r="R21" s="10">
        <v>0</v>
      </c>
      <c r="S21" s="10">
        <v>2470</v>
      </c>
      <c r="T21" s="14" t="b">
        <v>0</v>
      </c>
      <c r="U21" s="14" t="b">
        <v>0</v>
      </c>
      <c r="V21" s="14" t="b">
        <v>0</v>
      </c>
      <c r="W21" s="14" t="b">
        <v>0</v>
      </c>
      <c r="X21" s="14" t="b">
        <v>0</v>
      </c>
      <c r="Y21" s="55">
        <v>0</v>
      </c>
      <c r="Z21" s="55">
        <v>1.69</v>
      </c>
      <c r="AA21" s="55">
        <v>0.54</v>
      </c>
      <c r="AB21" s="55">
        <v>0</v>
      </c>
      <c r="AC21" s="55">
        <v>1.89</v>
      </c>
      <c r="AD21" s="62">
        <v>0</v>
      </c>
      <c r="AE21" s="62">
        <v>0.25</v>
      </c>
      <c r="AF21" s="62">
        <v>0.25</v>
      </c>
      <c r="AG21" s="62">
        <v>0</v>
      </c>
      <c r="AH21" s="62">
        <v>0.2</v>
      </c>
      <c r="AI21" s="66">
        <f>IF(VIEW_IV_2019_REP_CALCULO[[#This Row],[Cobertura-BERINERT]]&lt;Cob_Min_REP,0,IF(VIEW_IV_2019_REP_CALCULO[[#This Row],[Cobertura-BERINERT]]&gt;Cob_Max_REP,Vlr_Max_REP,VLOOKUP(VIEW_IV_2019_REP_CALCULO[[#This Row],[Cobertura-BERINERT]],Tabela_Valores_REP,2,1)))*VIEW_IV_2019_REP_CALCULO[[#This Row],[Peso-BERINERT]]</f>
        <v>0</v>
      </c>
      <c r="AJ21" s="65">
        <f>IF(VIEW_IV_2019_REP_CALCULO[[#This Row],[Cobertura-BERIPLEX]]&lt;Cob_Min_REP,0,IF(VIEW_IV_2019_REP_CALCULO[[#This Row],[Cobertura-BERIPLEX]]&gt;Cob_Max_REP,Vlr_Max_REP,VLOOKUP(VIEW_IV_2019_REP_CALCULO[[#This Row],[Cobertura-BERIPLEX]],Tabela_Valores_REP,2,1)))*VIEW_IV_2019_REP_CALCULO[[#This Row],[Peso-BERIPLEX]]</f>
        <v>2037.2684173324528</v>
      </c>
      <c r="AK21" s="65">
        <f>IF(VIEW_IV_2019_REP_CALCULO[[#This Row],[Cobertura-HAEMO]]&lt;Cob_Min_REP,0,IF(VIEW_IV_2019_REP_CALCULO[[#This Row],[Cobertura-HAEMO]]&gt;Cob_Max_REP,Vlr_Max_REP,VLOOKUP(VIEW_IV_2019_REP_CALCULO[[#This Row],[Cobertura-HAEMO]],Tabela_Valores_REP,2,1)))*VIEW_IV_2019_REP_CALCULO[[#This Row],[Peso-HAEMO]]</f>
        <v>0</v>
      </c>
      <c r="AL21" s="65">
        <f>IF(VIEW_IV_2019_REP_CALCULO[[#This Row],[Cobertura-HIZENTRA]]&lt;Cob_Min_REP,0,IF(VIEW_IV_2019_REP_CALCULO[[#This Row],[Cobertura-HIZENTRA]]&gt;Cob_Max_REP,Vlr_Max_REP,VLOOKUP(VIEW_IV_2019_REP_CALCULO[[#This Row],[Cobertura-HIZENTRA]],Tabela_Valores_REP,2,1)))*VIEW_IV_2019_REP_CALCULO[[#This Row],[Peso-HIZENTRA]]</f>
        <v>0</v>
      </c>
      <c r="AM21" s="65">
        <f>IF(VIEW_IV_2019_REP_CALCULO[[#This Row],[Cobertura-PRIVIGEN]]&lt;Cob_Min_REP,0,IF(VIEW_IV_2019_REP_CALCULO[[#This Row],[Cobertura-PRIVIGEN]]&gt;Cob_Max_REP,Vlr_Max_REP,VLOOKUP(VIEW_IV_2019_REP_CALCULO[[#This Row],[Cobertura-PRIVIGEN]],Tabela_Valores_REP,2,1)))*VIEW_IV_2019_REP_CALCULO[[#This Row],[Peso-PRIVIGEN]]</f>
        <v>1629.8147338659624</v>
      </c>
      <c r="AN21" s="102">
        <f>SUM(VIEW_IV_2019_REP_CALCULO[[#This Row],[Premio-BERINERT]:[Premio-PRIVIGEN]])</f>
        <v>3667.0831511984152</v>
      </c>
      <c r="AX21" s="3"/>
      <c r="AY21" s="3"/>
      <c r="AZ21" s="3"/>
      <c r="BA21" s="3"/>
      <c r="BB21" s="3"/>
    </row>
    <row r="22" spans="1:54" x14ac:dyDescent="0.2">
      <c r="A22" s="7" t="s">
        <v>16</v>
      </c>
      <c r="B22" s="7" t="s">
        <v>17</v>
      </c>
      <c r="C22" s="7" t="s">
        <v>18</v>
      </c>
      <c r="D22" s="8" t="s">
        <v>752</v>
      </c>
      <c r="E22" s="8" t="s">
        <v>753</v>
      </c>
      <c r="F22" s="8" t="s">
        <v>723</v>
      </c>
      <c r="G22" s="8" t="s">
        <v>785</v>
      </c>
      <c r="H22" s="13" t="b">
        <v>1</v>
      </c>
      <c r="I22" s="13" t="b">
        <v>1</v>
      </c>
      <c r="J22" s="10">
        <v>0</v>
      </c>
      <c r="K22" s="10">
        <v>84</v>
      </c>
      <c r="L22" s="10">
        <v>72</v>
      </c>
      <c r="M22" s="10">
        <v>0</v>
      </c>
      <c r="N22" s="10">
        <v>2175</v>
      </c>
      <c r="O22" s="10">
        <v>0</v>
      </c>
      <c r="P22" s="10">
        <v>99</v>
      </c>
      <c r="Q22" s="10">
        <v>40</v>
      </c>
      <c r="R22" s="10">
        <v>0</v>
      </c>
      <c r="S22" s="10">
        <v>3072</v>
      </c>
      <c r="T22" s="14" t="b">
        <v>0</v>
      </c>
      <c r="U22" s="14" t="b">
        <v>0</v>
      </c>
      <c r="V22" s="14" t="b">
        <v>0</v>
      </c>
      <c r="W22" s="14" t="b">
        <v>0</v>
      </c>
      <c r="X22" s="14" t="b">
        <v>0</v>
      </c>
      <c r="Y22" s="55">
        <v>0</v>
      </c>
      <c r="Z22" s="55">
        <v>1.18</v>
      </c>
      <c r="AA22" s="55">
        <v>0.56000000000000005</v>
      </c>
      <c r="AB22" s="55">
        <v>0</v>
      </c>
      <c r="AC22" s="55">
        <v>1.41</v>
      </c>
      <c r="AD22" s="62">
        <v>0</v>
      </c>
      <c r="AE22" s="62">
        <v>0.25</v>
      </c>
      <c r="AF22" s="62">
        <v>0.25</v>
      </c>
      <c r="AG22" s="62">
        <v>0</v>
      </c>
      <c r="AH22" s="62">
        <v>0.2</v>
      </c>
      <c r="AI22" s="66">
        <f>IF(VIEW_IV_2019_REP_CALCULO[[#This Row],[Cobertura-BERINERT]]&lt;Cob_Min_REP,0,IF(VIEW_IV_2019_REP_CALCULO[[#This Row],[Cobertura-BERINERT]]&gt;Cob_Max_REP,Vlr_Max_REP,VLOOKUP(VIEW_IV_2019_REP_CALCULO[[#This Row],[Cobertura-BERINERT]],Tabela_Valores_REP,2,1)))*VIEW_IV_2019_REP_CALCULO[[#This Row],[Peso-BERINERT]]</f>
        <v>0</v>
      </c>
      <c r="AJ22" s="65">
        <f>IF(VIEW_IV_2019_REP_CALCULO[[#This Row],[Cobertura-BERIPLEX]]&lt;Cob_Min_REP,0,IF(VIEW_IV_2019_REP_CALCULO[[#This Row],[Cobertura-BERIPLEX]]&gt;Cob_Max_REP,Vlr_Max_REP,VLOOKUP(VIEW_IV_2019_REP_CALCULO[[#This Row],[Cobertura-BERIPLEX]],Tabela_Valores_REP,2,1)))*VIEW_IV_2019_REP_CALCULO[[#This Row],[Peso-BERIPLEX]]</f>
        <v>1334.6812472134623</v>
      </c>
      <c r="AK22" s="65">
        <f>IF(VIEW_IV_2019_REP_CALCULO[[#This Row],[Cobertura-HAEMO]]&lt;Cob_Min_REP,0,IF(VIEW_IV_2019_REP_CALCULO[[#This Row],[Cobertura-HAEMO]]&gt;Cob_Max_REP,Vlr_Max_REP,VLOOKUP(VIEW_IV_2019_REP_CALCULO[[#This Row],[Cobertura-HAEMO]],Tabela_Valores_REP,2,1)))*VIEW_IV_2019_REP_CALCULO[[#This Row],[Peso-HAEMO]]</f>
        <v>0</v>
      </c>
      <c r="AL22" s="65">
        <f>IF(VIEW_IV_2019_REP_CALCULO[[#This Row],[Cobertura-HIZENTRA]]&lt;Cob_Min_REP,0,IF(VIEW_IV_2019_REP_CALCULO[[#This Row],[Cobertura-HIZENTRA]]&gt;Cob_Max_REP,Vlr_Max_REP,VLOOKUP(VIEW_IV_2019_REP_CALCULO[[#This Row],[Cobertura-HIZENTRA]],Tabela_Valores_REP,2,1)))*VIEW_IV_2019_REP_CALCULO[[#This Row],[Peso-HIZENTRA]]</f>
        <v>0</v>
      </c>
      <c r="AM22" s="65">
        <f>IF(VIEW_IV_2019_REP_CALCULO[[#This Row],[Cobertura-PRIVIGEN]]&lt;Cob_Min_REP,0,IF(VIEW_IV_2019_REP_CALCULO[[#This Row],[Cobertura-PRIVIGEN]]&gt;Cob_Max_REP,Vlr_Max_REP,VLOOKUP(VIEW_IV_2019_REP_CALCULO[[#This Row],[Cobertura-PRIVIGEN]],Tabela_Valores_REP,2,1)))*VIEW_IV_2019_REP_CALCULO[[#This Row],[Peso-PRIVIGEN]]</f>
        <v>1527.2013097589761</v>
      </c>
      <c r="AN22" s="102">
        <f>SUM(VIEW_IV_2019_REP_CALCULO[[#This Row],[Premio-BERINERT]:[Premio-PRIVIGEN]])</f>
        <v>2861.8825569724386</v>
      </c>
      <c r="AX22" s="3"/>
      <c r="AY22" s="3"/>
      <c r="AZ22" s="3"/>
      <c r="BA22" s="3"/>
      <c r="BB22" s="3"/>
    </row>
    <row r="23" spans="1:54" x14ac:dyDescent="0.2">
      <c r="A23" s="7" t="s">
        <v>16</v>
      </c>
      <c r="B23" s="7" t="s">
        <v>17</v>
      </c>
      <c r="C23" s="7" t="s">
        <v>18</v>
      </c>
      <c r="D23" s="8" t="s">
        <v>756</v>
      </c>
      <c r="E23" s="8" t="s">
        <v>757</v>
      </c>
      <c r="F23" s="8" t="s">
        <v>723</v>
      </c>
      <c r="G23" s="8" t="s">
        <v>787</v>
      </c>
      <c r="H23" s="13" t="b">
        <v>1</v>
      </c>
      <c r="I23" s="13" t="b">
        <v>1</v>
      </c>
      <c r="J23" s="10">
        <v>0</v>
      </c>
      <c r="K23" s="10">
        <v>98</v>
      </c>
      <c r="L23" s="10">
        <v>120</v>
      </c>
      <c r="M23" s="10">
        <v>0</v>
      </c>
      <c r="N23" s="10">
        <v>3915</v>
      </c>
      <c r="O23" s="10">
        <v>0</v>
      </c>
      <c r="P23" s="10">
        <v>105</v>
      </c>
      <c r="Q23" s="10">
        <v>65</v>
      </c>
      <c r="R23" s="10">
        <v>0</v>
      </c>
      <c r="S23" s="10">
        <v>4315</v>
      </c>
      <c r="T23" s="14" t="b">
        <v>0</v>
      </c>
      <c r="U23" s="14" t="b">
        <v>0</v>
      </c>
      <c r="V23" s="14" t="b">
        <v>0</v>
      </c>
      <c r="W23" s="14" t="b">
        <v>0</v>
      </c>
      <c r="X23" s="14" t="b">
        <v>0</v>
      </c>
      <c r="Y23" s="55">
        <v>0</v>
      </c>
      <c r="Z23" s="55">
        <v>1.07</v>
      </c>
      <c r="AA23" s="55">
        <v>0.54</v>
      </c>
      <c r="AB23" s="55">
        <v>0</v>
      </c>
      <c r="AC23" s="55">
        <v>1.1000000000000001</v>
      </c>
      <c r="AD23" s="62">
        <v>0</v>
      </c>
      <c r="AE23" s="62">
        <v>0.25</v>
      </c>
      <c r="AF23" s="62">
        <v>0.25</v>
      </c>
      <c r="AG23" s="62">
        <v>0</v>
      </c>
      <c r="AH23" s="62">
        <v>0.2</v>
      </c>
      <c r="AI23" s="66">
        <f>IF(VIEW_IV_2019_REP_CALCULO[[#This Row],[Cobertura-BERINERT]]&lt;Cob_Min_REP,0,IF(VIEW_IV_2019_REP_CALCULO[[#This Row],[Cobertura-BERINERT]]&gt;Cob_Max_REP,Vlr_Max_REP,VLOOKUP(VIEW_IV_2019_REP_CALCULO[[#This Row],[Cobertura-BERINERT]],Tabela_Valores_REP,2,1)))*VIEW_IV_2019_REP_CALCULO[[#This Row],[Peso-BERINERT]]</f>
        <v>0</v>
      </c>
      <c r="AJ23" s="65">
        <f>IF(VIEW_IV_2019_REP_CALCULO[[#This Row],[Cobertura-BERIPLEX]]&lt;Cob_Min_REP,0,IF(VIEW_IV_2019_REP_CALCULO[[#This Row],[Cobertura-BERIPLEX]]&gt;Cob_Max_REP,Vlr_Max_REP,VLOOKUP(VIEW_IV_2019_REP_CALCULO[[#This Row],[Cobertura-BERIPLEX]],Tabela_Valores_REP,2,1)))*VIEW_IV_2019_REP_CALCULO[[#This Row],[Peso-BERIPLEX]]</f>
        <v>958.23731310813787</v>
      </c>
      <c r="AK23" s="65">
        <f>IF(VIEW_IV_2019_REP_CALCULO[[#This Row],[Cobertura-HAEMO]]&lt;Cob_Min_REP,0,IF(VIEW_IV_2019_REP_CALCULO[[#This Row],[Cobertura-HAEMO]]&gt;Cob_Max_REP,Vlr_Max_REP,VLOOKUP(VIEW_IV_2019_REP_CALCULO[[#This Row],[Cobertura-HAEMO]],Tabela_Valores_REP,2,1)))*VIEW_IV_2019_REP_CALCULO[[#This Row],[Peso-HAEMO]]</f>
        <v>0</v>
      </c>
      <c r="AL23" s="65">
        <f>IF(VIEW_IV_2019_REP_CALCULO[[#This Row],[Cobertura-HIZENTRA]]&lt;Cob_Min_REP,0,IF(VIEW_IV_2019_REP_CALCULO[[#This Row],[Cobertura-HIZENTRA]]&gt;Cob_Max_REP,Vlr_Max_REP,VLOOKUP(VIEW_IV_2019_REP_CALCULO[[#This Row],[Cobertura-HIZENTRA]],Tabela_Valores_REP,2,1)))*VIEW_IV_2019_REP_CALCULO[[#This Row],[Peso-HIZENTRA]]</f>
        <v>0</v>
      </c>
      <c r="AM23" s="65">
        <f>IF(VIEW_IV_2019_REP_CALCULO[[#This Row],[Cobertura-PRIVIGEN]]&lt;Cob_Min_REP,0,IF(VIEW_IV_2019_REP_CALCULO[[#This Row],[Cobertura-PRIVIGEN]]&gt;Cob_Max_REP,Vlr_Max_REP,VLOOKUP(VIEW_IV_2019_REP_CALCULO[[#This Row],[Cobertura-PRIVIGEN]],Tabela_Valores_REP,2,1)))*VIEW_IV_2019_REP_CALCULO[[#This Row],[Peso-PRIVIGEN]]</f>
        <v>1000.244706138091</v>
      </c>
      <c r="AN23" s="102">
        <f>SUM(VIEW_IV_2019_REP_CALCULO[[#This Row],[Premio-BERINERT]:[Premio-PRIVIGEN]])</f>
        <v>1958.4820192462289</v>
      </c>
      <c r="AX23" s="3"/>
      <c r="AY23" s="3"/>
      <c r="AZ23" s="3"/>
      <c r="BA23" s="3"/>
      <c r="BB23" s="3"/>
    </row>
    <row r="24" spans="1:54" x14ac:dyDescent="0.2">
      <c r="A24" s="7" t="s">
        <v>16</v>
      </c>
      <c r="B24" s="7" t="s">
        <v>17</v>
      </c>
      <c r="C24" s="7" t="s">
        <v>18</v>
      </c>
      <c r="D24" s="8" t="s">
        <v>760</v>
      </c>
      <c r="E24" s="8" t="s">
        <v>761</v>
      </c>
      <c r="F24" s="8" t="s">
        <v>723</v>
      </c>
      <c r="G24" s="8" t="s">
        <v>785</v>
      </c>
      <c r="H24" s="13" t="b">
        <v>1</v>
      </c>
      <c r="I24" s="13" t="b">
        <v>1</v>
      </c>
      <c r="J24" s="10">
        <v>0</v>
      </c>
      <c r="K24" s="10">
        <v>154</v>
      </c>
      <c r="L24" s="10">
        <v>144</v>
      </c>
      <c r="M24" s="10">
        <v>0</v>
      </c>
      <c r="N24" s="10">
        <v>3480</v>
      </c>
      <c r="O24" s="10">
        <v>0</v>
      </c>
      <c r="P24" s="10">
        <v>358</v>
      </c>
      <c r="Q24" s="10">
        <v>440</v>
      </c>
      <c r="R24" s="10">
        <v>0</v>
      </c>
      <c r="S24" s="10">
        <v>5280</v>
      </c>
      <c r="T24" s="14" t="b">
        <v>0</v>
      </c>
      <c r="U24" s="14" t="b">
        <v>0</v>
      </c>
      <c r="V24" s="14" t="b">
        <v>0</v>
      </c>
      <c r="W24" s="14" t="b">
        <v>0</v>
      </c>
      <c r="X24" s="14" t="b">
        <v>0</v>
      </c>
      <c r="Y24" s="55">
        <v>0</v>
      </c>
      <c r="Z24" s="55">
        <v>2.3199999999999998</v>
      </c>
      <c r="AA24" s="55">
        <v>3.06</v>
      </c>
      <c r="AB24" s="55">
        <v>0</v>
      </c>
      <c r="AC24" s="55">
        <v>1.52</v>
      </c>
      <c r="AD24" s="62">
        <v>0</v>
      </c>
      <c r="AE24" s="62">
        <v>0.25</v>
      </c>
      <c r="AF24" s="62">
        <v>0.25</v>
      </c>
      <c r="AG24" s="62">
        <v>0</v>
      </c>
      <c r="AH24" s="62">
        <v>0.2</v>
      </c>
      <c r="AI24" s="66">
        <f>IF(VIEW_IV_2019_REP_CALCULO[[#This Row],[Cobertura-BERINERT]]&lt;Cob_Min_REP,0,IF(VIEW_IV_2019_REP_CALCULO[[#This Row],[Cobertura-BERINERT]]&gt;Cob_Max_REP,Vlr_Max_REP,VLOOKUP(VIEW_IV_2019_REP_CALCULO[[#This Row],[Cobertura-BERINERT]],Tabela_Valores_REP,2,1)))*VIEW_IV_2019_REP_CALCULO[[#This Row],[Peso-BERINERT]]</f>
        <v>0</v>
      </c>
      <c r="AJ24" s="65">
        <f>IF(VIEW_IV_2019_REP_CALCULO[[#This Row],[Cobertura-BERIPLEX]]&lt;Cob_Min_REP,0,IF(VIEW_IV_2019_REP_CALCULO[[#This Row],[Cobertura-BERIPLEX]]&gt;Cob_Max_REP,Vlr_Max_REP,VLOOKUP(VIEW_IV_2019_REP_CALCULO[[#This Row],[Cobertura-BERIPLEX]],Tabela_Valores_REP,2,1)))*VIEW_IV_2019_REP_CALCULO[[#This Row],[Peso-BERIPLEX]]</f>
        <v>2037.2684173324528</v>
      </c>
      <c r="AK24" s="65">
        <f>IF(VIEW_IV_2019_REP_CALCULO[[#This Row],[Cobertura-HAEMO]]&lt;Cob_Min_REP,0,IF(VIEW_IV_2019_REP_CALCULO[[#This Row],[Cobertura-HAEMO]]&gt;Cob_Max_REP,Vlr_Max_REP,VLOOKUP(VIEW_IV_2019_REP_CALCULO[[#This Row],[Cobertura-HAEMO]],Tabela_Valores_REP,2,1)))*VIEW_IV_2019_REP_CALCULO[[#This Row],[Peso-HAEMO]]</f>
        <v>2037.2684173324528</v>
      </c>
      <c r="AL24" s="65">
        <f>IF(VIEW_IV_2019_REP_CALCULO[[#This Row],[Cobertura-HIZENTRA]]&lt;Cob_Min_REP,0,IF(VIEW_IV_2019_REP_CALCULO[[#This Row],[Cobertura-HIZENTRA]]&gt;Cob_Max_REP,Vlr_Max_REP,VLOOKUP(VIEW_IV_2019_REP_CALCULO[[#This Row],[Cobertura-HIZENTRA]],Tabela_Valores_REP,2,1)))*VIEW_IV_2019_REP_CALCULO[[#This Row],[Peso-HIZENTRA]]</f>
        <v>0</v>
      </c>
      <c r="AM24" s="65">
        <f>IF(VIEW_IV_2019_REP_CALCULO[[#This Row],[Cobertura-PRIVIGEN]]&lt;Cob_Min_REP,0,IF(VIEW_IV_2019_REP_CALCULO[[#This Row],[Cobertura-PRIVIGEN]]&gt;Cob_Max_REP,Vlr_Max_REP,VLOOKUP(VIEW_IV_2019_REP_CALCULO[[#This Row],[Cobertura-PRIVIGEN]],Tabela_Valores_REP,2,1)))*VIEW_IV_2019_REP_CALCULO[[#This Row],[Peso-PRIVIGEN]]</f>
        <v>1629.8147338659624</v>
      </c>
      <c r="AN24" s="102">
        <f>SUM(VIEW_IV_2019_REP_CALCULO[[#This Row],[Premio-BERINERT]:[Premio-PRIVIGEN]])</f>
        <v>5704.3515685308685</v>
      </c>
      <c r="AX24" s="3"/>
      <c r="AY24" s="3"/>
      <c r="AZ24" s="3"/>
      <c r="BA24" s="3"/>
      <c r="BB24" s="3"/>
    </row>
    <row r="25" spans="1:54" x14ac:dyDescent="0.2">
      <c r="A25" s="7" t="s">
        <v>16</v>
      </c>
      <c r="B25" s="7" t="s">
        <v>17</v>
      </c>
      <c r="C25" s="7" t="s">
        <v>18</v>
      </c>
      <c r="D25" s="8" t="s">
        <v>762</v>
      </c>
      <c r="E25" s="8" t="s">
        <v>763</v>
      </c>
      <c r="F25" s="8" t="s">
        <v>723</v>
      </c>
      <c r="G25" s="8" t="s">
        <v>787</v>
      </c>
      <c r="H25" s="13" t="b">
        <v>1</v>
      </c>
      <c r="I25" s="13" t="b">
        <v>1</v>
      </c>
      <c r="J25" s="10">
        <v>0</v>
      </c>
      <c r="K25" s="10">
        <v>126</v>
      </c>
      <c r="L25" s="10">
        <v>84</v>
      </c>
      <c r="M25" s="10">
        <v>0</v>
      </c>
      <c r="N25" s="10">
        <v>4785</v>
      </c>
      <c r="O25" s="10">
        <v>0</v>
      </c>
      <c r="P25" s="10">
        <v>144</v>
      </c>
      <c r="Q25" s="10">
        <v>88</v>
      </c>
      <c r="R25" s="10">
        <v>0</v>
      </c>
      <c r="S25" s="10">
        <v>10210</v>
      </c>
      <c r="T25" s="14" t="b">
        <v>0</v>
      </c>
      <c r="U25" s="14" t="b">
        <v>0</v>
      </c>
      <c r="V25" s="14" t="b">
        <v>0</v>
      </c>
      <c r="W25" s="14" t="b">
        <v>0</v>
      </c>
      <c r="X25" s="14" t="b">
        <v>0</v>
      </c>
      <c r="Y25" s="55">
        <v>0</v>
      </c>
      <c r="Z25" s="55">
        <v>1.1399999999999999</v>
      </c>
      <c r="AA25" s="55">
        <v>1.05</v>
      </c>
      <c r="AB25" s="55">
        <v>0</v>
      </c>
      <c r="AC25" s="55">
        <v>2.13</v>
      </c>
      <c r="AD25" s="62">
        <v>0</v>
      </c>
      <c r="AE25" s="62">
        <v>0.25</v>
      </c>
      <c r="AF25" s="62">
        <v>0.25</v>
      </c>
      <c r="AG25" s="62">
        <v>0</v>
      </c>
      <c r="AH25" s="62">
        <v>0.2</v>
      </c>
      <c r="AI25" s="66">
        <f>IF(VIEW_IV_2019_REP_CALCULO[[#This Row],[Cobertura-BERINERT]]&lt;Cob_Min_REP,0,IF(VIEW_IV_2019_REP_CALCULO[[#This Row],[Cobertura-BERINERT]]&gt;Cob_Max_REP,Vlr_Max_REP,VLOOKUP(VIEW_IV_2019_REP_CALCULO[[#This Row],[Cobertura-BERINERT]],Tabela_Valores_REP,2,1)))*VIEW_IV_2019_REP_CALCULO[[#This Row],[Peso-BERINERT]]</f>
        <v>0</v>
      </c>
      <c r="AJ25" s="65">
        <f>IF(VIEW_IV_2019_REP_CALCULO[[#This Row],[Cobertura-BERIPLEX]]&lt;Cob_Min_REP,0,IF(VIEW_IV_2019_REP_CALCULO[[#This Row],[Cobertura-BERIPLEX]]&gt;Cob_Max_REP,Vlr_Max_REP,VLOOKUP(VIEW_IV_2019_REP_CALCULO[[#This Row],[Cobertura-BERIPLEX]],Tabela_Valores_REP,2,1)))*VIEW_IV_2019_REP_CALCULO[[#This Row],[Peso-BERIPLEX]]</f>
        <v>1292.4935649430388</v>
      </c>
      <c r="AK25" s="65">
        <f>IF(VIEW_IV_2019_REP_CALCULO[[#This Row],[Cobertura-HAEMO]]&lt;Cob_Min_REP,0,IF(VIEW_IV_2019_REP_CALCULO[[#This Row],[Cobertura-HAEMO]]&gt;Cob_Max_REP,Vlr_Max_REP,VLOOKUP(VIEW_IV_2019_REP_CALCULO[[#This Row],[Cobertura-HAEMO]],Tabela_Valores_REP,2,1)))*VIEW_IV_2019_REP_CALCULO[[#This Row],[Peso-HAEMO]]</f>
        <v>942.01128146566748</v>
      </c>
      <c r="AL25" s="65">
        <f>IF(VIEW_IV_2019_REP_CALCULO[[#This Row],[Cobertura-HIZENTRA]]&lt;Cob_Min_REP,0,IF(VIEW_IV_2019_REP_CALCULO[[#This Row],[Cobertura-HIZENTRA]]&gt;Cob_Max_REP,Vlr_Max_REP,VLOOKUP(VIEW_IV_2019_REP_CALCULO[[#This Row],[Cobertura-HIZENTRA]],Tabela_Valores_REP,2,1)))*VIEW_IV_2019_REP_CALCULO[[#This Row],[Peso-HIZENTRA]]</f>
        <v>0</v>
      </c>
      <c r="AM25" s="65">
        <f>IF(VIEW_IV_2019_REP_CALCULO[[#This Row],[Cobertura-PRIVIGEN]]&lt;Cob_Min_REP,0,IF(VIEW_IV_2019_REP_CALCULO[[#This Row],[Cobertura-PRIVIGEN]]&gt;Cob_Max_REP,Vlr_Max_REP,VLOOKUP(VIEW_IV_2019_REP_CALCULO[[#This Row],[Cobertura-PRIVIGEN]],Tabela_Valores_REP,2,1)))*VIEW_IV_2019_REP_CALCULO[[#This Row],[Peso-PRIVIGEN]]</f>
        <v>1629.8147338659624</v>
      </c>
      <c r="AN25" s="102">
        <f>SUM(VIEW_IV_2019_REP_CALCULO[[#This Row],[Premio-BERINERT]:[Premio-PRIVIGEN]])</f>
        <v>3864.3195802746686</v>
      </c>
      <c r="AX25" s="3"/>
      <c r="AY25" s="3"/>
      <c r="AZ25" s="3"/>
      <c r="BA25" s="3"/>
      <c r="BB25" s="3"/>
    </row>
    <row r="26" spans="1:54" x14ac:dyDescent="0.2">
      <c r="A26" s="7" t="s">
        <v>16</v>
      </c>
      <c r="B26" s="7" t="s">
        <v>55</v>
      </c>
      <c r="C26" s="7" t="s">
        <v>18</v>
      </c>
      <c r="D26" s="8" t="s">
        <v>728</v>
      </c>
      <c r="E26" s="8" t="s">
        <v>729</v>
      </c>
      <c r="F26" s="8" t="s">
        <v>730</v>
      </c>
      <c r="G26" s="8" t="s">
        <v>787</v>
      </c>
      <c r="H26" s="13" t="b">
        <v>1</v>
      </c>
      <c r="I26" s="13" t="b">
        <v>1</v>
      </c>
      <c r="J26" s="10">
        <v>15</v>
      </c>
      <c r="K26" s="10">
        <v>0</v>
      </c>
      <c r="L26" s="10">
        <v>0</v>
      </c>
      <c r="M26" s="10">
        <v>1027</v>
      </c>
      <c r="N26" s="10">
        <v>6090</v>
      </c>
      <c r="O26" s="10">
        <v>26</v>
      </c>
      <c r="P26" s="10">
        <v>0</v>
      </c>
      <c r="Q26" s="10">
        <v>0</v>
      </c>
      <c r="R26" s="10">
        <v>584</v>
      </c>
      <c r="S26" s="10">
        <v>5840</v>
      </c>
      <c r="T26" s="14" t="b">
        <v>0</v>
      </c>
      <c r="U26" s="14" t="b">
        <v>0</v>
      </c>
      <c r="V26" s="14" t="b">
        <v>0</v>
      </c>
      <c r="W26" s="14" t="b">
        <v>0</v>
      </c>
      <c r="X26" s="14" t="b">
        <v>0</v>
      </c>
      <c r="Y26" s="55">
        <v>1.73</v>
      </c>
      <c r="Z26" s="55">
        <v>0</v>
      </c>
      <c r="AA26" s="55">
        <v>0</v>
      </c>
      <c r="AB26" s="55">
        <v>0.56999999999999995</v>
      </c>
      <c r="AC26" s="55">
        <v>0.96</v>
      </c>
      <c r="AD26" s="62">
        <v>0.1</v>
      </c>
      <c r="AE26" s="62">
        <v>0</v>
      </c>
      <c r="AF26" s="62">
        <v>0</v>
      </c>
      <c r="AG26" s="62">
        <v>0.4</v>
      </c>
      <c r="AH26" s="62">
        <v>0.2</v>
      </c>
      <c r="AI26" s="66">
        <f>IF(VIEW_IV_2019_REP_CALCULO[[#This Row],[Cobertura-BERINERT]]&lt;Cob_Min_REP,0,IF(VIEW_IV_2019_REP_CALCULO[[#This Row],[Cobertura-BERINERT]]&gt;Cob_Max_REP,Vlr_Max_REP,VLOOKUP(VIEW_IV_2019_REP_CALCULO[[#This Row],[Cobertura-BERINERT]],Tabela_Valores_REP,2,1)))*VIEW_IV_2019_REP_CALCULO[[#This Row],[Peso-BERINERT]]</f>
        <v>814.90736693298118</v>
      </c>
      <c r="AJ26" s="65">
        <f>IF(VIEW_IV_2019_REP_CALCULO[[#This Row],[Cobertura-BERIPLEX]]&lt;Cob_Min_REP,0,IF(VIEW_IV_2019_REP_CALCULO[[#This Row],[Cobertura-BERIPLEX]]&gt;Cob_Max_REP,Vlr_Max_REP,VLOOKUP(VIEW_IV_2019_REP_CALCULO[[#This Row],[Cobertura-BERIPLEX]],Tabela_Valores_REP,2,1)))*VIEW_IV_2019_REP_CALCULO[[#This Row],[Peso-BERIPLEX]]</f>
        <v>0</v>
      </c>
      <c r="AK26" s="65">
        <f>IF(VIEW_IV_2019_REP_CALCULO[[#This Row],[Cobertura-HAEMO]]&lt;Cob_Min_REP,0,IF(VIEW_IV_2019_REP_CALCULO[[#This Row],[Cobertura-HAEMO]]&gt;Cob_Max_REP,Vlr_Max_REP,VLOOKUP(VIEW_IV_2019_REP_CALCULO[[#This Row],[Cobertura-HAEMO]],Tabela_Valores_REP,2,1)))*VIEW_IV_2019_REP_CALCULO[[#This Row],[Peso-HAEMO]]</f>
        <v>0</v>
      </c>
      <c r="AL26" s="65">
        <f>IF(VIEW_IV_2019_REP_CALCULO[[#This Row],[Cobertura-HIZENTRA]]&lt;Cob_Min_REP,0,IF(VIEW_IV_2019_REP_CALCULO[[#This Row],[Cobertura-HIZENTRA]]&gt;Cob_Max_REP,Vlr_Max_REP,VLOOKUP(VIEW_IV_2019_REP_CALCULO[[#This Row],[Cobertura-HIZENTRA]],Tabela_Valores_REP,2,1)))*VIEW_IV_2019_REP_CALCULO[[#This Row],[Peso-HIZENTRA]]</f>
        <v>0</v>
      </c>
      <c r="AM26" s="65">
        <f>IF(VIEW_IV_2019_REP_CALCULO[[#This Row],[Cobertura-PRIVIGEN]]&lt;Cob_Min_REP,0,IF(VIEW_IV_2019_REP_CALCULO[[#This Row],[Cobertura-PRIVIGEN]]&gt;Cob_Max_REP,Vlr_Max_REP,VLOOKUP(VIEW_IV_2019_REP_CALCULO[[#This Row],[Cobertura-PRIVIGEN]],Tabela_Valores_REP,2,1)))*VIEW_IV_2019_REP_CALCULO[[#This Row],[Peso-PRIVIGEN]]</f>
        <v>519.23301255906665</v>
      </c>
      <c r="AN26" s="102">
        <f>SUM(VIEW_IV_2019_REP_CALCULO[[#This Row],[Premio-BERINERT]:[Premio-PRIVIGEN]])</f>
        <v>1334.1403794920479</v>
      </c>
      <c r="AX26" s="3"/>
      <c r="AY26" s="3"/>
      <c r="AZ26" s="3"/>
      <c r="BA26" s="3"/>
      <c r="BB26" s="3"/>
    </row>
    <row r="27" spans="1:54" x14ac:dyDescent="0.2">
      <c r="A27" s="7" t="s">
        <v>16</v>
      </c>
      <c r="B27" s="7" t="s">
        <v>55</v>
      </c>
      <c r="C27" s="7" t="s">
        <v>18</v>
      </c>
      <c r="D27" s="8" t="s">
        <v>733</v>
      </c>
      <c r="E27" s="8" t="s">
        <v>734</v>
      </c>
      <c r="F27" s="8" t="s">
        <v>730</v>
      </c>
      <c r="G27" s="8" t="s">
        <v>785</v>
      </c>
      <c r="H27" s="13" t="b">
        <v>1</v>
      </c>
      <c r="I27" s="13" t="b">
        <v>1</v>
      </c>
      <c r="J27" s="10">
        <v>10</v>
      </c>
      <c r="K27" s="10">
        <v>0</v>
      </c>
      <c r="L27" s="10">
        <v>0</v>
      </c>
      <c r="M27" s="10">
        <v>1268</v>
      </c>
      <c r="N27" s="10">
        <v>5655</v>
      </c>
      <c r="O27" s="10">
        <v>0</v>
      </c>
      <c r="P27" s="10">
        <v>0</v>
      </c>
      <c r="Q27" s="10">
        <v>0</v>
      </c>
      <c r="R27" s="10">
        <v>968</v>
      </c>
      <c r="S27" s="10">
        <v>7588</v>
      </c>
      <c r="T27" s="14" t="b">
        <v>0</v>
      </c>
      <c r="U27" s="14" t="b">
        <v>0</v>
      </c>
      <c r="V27" s="14" t="b">
        <v>0</v>
      </c>
      <c r="W27" s="14" t="b">
        <v>0</v>
      </c>
      <c r="X27" s="14" t="b">
        <v>0</v>
      </c>
      <c r="Y27" s="55">
        <v>0</v>
      </c>
      <c r="Z27" s="55">
        <v>0</v>
      </c>
      <c r="AA27" s="55">
        <v>0</v>
      </c>
      <c r="AB27" s="55">
        <v>0.76</v>
      </c>
      <c r="AC27" s="55">
        <v>1.34</v>
      </c>
      <c r="AD27" s="62">
        <v>0.1</v>
      </c>
      <c r="AE27" s="62">
        <v>0</v>
      </c>
      <c r="AF27" s="62">
        <v>0</v>
      </c>
      <c r="AG27" s="62">
        <v>0.4</v>
      </c>
      <c r="AH27" s="62">
        <v>0.2</v>
      </c>
      <c r="AI27" s="66">
        <f>IF(VIEW_IV_2019_REP_CALCULO[[#This Row],[Cobertura-BERINERT]]&lt;Cob_Min_REP,0,IF(VIEW_IV_2019_REP_CALCULO[[#This Row],[Cobertura-BERINERT]]&gt;Cob_Max_REP,Vlr_Max_REP,VLOOKUP(VIEW_IV_2019_REP_CALCULO[[#This Row],[Cobertura-BERINERT]],Tabela_Valores_REP,2,1)))*VIEW_IV_2019_REP_CALCULO[[#This Row],[Peso-BERINERT]]</f>
        <v>0</v>
      </c>
      <c r="AJ27" s="65">
        <f>IF(VIEW_IV_2019_REP_CALCULO[[#This Row],[Cobertura-BERIPLEX]]&lt;Cob_Min_REP,0,IF(VIEW_IV_2019_REP_CALCULO[[#This Row],[Cobertura-BERIPLEX]]&gt;Cob_Max_REP,Vlr_Max_REP,VLOOKUP(VIEW_IV_2019_REP_CALCULO[[#This Row],[Cobertura-BERIPLEX]],Tabela_Valores_REP,2,1)))*VIEW_IV_2019_REP_CALCULO[[#This Row],[Peso-BERIPLEX]]</f>
        <v>0</v>
      </c>
      <c r="AK27" s="65">
        <f>IF(VIEW_IV_2019_REP_CALCULO[[#This Row],[Cobertura-HAEMO]]&lt;Cob_Min_REP,0,IF(VIEW_IV_2019_REP_CALCULO[[#This Row],[Cobertura-HAEMO]]&gt;Cob_Max_REP,Vlr_Max_REP,VLOOKUP(VIEW_IV_2019_REP_CALCULO[[#This Row],[Cobertura-HAEMO]],Tabela_Valores_REP,2,1)))*VIEW_IV_2019_REP_CALCULO[[#This Row],[Peso-HAEMO]]</f>
        <v>0</v>
      </c>
      <c r="AL27" s="65">
        <f>IF(VIEW_IV_2019_REP_CALCULO[[#This Row],[Cobertura-HIZENTRA]]&lt;Cob_Min_REP,0,IF(VIEW_IV_2019_REP_CALCULO[[#This Row],[Cobertura-HIZENTRA]]&gt;Cob_Max_REP,Vlr_Max_REP,VLOOKUP(VIEW_IV_2019_REP_CALCULO[[#This Row],[Cobertura-HIZENTRA]],Tabela_Valores_REP,2,1)))*VIEW_IV_2019_REP_CALCULO[[#This Row],[Peso-HIZENTRA]]</f>
        <v>0</v>
      </c>
      <c r="AM27" s="65">
        <f>IF(VIEW_IV_2019_REP_CALCULO[[#This Row],[Cobertura-PRIVIGEN]]&lt;Cob_Min_REP,0,IF(VIEW_IV_2019_REP_CALCULO[[#This Row],[Cobertura-PRIVIGEN]]&gt;Cob_Max_REP,Vlr_Max_REP,VLOOKUP(VIEW_IV_2019_REP_CALCULO[[#This Row],[Cobertura-PRIVIGEN]],Tabela_Valores_REP,2,1)))*VIEW_IV_2019_REP_CALCULO[[#This Row],[Peso-PRIVIGEN]]</f>
        <v>1446.2658639263325</v>
      </c>
      <c r="AN27" s="102">
        <f>SUM(VIEW_IV_2019_REP_CALCULO[[#This Row],[Premio-BERINERT]:[Premio-PRIVIGEN]])</f>
        <v>1446.2658639263325</v>
      </c>
      <c r="AX27" s="3"/>
      <c r="AY27" s="3"/>
      <c r="AZ27" s="3"/>
      <c r="BA27" s="3"/>
      <c r="BB27" s="3"/>
    </row>
    <row r="28" spans="1:54" x14ac:dyDescent="0.2">
      <c r="A28" s="7" t="s">
        <v>16</v>
      </c>
      <c r="B28" s="7" t="s">
        <v>55</v>
      </c>
      <c r="C28" s="7" t="s">
        <v>18</v>
      </c>
      <c r="D28" s="8" t="s">
        <v>740</v>
      </c>
      <c r="E28" s="8" t="s">
        <v>741</v>
      </c>
      <c r="F28" s="8" t="s">
        <v>730</v>
      </c>
      <c r="G28" s="8" t="s">
        <v>787</v>
      </c>
      <c r="H28" s="13" t="b">
        <v>1</v>
      </c>
      <c r="I28" s="13" t="b">
        <v>1</v>
      </c>
      <c r="J28" s="10">
        <v>15</v>
      </c>
      <c r="K28" s="10">
        <v>0</v>
      </c>
      <c r="L28" s="10">
        <v>0</v>
      </c>
      <c r="M28" s="10">
        <v>725</v>
      </c>
      <c r="N28" s="10">
        <v>6090</v>
      </c>
      <c r="O28" s="10">
        <v>1</v>
      </c>
      <c r="P28" s="10">
        <v>0</v>
      </c>
      <c r="Q28" s="10">
        <v>0</v>
      </c>
      <c r="R28" s="10">
        <v>450</v>
      </c>
      <c r="S28" s="10">
        <v>12240</v>
      </c>
      <c r="T28" s="14" t="b">
        <v>0</v>
      </c>
      <c r="U28" s="14" t="b">
        <v>0</v>
      </c>
      <c r="V28" s="14" t="b">
        <v>0</v>
      </c>
      <c r="W28" s="14" t="b">
        <v>0</v>
      </c>
      <c r="X28" s="14" t="b">
        <v>0</v>
      </c>
      <c r="Y28" s="55">
        <v>7.0000000000000007E-2</v>
      </c>
      <c r="Z28" s="55">
        <v>0</v>
      </c>
      <c r="AA28" s="55">
        <v>0</v>
      </c>
      <c r="AB28" s="55">
        <v>0.62</v>
      </c>
      <c r="AC28" s="55">
        <v>2.0099999999999998</v>
      </c>
      <c r="AD28" s="62">
        <v>0.1</v>
      </c>
      <c r="AE28" s="62">
        <v>0</v>
      </c>
      <c r="AF28" s="62">
        <v>0</v>
      </c>
      <c r="AG28" s="62">
        <v>0.4</v>
      </c>
      <c r="AH28" s="62">
        <v>0.2</v>
      </c>
      <c r="AI28" s="66">
        <f>IF(VIEW_IV_2019_REP_CALCULO[[#This Row],[Cobertura-BERINERT]]&lt;Cob_Min_REP,0,IF(VIEW_IV_2019_REP_CALCULO[[#This Row],[Cobertura-BERINERT]]&gt;Cob_Max_REP,Vlr_Max_REP,VLOOKUP(VIEW_IV_2019_REP_CALCULO[[#This Row],[Cobertura-BERINERT]],Tabela_Valores_REP,2,1)))*VIEW_IV_2019_REP_CALCULO[[#This Row],[Peso-BERINERT]]</f>
        <v>0</v>
      </c>
      <c r="AJ28" s="65">
        <f>IF(VIEW_IV_2019_REP_CALCULO[[#This Row],[Cobertura-BERIPLEX]]&lt;Cob_Min_REP,0,IF(VIEW_IV_2019_REP_CALCULO[[#This Row],[Cobertura-BERIPLEX]]&gt;Cob_Max_REP,Vlr_Max_REP,VLOOKUP(VIEW_IV_2019_REP_CALCULO[[#This Row],[Cobertura-BERIPLEX]],Tabela_Valores_REP,2,1)))*VIEW_IV_2019_REP_CALCULO[[#This Row],[Peso-BERIPLEX]]</f>
        <v>0</v>
      </c>
      <c r="AK28" s="65">
        <f>IF(VIEW_IV_2019_REP_CALCULO[[#This Row],[Cobertura-HAEMO]]&lt;Cob_Min_REP,0,IF(VIEW_IV_2019_REP_CALCULO[[#This Row],[Cobertura-HAEMO]]&gt;Cob_Max_REP,Vlr_Max_REP,VLOOKUP(VIEW_IV_2019_REP_CALCULO[[#This Row],[Cobertura-HAEMO]],Tabela_Valores_REP,2,1)))*VIEW_IV_2019_REP_CALCULO[[#This Row],[Peso-HAEMO]]</f>
        <v>0</v>
      </c>
      <c r="AL28" s="65">
        <f>IF(VIEW_IV_2019_REP_CALCULO[[#This Row],[Cobertura-HIZENTRA]]&lt;Cob_Min_REP,0,IF(VIEW_IV_2019_REP_CALCULO[[#This Row],[Cobertura-HIZENTRA]]&gt;Cob_Max_REP,Vlr_Max_REP,VLOOKUP(VIEW_IV_2019_REP_CALCULO[[#This Row],[Cobertura-HIZENTRA]],Tabela_Valores_REP,2,1)))*VIEW_IV_2019_REP_CALCULO[[#This Row],[Peso-HIZENTRA]]</f>
        <v>0</v>
      </c>
      <c r="AM28" s="65">
        <f>IF(VIEW_IV_2019_REP_CALCULO[[#This Row],[Cobertura-PRIVIGEN]]&lt;Cob_Min_REP,0,IF(VIEW_IV_2019_REP_CALCULO[[#This Row],[Cobertura-PRIVIGEN]]&gt;Cob_Max_REP,Vlr_Max_REP,VLOOKUP(VIEW_IV_2019_REP_CALCULO[[#This Row],[Cobertura-PRIVIGEN]],Tabela_Valores_REP,2,1)))*VIEW_IV_2019_REP_CALCULO[[#This Row],[Peso-PRIVIGEN]]</f>
        <v>1629.8147338659624</v>
      </c>
      <c r="AN28" s="102">
        <f>SUM(VIEW_IV_2019_REP_CALCULO[[#This Row],[Premio-BERINERT]:[Premio-PRIVIGEN]])</f>
        <v>1629.8147338659624</v>
      </c>
      <c r="AX28" s="3"/>
      <c r="AY28" s="3"/>
      <c r="AZ28" s="3"/>
      <c r="BA28" s="3"/>
      <c r="BB28" s="3"/>
    </row>
    <row r="29" spans="1:54" x14ac:dyDescent="0.2">
      <c r="A29" s="7" t="s">
        <v>16</v>
      </c>
      <c r="B29" s="7" t="s">
        <v>55</v>
      </c>
      <c r="C29" s="7" t="s">
        <v>18</v>
      </c>
      <c r="D29" s="8" t="s">
        <v>754</v>
      </c>
      <c r="E29" s="8" t="s">
        <v>755</v>
      </c>
      <c r="F29" s="8" t="s">
        <v>730</v>
      </c>
      <c r="G29" s="8" t="s">
        <v>785</v>
      </c>
      <c r="H29" s="13" t="b">
        <v>1</v>
      </c>
      <c r="I29" s="13" t="b">
        <v>1</v>
      </c>
      <c r="J29" s="10">
        <v>38</v>
      </c>
      <c r="K29" s="10">
        <v>0</v>
      </c>
      <c r="L29" s="10">
        <v>0</v>
      </c>
      <c r="M29" s="10">
        <v>785</v>
      </c>
      <c r="N29" s="10">
        <v>8700</v>
      </c>
      <c r="O29" s="10">
        <v>84</v>
      </c>
      <c r="P29" s="10">
        <v>0</v>
      </c>
      <c r="Q29" s="10">
        <v>0</v>
      </c>
      <c r="R29" s="10">
        <v>630</v>
      </c>
      <c r="S29" s="10">
        <v>15190</v>
      </c>
      <c r="T29" s="14" t="b">
        <v>0</v>
      </c>
      <c r="U29" s="14" t="b">
        <v>0</v>
      </c>
      <c r="V29" s="14" t="b">
        <v>0</v>
      </c>
      <c r="W29" s="14" t="b">
        <v>0</v>
      </c>
      <c r="X29" s="14" t="b">
        <v>0</v>
      </c>
      <c r="Y29" s="55">
        <v>2.2400000000000002</v>
      </c>
      <c r="Z29" s="55">
        <v>0</v>
      </c>
      <c r="AA29" s="55">
        <v>0</v>
      </c>
      <c r="AB29" s="55">
        <v>0.8</v>
      </c>
      <c r="AC29" s="55">
        <v>1.75</v>
      </c>
      <c r="AD29" s="62">
        <v>0.1</v>
      </c>
      <c r="AE29" s="62">
        <v>0</v>
      </c>
      <c r="AF29" s="62">
        <v>0</v>
      </c>
      <c r="AG29" s="62">
        <v>0.4</v>
      </c>
      <c r="AH29" s="62">
        <v>0.2</v>
      </c>
      <c r="AI29" s="66">
        <f>IF(VIEW_IV_2019_REP_CALCULO[[#This Row],[Cobertura-BERINERT]]&lt;Cob_Min_REP,0,IF(VIEW_IV_2019_REP_CALCULO[[#This Row],[Cobertura-BERINERT]]&gt;Cob_Max_REP,Vlr_Max_REP,VLOOKUP(VIEW_IV_2019_REP_CALCULO[[#This Row],[Cobertura-BERINERT]],Tabela_Valores_REP,2,1)))*VIEW_IV_2019_REP_CALCULO[[#This Row],[Peso-BERINERT]]</f>
        <v>814.90736693298118</v>
      </c>
      <c r="AJ29" s="65">
        <f>IF(VIEW_IV_2019_REP_CALCULO[[#This Row],[Cobertura-BERIPLEX]]&lt;Cob_Min_REP,0,IF(VIEW_IV_2019_REP_CALCULO[[#This Row],[Cobertura-BERIPLEX]]&gt;Cob_Max_REP,Vlr_Max_REP,VLOOKUP(VIEW_IV_2019_REP_CALCULO[[#This Row],[Cobertura-BERIPLEX]],Tabela_Valores_REP,2,1)))*VIEW_IV_2019_REP_CALCULO[[#This Row],[Peso-BERIPLEX]]</f>
        <v>0</v>
      </c>
      <c r="AK29" s="65">
        <f>IF(VIEW_IV_2019_REP_CALCULO[[#This Row],[Cobertura-HAEMO]]&lt;Cob_Min_REP,0,IF(VIEW_IV_2019_REP_CALCULO[[#This Row],[Cobertura-HAEMO]]&gt;Cob_Max_REP,Vlr_Max_REP,VLOOKUP(VIEW_IV_2019_REP_CALCULO[[#This Row],[Cobertura-HAEMO]],Tabela_Valores_REP,2,1)))*VIEW_IV_2019_REP_CALCULO[[#This Row],[Peso-HAEMO]]</f>
        <v>0</v>
      </c>
      <c r="AL29" s="65">
        <f>IF(VIEW_IV_2019_REP_CALCULO[[#This Row],[Cobertura-HIZENTRA]]&lt;Cob_Min_REP,0,IF(VIEW_IV_2019_REP_CALCULO[[#This Row],[Cobertura-HIZENTRA]]&gt;Cob_Max_REP,Vlr_Max_REP,VLOOKUP(VIEW_IV_2019_REP_CALCULO[[#This Row],[Cobertura-HIZENTRA]],Tabela_Valores_REP,2,1)))*VIEW_IV_2019_REP_CALCULO[[#This Row],[Peso-HIZENTRA]]</f>
        <v>576.9255695100735</v>
      </c>
      <c r="AM29" s="65">
        <f>IF(VIEW_IV_2019_REP_CALCULO[[#This Row],[Cobertura-PRIVIGEN]]&lt;Cob_Min_REP,0,IF(VIEW_IV_2019_REP_CALCULO[[#This Row],[Cobertura-PRIVIGEN]]&gt;Cob_Max_REP,Vlr_Max_REP,VLOOKUP(VIEW_IV_2019_REP_CALCULO[[#This Row],[Cobertura-PRIVIGEN]],Tabela_Valores_REP,2,1)))*VIEW_IV_2019_REP_CALCULO[[#This Row],[Peso-PRIVIGEN]]</f>
        <v>1629.8147338659624</v>
      </c>
      <c r="AN29" s="102">
        <f>SUM(VIEW_IV_2019_REP_CALCULO[[#This Row],[Premio-BERINERT]:[Premio-PRIVIGEN]])</f>
        <v>3021.647670309017</v>
      </c>
      <c r="AX29" s="3"/>
      <c r="AY29" s="3"/>
      <c r="AZ29" s="3"/>
      <c r="BA29" s="3"/>
      <c r="BB29" s="3"/>
    </row>
    <row r="30" spans="1:54" x14ac:dyDescent="0.2">
      <c r="A30" s="7" t="s">
        <v>16</v>
      </c>
      <c r="B30" s="7" t="s">
        <v>55</v>
      </c>
      <c r="C30" s="7" t="s">
        <v>18</v>
      </c>
      <c r="D30" s="8" t="s">
        <v>778</v>
      </c>
      <c r="E30" s="8" t="s">
        <v>779</v>
      </c>
      <c r="F30" s="8" t="s">
        <v>730</v>
      </c>
      <c r="G30" s="8" t="s">
        <v>791</v>
      </c>
      <c r="H30" s="13" t="b">
        <v>1</v>
      </c>
      <c r="I30" s="13" t="b">
        <v>1</v>
      </c>
      <c r="J30" s="10">
        <v>38</v>
      </c>
      <c r="K30" s="10">
        <v>0</v>
      </c>
      <c r="L30" s="10">
        <v>0</v>
      </c>
      <c r="M30" s="10">
        <v>725</v>
      </c>
      <c r="N30" s="10">
        <v>5220</v>
      </c>
      <c r="O30" s="10">
        <v>14</v>
      </c>
      <c r="P30" s="10">
        <v>0</v>
      </c>
      <c r="Q30" s="10">
        <v>0</v>
      </c>
      <c r="R30" s="10">
        <v>247</v>
      </c>
      <c r="S30" s="10">
        <v>10310</v>
      </c>
      <c r="T30" s="14" t="b">
        <v>0</v>
      </c>
      <c r="U30" s="14" t="b">
        <v>0</v>
      </c>
      <c r="V30" s="14" t="b">
        <v>0</v>
      </c>
      <c r="W30" s="14" t="b">
        <v>0</v>
      </c>
      <c r="X30" s="14" t="b">
        <v>0</v>
      </c>
      <c r="Y30" s="55">
        <v>0.37</v>
      </c>
      <c r="Z30" s="55">
        <v>0</v>
      </c>
      <c r="AA30" s="55">
        <v>0</v>
      </c>
      <c r="AB30" s="55">
        <v>0.34</v>
      </c>
      <c r="AC30" s="55">
        <v>1.98</v>
      </c>
      <c r="AD30" s="62">
        <v>0.1</v>
      </c>
      <c r="AE30" s="62">
        <v>0</v>
      </c>
      <c r="AF30" s="62">
        <v>0</v>
      </c>
      <c r="AG30" s="62">
        <v>0.4</v>
      </c>
      <c r="AH30" s="62">
        <v>0.2</v>
      </c>
      <c r="AI30" s="66">
        <f>IF(VIEW_IV_2019_REP_CALCULO[[#This Row],[Cobertura-BERINERT]]&lt;Cob_Min_REP,0,IF(VIEW_IV_2019_REP_CALCULO[[#This Row],[Cobertura-BERINERT]]&gt;Cob_Max_REP,Vlr_Max_REP,VLOOKUP(VIEW_IV_2019_REP_CALCULO[[#This Row],[Cobertura-BERINERT]],Tabela_Valores_REP,2,1)))*VIEW_IV_2019_REP_CALCULO[[#This Row],[Peso-BERINERT]]</f>
        <v>0</v>
      </c>
      <c r="AJ30" s="65">
        <f>IF(VIEW_IV_2019_REP_CALCULO[[#This Row],[Cobertura-BERIPLEX]]&lt;Cob_Min_REP,0,IF(VIEW_IV_2019_REP_CALCULO[[#This Row],[Cobertura-BERIPLEX]]&gt;Cob_Max_REP,Vlr_Max_REP,VLOOKUP(VIEW_IV_2019_REP_CALCULO[[#This Row],[Cobertura-BERIPLEX]],Tabela_Valores_REP,2,1)))*VIEW_IV_2019_REP_CALCULO[[#This Row],[Peso-BERIPLEX]]</f>
        <v>0</v>
      </c>
      <c r="AK30" s="65">
        <f>IF(VIEW_IV_2019_REP_CALCULO[[#This Row],[Cobertura-HAEMO]]&lt;Cob_Min_REP,0,IF(VIEW_IV_2019_REP_CALCULO[[#This Row],[Cobertura-HAEMO]]&gt;Cob_Max_REP,Vlr_Max_REP,VLOOKUP(VIEW_IV_2019_REP_CALCULO[[#This Row],[Cobertura-HAEMO]],Tabela_Valores_REP,2,1)))*VIEW_IV_2019_REP_CALCULO[[#This Row],[Peso-HAEMO]]</f>
        <v>0</v>
      </c>
      <c r="AL30" s="65">
        <f>IF(VIEW_IV_2019_REP_CALCULO[[#This Row],[Cobertura-HIZENTRA]]&lt;Cob_Min_REP,0,IF(VIEW_IV_2019_REP_CALCULO[[#This Row],[Cobertura-HIZENTRA]]&gt;Cob_Max_REP,Vlr_Max_REP,VLOOKUP(VIEW_IV_2019_REP_CALCULO[[#This Row],[Cobertura-HIZENTRA]],Tabela_Valores_REP,2,1)))*VIEW_IV_2019_REP_CALCULO[[#This Row],[Peso-HIZENTRA]]</f>
        <v>0</v>
      </c>
      <c r="AM30" s="65">
        <f>IF(VIEW_IV_2019_REP_CALCULO[[#This Row],[Cobertura-PRIVIGEN]]&lt;Cob_Min_REP,0,IF(VIEW_IV_2019_REP_CALCULO[[#This Row],[Cobertura-PRIVIGEN]]&gt;Cob_Max_REP,Vlr_Max_REP,VLOOKUP(VIEW_IV_2019_REP_CALCULO[[#This Row],[Cobertura-PRIVIGEN]],Tabela_Valores_REP,2,1)))*VIEW_IV_2019_REP_CALCULO[[#This Row],[Peso-PRIVIGEN]]</f>
        <v>1629.8147338659624</v>
      </c>
      <c r="AN30" s="102">
        <f>SUM(VIEW_IV_2019_REP_CALCULO[[#This Row],[Premio-BERINERT]:[Premio-PRIVIGEN]])</f>
        <v>1629.8147338659624</v>
      </c>
      <c r="AX30" s="3"/>
      <c r="AY30" s="3"/>
      <c r="AZ30" s="3"/>
      <c r="BA30" s="3"/>
      <c r="BB30" s="3"/>
    </row>
    <row r="31" spans="1:54" x14ac:dyDescent="0.2">
      <c r="A31" s="7" t="s">
        <v>16</v>
      </c>
      <c r="B31" s="7" t="s">
        <v>55</v>
      </c>
      <c r="C31" s="7" t="s">
        <v>18</v>
      </c>
      <c r="D31" s="8" t="s">
        <v>770</v>
      </c>
      <c r="E31" s="8" t="s">
        <v>771</v>
      </c>
      <c r="F31" s="8" t="s">
        <v>730</v>
      </c>
      <c r="G31" s="8" t="s">
        <v>787</v>
      </c>
      <c r="H31" s="13" t="b">
        <v>1</v>
      </c>
      <c r="I31" s="13" t="b">
        <v>0</v>
      </c>
      <c r="J31" s="10">
        <v>15</v>
      </c>
      <c r="K31" s="10">
        <v>0</v>
      </c>
      <c r="L31" s="10">
        <v>0</v>
      </c>
      <c r="M31" s="10">
        <v>725</v>
      </c>
      <c r="N31" s="10">
        <v>5655</v>
      </c>
      <c r="O31" s="10">
        <v>0</v>
      </c>
      <c r="P31" s="10">
        <v>0</v>
      </c>
      <c r="Q31" s="10">
        <v>0</v>
      </c>
      <c r="R31" s="10">
        <v>185</v>
      </c>
      <c r="S31" s="10">
        <v>26262</v>
      </c>
      <c r="T31" s="14" t="b">
        <v>0</v>
      </c>
      <c r="U31" s="14" t="b">
        <v>0</v>
      </c>
      <c r="V31" s="14" t="b">
        <v>0</v>
      </c>
      <c r="W31" s="14" t="b">
        <v>0</v>
      </c>
      <c r="X31" s="14" t="b">
        <v>0</v>
      </c>
      <c r="Y31" s="55">
        <v>0</v>
      </c>
      <c r="Z31" s="55">
        <v>0</v>
      </c>
      <c r="AA31" s="55">
        <v>0</v>
      </c>
      <c r="AB31" s="55">
        <v>0.26</v>
      </c>
      <c r="AC31" s="55">
        <v>4.6399999999999997</v>
      </c>
      <c r="AD31" s="62">
        <v>0</v>
      </c>
      <c r="AE31" s="62">
        <v>0</v>
      </c>
      <c r="AF31" s="62">
        <v>0</v>
      </c>
      <c r="AG31" s="62">
        <v>0</v>
      </c>
      <c r="AH31" s="62">
        <v>0</v>
      </c>
      <c r="AI31" s="66">
        <f>IF(VIEW_IV_2019_REP_CALCULO[[#This Row],[Cobertura-BERINERT]]&lt;Cob_Min_REP,0,IF(VIEW_IV_2019_REP_CALCULO[[#This Row],[Cobertura-BERINERT]]&gt;Cob_Max_REP,Vlr_Max_REP,VLOOKUP(VIEW_IV_2019_REP_CALCULO[[#This Row],[Cobertura-BERINERT]],Tabela_Valores_REP,2,1)))*VIEW_IV_2019_REP_CALCULO[[#This Row],[Peso-BERINERT]]</f>
        <v>0</v>
      </c>
      <c r="AJ31" s="65">
        <f>IF(VIEW_IV_2019_REP_CALCULO[[#This Row],[Cobertura-BERIPLEX]]&lt;Cob_Min_REP,0,IF(VIEW_IV_2019_REP_CALCULO[[#This Row],[Cobertura-BERIPLEX]]&gt;Cob_Max_REP,Vlr_Max_REP,VLOOKUP(VIEW_IV_2019_REP_CALCULO[[#This Row],[Cobertura-BERIPLEX]],Tabela_Valores_REP,2,1)))*VIEW_IV_2019_REP_CALCULO[[#This Row],[Peso-BERIPLEX]]</f>
        <v>0</v>
      </c>
      <c r="AK31" s="65">
        <f>IF(VIEW_IV_2019_REP_CALCULO[[#This Row],[Cobertura-HAEMO]]&lt;Cob_Min_REP,0,IF(VIEW_IV_2019_REP_CALCULO[[#This Row],[Cobertura-HAEMO]]&gt;Cob_Max_REP,Vlr_Max_REP,VLOOKUP(VIEW_IV_2019_REP_CALCULO[[#This Row],[Cobertura-HAEMO]],Tabela_Valores_REP,2,1)))*VIEW_IV_2019_REP_CALCULO[[#This Row],[Peso-HAEMO]]</f>
        <v>0</v>
      </c>
      <c r="AL31" s="65">
        <f>IF(VIEW_IV_2019_REP_CALCULO[[#This Row],[Cobertura-HIZENTRA]]&lt;Cob_Min_REP,0,IF(VIEW_IV_2019_REP_CALCULO[[#This Row],[Cobertura-HIZENTRA]]&gt;Cob_Max_REP,Vlr_Max_REP,VLOOKUP(VIEW_IV_2019_REP_CALCULO[[#This Row],[Cobertura-HIZENTRA]],Tabela_Valores_REP,2,1)))*VIEW_IV_2019_REP_CALCULO[[#This Row],[Peso-HIZENTRA]]</f>
        <v>0</v>
      </c>
      <c r="AM31" s="65">
        <f>IF(VIEW_IV_2019_REP_CALCULO[[#This Row],[Cobertura-PRIVIGEN]]&lt;Cob_Min_REP,0,IF(VIEW_IV_2019_REP_CALCULO[[#This Row],[Cobertura-PRIVIGEN]]&gt;Cob_Max_REP,Vlr_Max_REP,VLOOKUP(VIEW_IV_2019_REP_CALCULO[[#This Row],[Cobertura-PRIVIGEN]],Tabela_Valores_REP,2,1)))*VIEW_IV_2019_REP_CALCULO[[#This Row],[Peso-PRIVIGEN]]</f>
        <v>0</v>
      </c>
      <c r="AN31" s="102">
        <f>SUM(VIEW_IV_2019_REP_CALCULO[[#This Row],[Premio-BERINERT]:[Premio-PRIVIGEN]])</f>
        <v>0</v>
      </c>
      <c r="AX31" s="3"/>
      <c r="AY31" s="3"/>
      <c r="AZ31" s="3"/>
      <c r="BA31" s="3"/>
      <c r="BB31" s="3"/>
    </row>
    <row r="32" spans="1:54" x14ac:dyDescent="0.2">
      <c r="A32" s="7" t="s">
        <v>16</v>
      </c>
      <c r="B32" s="7" t="s">
        <v>55</v>
      </c>
      <c r="C32" s="7" t="s">
        <v>18</v>
      </c>
      <c r="D32" s="8" t="s">
        <v>737</v>
      </c>
      <c r="E32" s="8" t="s">
        <v>738</v>
      </c>
      <c r="F32" s="8" t="s">
        <v>739</v>
      </c>
      <c r="G32" s="8" t="s">
        <v>785</v>
      </c>
      <c r="H32" s="13" t="b">
        <v>1</v>
      </c>
      <c r="I32" s="13" t="b">
        <v>1</v>
      </c>
      <c r="J32" s="10">
        <v>4</v>
      </c>
      <c r="K32" s="10">
        <v>64</v>
      </c>
      <c r="L32" s="10">
        <v>60</v>
      </c>
      <c r="M32" s="10">
        <v>121</v>
      </c>
      <c r="N32" s="10">
        <v>2610</v>
      </c>
      <c r="O32" s="10">
        <v>36</v>
      </c>
      <c r="P32" s="10">
        <v>4</v>
      </c>
      <c r="Q32" s="10">
        <v>27</v>
      </c>
      <c r="R32" s="10">
        <v>223</v>
      </c>
      <c r="S32" s="10">
        <v>3245</v>
      </c>
      <c r="T32" s="14" t="b">
        <v>0</v>
      </c>
      <c r="U32" s="14" t="b">
        <v>0</v>
      </c>
      <c r="V32" s="14" t="b">
        <v>0</v>
      </c>
      <c r="W32" s="14" t="b">
        <v>0</v>
      </c>
      <c r="X32" s="14" t="b">
        <v>0</v>
      </c>
      <c r="Y32" s="55">
        <v>8</v>
      </c>
      <c r="Z32" s="55">
        <v>0.06</v>
      </c>
      <c r="AA32" s="55">
        <v>0.45</v>
      </c>
      <c r="AB32" s="55">
        <v>1.85</v>
      </c>
      <c r="AC32" s="55">
        <v>1.24</v>
      </c>
      <c r="AD32" s="62">
        <v>0.05</v>
      </c>
      <c r="AE32" s="62">
        <v>0.15</v>
      </c>
      <c r="AF32" s="62">
        <v>0.15</v>
      </c>
      <c r="AG32" s="62">
        <v>0.2</v>
      </c>
      <c r="AH32" s="62">
        <v>0.15</v>
      </c>
      <c r="AI32" s="66">
        <f>IF(VIEW_IV_2019_REP_CALCULO[[#This Row],[Cobertura-BERINERT]]&lt;Cob_Min_REP,0,IF(VIEW_IV_2019_REP_CALCULO[[#This Row],[Cobertura-BERINERT]]&gt;Cob_Max_REP,Vlr_Max_REP,VLOOKUP(VIEW_IV_2019_REP_CALCULO[[#This Row],[Cobertura-BERINERT]],Tabela_Valores_REP,2,1)))*VIEW_IV_2019_REP_CALCULO[[#This Row],[Peso-BERINERT]]</f>
        <v>407.45368346649059</v>
      </c>
      <c r="AJ32" s="65">
        <f>IF(VIEW_IV_2019_REP_CALCULO[[#This Row],[Cobertura-BERIPLEX]]&lt;Cob_Min_REP,0,IF(VIEW_IV_2019_REP_CALCULO[[#This Row],[Cobertura-BERIPLEX]]&gt;Cob_Max_REP,Vlr_Max_REP,VLOOKUP(VIEW_IV_2019_REP_CALCULO[[#This Row],[Cobertura-BERIPLEX]],Tabela_Valores_REP,2,1)))*VIEW_IV_2019_REP_CALCULO[[#This Row],[Peso-BERIPLEX]]</f>
        <v>0</v>
      </c>
      <c r="AK32" s="65">
        <f>IF(VIEW_IV_2019_REP_CALCULO[[#This Row],[Cobertura-HAEMO]]&lt;Cob_Min_REP,0,IF(VIEW_IV_2019_REP_CALCULO[[#This Row],[Cobertura-HAEMO]]&gt;Cob_Max_REP,Vlr_Max_REP,VLOOKUP(VIEW_IV_2019_REP_CALCULO[[#This Row],[Cobertura-HAEMO]],Tabela_Valores_REP,2,1)))*VIEW_IV_2019_REP_CALCULO[[#This Row],[Peso-HAEMO]]</f>
        <v>0</v>
      </c>
      <c r="AL32" s="65">
        <f>IF(VIEW_IV_2019_REP_CALCULO[[#This Row],[Cobertura-HIZENTRA]]&lt;Cob_Min_REP,0,IF(VIEW_IV_2019_REP_CALCULO[[#This Row],[Cobertura-HIZENTRA]]&gt;Cob_Max_REP,Vlr_Max_REP,VLOOKUP(VIEW_IV_2019_REP_CALCULO[[#This Row],[Cobertura-HIZENTRA]],Tabela_Valores_REP,2,1)))*VIEW_IV_2019_REP_CALCULO[[#This Row],[Peso-HIZENTRA]]</f>
        <v>1629.8147338659624</v>
      </c>
      <c r="AM32" s="65">
        <f>IF(VIEW_IV_2019_REP_CALCULO[[#This Row],[Cobertura-PRIVIGEN]]&lt;Cob_Min_REP,0,IF(VIEW_IV_2019_REP_CALCULO[[#This Row],[Cobertura-PRIVIGEN]]&gt;Cob_Max_REP,Vlr_Max_REP,VLOOKUP(VIEW_IV_2019_REP_CALCULO[[#This Row],[Cobertura-PRIVIGEN]],Tabela_Valores_REP,2,1)))*VIEW_IV_2019_REP_CALCULO[[#This Row],[Peso-PRIVIGEN]]</f>
        <v>1001.7519241884365</v>
      </c>
      <c r="AN32" s="102">
        <f>SUM(VIEW_IV_2019_REP_CALCULO[[#This Row],[Premio-BERINERT]:[Premio-PRIVIGEN]])</f>
        <v>3039.0203415208894</v>
      </c>
      <c r="AX32" s="3"/>
      <c r="AY32" s="3"/>
      <c r="AZ32" s="3"/>
      <c r="BA32" s="3"/>
      <c r="BB32" s="3"/>
    </row>
    <row r="33" spans="1:54" x14ac:dyDescent="0.2">
      <c r="A33" s="7" t="s">
        <v>16</v>
      </c>
      <c r="B33" s="7" t="s">
        <v>55</v>
      </c>
      <c r="C33" s="7" t="s">
        <v>18</v>
      </c>
      <c r="D33" s="8" t="s">
        <v>780</v>
      </c>
      <c r="E33" s="8" t="s">
        <v>781</v>
      </c>
      <c r="F33" s="8" t="s">
        <v>739</v>
      </c>
      <c r="G33" s="8" t="s">
        <v>791</v>
      </c>
      <c r="H33" s="13" t="b">
        <v>1</v>
      </c>
      <c r="I33" s="13" t="b">
        <v>1</v>
      </c>
      <c r="J33" s="10">
        <v>15</v>
      </c>
      <c r="K33" s="10">
        <v>32</v>
      </c>
      <c r="L33" s="10">
        <v>15</v>
      </c>
      <c r="M33" s="10">
        <v>664</v>
      </c>
      <c r="N33" s="10">
        <v>1305</v>
      </c>
      <c r="O33" s="10">
        <v>0</v>
      </c>
      <c r="P33" s="10">
        <v>2</v>
      </c>
      <c r="Q33" s="10">
        <v>0</v>
      </c>
      <c r="R33" s="10">
        <v>501</v>
      </c>
      <c r="S33" s="10">
        <v>6452</v>
      </c>
      <c r="T33" s="14" t="b">
        <v>0</v>
      </c>
      <c r="U33" s="14" t="b">
        <v>0</v>
      </c>
      <c r="V33" s="14" t="b">
        <v>0</v>
      </c>
      <c r="W33" s="14" t="b">
        <v>0</v>
      </c>
      <c r="X33" s="14" t="b">
        <v>0</v>
      </c>
      <c r="Y33" s="55">
        <v>0</v>
      </c>
      <c r="Z33" s="55">
        <v>0.06</v>
      </c>
      <c r="AA33" s="55">
        <v>0</v>
      </c>
      <c r="AB33" s="55">
        <v>0.75</v>
      </c>
      <c r="AC33" s="55">
        <v>4.9400000000000004</v>
      </c>
      <c r="AD33" s="62">
        <v>0.05</v>
      </c>
      <c r="AE33" s="62">
        <v>0.15</v>
      </c>
      <c r="AF33" s="62">
        <v>0.15</v>
      </c>
      <c r="AG33" s="62">
        <v>0.2</v>
      </c>
      <c r="AH33" s="62">
        <v>0.15</v>
      </c>
      <c r="AI33" s="66">
        <f>IF(VIEW_IV_2019_REP_CALCULO[[#This Row],[Cobertura-BERINERT]]&lt;Cob_Min_REP,0,IF(VIEW_IV_2019_REP_CALCULO[[#This Row],[Cobertura-BERINERT]]&gt;Cob_Max_REP,Vlr_Max_REP,VLOOKUP(VIEW_IV_2019_REP_CALCULO[[#This Row],[Cobertura-BERINERT]],Tabela_Valores_REP,2,1)))*VIEW_IV_2019_REP_CALCULO[[#This Row],[Peso-BERINERT]]</f>
        <v>0</v>
      </c>
      <c r="AJ33" s="65">
        <f>IF(VIEW_IV_2019_REP_CALCULO[[#This Row],[Cobertura-BERIPLEX]]&lt;Cob_Min_REP,0,IF(VIEW_IV_2019_REP_CALCULO[[#This Row],[Cobertura-BERIPLEX]]&gt;Cob_Max_REP,Vlr_Max_REP,VLOOKUP(VIEW_IV_2019_REP_CALCULO[[#This Row],[Cobertura-BERIPLEX]],Tabela_Valores_REP,2,1)))*VIEW_IV_2019_REP_CALCULO[[#This Row],[Peso-BERIPLEX]]</f>
        <v>0</v>
      </c>
      <c r="AK33" s="65">
        <f>IF(VIEW_IV_2019_REP_CALCULO[[#This Row],[Cobertura-HAEMO]]&lt;Cob_Min_REP,0,IF(VIEW_IV_2019_REP_CALCULO[[#This Row],[Cobertura-HAEMO]]&gt;Cob_Max_REP,Vlr_Max_REP,VLOOKUP(VIEW_IV_2019_REP_CALCULO[[#This Row],[Cobertura-HAEMO]],Tabela_Valores_REP,2,1)))*VIEW_IV_2019_REP_CALCULO[[#This Row],[Peso-HAEMO]]</f>
        <v>0</v>
      </c>
      <c r="AL33" s="65">
        <f>IF(VIEW_IV_2019_REP_CALCULO[[#This Row],[Cobertura-HIZENTRA]]&lt;Cob_Min_REP,0,IF(VIEW_IV_2019_REP_CALCULO[[#This Row],[Cobertura-HIZENTRA]]&gt;Cob_Max_REP,Vlr_Max_REP,VLOOKUP(VIEW_IV_2019_REP_CALCULO[[#This Row],[Cobertura-HIZENTRA]],Tabela_Valores_REP,2,1)))*VIEW_IV_2019_REP_CALCULO[[#This Row],[Peso-HIZENTRA]]</f>
        <v>0</v>
      </c>
      <c r="AM33" s="65">
        <f>IF(VIEW_IV_2019_REP_CALCULO[[#This Row],[Cobertura-PRIVIGEN]]&lt;Cob_Min_REP,0,IF(VIEW_IV_2019_REP_CALCULO[[#This Row],[Cobertura-PRIVIGEN]]&gt;Cob_Max_REP,Vlr_Max_REP,VLOOKUP(VIEW_IV_2019_REP_CALCULO[[#This Row],[Cobertura-PRIVIGEN]],Tabela_Valores_REP,2,1)))*VIEW_IV_2019_REP_CALCULO[[#This Row],[Peso-PRIVIGEN]]</f>
        <v>1222.3610503994717</v>
      </c>
      <c r="AN33" s="102">
        <f>SUM(VIEW_IV_2019_REP_CALCULO[[#This Row],[Premio-BERINERT]:[Premio-PRIVIGEN]])</f>
        <v>1222.3610503994717</v>
      </c>
      <c r="AX33" s="3"/>
      <c r="AY33" s="3"/>
      <c r="AZ33" s="3"/>
      <c r="BA33" s="3"/>
      <c r="BB33" s="3"/>
    </row>
    <row r="34" spans="1:54" x14ac:dyDescent="0.2">
      <c r="A34" s="7" t="s">
        <v>16</v>
      </c>
      <c r="B34" s="7" t="s">
        <v>55</v>
      </c>
      <c r="C34" s="7" t="s">
        <v>18</v>
      </c>
      <c r="D34" s="8" t="s">
        <v>720</v>
      </c>
      <c r="E34" s="8" t="s">
        <v>721</v>
      </c>
      <c r="F34" s="8" t="s">
        <v>723</v>
      </c>
      <c r="G34" s="8" t="s">
        <v>785</v>
      </c>
      <c r="H34" s="13" t="b">
        <v>1</v>
      </c>
      <c r="I34" s="13" t="b">
        <v>1</v>
      </c>
      <c r="J34" s="10">
        <v>0</v>
      </c>
      <c r="K34" s="10">
        <v>96</v>
      </c>
      <c r="L34" s="10">
        <v>150</v>
      </c>
      <c r="M34" s="10">
        <v>0</v>
      </c>
      <c r="N34" s="10">
        <v>2175</v>
      </c>
      <c r="O34" s="10">
        <v>0</v>
      </c>
      <c r="P34" s="10">
        <v>103</v>
      </c>
      <c r="Q34" s="10">
        <v>122</v>
      </c>
      <c r="R34" s="10">
        <v>0</v>
      </c>
      <c r="S34" s="10">
        <v>3040</v>
      </c>
      <c r="T34" s="14" t="b">
        <v>0</v>
      </c>
      <c r="U34" s="14" t="b">
        <v>0</v>
      </c>
      <c r="V34" s="14" t="b">
        <v>0</v>
      </c>
      <c r="W34" s="14" t="b">
        <v>0</v>
      </c>
      <c r="X34" s="14" t="b">
        <v>0</v>
      </c>
      <c r="Y34" s="55">
        <v>0</v>
      </c>
      <c r="Z34" s="55">
        <v>1.07</v>
      </c>
      <c r="AA34" s="55">
        <v>0.81</v>
      </c>
      <c r="AB34" s="55">
        <v>0</v>
      </c>
      <c r="AC34" s="55">
        <v>1.4</v>
      </c>
      <c r="AD34" s="62">
        <v>0</v>
      </c>
      <c r="AE34" s="62">
        <v>0.25</v>
      </c>
      <c r="AF34" s="62">
        <v>0.25</v>
      </c>
      <c r="AG34" s="62">
        <v>0</v>
      </c>
      <c r="AH34" s="62">
        <v>0.2</v>
      </c>
      <c r="AI34" s="66">
        <f>IF(VIEW_IV_2019_REP_CALCULO[[#This Row],[Cobertura-BERINERT]]&lt;Cob_Min_REP,0,IF(VIEW_IV_2019_REP_CALCULO[[#This Row],[Cobertura-BERINERT]]&gt;Cob_Max_REP,Vlr_Max_REP,VLOOKUP(VIEW_IV_2019_REP_CALCULO[[#This Row],[Cobertura-BERINERT]],Tabela_Valores_REP,2,1)))*VIEW_IV_2019_REP_CALCULO[[#This Row],[Peso-BERINERT]]</f>
        <v>0</v>
      </c>
      <c r="AJ34" s="65">
        <f>IF(VIEW_IV_2019_REP_CALCULO[[#This Row],[Cobertura-BERIPLEX]]&lt;Cob_Min_REP,0,IF(VIEW_IV_2019_REP_CALCULO[[#This Row],[Cobertura-BERIPLEX]]&gt;Cob_Max_REP,Vlr_Max_REP,VLOOKUP(VIEW_IV_2019_REP_CALCULO[[#This Row],[Cobertura-BERIPLEX]],Tabela_Valores_REP,2,1)))*VIEW_IV_2019_REP_CALCULO[[#This Row],[Peso-BERIPLEX]]</f>
        <v>958.23731310813787</v>
      </c>
      <c r="AK34" s="65">
        <f>IF(VIEW_IV_2019_REP_CALCULO[[#This Row],[Cobertura-HAEMO]]&lt;Cob_Min_REP,0,IF(VIEW_IV_2019_REP_CALCULO[[#This Row],[Cobertura-HAEMO]]&gt;Cob_Max_REP,Vlr_Max_REP,VLOOKUP(VIEW_IV_2019_REP_CALCULO[[#This Row],[Cobertura-HAEMO]],Tabela_Valores_REP,2,1)))*VIEW_IV_2019_REP_CALCULO[[#This Row],[Peso-HAEMO]]</f>
        <v>365.08571195559335</v>
      </c>
      <c r="AL34" s="65">
        <f>IF(VIEW_IV_2019_REP_CALCULO[[#This Row],[Cobertura-HIZENTRA]]&lt;Cob_Min_REP,0,IF(VIEW_IV_2019_REP_CALCULO[[#This Row],[Cobertura-HIZENTRA]]&gt;Cob_Max_REP,Vlr_Max_REP,VLOOKUP(VIEW_IV_2019_REP_CALCULO[[#This Row],[Cobertura-HIZENTRA]],Tabela_Valores_REP,2,1)))*VIEW_IV_2019_REP_CALCULO[[#This Row],[Peso-HIZENTRA]]</f>
        <v>0</v>
      </c>
      <c r="AM34" s="65">
        <f>IF(VIEW_IV_2019_REP_CALCULO[[#This Row],[Cobertura-PRIVIGEN]]&lt;Cob_Min_REP,0,IF(VIEW_IV_2019_REP_CALCULO[[#This Row],[Cobertura-PRIVIGEN]]&gt;Cob_Max_REP,Vlr_Max_REP,VLOOKUP(VIEW_IV_2019_REP_CALCULO[[#This Row],[Cobertura-PRIVIGEN]],Tabela_Valores_REP,2,1)))*VIEW_IV_2019_REP_CALCULO[[#This Row],[Peso-PRIVIGEN]]</f>
        <v>1516.8815536343645</v>
      </c>
      <c r="AN34" s="102">
        <f>SUM(VIEW_IV_2019_REP_CALCULO[[#This Row],[Premio-BERINERT]:[Premio-PRIVIGEN]])</f>
        <v>2840.2045786980957</v>
      </c>
      <c r="AX34" s="3"/>
      <c r="AY34" s="3"/>
      <c r="AZ34" s="3"/>
      <c r="BA34" s="3"/>
      <c r="BB34" s="3"/>
    </row>
    <row r="35" spans="1:54" x14ac:dyDescent="0.2">
      <c r="A35" s="7" t="s">
        <v>16</v>
      </c>
      <c r="B35" s="7" t="s">
        <v>55</v>
      </c>
      <c r="C35" s="7" t="s">
        <v>18</v>
      </c>
      <c r="D35" s="8" t="s">
        <v>724</v>
      </c>
      <c r="E35" s="8" t="s">
        <v>725</v>
      </c>
      <c r="F35" s="8" t="s">
        <v>723</v>
      </c>
      <c r="G35" s="8" t="s">
        <v>787</v>
      </c>
      <c r="H35" s="13" t="b">
        <v>1</v>
      </c>
      <c r="I35" s="13" t="b">
        <v>1</v>
      </c>
      <c r="J35" s="10">
        <v>0</v>
      </c>
      <c r="K35" s="10">
        <v>112</v>
      </c>
      <c r="L35" s="10">
        <v>180</v>
      </c>
      <c r="M35" s="10">
        <v>0</v>
      </c>
      <c r="N35" s="10">
        <v>3915</v>
      </c>
      <c r="O35" s="10">
        <v>0</v>
      </c>
      <c r="P35" s="10">
        <v>60</v>
      </c>
      <c r="Q35" s="10">
        <v>174</v>
      </c>
      <c r="R35" s="10">
        <v>0</v>
      </c>
      <c r="S35" s="10">
        <v>3780</v>
      </c>
      <c r="T35" s="14" t="b">
        <v>0</v>
      </c>
      <c r="U35" s="14" t="b">
        <v>0</v>
      </c>
      <c r="V35" s="14" t="b">
        <v>0</v>
      </c>
      <c r="W35" s="14" t="b">
        <v>0</v>
      </c>
      <c r="X35" s="14" t="b">
        <v>0</v>
      </c>
      <c r="Y35" s="55">
        <v>0</v>
      </c>
      <c r="Z35" s="55">
        <v>0.54</v>
      </c>
      <c r="AA35" s="55">
        <v>0.97</v>
      </c>
      <c r="AB35" s="55">
        <v>0</v>
      </c>
      <c r="AC35" s="55">
        <v>0.97</v>
      </c>
      <c r="AD35" s="62">
        <v>0</v>
      </c>
      <c r="AE35" s="62">
        <v>0.25</v>
      </c>
      <c r="AF35" s="62">
        <v>0.25</v>
      </c>
      <c r="AG35" s="62">
        <v>0</v>
      </c>
      <c r="AH35" s="62">
        <v>0.2</v>
      </c>
      <c r="AI35" s="66">
        <f>IF(VIEW_IV_2019_REP_CALCULO[[#This Row],[Cobertura-BERINERT]]&lt;Cob_Min_REP,0,IF(VIEW_IV_2019_REP_CALCULO[[#This Row],[Cobertura-BERINERT]]&gt;Cob_Max_REP,Vlr_Max_REP,VLOOKUP(VIEW_IV_2019_REP_CALCULO[[#This Row],[Cobertura-BERINERT]],Tabela_Valores_REP,2,1)))*VIEW_IV_2019_REP_CALCULO[[#This Row],[Peso-BERINERT]]</f>
        <v>0</v>
      </c>
      <c r="AJ35" s="65">
        <f>IF(VIEW_IV_2019_REP_CALCULO[[#This Row],[Cobertura-BERIPLEX]]&lt;Cob_Min_REP,0,IF(VIEW_IV_2019_REP_CALCULO[[#This Row],[Cobertura-BERIPLEX]]&gt;Cob_Max_REP,Vlr_Max_REP,VLOOKUP(VIEW_IV_2019_REP_CALCULO[[#This Row],[Cobertura-BERIPLEX]],Tabela_Valores_REP,2,1)))*VIEW_IV_2019_REP_CALCULO[[#This Row],[Peso-BERIPLEX]]</f>
        <v>0</v>
      </c>
      <c r="AK35" s="65">
        <f>IF(VIEW_IV_2019_REP_CALCULO[[#This Row],[Cobertura-HAEMO]]&lt;Cob_Min_REP,0,IF(VIEW_IV_2019_REP_CALCULO[[#This Row],[Cobertura-HAEMO]]&gt;Cob_Max_REP,Vlr_Max_REP,VLOOKUP(VIEW_IV_2019_REP_CALCULO[[#This Row],[Cobertura-HAEMO]],Tabela_Valores_REP,2,1)))*VIEW_IV_2019_REP_CALCULO[[#This Row],[Peso-HAEMO]]</f>
        <v>655.80211221652928</v>
      </c>
      <c r="AL35" s="65">
        <f>IF(VIEW_IV_2019_REP_CALCULO[[#This Row],[Cobertura-HIZENTRA]]&lt;Cob_Min_REP,0,IF(VIEW_IV_2019_REP_CALCULO[[#This Row],[Cobertura-HIZENTRA]]&gt;Cob_Max_REP,Vlr_Max_REP,VLOOKUP(VIEW_IV_2019_REP_CALCULO[[#This Row],[Cobertura-HIZENTRA]],Tabela_Valores_REP,2,1)))*VIEW_IV_2019_REP_CALCULO[[#This Row],[Peso-HIZENTRA]]</f>
        <v>0</v>
      </c>
      <c r="AM35" s="65">
        <f>IF(VIEW_IV_2019_REP_CALCULO[[#This Row],[Cobertura-PRIVIGEN]]&lt;Cob_Min_REP,0,IF(VIEW_IV_2019_REP_CALCULO[[#This Row],[Cobertura-PRIVIGEN]]&gt;Cob_Max_REP,Vlr_Max_REP,VLOOKUP(VIEW_IV_2019_REP_CALCULO[[#This Row],[Cobertura-PRIVIGEN]],Tabela_Valores_REP,2,1)))*VIEW_IV_2019_REP_CALCULO[[#This Row],[Peso-PRIVIGEN]]</f>
        <v>524.64168977322345</v>
      </c>
      <c r="AN35" s="102">
        <f>SUM(VIEW_IV_2019_REP_CALCULO[[#This Row],[Premio-BERINERT]:[Premio-PRIVIGEN]])</f>
        <v>1180.4438019897527</v>
      </c>
      <c r="AX35" s="3"/>
      <c r="AY35" s="3"/>
      <c r="AZ35" s="3"/>
      <c r="BA35" s="3"/>
      <c r="BB35" s="3"/>
    </row>
    <row r="36" spans="1:54" x14ac:dyDescent="0.2">
      <c r="A36" s="7" t="s">
        <v>16</v>
      </c>
      <c r="B36" s="7" t="s">
        <v>55</v>
      </c>
      <c r="C36" s="7" t="s">
        <v>18</v>
      </c>
      <c r="D36" s="8" t="s">
        <v>726</v>
      </c>
      <c r="E36" s="8" t="s">
        <v>727</v>
      </c>
      <c r="F36" s="8" t="s">
        <v>723</v>
      </c>
      <c r="G36" s="8" t="s">
        <v>787</v>
      </c>
      <c r="H36" s="13" t="b">
        <v>1</v>
      </c>
      <c r="I36" s="13" t="b">
        <v>1</v>
      </c>
      <c r="J36" s="10">
        <v>0</v>
      </c>
      <c r="K36" s="10">
        <v>96</v>
      </c>
      <c r="L36" s="10">
        <v>75</v>
      </c>
      <c r="M36" s="10">
        <v>0</v>
      </c>
      <c r="N36" s="10">
        <v>5220</v>
      </c>
      <c r="O36" s="10">
        <v>0</v>
      </c>
      <c r="P36" s="10">
        <v>17</v>
      </c>
      <c r="Q36" s="10">
        <v>37</v>
      </c>
      <c r="R36" s="10">
        <v>0</v>
      </c>
      <c r="S36" s="10">
        <v>5840</v>
      </c>
      <c r="T36" s="14" t="b">
        <v>0</v>
      </c>
      <c r="U36" s="14" t="b">
        <v>0</v>
      </c>
      <c r="V36" s="14" t="b">
        <v>0</v>
      </c>
      <c r="W36" s="14" t="b">
        <v>0</v>
      </c>
      <c r="X36" s="14" t="b">
        <v>0</v>
      </c>
      <c r="Y36" s="55">
        <v>0</v>
      </c>
      <c r="Z36" s="55">
        <v>0.18</v>
      </c>
      <c r="AA36" s="55">
        <v>0.49</v>
      </c>
      <c r="AB36" s="55">
        <v>0</v>
      </c>
      <c r="AC36" s="55">
        <v>1.1200000000000001</v>
      </c>
      <c r="AD36" s="62">
        <v>0</v>
      </c>
      <c r="AE36" s="62">
        <v>0.25</v>
      </c>
      <c r="AF36" s="62">
        <v>0.25</v>
      </c>
      <c r="AG36" s="62">
        <v>0</v>
      </c>
      <c r="AH36" s="62">
        <v>0.2</v>
      </c>
      <c r="AI36" s="66">
        <f>IF(VIEW_IV_2019_REP_CALCULO[[#This Row],[Cobertura-BERINERT]]&lt;Cob_Min_REP,0,IF(VIEW_IV_2019_REP_CALCULO[[#This Row],[Cobertura-BERINERT]]&gt;Cob_Max_REP,Vlr_Max_REP,VLOOKUP(VIEW_IV_2019_REP_CALCULO[[#This Row],[Cobertura-BERINERT]],Tabela_Valores_REP,2,1)))*VIEW_IV_2019_REP_CALCULO[[#This Row],[Peso-BERINERT]]</f>
        <v>0</v>
      </c>
      <c r="AJ36" s="65">
        <f>IF(VIEW_IV_2019_REP_CALCULO[[#This Row],[Cobertura-BERIPLEX]]&lt;Cob_Min_REP,0,IF(VIEW_IV_2019_REP_CALCULO[[#This Row],[Cobertura-BERIPLEX]]&gt;Cob_Max_REP,Vlr_Max_REP,VLOOKUP(VIEW_IV_2019_REP_CALCULO[[#This Row],[Cobertura-BERIPLEX]],Tabela_Valores_REP,2,1)))*VIEW_IV_2019_REP_CALCULO[[#This Row],[Peso-BERIPLEX]]</f>
        <v>0</v>
      </c>
      <c r="AK36" s="65">
        <f>IF(VIEW_IV_2019_REP_CALCULO[[#This Row],[Cobertura-HAEMO]]&lt;Cob_Min_REP,0,IF(VIEW_IV_2019_REP_CALCULO[[#This Row],[Cobertura-HAEMO]]&gt;Cob_Max_REP,Vlr_Max_REP,VLOOKUP(VIEW_IV_2019_REP_CALCULO[[#This Row],[Cobertura-HAEMO]],Tabela_Valores_REP,2,1)))*VIEW_IV_2019_REP_CALCULO[[#This Row],[Peso-HAEMO]]</f>
        <v>0</v>
      </c>
      <c r="AL36" s="65">
        <f>IF(VIEW_IV_2019_REP_CALCULO[[#This Row],[Cobertura-HIZENTRA]]&lt;Cob_Min_REP,0,IF(VIEW_IV_2019_REP_CALCULO[[#This Row],[Cobertura-HIZENTRA]]&gt;Cob_Max_REP,Vlr_Max_REP,VLOOKUP(VIEW_IV_2019_REP_CALCULO[[#This Row],[Cobertura-HIZENTRA]],Tabela_Valores_REP,2,1)))*VIEW_IV_2019_REP_CALCULO[[#This Row],[Peso-HIZENTRA]]</f>
        <v>0</v>
      </c>
      <c r="AM36" s="65">
        <f>IF(VIEW_IV_2019_REP_CALCULO[[#This Row],[Cobertura-PRIVIGEN]]&lt;Cob_Min_REP,0,IF(VIEW_IV_2019_REP_CALCULO[[#This Row],[Cobertura-PRIVIGEN]]&gt;Cob_Max_REP,Vlr_Max_REP,VLOOKUP(VIEW_IV_2019_REP_CALCULO[[#This Row],[Cobertura-PRIVIGEN]],Tabela_Valores_REP,2,1)))*VIEW_IV_2019_REP_CALCULO[[#This Row],[Peso-PRIVIGEN]]</f>
        <v>1017.1197790462616</v>
      </c>
      <c r="AN36" s="102">
        <f>SUM(VIEW_IV_2019_REP_CALCULO[[#This Row],[Premio-BERINERT]:[Premio-PRIVIGEN]])</f>
        <v>1017.1197790462616</v>
      </c>
      <c r="AX36" s="3"/>
      <c r="AY36" s="3"/>
      <c r="AZ36" s="3"/>
      <c r="BA36" s="3"/>
      <c r="BB36" s="3"/>
    </row>
    <row r="37" spans="1:54" x14ac:dyDescent="0.2">
      <c r="A37" s="7" t="s">
        <v>16</v>
      </c>
      <c r="B37" s="7" t="s">
        <v>55</v>
      </c>
      <c r="C37" s="7" t="s">
        <v>18</v>
      </c>
      <c r="D37" s="8" t="s">
        <v>735</v>
      </c>
      <c r="E37" s="8" t="s">
        <v>736</v>
      </c>
      <c r="F37" s="8" t="s">
        <v>723</v>
      </c>
      <c r="G37" s="8" t="s">
        <v>785</v>
      </c>
      <c r="H37" s="13" t="b">
        <v>1</v>
      </c>
      <c r="I37" s="13" t="b">
        <v>1</v>
      </c>
      <c r="J37" s="10">
        <v>0</v>
      </c>
      <c r="K37" s="10">
        <v>64</v>
      </c>
      <c r="L37" s="10">
        <v>60</v>
      </c>
      <c r="M37" s="10">
        <v>0</v>
      </c>
      <c r="N37" s="10">
        <v>6525</v>
      </c>
      <c r="O37" s="10">
        <v>0</v>
      </c>
      <c r="P37" s="10">
        <v>7</v>
      </c>
      <c r="Q37" s="10">
        <v>10</v>
      </c>
      <c r="R37" s="10">
        <v>0</v>
      </c>
      <c r="S37" s="10">
        <v>12150</v>
      </c>
      <c r="T37" s="14" t="b">
        <v>0</v>
      </c>
      <c r="U37" s="14" t="b">
        <v>0</v>
      </c>
      <c r="V37" s="14" t="b">
        <v>0</v>
      </c>
      <c r="W37" s="14" t="b">
        <v>0</v>
      </c>
      <c r="X37" s="14" t="b">
        <v>0</v>
      </c>
      <c r="Y37" s="55">
        <v>0</v>
      </c>
      <c r="Z37" s="55">
        <v>0.11</v>
      </c>
      <c r="AA37" s="55">
        <v>0.17</v>
      </c>
      <c r="AB37" s="55">
        <v>0</v>
      </c>
      <c r="AC37" s="55">
        <v>1.86</v>
      </c>
      <c r="AD37" s="62">
        <v>0</v>
      </c>
      <c r="AE37" s="62">
        <v>0.25</v>
      </c>
      <c r="AF37" s="62">
        <v>0.25</v>
      </c>
      <c r="AG37" s="62">
        <v>0</v>
      </c>
      <c r="AH37" s="62">
        <v>0.2</v>
      </c>
      <c r="AI37" s="66">
        <f>IF(VIEW_IV_2019_REP_CALCULO[[#This Row],[Cobertura-BERINERT]]&lt;Cob_Min_REP,0,IF(VIEW_IV_2019_REP_CALCULO[[#This Row],[Cobertura-BERINERT]]&gt;Cob_Max_REP,Vlr_Max_REP,VLOOKUP(VIEW_IV_2019_REP_CALCULO[[#This Row],[Cobertura-BERINERT]],Tabela_Valores_REP,2,1)))*VIEW_IV_2019_REP_CALCULO[[#This Row],[Peso-BERINERT]]</f>
        <v>0</v>
      </c>
      <c r="AJ37" s="65">
        <f>IF(VIEW_IV_2019_REP_CALCULO[[#This Row],[Cobertura-BERIPLEX]]&lt;Cob_Min_REP,0,IF(VIEW_IV_2019_REP_CALCULO[[#This Row],[Cobertura-BERIPLEX]]&gt;Cob_Max_REP,Vlr_Max_REP,VLOOKUP(VIEW_IV_2019_REP_CALCULO[[#This Row],[Cobertura-BERIPLEX]],Tabela_Valores_REP,2,1)))*VIEW_IV_2019_REP_CALCULO[[#This Row],[Peso-BERIPLEX]]</f>
        <v>0</v>
      </c>
      <c r="AK37" s="65">
        <f>IF(VIEW_IV_2019_REP_CALCULO[[#This Row],[Cobertura-HAEMO]]&lt;Cob_Min_REP,0,IF(VIEW_IV_2019_REP_CALCULO[[#This Row],[Cobertura-HAEMO]]&gt;Cob_Max_REP,Vlr_Max_REP,VLOOKUP(VIEW_IV_2019_REP_CALCULO[[#This Row],[Cobertura-HAEMO]],Tabela_Valores_REP,2,1)))*VIEW_IV_2019_REP_CALCULO[[#This Row],[Peso-HAEMO]]</f>
        <v>0</v>
      </c>
      <c r="AL37" s="65">
        <f>IF(VIEW_IV_2019_REP_CALCULO[[#This Row],[Cobertura-HIZENTRA]]&lt;Cob_Min_REP,0,IF(VIEW_IV_2019_REP_CALCULO[[#This Row],[Cobertura-HIZENTRA]]&gt;Cob_Max_REP,Vlr_Max_REP,VLOOKUP(VIEW_IV_2019_REP_CALCULO[[#This Row],[Cobertura-HIZENTRA]],Tabela_Valores_REP,2,1)))*VIEW_IV_2019_REP_CALCULO[[#This Row],[Peso-HIZENTRA]]</f>
        <v>0</v>
      </c>
      <c r="AM37" s="65">
        <f>IF(VIEW_IV_2019_REP_CALCULO[[#This Row],[Cobertura-PRIVIGEN]]&lt;Cob_Min_REP,0,IF(VIEW_IV_2019_REP_CALCULO[[#This Row],[Cobertura-PRIVIGEN]]&gt;Cob_Max_REP,Vlr_Max_REP,VLOOKUP(VIEW_IV_2019_REP_CALCULO[[#This Row],[Cobertura-PRIVIGEN]],Tabela_Valores_REP,2,1)))*VIEW_IV_2019_REP_CALCULO[[#This Row],[Peso-PRIVIGEN]]</f>
        <v>1629.8147338659624</v>
      </c>
      <c r="AN37" s="102">
        <f>SUM(VIEW_IV_2019_REP_CALCULO[[#This Row],[Premio-BERINERT]:[Premio-PRIVIGEN]])</f>
        <v>1629.8147338659624</v>
      </c>
      <c r="AX37" s="3"/>
      <c r="AY37" s="3"/>
      <c r="AZ37" s="3"/>
      <c r="BA37" s="3"/>
      <c r="BB37" s="3"/>
    </row>
    <row r="38" spans="1:54" x14ac:dyDescent="0.2">
      <c r="A38" s="7" t="s">
        <v>16</v>
      </c>
      <c r="B38" s="7" t="s">
        <v>55</v>
      </c>
      <c r="C38" s="7" t="s">
        <v>18</v>
      </c>
      <c r="D38" s="8" t="s">
        <v>742</v>
      </c>
      <c r="E38" s="8" t="s">
        <v>743</v>
      </c>
      <c r="F38" s="8" t="s">
        <v>723</v>
      </c>
      <c r="G38" s="8" t="s">
        <v>791</v>
      </c>
      <c r="H38" s="13" t="b">
        <v>1</v>
      </c>
      <c r="I38" s="13" t="b">
        <v>1</v>
      </c>
      <c r="J38" s="10">
        <v>0</v>
      </c>
      <c r="K38" s="10">
        <v>176</v>
      </c>
      <c r="L38" s="10">
        <v>105</v>
      </c>
      <c r="M38" s="10">
        <v>0</v>
      </c>
      <c r="N38" s="10">
        <v>2175</v>
      </c>
      <c r="O38" s="10">
        <v>0</v>
      </c>
      <c r="P38" s="10">
        <v>139</v>
      </c>
      <c r="Q38" s="10">
        <v>15</v>
      </c>
      <c r="R38" s="10">
        <v>0</v>
      </c>
      <c r="S38" s="10">
        <v>7375</v>
      </c>
      <c r="T38" s="14" t="b">
        <v>0</v>
      </c>
      <c r="U38" s="14" t="b">
        <v>0</v>
      </c>
      <c r="V38" s="14" t="b">
        <v>0</v>
      </c>
      <c r="W38" s="14" t="b">
        <v>0</v>
      </c>
      <c r="X38" s="14" t="b">
        <v>0</v>
      </c>
      <c r="Y38" s="55">
        <v>0</v>
      </c>
      <c r="Z38" s="55">
        <v>0.79</v>
      </c>
      <c r="AA38" s="55">
        <v>0.14000000000000001</v>
      </c>
      <c r="AB38" s="55">
        <v>0</v>
      </c>
      <c r="AC38" s="55">
        <v>3.39</v>
      </c>
      <c r="AD38" s="62">
        <v>0</v>
      </c>
      <c r="AE38" s="62">
        <v>0.25</v>
      </c>
      <c r="AF38" s="62">
        <v>0.25</v>
      </c>
      <c r="AG38" s="62">
        <v>0</v>
      </c>
      <c r="AH38" s="62">
        <v>0.2</v>
      </c>
      <c r="AI38" s="66">
        <f>IF(VIEW_IV_2019_REP_CALCULO[[#This Row],[Cobertura-BERINERT]]&lt;Cob_Min_REP,0,IF(VIEW_IV_2019_REP_CALCULO[[#This Row],[Cobertura-BERINERT]]&gt;Cob_Max_REP,Vlr_Max_REP,VLOOKUP(VIEW_IV_2019_REP_CALCULO[[#This Row],[Cobertura-BERINERT]],Tabela_Valores_REP,2,1)))*VIEW_IV_2019_REP_CALCULO[[#This Row],[Peso-BERINERT]]</f>
        <v>0</v>
      </c>
      <c r="AJ38" s="65">
        <f>IF(VIEW_IV_2019_REP_CALCULO[[#This Row],[Cobertura-BERIPLEX]]&lt;Cob_Min_REP,0,IF(VIEW_IV_2019_REP_CALCULO[[#This Row],[Cobertura-BERIPLEX]]&gt;Cob_Max_REP,Vlr_Max_REP,VLOOKUP(VIEW_IV_2019_REP_CALCULO[[#This Row],[Cobertura-BERIPLEX]],Tabela_Valores_REP,2,1)))*VIEW_IV_2019_REP_CALCULO[[#This Row],[Peso-BERIPLEX]]</f>
        <v>0</v>
      </c>
      <c r="AK38" s="65">
        <f>IF(VIEW_IV_2019_REP_CALCULO[[#This Row],[Cobertura-HAEMO]]&lt;Cob_Min_REP,0,IF(VIEW_IV_2019_REP_CALCULO[[#This Row],[Cobertura-HAEMO]]&gt;Cob_Max_REP,Vlr_Max_REP,VLOOKUP(VIEW_IV_2019_REP_CALCULO[[#This Row],[Cobertura-HAEMO]],Tabela_Valores_REP,2,1)))*VIEW_IV_2019_REP_CALCULO[[#This Row],[Peso-HAEMO]]</f>
        <v>0</v>
      </c>
      <c r="AL38" s="65">
        <f>IF(VIEW_IV_2019_REP_CALCULO[[#This Row],[Cobertura-HIZENTRA]]&lt;Cob_Min_REP,0,IF(VIEW_IV_2019_REP_CALCULO[[#This Row],[Cobertura-HIZENTRA]]&gt;Cob_Max_REP,Vlr_Max_REP,VLOOKUP(VIEW_IV_2019_REP_CALCULO[[#This Row],[Cobertura-HIZENTRA]],Tabela_Valores_REP,2,1)))*VIEW_IV_2019_REP_CALCULO[[#This Row],[Peso-HIZENTRA]]</f>
        <v>0</v>
      </c>
      <c r="AM38" s="65">
        <f>IF(VIEW_IV_2019_REP_CALCULO[[#This Row],[Cobertura-PRIVIGEN]]&lt;Cob_Min_REP,0,IF(VIEW_IV_2019_REP_CALCULO[[#This Row],[Cobertura-PRIVIGEN]]&gt;Cob_Max_REP,Vlr_Max_REP,VLOOKUP(VIEW_IV_2019_REP_CALCULO[[#This Row],[Cobertura-PRIVIGEN]],Tabela_Valores_REP,2,1)))*VIEW_IV_2019_REP_CALCULO[[#This Row],[Peso-PRIVIGEN]]</f>
        <v>1629.8147338659624</v>
      </c>
      <c r="AN38" s="102">
        <f>SUM(VIEW_IV_2019_REP_CALCULO[[#This Row],[Premio-BERINERT]:[Premio-PRIVIGEN]])</f>
        <v>1629.8147338659624</v>
      </c>
      <c r="AX38" s="3"/>
      <c r="AY38" s="3"/>
      <c r="AZ38" s="3"/>
      <c r="BA38" s="3"/>
      <c r="BB38" s="3"/>
    </row>
    <row r="39" spans="1:54" x14ac:dyDescent="0.2">
      <c r="A39" s="7" t="s">
        <v>16</v>
      </c>
      <c r="B39" s="7" t="s">
        <v>55</v>
      </c>
      <c r="C39" s="7" t="s">
        <v>18</v>
      </c>
      <c r="D39" s="8" t="s">
        <v>744</v>
      </c>
      <c r="E39" s="8" t="s">
        <v>745</v>
      </c>
      <c r="F39" s="8" t="s">
        <v>723</v>
      </c>
      <c r="G39" s="8" t="s">
        <v>791</v>
      </c>
      <c r="H39" s="13" t="b">
        <v>1</v>
      </c>
      <c r="I39" s="13" t="b">
        <v>1</v>
      </c>
      <c r="J39" s="10">
        <v>0</v>
      </c>
      <c r="K39" s="10">
        <v>144</v>
      </c>
      <c r="L39" s="10">
        <v>165</v>
      </c>
      <c r="M39" s="10">
        <v>0</v>
      </c>
      <c r="N39" s="10">
        <v>1305</v>
      </c>
      <c r="O39" s="10">
        <v>0</v>
      </c>
      <c r="P39" s="10">
        <v>902</v>
      </c>
      <c r="Q39" s="10">
        <v>28</v>
      </c>
      <c r="R39" s="10">
        <v>0</v>
      </c>
      <c r="S39" s="10">
        <v>1795</v>
      </c>
      <c r="T39" s="14" t="b">
        <v>0</v>
      </c>
      <c r="U39" s="14" t="b">
        <v>0</v>
      </c>
      <c r="V39" s="14" t="b">
        <v>0</v>
      </c>
      <c r="W39" s="14" t="b">
        <v>0</v>
      </c>
      <c r="X39" s="14" t="b">
        <v>0</v>
      </c>
      <c r="Y39" s="55">
        <v>0</v>
      </c>
      <c r="Z39" s="55">
        <v>6.26</v>
      </c>
      <c r="AA39" s="55">
        <v>0.17</v>
      </c>
      <c r="AB39" s="55">
        <v>0</v>
      </c>
      <c r="AC39" s="55">
        <v>1.38</v>
      </c>
      <c r="AD39" s="62">
        <v>0</v>
      </c>
      <c r="AE39" s="62">
        <v>0.25</v>
      </c>
      <c r="AF39" s="62">
        <v>0.25</v>
      </c>
      <c r="AG39" s="62">
        <v>0</v>
      </c>
      <c r="AH39" s="62">
        <v>0.2</v>
      </c>
      <c r="AI39" s="66">
        <f>IF(VIEW_IV_2019_REP_CALCULO[[#This Row],[Cobertura-BERINERT]]&lt;Cob_Min_REP,0,IF(VIEW_IV_2019_REP_CALCULO[[#This Row],[Cobertura-BERINERT]]&gt;Cob_Max_REP,Vlr_Max_REP,VLOOKUP(VIEW_IV_2019_REP_CALCULO[[#This Row],[Cobertura-BERINERT]],Tabela_Valores_REP,2,1)))*VIEW_IV_2019_REP_CALCULO[[#This Row],[Peso-BERINERT]]</f>
        <v>0</v>
      </c>
      <c r="AJ39" s="65">
        <f>IF(VIEW_IV_2019_REP_CALCULO[[#This Row],[Cobertura-BERIPLEX]]&lt;Cob_Min_REP,0,IF(VIEW_IV_2019_REP_CALCULO[[#This Row],[Cobertura-BERIPLEX]]&gt;Cob_Max_REP,Vlr_Max_REP,VLOOKUP(VIEW_IV_2019_REP_CALCULO[[#This Row],[Cobertura-BERIPLEX]],Tabela_Valores_REP,2,1)))*VIEW_IV_2019_REP_CALCULO[[#This Row],[Peso-BERIPLEX]]</f>
        <v>2037.2684173324528</v>
      </c>
      <c r="AK39" s="65">
        <f>IF(VIEW_IV_2019_REP_CALCULO[[#This Row],[Cobertura-HAEMO]]&lt;Cob_Min_REP,0,IF(VIEW_IV_2019_REP_CALCULO[[#This Row],[Cobertura-HAEMO]]&gt;Cob_Max_REP,Vlr_Max_REP,VLOOKUP(VIEW_IV_2019_REP_CALCULO[[#This Row],[Cobertura-HAEMO]],Tabela_Valores_REP,2,1)))*VIEW_IV_2019_REP_CALCULO[[#This Row],[Peso-HAEMO]]</f>
        <v>0</v>
      </c>
      <c r="AL39" s="65">
        <f>IF(VIEW_IV_2019_REP_CALCULO[[#This Row],[Cobertura-HIZENTRA]]&lt;Cob_Min_REP,0,IF(VIEW_IV_2019_REP_CALCULO[[#This Row],[Cobertura-HIZENTRA]]&gt;Cob_Max_REP,Vlr_Max_REP,VLOOKUP(VIEW_IV_2019_REP_CALCULO[[#This Row],[Cobertura-HIZENTRA]],Tabela_Valores_REP,2,1)))*VIEW_IV_2019_REP_CALCULO[[#This Row],[Peso-HIZENTRA]]</f>
        <v>0</v>
      </c>
      <c r="AM39" s="65">
        <f>IF(VIEW_IV_2019_REP_CALCULO[[#This Row],[Cobertura-PRIVIGEN]]&lt;Cob_Min_REP,0,IF(VIEW_IV_2019_REP_CALCULO[[#This Row],[Cobertura-PRIVIGEN]]&gt;Cob_Max_REP,Vlr_Max_REP,VLOOKUP(VIEW_IV_2019_REP_CALCULO[[#This Row],[Cobertura-PRIVIGEN]],Tabela_Valores_REP,2,1)))*VIEW_IV_2019_REP_CALCULO[[#This Row],[Peso-PRIVIGEN]]</f>
        <v>1487.2852719184978</v>
      </c>
      <c r="AN39" s="102">
        <f>SUM(VIEW_IV_2019_REP_CALCULO[[#This Row],[Premio-BERINERT]:[Premio-PRIVIGEN]])</f>
        <v>3524.5536892509508</v>
      </c>
      <c r="AX39" s="3"/>
      <c r="AY39" s="3"/>
      <c r="AZ39" s="3"/>
      <c r="BA39" s="3"/>
      <c r="BB39" s="3"/>
    </row>
    <row r="40" spans="1:54" x14ac:dyDescent="0.2">
      <c r="A40" s="7" t="s">
        <v>16</v>
      </c>
      <c r="B40" s="7" t="s">
        <v>55</v>
      </c>
      <c r="C40" s="7" t="s">
        <v>18</v>
      </c>
      <c r="D40" s="8" t="s">
        <v>746</v>
      </c>
      <c r="E40" s="8" t="s">
        <v>747</v>
      </c>
      <c r="F40" s="8" t="s">
        <v>723</v>
      </c>
      <c r="G40" s="8" t="s">
        <v>791</v>
      </c>
      <c r="H40" s="13" t="b">
        <v>1</v>
      </c>
      <c r="I40" s="13" t="b">
        <v>1</v>
      </c>
      <c r="J40" s="10">
        <v>0</v>
      </c>
      <c r="K40" s="10">
        <v>128</v>
      </c>
      <c r="L40" s="10">
        <v>105</v>
      </c>
      <c r="M40" s="10">
        <v>0</v>
      </c>
      <c r="N40" s="10">
        <v>2610</v>
      </c>
      <c r="O40" s="10">
        <v>0</v>
      </c>
      <c r="P40" s="10">
        <v>116</v>
      </c>
      <c r="Q40" s="10">
        <v>42</v>
      </c>
      <c r="R40" s="10">
        <v>0</v>
      </c>
      <c r="S40" s="10">
        <v>6725</v>
      </c>
      <c r="T40" s="14" t="b">
        <v>0</v>
      </c>
      <c r="U40" s="14" t="b">
        <v>0</v>
      </c>
      <c r="V40" s="14" t="b">
        <v>0</v>
      </c>
      <c r="W40" s="14" t="b">
        <v>0</v>
      </c>
      <c r="X40" s="14" t="b">
        <v>0</v>
      </c>
      <c r="Y40" s="55">
        <v>0</v>
      </c>
      <c r="Z40" s="55">
        <v>0.91</v>
      </c>
      <c r="AA40" s="55">
        <v>0.4</v>
      </c>
      <c r="AB40" s="55">
        <v>0</v>
      </c>
      <c r="AC40" s="55">
        <v>2.58</v>
      </c>
      <c r="AD40" s="62">
        <v>0</v>
      </c>
      <c r="AE40" s="62">
        <v>0.25</v>
      </c>
      <c r="AF40" s="62">
        <v>0.25</v>
      </c>
      <c r="AG40" s="62">
        <v>0</v>
      </c>
      <c r="AH40" s="62">
        <v>0.2</v>
      </c>
      <c r="AI40" s="66">
        <f>IF(VIEW_IV_2019_REP_CALCULO[[#This Row],[Cobertura-BERINERT]]&lt;Cob_Min_REP,0,IF(VIEW_IV_2019_REP_CALCULO[[#This Row],[Cobertura-BERINERT]]&gt;Cob_Max_REP,Vlr_Max_REP,VLOOKUP(VIEW_IV_2019_REP_CALCULO[[#This Row],[Cobertura-BERINERT]],Tabela_Valores_REP,2,1)))*VIEW_IV_2019_REP_CALCULO[[#This Row],[Peso-BERINERT]]</f>
        <v>0</v>
      </c>
      <c r="AJ40" s="65">
        <f>IF(VIEW_IV_2019_REP_CALCULO[[#This Row],[Cobertura-BERIPLEX]]&lt;Cob_Min_REP,0,IF(VIEW_IV_2019_REP_CALCULO[[#This Row],[Cobertura-BERIPLEX]]&gt;Cob_Max_REP,Vlr_Max_REP,VLOOKUP(VIEW_IV_2019_REP_CALCULO[[#This Row],[Cobertura-BERIPLEX]],Tabela_Valores_REP,2,1)))*VIEW_IV_2019_REP_CALCULO[[#This Row],[Peso-BERIPLEX]]</f>
        <v>615.2370331103516</v>
      </c>
      <c r="AK40" s="65">
        <f>IF(VIEW_IV_2019_REP_CALCULO[[#This Row],[Cobertura-HAEMO]]&lt;Cob_Min_REP,0,IF(VIEW_IV_2019_REP_CALCULO[[#This Row],[Cobertura-HAEMO]]&gt;Cob_Max_REP,Vlr_Max_REP,VLOOKUP(VIEW_IV_2019_REP_CALCULO[[#This Row],[Cobertura-HAEMO]],Tabela_Valores_REP,2,1)))*VIEW_IV_2019_REP_CALCULO[[#This Row],[Peso-HAEMO]]</f>
        <v>0</v>
      </c>
      <c r="AL40" s="65">
        <f>IF(VIEW_IV_2019_REP_CALCULO[[#This Row],[Cobertura-HIZENTRA]]&lt;Cob_Min_REP,0,IF(VIEW_IV_2019_REP_CALCULO[[#This Row],[Cobertura-HIZENTRA]]&gt;Cob_Max_REP,Vlr_Max_REP,VLOOKUP(VIEW_IV_2019_REP_CALCULO[[#This Row],[Cobertura-HIZENTRA]],Tabela_Valores_REP,2,1)))*VIEW_IV_2019_REP_CALCULO[[#This Row],[Peso-HIZENTRA]]</f>
        <v>0</v>
      </c>
      <c r="AM40" s="65">
        <f>IF(VIEW_IV_2019_REP_CALCULO[[#This Row],[Cobertura-PRIVIGEN]]&lt;Cob_Min_REP,0,IF(VIEW_IV_2019_REP_CALCULO[[#This Row],[Cobertura-PRIVIGEN]]&gt;Cob_Max_REP,Vlr_Max_REP,VLOOKUP(VIEW_IV_2019_REP_CALCULO[[#This Row],[Cobertura-PRIVIGEN]],Tabela_Valores_REP,2,1)))*VIEW_IV_2019_REP_CALCULO[[#This Row],[Peso-PRIVIGEN]]</f>
        <v>1629.8147338659624</v>
      </c>
      <c r="AN40" s="102">
        <f>SUM(VIEW_IV_2019_REP_CALCULO[[#This Row],[Premio-BERINERT]:[Premio-PRIVIGEN]])</f>
        <v>2245.051766976314</v>
      </c>
      <c r="AX40" s="3"/>
      <c r="AY40" s="3"/>
      <c r="AZ40" s="3"/>
      <c r="BA40" s="3"/>
      <c r="BB40" s="3"/>
    </row>
    <row r="41" spans="1:54" x14ac:dyDescent="0.2">
      <c r="A41" s="7" t="s">
        <v>16</v>
      </c>
      <c r="B41" s="7" t="s">
        <v>55</v>
      </c>
      <c r="C41" s="7" t="s">
        <v>18</v>
      </c>
      <c r="D41" s="8" t="s">
        <v>748</v>
      </c>
      <c r="E41" s="8" t="s">
        <v>749</v>
      </c>
      <c r="F41" s="8" t="s">
        <v>723</v>
      </c>
      <c r="G41" s="8" t="s">
        <v>791</v>
      </c>
      <c r="H41" s="13" t="b">
        <v>1</v>
      </c>
      <c r="I41" s="13" t="b">
        <v>1</v>
      </c>
      <c r="J41" s="10">
        <v>0</v>
      </c>
      <c r="K41" s="10">
        <v>160</v>
      </c>
      <c r="L41" s="10">
        <v>60</v>
      </c>
      <c r="M41" s="10">
        <v>0</v>
      </c>
      <c r="N41" s="10">
        <v>1305</v>
      </c>
      <c r="O41" s="10">
        <v>0</v>
      </c>
      <c r="P41" s="10">
        <v>381</v>
      </c>
      <c r="Q41" s="10">
        <v>7</v>
      </c>
      <c r="R41" s="10">
        <v>0</v>
      </c>
      <c r="S41" s="10">
        <v>1790</v>
      </c>
      <c r="T41" s="14" t="b">
        <v>0</v>
      </c>
      <c r="U41" s="14" t="b">
        <v>0</v>
      </c>
      <c r="V41" s="14" t="b">
        <v>0</v>
      </c>
      <c r="W41" s="14" t="b">
        <v>0</v>
      </c>
      <c r="X41" s="14" t="b">
        <v>0</v>
      </c>
      <c r="Y41" s="55">
        <v>0</v>
      </c>
      <c r="Z41" s="55">
        <v>2.38</v>
      </c>
      <c r="AA41" s="55">
        <v>0.12</v>
      </c>
      <c r="AB41" s="55">
        <v>0</v>
      </c>
      <c r="AC41" s="55">
        <v>1.37</v>
      </c>
      <c r="AD41" s="62">
        <v>0</v>
      </c>
      <c r="AE41" s="62">
        <v>0.25</v>
      </c>
      <c r="AF41" s="62">
        <v>0.25</v>
      </c>
      <c r="AG41" s="62">
        <v>0</v>
      </c>
      <c r="AH41" s="62">
        <v>0.2</v>
      </c>
      <c r="AI41" s="66">
        <f>IF(VIEW_IV_2019_REP_CALCULO[[#This Row],[Cobertura-BERINERT]]&lt;Cob_Min_REP,0,IF(VIEW_IV_2019_REP_CALCULO[[#This Row],[Cobertura-BERINERT]]&gt;Cob_Max_REP,Vlr_Max_REP,VLOOKUP(VIEW_IV_2019_REP_CALCULO[[#This Row],[Cobertura-BERINERT]],Tabela_Valores_REP,2,1)))*VIEW_IV_2019_REP_CALCULO[[#This Row],[Peso-BERINERT]]</f>
        <v>0</v>
      </c>
      <c r="AJ41" s="65">
        <f>IF(VIEW_IV_2019_REP_CALCULO[[#This Row],[Cobertura-BERIPLEX]]&lt;Cob_Min_REP,0,IF(VIEW_IV_2019_REP_CALCULO[[#This Row],[Cobertura-BERIPLEX]]&gt;Cob_Max_REP,Vlr_Max_REP,VLOOKUP(VIEW_IV_2019_REP_CALCULO[[#This Row],[Cobertura-BERIPLEX]],Tabela_Valores_REP,2,1)))*VIEW_IV_2019_REP_CALCULO[[#This Row],[Peso-BERIPLEX]]</f>
        <v>2037.2684173324528</v>
      </c>
      <c r="AK41" s="65">
        <f>IF(VIEW_IV_2019_REP_CALCULO[[#This Row],[Cobertura-HAEMO]]&lt;Cob_Min_REP,0,IF(VIEW_IV_2019_REP_CALCULO[[#This Row],[Cobertura-HAEMO]]&gt;Cob_Max_REP,Vlr_Max_REP,VLOOKUP(VIEW_IV_2019_REP_CALCULO[[#This Row],[Cobertura-HAEMO]],Tabela_Valores_REP,2,1)))*VIEW_IV_2019_REP_CALCULO[[#This Row],[Peso-HAEMO]]</f>
        <v>0</v>
      </c>
      <c r="AL41" s="65">
        <f>IF(VIEW_IV_2019_REP_CALCULO[[#This Row],[Cobertura-HIZENTRA]]&lt;Cob_Min_REP,0,IF(VIEW_IV_2019_REP_CALCULO[[#This Row],[Cobertura-HIZENTRA]]&gt;Cob_Max_REP,Vlr_Max_REP,VLOOKUP(VIEW_IV_2019_REP_CALCULO[[#This Row],[Cobertura-HIZENTRA]],Tabela_Valores_REP,2,1)))*VIEW_IV_2019_REP_CALCULO[[#This Row],[Peso-HIZENTRA]]</f>
        <v>0</v>
      </c>
      <c r="AM41" s="65">
        <f>IF(VIEW_IV_2019_REP_CALCULO[[#This Row],[Cobertura-PRIVIGEN]]&lt;Cob_Min_REP,0,IF(VIEW_IV_2019_REP_CALCULO[[#This Row],[Cobertura-PRIVIGEN]]&gt;Cob_Max_REP,Vlr_Max_REP,VLOOKUP(VIEW_IV_2019_REP_CALCULO[[#This Row],[Cobertura-PRIVIGEN]],Tabela_Valores_REP,2,1)))*VIEW_IV_2019_REP_CALCULO[[#This Row],[Peso-PRIVIGEN]]</f>
        <v>1477.0304199204566</v>
      </c>
      <c r="AN41" s="102">
        <f>SUM(VIEW_IV_2019_REP_CALCULO[[#This Row],[Premio-BERINERT]:[Premio-PRIVIGEN]])</f>
        <v>3514.2988372529094</v>
      </c>
      <c r="AX41" s="3"/>
      <c r="AY41" s="3"/>
      <c r="AZ41" s="3"/>
      <c r="BA41" s="3"/>
      <c r="BB41" s="3"/>
    </row>
    <row r="42" spans="1:54" x14ac:dyDescent="0.2">
      <c r="A42" s="7" t="s">
        <v>16</v>
      </c>
      <c r="B42" s="7" t="s">
        <v>55</v>
      </c>
      <c r="C42" s="7" t="s">
        <v>18</v>
      </c>
      <c r="D42" s="8" t="s">
        <v>752</v>
      </c>
      <c r="E42" s="8" t="s">
        <v>753</v>
      </c>
      <c r="F42" s="8" t="s">
        <v>723</v>
      </c>
      <c r="G42" s="8" t="s">
        <v>785</v>
      </c>
      <c r="H42" s="13" t="b">
        <v>1</v>
      </c>
      <c r="I42" s="13" t="b">
        <v>1</v>
      </c>
      <c r="J42" s="10">
        <v>0</v>
      </c>
      <c r="K42" s="10">
        <v>96</v>
      </c>
      <c r="L42" s="10">
        <v>90</v>
      </c>
      <c r="M42" s="10">
        <v>0</v>
      </c>
      <c r="N42" s="10">
        <v>2175</v>
      </c>
      <c r="O42" s="10">
        <v>0</v>
      </c>
      <c r="P42" s="10">
        <v>96</v>
      </c>
      <c r="Q42" s="10">
        <v>16</v>
      </c>
      <c r="R42" s="10">
        <v>0</v>
      </c>
      <c r="S42" s="10">
        <v>3932</v>
      </c>
      <c r="T42" s="14" t="b">
        <v>0</v>
      </c>
      <c r="U42" s="14" t="b">
        <v>0</v>
      </c>
      <c r="V42" s="14" t="b">
        <v>0</v>
      </c>
      <c r="W42" s="14" t="b">
        <v>0</v>
      </c>
      <c r="X42" s="14" t="b">
        <v>0</v>
      </c>
      <c r="Y42" s="55">
        <v>0</v>
      </c>
      <c r="Z42" s="55">
        <v>1</v>
      </c>
      <c r="AA42" s="55">
        <v>0.18</v>
      </c>
      <c r="AB42" s="55">
        <v>0</v>
      </c>
      <c r="AC42" s="55">
        <v>1.81</v>
      </c>
      <c r="AD42" s="62">
        <v>0</v>
      </c>
      <c r="AE42" s="62">
        <v>0.25</v>
      </c>
      <c r="AF42" s="62">
        <v>0.25</v>
      </c>
      <c r="AG42" s="62">
        <v>0</v>
      </c>
      <c r="AH42" s="62">
        <v>0.2</v>
      </c>
      <c r="AI42" s="66">
        <f>IF(VIEW_IV_2019_REP_CALCULO[[#This Row],[Cobertura-BERINERT]]&lt;Cob_Min_REP,0,IF(VIEW_IV_2019_REP_CALCULO[[#This Row],[Cobertura-BERINERT]]&gt;Cob_Max_REP,Vlr_Max_REP,VLOOKUP(VIEW_IV_2019_REP_CALCULO[[#This Row],[Cobertura-BERINERT]],Tabela_Valores_REP,2,1)))*VIEW_IV_2019_REP_CALCULO[[#This Row],[Peso-BERINERT]]</f>
        <v>0</v>
      </c>
      <c r="AJ42" s="65">
        <f>IF(VIEW_IV_2019_REP_CALCULO[[#This Row],[Cobertura-BERIPLEX]]&lt;Cob_Min_REP,0,IF(VIEW_IV_2019_REP_CALCULO[[#This Row],[Cobertura-BERIPLEX]]&gt;Cob_Max_REP,Vlr_Max_REP,VLOOKUP(VIEW_IV_2019_REP_CALCULO[[#This Row],[Cobertura-BERIPLEX]],Tabela_Valores_REP,2,1)))*VIEW_IV_2019_REP_CALCULO[[#This Row],[Peso-BERIPLEX]]</f>
        <v>901.44620235949048</v>
      </c>
      <c r="AK42" s="65">
        <f>IF(VIEW_IV_2019_REP_CALCULO[[#This Row],[Cobertura-HAEMO]]&lt;Cob_Min_REP,0,IF(VIEW_IV_2019_REP_CALCULO[[#This Row],[Cobertura-HAEMO]]&gt;Cob_Max_REP,Vlr_Max_REP,VLOOKUP(VIEW_IV_2019_REP_CALCULO[[#This Row],[Cobertura-HAEMO]],Tabela_Valores_REP,2,1)))*VIEW_IV_2019_REP_CALCULO[[#This Row],[Peso-HAEMO]]</f>
        <v>0</v>
      </c>
      <c r="AL42" s="65">
        <f>IF(VIEW_IV_2019_REP_CALCULO[[#This Row],[Cobertura-HIZENTRA]]&lt;Cob_Min_REP,0,IF(VIEW_IV_2019_REP_CALCULO[[#This Row],[Cobertura-HIZENTRA]]&gt;Cob_Max_REP,Vlr_Max_REP,VLOOKUP(VIEW_IV_2019_REP_CALCULO[[#This Row],[Cobertura-HIZENTRA]],Tabela_Valores_REP,2,1)))*VIEW_IV_2019_REP_CALCULO[[#This Row],[Peso-HIZENTRA]]</f>
        <v>0</v>
      </c>
      <c r="AM42" s="65">
        <f>IF(VIEW_IV_2019_REP_CALCULO[[#This Row],[Cobertura-PRIVIGEN]]&lt;Cob_Min_REP,0,IF(VIEW_IV_2019_REP_CALCULO[[#This Row],[Cobertura-PRIVIGEN]]&gt;Cob_Max_REP,Vlr_Max_REP,VLOOKUP(VIEW_IV_2019_REP_CALCULO[[#This Row],[Cobertura-PRIVIGEN]],Tabela_Valores_REP,2,1)))*VIEW_IV_2019_REP_CALCULO[[#This Row],[Peso-PRIVIGEN]]</f>
        <v>1629.8147338659624</v>
      </c>
      <c r="AN42" s="102">
        <f>SUM(VIEW_IV_2019_REP_CALCULO[[#This Row],[Premio-BERINERT]:[Premio-PRIVIGEN]])</f>
        <v>2531.260936225453</v>
      </c>
      <c r="AX42" s="3"/>
      <c r="AY42" s="3"/>
      <c r="AZ42" s="3"/>
      <c r="BA42" s="3"/>
      <c r="BB42" s="3"/>
    </row>
    <row r="43" spans="1:54" x14ac:dyDescent="0.2">
      <c r="A43" s="7" t="s">
        <v>16</v>
      </c>
      <c r="B43" s="7" t="s">
        <v>55</v>
      </c>
      <c r="C43" s="7" t="s">
        <v>18</v>
      </c>
      <c r="D43" s="8" t="s">
        <v>756</v>
      </c>
      <c r="E43" s="8" t="s">
        <v>757</v>
      </c>
      <c r="F43" s="8" t="s">
        <v>723</v>
      </c>
      <c r="G43" s="8" t="s">
        <v>787</v>
      </c>
      <c r="H43" s="13" t="b">
        <v>1</v>
      </c>
      <c r="I43" s="13" t="b">
        <v>1</v>
      </c>
      <c r="J43" s="10">
        <v>0</v>
      </c>
      <c r="K43" s="10">
        <v>112</v>
      </c>
      <c r="L43" s="10">
        <v>150</v>
      </c>
      <c r="M43" s="10">
        <v>0</v>
      </c>
      <c r="N43" s="10">
        <v>3915</v>
      </c>
      <c r="O43" s="10">
        <v>0</v>
      </c>
      <c r="P43" s="10">
        <v>94</v>
      </c>
      <c r="Q43" s="10">
        <v>227</v>
      </c>
      <c r="R43" s="10">
        <v>0</v>
      </c>
      <c r="S43" s="10">
        <v>24898</v>
      </c>
      <c r="T43" s="14" t="b">
        <v>0</v>
      </c>
      <c r="U43" s="14" t="b">
        <v>0</v>
      </c>
      <c r="V43" s="14" t="b">
        <v>0</v>
      </c>
      <c r="W43" s="14" t="b">
        <v>0</v>
      </c>
      <c r="X43" s="14" t="b">
        <v>0</v>
      </c>
      <c r="Y43" s="55">
        <v>0</v>
      </c>
      <c r="Z43" s="55">
        <v>0.84</v>
      </c>
      <c r="AA43" s="55">
        <v>1.51</v>
      </c>
      <c r="AB43" s="55">
        <v>0</v>
      </c>
      <c r="AC43" s="55">
        <v>6.36</v>
      </c>
      <c r="AD43" s="62">
        <v>0</v>
      </c>
      <c r="AE43" s="62">
        <v>0.25</v>
      </c>
      <c r="AF43" s="62">
        <v>0.25</v>
      </c>
      <c r="AG43" s="62">
        <v>0</v>
      </c>
      <c r="AH43" s="62">
        <v>0.2</v>
      </c>
      <c r="AI43" s="66">
        <f>IF(VIEW_IV_2019_REP_CALCULO[[#This Row],[Cobertura-BERINERT]]&lt;Cob_Min_REP,0,IF(VIEW_IV_2019_REP_CALCULO[[#This Row],[Cobertura-BERINERT]]&gt;Cob_Max_REP,Vlr_Max_REP,VLOOKUP(VIEW_IV_2019_REP_CALCULO[[#This Row],[Cobertura-BERINERT]],Tabela_Valores_REP,2,1)))*VIEW_IV_2019_REP_CALCULO[[#This Row],[Peso-BERINERT]]</f>
        <v>0</v>
      </c>
      <c r="AJ43" s="65">
        <f>IF(VIEW_IV_2019_REP_CALCULO[[#This Row],[Cobertura-BERIPLEX]]&lt;Cob_Min_REP,0,IF(VIEW_IV_2019_REP_CALCULO[[#This Row],[Cobertura-BERIPLEX]]&gt;Cob_Max_REP,Vlr_Max_REP,VLOOKUP(VIEW_IV_2019_REP_CALCULO[[#This Row],[Cobertura-BERIPLEX]],Tabela_Valores_REP,2,1)))*VIEW_IV_2019_REP_CALCULO[[#This Row],[Peso-BERIPLEX]]</f>
        <v>378.60740499098563</v>
      </c>
      <c r="AK43" s="65">
        <f>IF(VIEW_IV_2019_REP_CALCULO[[#This Row],[Cobertura-HAEMO]]&lt;Cob_Min_REP,0,IF(VIEW_IV_2019_REP_CALCULO[[#This Row],[Cobertura-HAEMO]]&gt;Cob_Max_REP,Vlr_Max_REP,VLOOKUP(VIEW_IV_2019_REP_CALCULO[[#This Row],[Cobertura-HAEMO]],Tabela_Valores_REP,2,1)))*VIEW_IV_2019_REP_CALCULO[[#This Row],[Peso-HAEMO]]</f>
        <v>2037.2684173324528</v>
      </c>
      <c r="AL43" s="65">
        <f>IF(VIEW_IV_2019_REP_CALCULO[[#This Row],[Cobertura-HIZENTRA]]&lt;Cob_Min_REP,0,IF(VIEW_IV_2019_REP_CALCULO[[#This Row],[Cobertura-HIZENTRA]]&gt;Cob_Max_REP,Vlr_Max_REP,VLOOKUP(VIEW_IV_2019_REP_CALCULO[[#This Row],[Cobertura-HIZENTRA]],Tabela_Valores_REP,2,1)))*VIEW_IV_2019_REP_CALCULO[[#This Row],[Peso-HIZENTRA]]</f>
        <v>0</v>
      </c>
      <c r="AM43" s="65">
        <f>IF(VIEW_IV_2019_REP_CALCULO[[#This Row],[Cobertura-PRIVIGEN]]&lt;Cob_Min_REP,0,IF(VIEW_IV_2019_REP_CALCULO[[#This Row],[Cobertura-PRIVIGEN]]&gt;Cob_Max_REP,Vlr_Max_REP,VLOOKUP(VIEW_IV_2019_REP_CALCULO[[#This Row],[Cobertura-PRIVIGEN]],Tabela_Valores_REP,2,1)))*VIEW_IV_2019_REP_CALCULO[[#This Row],[Peso-PRIVIGEN]]</f>
        <v>1629.8147338659624</v>
      </c>
      <c r="AN43" s="102">
        <f>SUM(VIEW_IV_2019_REP_CALCULO[[#This Row],[Premio-BERINERT]:[Premio-PRIVIGEN]])</f>
        <v>4045.6905561894009</v>
      </c>
      <c r="AX43" s="3"/>
      <c r="AY43" s="3"/>
      <c r="AZ43" s="3"/>
      <c r="BA43" s="3"/>
      <c r="BB43" s="3"/>
    </row>
    <row r="44" spans="1:54" x14ac:dyDescent="0.2">
      <c r="A44" s="7" t="s">
        <v>16</v>
      </c>
      <c r="B44" s="7" t="s">
        <v>55</v>
      </c>
      <c r="C44" s="7" t="s">
        <v>18</v>
      </c>
      <c r="D44" s="8" t="s">
        <v>760</v>
      </c>
      <c r="E44" s="8" t="s">
        <v>761</v>
      </c>
      <c r="F44" s="8" t="s">
        <v>723</v>
      </c>
      <c r="G44" s="8" t="s">
        <v>785</v>
      </c>
      <c r="H44" s="13" t="b">
        <v>1</v>
      </c>
      <c r="I44" s="13" t="b">
        <v>1</v>
      </c>
      <c r="J44" s="10">
        <v>0</v>
      </c>
      <c r="K44" s="10">
        <v>176</v>
      </c>
      <c r="L44" s="10">
        <v>180</v>
      </c>
      <c r="M44" s="10">
        <v>0</v>
      </c>
      <c r="N44" s="10">
        <v>3480</v>
      </c>
      <c r="O44" s="10">
        <v>0</v>
      </c>
      <c r="P44" s="10">
        <v>203</v>
      </c>
      <c r="Q44" s="10">
        <v>259</v>
      </c>
      <c r="R44" s="10">
        <v>0</v>
      </c>
      <c r="S44" s="10">
        <v>3655</v>
      </c>
      <c r="T44" s="14" t="b">
        <v>0</v>
      </c>
      <c r="U44" s="14" t="b">
        <v>0</v>
      </c>
      <c r="V44" s="14" t="b">
        <v>0</v>
      </c>
      <c r="W44" s="14" t="b">
        <v>0</v>
      </c>
      <c r="X44" s="14" t="b">
        <v>0</v>
      </c>
      <c r="Y44" s="55">
        <v>0</v>
      </c>
      <c r="Z44" s="55">
        <v>1.1499999999999999</v>
      </c>
      <c r="AA44" s="55">
        <v>1.44</v>
      </c>
      <c r="AB44" s="55">
        <v>0</v>
      </c>
      <c r="AC44" s="55">
        <v>1.05</v>
      </c>
      <c r="AD44" s="62">
        <v>0</v>
      </c>
      <c r="AE44" s="62">
        <v>0.25</v>
      </c>
      <c r="AF44" s="62">
        <v>0.25</v>
      </c>
      <c r="AG44" s="62">
        <v>0</v>
      </c>
      <c r="AH44" s="62">
        <v>0.2</v>
      </c>
      <c r="AI44" s="66">
        <f>IF(VIEW_IV_2019_REP_CALCULO[[#This Row],[Cobertura-BERINERT]]&lt;Cob_Min_REP,0,IF(VIEW_IV_2019_REP_CALCULO[[#This Row],[Cobertura-BERINERT]]&gt;Cob_Max_REP,Vlr_Max_REP,VLOOKUP(VIEW_IV_2019_REP_CALCULO[[#This Row],[Cobertura-BERINERT]],Tabela_Valores_REP,2,1)))*VIEW_IV_2019_REP_CALCULO[[#This Row],[Peso-BERINERT]]</f>
        <v>0</v>
      </c>
      <c r="AJ44" s="65">
        <f>IF(VIEW_IV_2019_REP_CALCULO[[#This Row],[Cobertura-BERIPLEX]]&lt;Cob_Min_REP,0,IF(VIEW_IV_2019_REP_CALCULO[[#This Row],[Cobertura-BERIPLEX]]&gt;Cob_Max_REP,Vlr_Max_REP,VLOOKUP(VIEW_IV_2019_REP_CALCULO[[#This Row],[Cobertura-BERIPLEX]],Tabela_Valores_REP,2,1)))*VIEW_IV_2019_REP_CALCULO[[#This Row],[Peso-BERIPLEX]]</f>
        <v>1303.0404855106451</v>
      </c>
      <c r="AK44" s="65">
        <f>IF(VIEW_IV_2019_REP_CALCULO[[#This Row],[Cobertura-HAEMO]]&lt;Cob_Min_REP,0,IF(VIEW_IV_2019_REP_CALCULO[[#This Row],[Cobertura-HAEMO]]&gt;Cob_Max_REP,Vlr_Max_REP,VLOOKUP(VIEW_IV_2019_REP_CALCULO[[#This Row],[Cobertura-HAEMO]],Tabela_Valores_REP,2,1)))*VIEW_IV_2019_REP_CALCULO[[#This Row],[Peso-HAEMO]]</f>
        <v>1947.7007226660123</v>
      </c>
      <c r="AL44" s="65">
        <f>IF(VIEW_IV_2019_REP_CALCULO[[#This Row],[Cobertura-HIZENTRA]]&lt;Cob_Min_REP,0,IF(VIEW_IV_2019_REP_CALCULO[[#This Row],[Cobertura-HIZENTRA]]&gt;Cob_Max_REP,Vlr_Max_REP,VLOOKUP(VIEW_IV_2019_REP_CALCULO[[#This Row],[Cobertura-HIZENTRA]],Tabela_Valores_REP,2,1)))*VIEW_IV_2019_REP_CALCULO[[#This Row],[Peso-HIZENTRA]]</f>
        <v>0</v>
      </c>
      <c r="AM44" s="65">
        <f>IF(VIEW_IV_2019_REP_CALCULO[[#This Row],[Cobertura-PRIVIGEN]]&lt;Cob_Min_REP,0,IF(VIEW_IV_2019_REP_CALCULO[[#This Row],[Cobertura-PRIVIGEN]]&gt;Cob_Max_REP,Vlr_Max_REP,VLOOKUP(VIEW_IV_2019_REP_CALCULO[[#This Row],[Cobertura-PRIVIGEN]],Tabela_Valores_REP,2,1)))*VIEW_IV_2019_REP_CALCULO[[#This Row],[Peso-PRIVIGEN]]</f>
        <v>753.60902517253407</v>
      </c>
      <c r="AN44" s="102">
        <f>SUM(VIEW_IV_2019_REP_CALCULO[[#This Row],[Premio-BERINERT]:[Premio-PRIVIGEN]])</f>
        <v>4004.3502333491915</v>
      </c>
      <c r="AX44" s="3"/>
      <c r="AY44" s="3"/>
      <c r="AZ44" s="3"/>
      <c r="BA44" s="3"/>
      <c r="BB44" s="3"/>
    </row>
    <row r="45" spans="1:54" x14ac:dyDescent="0.2">
      <c r="A45" s="7" t="s">
        <v>16</v>
      </c>
      <c r="B45" s="7" t="s">
        <v>55</v>
      </c>
      <c r="C45" s="7" t="s">
        <v>18</v>
      </c>
      <c r="D45" s="8" t="s">
        <v>762</v>
      </c>
      <c r="E45" s="8" t="s">
        <v>763</v>
      </c>
      <c r="F45" s="8" t="s">
        <v>723</v>
      </c>
      <c r="G45" s="8" t="s">
        <v>787</v>
      </c>
      <c r="H45" s="13" t="b">
        <v>1</v>
      </c>
      <c r="I45" s="13" t="b">
        <v>1</v>
      </c>
      <c r="J45" s="10">
        <v>0</v>
      </c>
      <c r="K45" s="10">
        <v>144</v>
      </c>
      <c r="L45" s="10">
        <v>105</v>
      </c>
      <c r="M45" s="10">
        <v>0</v>
      </c>
      <c r="N45" s="10">
        <v>4785</v>
      </c>
      <c r="O45" s="10">
        <v>0</v>
      </c>
      <c r="P45" s="10">
        <v>188</v>
      </c>
      <c r="Q45" s="10">
        <v>99</v>
      </c>
      <c r="R45" s="10">
        <v>0</v>
      </c>
      <c r="S45" s="10">
        <v>9825</v>
      </c>
      <c r="T45" s="14" t="b">
        <v>0</v>
      </c>
      <c r="U45" s="14" t="b">
        <v>0</v>
      </c>
      <c r="V45" s="14" t="b">
        <v>0</v>
      </c>
      <c r="W45" s="14" t="b">
        <v>0</v>
      </c>
      <c r="X45" s="14" t="b">
        <v>0</v>
      </c>
      <c r="Y45" s="55">
        <v>0</v>
      </c>
      <c r="Z45" s="55">
        <v>1.31</v>
      </c>
      <c r="AA45" s="55">
        <v>0.94</v>
      </c>
      <c r="AB45" s="55">
        <v>0</v>
      </c>
      <c r="AC45" s="55">
        <v>2.0499999999999998</v>
      </c>
      <c r="AD45" s="62">
        <v>0</v>
      </c>
      <c r="AE45" s="62">
        <v>0.25</v>
      </c>
      <c r="AF45" s="62">
        <v>0.25</v>
      </c>
      <c r="AG45" s="62">
        <v>0</v>
      </c>
      <c r="AH45" s="62">
        <v>0.2</v>
      </c>
      <c r="AI45" s="66">
        <f>IF(VIEW_IV_2019_REP_CALCULO[[#This Row],[Cobertura-BERINERT]]&lt;Cob_Min_REP,0,IF(VIEW_IV_2019_REP_CALCULO[[#This Row],[Cobertura-BERINERT]]&gt;Cob_Max_REP,Vlr_Max_REP,VLOOKUP(VIEW_IV_2019_REP_CALCULO[[#This Row],[Cobertura-BERINERT]],Tabela_Valores_REP,2,1)))*VIEW_IV_2019_REP_CALCULO[[#This Row],[Peso-BERINERT]]</f>
        <v>0</v>
      </c>
      <c r="AJ45" s="65">
        <f>IF(VIEW_IV_2019_REP_CALCULO[[#This Row],[Cobertura-BERIPLEX]]&lt;Cob_Min_REP,0,IF(VIEW_IV_2019_REP_CALCULO[[#This Row],[Cobertura-BERIPLEX]]&gt;Cob_Max_REP,Vlr_Max_REP,VLOOKUP(VIEW_IV_2019_REP_CALCULO[[#This Row],[Cobertura-BERIPLEX]],Tabela_Valores_REP,2,1)))*VIEW_IV_2019_REP_CALCULO[[#This Row],[Peso-BERIPLEX]]</f>
        <v>1769.3766349152579</v>
      </c>
      <c r="AK45" s="65">
        <f>IF(VIEW_IV_2019_REP_CALCULO[[#This Row],[Cobertura-HAEMO]]&lt;Cob_Min_REP,0,IF(VIEW_IV_2019_REP_CALCULO[[#This Row],[Cobertura-HAEMO]]&gt;Cob_Max_REP,Vlr_Max_REP,VLOOKUP(VIEW_IV_2019_REP_CALCULO[[#This Row],[Cobertura-HAEMO]],Tabela_Valores_REP,2,1)))*VIEW_IV_2019_REP_CALCULO[[#This Row],[Peso-HAEMO]]</f>
        <v>635.51957266344061</v>
      </c>
      <c r="AL45" s="65">
        <f>IF(VIEW_IV_2019_REP_CALCULO[[#This Row],[Cobertura-HIZENTRA]]&lt;Cob_Min_REP,0,IF(VIEW_IV_2019_REP_CALCULO[[#This Row],[Cobertura-HIZENTRA]]&gt;Cob_Max_REP,Vlr_Max_REP,VLOOKUP(VIEW_IV_2019_REP_CALCULO[[#This Row],[Cobertura-HIZENTRA]],Tabela_Valores_REP,2,1)))*VIEW_IV_2019_REP_CALCULO[[#This Row],[Peso-HIZENTRA]]</f>
        <v>0</v>
      </c>
      <c r="AM45" s="65">
        <f>IF(VIEW_IV_2019_REP_CALCULO[[#This Row],[Cobertura-PRIVIGEN]]&lt;Cob_Min_REP,0,IF(VIEW_IV_2019_REP_CALCULO[[#This Row],[Cobertura-PRIVIGEN]]&gt;Cob_Max_REP,Vlr_Max_REP,VLOOKUP(VIEW_IV_2019_REP_CALCULO[[#This Row],[Cobertura-PRIVIGEN]],Tabela_Valores_REP,2,1)))*VIEW_IV_2019_REP_CALCULO[[#This Row],[Peso-PRIVIGEN]]</f>
        <v>1629.8147338659624</v>
      </c>
      <c r="AN45" s="102">
        <f>SUM(VIEW_IV_2019_REP_CALCULO[[#This Row],[Premio-BERINERT]:[Premio-PRIVIGEN]])</f>
        <v>4034.7109414446609</v>
      </c>
      <c r="AX45" s="3"/>
      <c r="AY45" s="3"/>
      <c r="AZ45" s="3"/>
      <c r="BA45" s="3"/>
      <c r="BB45" s="3"/>
    </row>
    <row r="46" spans="1:54" x14ac:dyDescent="0.2">
      <c r="A46" s="7" t="s">
        <v>16</v>
      </c>
      <c r="B46" s="7" t="s">
        <v>60</v>
      </c>
      <c r="C46" s="7" t="s">
        <v>18</v>
      </c>
      <c r="D46" s="8" t="s">
        <v>728</v>
      </c>
      <c r="E46" s="8" t="s">
        <v>729</v>
      </c>
      <c r="F46" s="8" t="s">
        <v>730</v>
      </c>
      <c r="G46" s="8" t="s">
        <v>787</v>
      </c>
      <c r="H46" s="13" t="b">
        <v>1</v>
      </c>
      <c r="I46" s="13" t="b">
        <v>1</v>
      </c>
      <c r="J46" s="10">
        <v>38</v>
      </c>
      <c r="K46" s="10">
        <v>0</v>
      </c>
      <c r="L46" s="10">
        <v>0</v>
      </c>
      <c r="M46" s="10">
        <v>1292</v>
      </c>
      <c r="N46" s="10">
        <v>7490</v>
      </c>
      <c r="O46" s="10">
        <v>3</v>
      </c>
      <c r="P46" s="10">
        <v>0</v>
      </c>
      <c r="Q46" s="10">
        <v>0</v>
      </c>
      <c r="R46" s="10">
        <v>673</v>
      </c>
      <c r="S46" s="10">
        <v>8735</v>
      </c>
      <c r="T46" s="14" t="b">
        <v>0</v>
      </c>
      <c r="U46" s="14" t="b">
        <v>0</v>
      </c>
      <c r="V46" s="14" t="b">
        <v>0</v>
      </c>
      <c r="W46" s="14" t="b">
        <v>0</v>
      </c>
      <c r="X46" s="14" t="b">
        <v>0</v>
      </c>
      <c r="Y46" s="55">
        <v>0.08</v>
      </c>
      <c r="Z46" s="55">
        <v>0</v>
      </c>
      <c r="AA46" s="55">
        <v>0</v>
      </c>
      <c r="AB46" s="55">
        <v>0.52</v>
      </c>
      <c r="AC46" s="55">
        <v>1.17</v>
      </c>
      <c r="AD46" s="62">
        <v>0.1</v>
      </c>
      <c r="AE46" s="62">
        <v>0</v>
      </c>
      <c r="AF46" s="62">
        <v>0</v>
      </c>
      <c r="AG46" s="62">
        <v>0.4</v>
      </c>
      <c r="AH46" s="62">
        <v>0.2</v>
      </c>
      <c r="AI46" s="66">
        <f>IF(VIEW_IV_2019_REP_CALCULO[[#This Row],[Cobertura-BERINERT]]&lt;Cob_Min_REP,0,IF(VIEW_IV_2019_REP_CALCULO[[#This Row],[Cobertura-BERINERT]]&gt;Cob_Max_REP,Vlr_Max_REP,VLOOKUP(VIEW_IV_2019_REP_CALCULO[[#This Row],[Cobertura-BERINERT]],Tabela_Valores_REP,2,1)))*VIEW_IV_2019_REP_CALCULO[[#This Row],[Peso-BERINERT]]</f>
        <v>0</v>
      </c>
      <c r="AJ46" s="65">
        <f>IF(VIEW_IV_2019_REP_CALCULO[[#This Row],[Cobertura-BERIPLEX]]&lt;Cob_Min_REP,0,IF(VIEW_IV_2019_REP_CALCULO[[#This Row],[Cobertura-BERIPLEX]]&gt;Cob_Max_REP,Vlr_Max_REP,VLOOKUP(VIEW_IV_2019_REP_CALCULO[[#This Row],[Cobertura-BERIPLEX]],Tabela_Valores_REP,2,1)))*VIEW_IV_2019_REP_CALCULO[[#This Row],[Peso-BERIPLEX]]</f>
        <v>0</v>
      </c>
      <c r="AK46" s="65">
        <f>IF(VIEW_IV_2019_REP_CALCULO[[#This Row],[Cobertura-HAEMO]]&lt;Cob_Min_REP,0,IF(VIEW_IV_2019_REP_CALCULO[[#This Row],[Cobertura-HAEMO]]&gt;Cob_Max_REP,Vlr_Max_REP,VLOOKUP(VIEW_IV_2019_REP_CALCULO[[#This Row],[Cobertura-HAEMO]],Tabela_Valores_REP,2,1)))*VIEW_IV_2019_REP_CALCULO[[#This Row],[Peso-HAEMO]]</f>
        <v>0</v>
      </c>
      <c r="AL46" s="65">
        <f>IF(VIEW_IV_2019_REP_CALCULO[[#This Row],[Cobertura-HIZENTRA]]&lt;Cob_Min_REP,0,IF(VIEW_IV_2019_REP_CALCULO[[#This Row],[Cobertura-HIZENTRA]]&gt;Cob_Max_REP,Vlr_Max_REP,VLOOKUP(VIEW_IV_2019_REP_CALCULO[[#This Row],[Cobertura-HIZENTRA]],Tabela_Valores_REP,2,1)))*VIEW_IV_2019_REP_CALCULO[[#This Row],[Peso-HIZENTRA]]</f>
        <v>0</v>
      </c>
      <c r="AM46" s="65">
        <f>IF(VIEW_IV_2019_REP_CALCULO[[#This Row],[Cobertura-PRIVIGEN]]&lt;Cob_Min_REP,0,IF(VIEW_IV_2019_REP_CALCULO[[#This Row],[Cobertura-PRIVIGEN]]&gt;Cob_Max_REP,Vlr_Max_REP,VLOOKUP(VIEW_IV_2019_REP_CALCULO[[#This Row],[Cobertura-PRIVIGEN]],Tabela_Valores_REP,2,1)))*VIEW_IV_2019_REP_CALCULO[[#This Row],[Peso-PRIVIGEN]]</f>
        <v>1059.3074613166852</v>
      </c>
      <c r="AN46" s="102">
        <f>SUM(VIEW_IV_2019_REP_CALCULO[[#This Row],[Premio-BERINERT]:[Premio-PRIVIGEN]])</f>
        <v>1059.3074613166852</v>
      </c>
      <c r="AX46" s="3"/>
      <c r="AY46" s="3"/>
      <c r="AZ46" s="3"/>
      <c r="BA46" s="3"/>
      <c r="BB46" s="3"/>
    </row>
    <row r="47" spans="1:54" x14ac:dyDescent="0.2">
      <c r="A47" s="7" t="s">
        <v>16</v>
      </c>
      <c r="B47" s="7" t="s">
        <v>60</v>
      </c>
      <c r="C47" s="7" t="s">
        <v>18</v>
      </c>
      <c r="D47" s="8" t="s">
        <v>733</v>
      </c>
      <c r="E47" s="8" t="s">
        <v>734</v>
      </c>
      <c r="F47" s="8" t="s">
        <v>730</v>
      </c>
      <c r="G47" s="8" t="s">
        <v>785</v>
      </c>
      <c r="H47" s="13" t="b">
        <v>1</v>
      </c>
      <c r="I47" s="13" t="b">
        <v>1</v>
      </c>
      <c r="J47" s="10">
        <v>27</v>
      </c>
      <c r="K47" s="10">
        <v>0</v>
      </c>
      <c r="L47" s="10">
        <v>0</v>
      </c>
      <c r="M47" s="10">
        <v>1596</v>
      </c>
      <c r="N47" s="10">
        <v>6955</v>
      </c>
      <c r="O47" s="10">
        <v>6</v>
      </c>
      <c r="P47" s="10">
        <v>0</v>
      </c>
      <c r="Q47" s="10">
        <v>0</v>
      </c>
      <c r="R47" s="10">
        <v>1409</v>
      </c>
      <c r="S47" s="10">
        <v>10812</v>
      </c>
      <c r="T47" s="14" t="b">
        <v>0</v>
      </c>
      <c r="U47" s="14" t="b">
        <v>0</v>
      </c>
      <c r="V47" s="14" t="b">
        <v>0</v>
      </c>
      <c r="W47" s="14" t="b">
        <v>0</v>
      </c>
      <c r="X47" s="14" t="b">
        <v>0</v>
      </c>
      <c r="Y47" s="55">
        <v>0.23</v>
      </c>
      <c r="Z47" s="55">
        <v>0</v>
      </c>
      <c r="AA47" s="55">
        <v>0</v>
      </c>
      <c r="AB47" s="55">
        <v>0.88</v>
      </c>
      <c r="AC47" s="55">
        <v>1.55</v>
      </c>
      <c r="AD47" s="62">
        <v>0.1</v>
      </c>
      <c r="AE47" s="62">
        <v>0</v>
      </c>
      <c r="AF47" s="62">
        <v>0</v>
      </c>
      <c r="AG47" s="62">
        <v>0.4</v>
      </c>
      <c r="AH47" s="62">
        <v>0.2</v>
      </c>
      <c r="AI47" s="66">
        <f>IF(VIEW_IV_2019_REP_CALCULO[[#This Row],[Cobertura-BERINERT]]&lt;Cob_Min_REP,0,IF(VIEW_IV_2019_REP_CALCULO[[#This Row],[Cobertura-BERINERT]]&gt;Cob_Max_REP,Vlr_Max_REP,VLOOKUP(VIEW_IV_2019_REP_CALCULO[[#This Row],[Cobertura-BERINERT]],Tabela_Valores_REP,2,1)))*VIEW_IV_2019_REP_CALCULO[[#This Row],[Peso-BERINERT]]</f>
        <v>0</v>
      </c>
      <c r="AJ47" s="65">
        <f>IF(VIEW_IV_2019_REP_CALCULO[[#This Row],[Cobertura-BERIPLEX]]&lt;Cob_Min_REP,0,IF(VIEW_IV_2019_REP_CALCULO[[#This Row],[Cobertura-BERIPLEX]]&gt;Cob_Max_REP,Vlr_Max_REP,VLOOKUP(VIEW_IV_2019_REP_CALCULO[[#This Row],[Cobertura-BERIPLEX]],Tabela_Valores_REP,2,1)))*VIEW_IV_2019_REP_CALCULO[[#This Row],[Peso-BERIPLEX]]</f>
        <v>0</v>
      </c>
      <c r="AK47" s="65">
        <f>IF(VIEW_IV_2019_REP_CALCULO[[#This Row],[Cobertura-HAEMO]]&lt;Cob_Min_REP,0,IF(VIEW_IV_2019_REP_CALCULO[[#This Row],[Cobertura-HAEMO]]&gt;Cob_Max_REP,Vlr_Max_REP,VLOOKUP(VIEW_IV_2019_REP_CALCULO[[#This Row],[Cobertura-HAEMO]],Tabela_Valores_REP,2,1)))*VIEW_IV_2019_REP_CALCULO[[#This Row],[Peso-HAEMO]]</f>
        <v>0</v>
      </c>
      <c r="AL47" s="65">
        <f>IF(VIEW_IV_2019_REP_CALCULO[[#This Row],[Cobertura-HIZENTRA]]&lt;Cob_Min_REP,0,IF(VIEW_IV_2019_REP_CALCULO[[#This Row],[Cobertura-HIZENTRA]]&gt;Cob_Max_REP,Vlr_Max_REP,VLOOKUP(VIEW_IV_2019_REP_CALCULO[[#This Row],[Cobertura-HIZENTRA]],Tabela_Valores_REP,2,1)))*VIEW_IV_2019_REP_CALCULO[[#This Row],[Peso-HIZENTRA]]</f>
        <v>634.61812646108081</v>
      </c>
      <c r="AM47" s="65">
        <f>IF(VIEW_IV_2019_REP_CALCULO[[#This Row],[Cobertura-PRIVIGEN]]&lt;Cob_Min_REP,0,IF(VIEW_IV_2019_REP_CALCULO[[#This Row],[Cobertura-PRIVIGEN]]&gt;Cob_Max_REP,Vlr_Max_REP,VLOOKUP(VIEW_IV_2019_REP_CALCULO[[#This Row],[Cobertura-PRIVIGEN]],Tabela_Valores_REP,2,1)))*VIEW_IV_2019_REP_CALCULO[[#This Row],[Peso-PRIVIGEN]]</f>
        <v>1629.8147338659624</v>
      </c>
      <c r="AN47" s="102">
        <f>SUM(VIEW_IV_2019_REP_CALCULO[[#This Row],[Premio-BERINERT]:[Premio-PRIVIGEN]])</f>
        <v>2264.4328603270433</v>
      </c>
      <c r="AX47" s="3"/>
      <c r="AY47" s="3"/>
      <c r="AZ47" s="3"/>
      <c r="BA47" s="3"/>
      <c r="BB47" s="3"/>
    </row>
    <row r="48" spans="1:54" x14ac:dyDescent="0.2">
      <c r="A48" s="7" t="s">
        <v>16</v>
      </c>
      <c r="B48" s="7" t="s">
        <v>60</v>
      </c>
      <c r="C48" s="7" t="s">
        <v>18</v>
      </c>
      <c r="D48" s="8" t="s">
        <v>740</v>
      </c>
      <c r="E48" s="8" t="s">
        <v>741</v>
      </c>
      <c r="F48" s="8" t="s">
        <v>730</v>
      </c>
      <c r="G48" s="8" t="s">
        <v>787</v>
      </c>
      <c r="H48" s="13" t="b">
        <v>1</v>
      </c>
      <c r="I48" s="13" t="b">
        <v>1</v>
      </c>
      <c r="J48" s="10">
        <v>38</v>
      </c>
      <c r="K48" s="10">
        <v>0</v>
      </c>
      <c r="L48" s="10">
        <v>0</v>
      </c>
      <c r="M48" s="10">
        <v>912</v>
      </c>
      <c r="N48" s="10">
        <v>7490</v>
      </c>
      <c r="O48" s="10">
        <v>10</v>
      </c>
      <c r="P48" s="10">
        <v>0</v>
      </c>
      <c r="Q48" s="10">
        <v>0</v>
      </c>
      <c r="R48" s="10">
        <v>510</v>
      </c>
      <c r="S48" s="10">
        <v>12890</v>
      </c>
      <c r="T48" s="14" t="b">
        <v>0</v>
      </c>
      <c r="U48" s="14" t="b">
        <v>0</v>
      </c>
      <c r="V48" s="14" t="b">
        <v>0</v>
      </c>
      <c r="W48" s="14" t="b">
        <v>0</v>
      </c>
      <c r="X48" s="14" t="b">
        <v>0</v>
      </c>
      <c r="Y48" s="55">
        <v>0.26</v>
      </c>
      <c r="Z48" s="55">
        <v>0</v>
      </c>
      <c r="AA48" s="55">
        <v>0</v>
      </c>
      <c r="AB48" s="55">
        <v>0.56000000000000005</v>
      </c>
      <c r="AC48" s="55">
        <v>1.72</v>
      </c>
      <c r="AD48" s="62">
        <v>0.1</v>
      </c>
      <c r="AE48" s="62">
        <v>0</v>
      </c>
      <c r="AF48" s="62">
        <v>0</v>
      </c>
      <c r="AG48" s="62">
        <v>0.4</v>
      </c>
      <c r="AH48" s="62">
        <v>0.2</v>
      </c>
      <c r="AI48" s="66">
        <f>IF(VIEW_IV_2019_REP_CALCULO[[#This Row],[Cobertura-BERINERT]]&lt;Cob_Min_REP,0,IF(VIEW_IV_2019_REP_CALCULO[[#This Row],[Cobertura-BERINERT]]&gt;Cob_Max_REP,Vlr_Max_REP,VLOOKUP(VIEW_IV_2019_REP_CALCULO[[#This Row],[Cobertura-BERINERT]],Tabela_Valores_REP,2,1)))*VIEW_IV_2019_REP_CALCULO[[#This Row],[Peso-BERINERT]]</f>
        <v>0</v>
      </c>
      <c r="AJ48" s="65">
        <f>IF(VIEW_IV_2019_REP_CALCULO[[#This Row],[Cobertura-BERIPLEX]]&lt;Cob_Min_REP,0,IF(VIEW_IV_2019_REP_CALCULO[[#This Row],[Cobertura-BERIPLEX]]&gt;Cob_Max_REP,Vlr_Max_REP,VLOOKUP(VIEW_IV_2019_REP_CALCULO[[#This Row],[Cobertura-BERIPLEX]],Tabela_Valores_REP,2,1)))*VIEW_IV_2019_REP_CALCULO[[#This Row],[Peso-BERIPLEX]]</f>
        <v>0</v>
      </c>
      <c r="AK48" s="65">
        <f>IF(VIEW_IV_2019_REP_CALCULO[[#This Row],[Cobertura-HAEMO]]&lt;Cob_Min_REP,0,IF(VIEW_IV_2019_REP_CALCULO[[#This Row],[Cobertura-HAEMO]]&gt;Cob_Max_REP,Vlr_Max_REP,VLOOKUP(VIEW_IV_2019_REP_CALCULO[[#This Row],[Cobertura-HAEMO]],Tabela_Valores_REP,2,1)))*VIEW_IV_2019_REP_CALCULO[[#This Row],[Peso-HAEMO]]</f>
        <v>0</v>
      </c>
      <c r="AL48" s="65">
        <f>IF(VIEW_IV_2019_REP_CALCULO[[#This Row],[Cobertura-HIZENTRA]]&lt;Cob_Min_REP,0,IF(VIEW_IV_2019_REP_CALCULO[[#This Row],[Cobertura-HIZENTRA]]&gt;Cob_Max_REP,Vlr_Max_REP,VLOOKUP(VIEW_IV_2019_REP_CALCULO[[#This Row],[Cobertura-HIZENTRA]],Tabela_Valores_REP,2,1)))*VIEW_IV_2019_REP_CALCULO[[#This Row],[Peso-HIZENTRA]]</f>
        <v>0</v>
      </c>
      <c r="AM48" s="65">
        <f>IF(VIEW_IV_2019_REP_CALCULO[[#This Row],[Cobertura-PRIVIGEN]]&lt;Cob_Min_REP,0,IF(VIEW_IV_2019_REP_CALCULO[[#This Row],[Cobertura-PRIVIGEN]]&gt;Cob_Max_REP,Vlr_Max_REP,VLOOKUP(VIEW_IV_2019_REP_CALCULO[[#This Row],[Cobertura-PRIVIGEN]],Tabela_Valores_REP,2,1)))*VIEW_IV_2019_REP_CALCULO[[#This Row],[Peso-PRIVIGEN]]</f>
        <v>1629.8147338659624</v>
      </c>
      <c r="AN48" s="102">
        <f>SUM(VIEW_IV_2019_REP_CALCULO[[#This Row],[Premio-BERINERT]:[Premio-PRIVIGEN]])</f>
        <v>1629.8147338659624</v>
      </c>
      <c r="AX48" s="3"/>
      <c r="AY48" s="3"/>
      <c r="AZ48" s="3"/>
      <c r="BA48" s="3"/>
      <c r="BB48" s="3"/>
    </row>
    <row r="49" spans="1:54" x14ac:dyDescent="0.2">
      <c r="A49" s="7" t="s">
        <v>16</v>
      </c>
      <c r="B49" s="7" t="s">
        <v>60</v>
      </c>
      <c r="C49" s="7" t="s">
        <v>18</v>
      </c>
      <c r="D49" s="8" t="s">
        <v>754</v>
      </c>
      <c r="E49" s="8" t="s">
        <v>755</v>
      </c>
      <c r="F49" s="8" t="s">
        <v>730</v>
      </c>
      <c r="G49" s="8" t="s">
        <v>785</v>
      </c>
      <c r="H49" s="13" t="b">
        <v>1</v>
      </c>
      <c r="I49" s="13" t="b">
        <v>1</v>
      </c>
      <c r="J49" s="10">
        <v>95</v>
      </c>
      <c r="K49" s="10">
        <v>0</v>
      </c>
      <c r="L49" s="10">
        <v>0</v>
      </c>
      <c r="M49" s="10">
        <v>988</v>
      </c>
      <c r="N49" s="10">
        <v>10700</v>
      </c>
      <c r="O49" s="10">
        <v>135</v>
      </c>
      <c r="P49" s="10">
        <v>0</v>
      </c>
      <c r="Q49" s="10">
        <v>0</v>
      </c>
      <c r="R49" s="10">
        <v>439</v>
      </c>
      <c r="S49" s="10">
        <v>14645</v>
      </c>
      <c r="T49" s="14" t="b">
        <v>0</v>
      </c>
      <c r="U49" s="14" t="b">
        <v>0</v>
      </c>
      <c r="V49" s="14" t="b">
        <v>0</v>
      </c>
      <c r="W49" s="14" t="b">
        <v>0</v>
      </c>
      <c r="X49" s="14" t="b">
        <v>0</v>
      </c>
      <c r="Y49" s="55">
        <v>1.42</v>
      </c>
      <c r="Z49" s="55">
        <v>0</v>
      </c>
      <c r="AA49" s="55">
        <v>0</v>
      </c>
      <c r="AB49" s="55">
        <v>0.44</v>
      </c>
      <c r="AC49" s="55">
        <v>1.37</v>
      </c>
      <c r="AD49" s="62">
        <v>0.1</v>
      </c>
      <c r="AE49" s="62">
        <v>0</v>
      </c>
      <c r="AF49" s="62">
        <v>0</v>
      </c>
      <c r="AG49" s="62">
        <v>0.4</v>
      </c>
      <c r="AH49" s="62">
        <v>0.2</v>
      </c>
      <c r="AI49" s="66">
        <f>IF(VIEW_IV_2019_REP_CALCULO[[#This Row],[Cobertura-BERINERT]]&lt;Cob_Min_REP,0,IF(VIEW_IV_2019_REP_CALCULO[[#This Row],[Cobertura-BERINERT]]&gt;Cob_Max_REP,Vlr_Max_REP,VLOOKUP(VIEW_IV_2019_REP_CALCULO[[#This Row],[Cobertura-BERINERT]],Tabela_Valores_REP,2,1)))*VIEW_IV_2019_REP_CALCULO[[#This Row],[Peso-BERINERT]]</f>
        <v>768.76053294179349</v>
      </c>
      <c r="AJ49" s="65">
        <f>IF(VIEW_IV_2019_REP_CALCULO[[#This Row],[Cobertura-BERIPLEX]]&lt;Cob_Min_REP,0,IF(VIEW_IV_2019_REP_CALCULO[[#This Row],[Cobertura-BERIPLEX]]&gt;Cob_Max_REP,Vlr_Max_REP,VLOOKUP(VIEW_IV_2019_REP_CALCULO[[#This Row],[Cobertura-BERIPLEX]],Tabela_Valores_REP,2,1)))*VIEW_IV_2019_REP_CALCULO[[#This Row],[Peso-BERIPLEX]]</f>
        <v>0</v>
      </c>
      <c r="AK49" s="65">
        <f>IF(VIEW_IV_2019_REP_CALCULO[[#This Row],[Cobertura-HAEMO]]&lt;Cob_Min_REP,0,IF(VIEW_IV_2019_REP_CALCULO[[#This Row],[Cobertura-HAEMO]]&gt;Cob_Max_REP,Vlr_Max_REP,VLOOKUP(VIEW_IV_2019_REP_CALCULO[[#This Row],[Cobertura-HAEMO]],Tabela_Valores_REP,2,1)))*VIEW_IV_2019_REP_CALCULO[[#This Row],[Peso-HAEMO]]</f>
        <v>0</v>
      </c>
      <c r="AL49" s="65">
        <f>IF(VIEW_IV_2019_REP_CALCULO[[#This Row],[Cobertura-HIZENTRA]]&lt;Cob_Min_REP,0,IF(VIEW_IV_2019_REP_CALCULO[[#This Row],[Cobertura-HIZENTRA]]&gt;Cob_Max_REP,Vlr_Max_REP,VLOOKUP(VIEW_IV_2019_REP_CALCULO[[#This Row],[Cobertura-HIZENTRA]],Tabela_Valores_REP,2,1)))*VIEW_IV_2019_REP_CALCULO[[#This Row],[Peso-HIZENTRA]]</f>
        <v>0</v>
      </c>
      <c r="AM49" s="65">
        <f>IF(VIEW_IV_2019_REP_CALCULO[[#This Row],[Cobertura-PRIVIGEN]]&lt;Cob_Min_REP,0,IF(VIEW_IV_2019_REP_CALCULO[[#This Row],[Cobertura-PRIVIGEN]]&gt;Cob_Max_REP,Vlr_Max_REP,VLOOKUP(VIEW_IV_2019_REP_CALCULO[[#This Row],[Cobertura-PRIVIGEN]],Tabela_Valores_REP,2,1)))*VIEW_IV_2019_REP_CALCULO[[#This Row],[Peso-PRIVIGEN]]</f>
        <v>1477.0304199204566</v>
      </c>
      <c r="AN49" s="102">
        <f>SUM(VIEW_IV_2019_REP_CALCULO[[#This Row],[Premio-BERINERT]:[Premio-PRIVIGEN]])</f>
        <v>2245.7909528622499</v>
      </c>
      <c r="AX49" s="3"/>
      <c r="AY49" s="3"/>
      <c r="AZ49" s="3"/>
      <c r="BA49" s="3"/>
      <c r="BB49" s="3"/>
    </row>
    <row r="50" spans="1:54" x14ac:dyDescent="0.2">
      <c r="A50" s="7" t="s">
        <v>16</v>
      </c>
      <c r="B50" s="7" t="s">
        <v>60</v>
      </c>
      <c r="C50" s="7" t="s">
        <v>18</v>
      </c>
      <c r="D50" s="8" t="s">
        <v>778</v>
      </c>
      <c r="E50" s="8" t="s">
        <v>779</v>
      </c>
      <c r="F50" s="8" t="s">
        <v>730</v>
      </c>
      <c r="G50" s="8" t="s">
        <v>791</v>
      </c>
      <c r="H50" s="13" t="b">
        <v>1</v>
      </c>
      <c r="I50" s="13" t="b">
        <v>1</v>
      </c>
      <c r="J50" s="10">
        <v>95</v>
      </c>
      <c r="K50" s="10">
        <v>0</v>
      </c>
      <c r="L50" s="10">
        <v>0</v>
      </c>
      <c r="M50" s="10">
        <v>912</v>
      </c>
      <c r="N50" s="10">
        <v>6420</v>
      </c>
      <c r="O50" s="10">
        <v>332</v>
      </c>
      <c r="P50" s="10">
        <v>0</v>
      </c>
      <c r="Q50" s="10">
        <v>0</v>
      </c>
      <c r="R50" s="10">
        <v>337</v>
      </c>
      <c r="S50" s="10">
        <v>4660</v>
      </c>
      <c r="T50" s="14" t="b">
        <v>0</v>
      </c>
      <c r="U50" s="14" t="b">
        <v>0</v>
      </c>
      <c r="V50" s="14" t="b">
        <v>0</v>
      </c>
      <c r="W50" s="14" t="b">
        <v>0</v>
      </c>
      <c r="X50" s="14" t="b">
        <v>0</v>
      </c>
      <c r="Y50" s="55">
        <v>3.49</v>
      </c>
      <c r="Z50" s="55">
        <v>0</v>
      </c>
      <c r="AA50" s="55">
        <v>0</v>
      </c>
      <c r="AB50" s="55">
        <v>0.37</v>
      </c>
      <c r="AC50" s="55">
        <v>0.73</v>
      </c>
      <c r="AD50" s="62">
        <v>0.1</v>
      </c>
      <c r="AE50" s="62">
        <v>0</v>
      </c>
      <c r="AF50" s="62">
        <v>0</v>
      </c>
      <c r="AG50" s="62">
        <v>0.4</v>
      </c>
      <c r="AH50" s="62">
        <v>0.2</v>
      </c>
      <c r="AI50" s="66">
        <f>IF(VIEW_IV_2019_REP_CALCULO[[#This Row],[Cobertura-BERINERT]]&lt;Cob_Min_REP,0,IF(VIEW_IV_2019_REP_CALCULO[[#This Row],[Cobertura-BERINERT]]&gt;Cob_Max_REP,Vlr_Max_REP,VLOOKUP(VIEW_IV_2019_REP_CALCULO[[#This Row],[Cobertura-BERINERT]],Tabela_Valores_REP,2,1)))*VIEW_IV_2019_REP_CALCULO[[#This Row],[Peso-BERINERT]]</f>
        <v>814.90736693298118</v>
      </c>
      <c r="AJ50" s="65">
        <f>IF(VIEW_IV_2019_REP_CALCULO[[#This Row],[Cobertura-BERIPLEX]]&lt;Cob_Min_REP,0,IF(VIEW_IV_2019_REP_CALCULO[[#This Row],[Cobertura-BERIPLEX]]&gt;Cob_Max_REP,Vlr_Max_REP,VLOOKUP(VIEW_IV_2019_REP_CALCULO[[#This Row],[Cobertura-BERIPLEX]],Tabela_Valores_REP,2,1)))*VIEW_IV_2019_REP_CALCULO[[#This Row],[Peso-BERIPLEX]]</f>
        <v>0</v>
      </c>
      <c r="AK50" s="65">
        <f>IF(VIEW_IV_2019_REP_CALCULO[[#This Row],[Cobertura-HAEMO]]&lt;Cob_Min_REP,0,IF(VIEW_IV_2019_REP_CALCULO[[#This Row],[Cobertura-HAEMO]]&gt;Cob_Max_REP,Vlr_Max_REP,VLOOKUP(VIEW_IV_2019_REP_CALCULO[[#This Row],[Cobertura-HAEMO]],Tabela_Valores_REP,2,1)))*VIEW_IV_2019_REP_CALCULO[[#This Row],[Peso-HAEMO]]</f>
        <v>0</v>
      </c>
      <c r="AL50" s="65">
        <f>IF(VIEW_IV_2019_REP_CALCULO[[#This Row],[Cobertura-HIZENTRA]]&lt;Cob_Min_REP,0,IF(VIEW_IV_2019_REP_CALCULO[[#This Row],[Cobertura-HIZENTRA]]&gt;Cob_Max_REP,Vlr_Max_REP,VLOOKUP(VIEW_IV_2019_REP_CALCULO[[#This Row],[Cobertura-HIZENTRA]],Tabela_Valores_REP,2,1)))*VIEW_IV_2019_REP_CALCULO[[#This Row],[Peso-HIZENTRA]]</f>
        <v>0</v>
      </c>
      <c r="AM50" s="65">
        <f>IF(VIEW_IV_2019_REP_CALCULO[[#This Row],[Cobertura-PRIVIGEN]]&lt;Cob_Min_REP,0,IF(VIEW_IV_2019_REP_CALCULO[[#This Row],[Cobertura-PRIVIGEN]]&gt;Cob_Max_REP,Vlr_Max_REP,VLOOKUP(VIEW_IV_2019_REP_CALCULO[[#This Row],[Cobertura-PRIVIGEN]],Tabela_Valores_REP,2,1)))*VIEW_IV_2019_REP_CALCULO[[#This Row],[Peso-PRIVIGEN]]</f>
        <v>0</v>
      </c>
      <c r="AN50" s="102">
        <f>SUM(VIEW_IV_2019_REP_CALCULO[[#This Row],[Premio-BERINERT]:[Premio-PRIVIGEN]])</f>
        <v>814.90736693298118</v>
      </c>
      <c r="AX50" s="3"/>
      <c r="AY50" s="3"/>
      <c r="AZ50" s="3"/>
      <c r="BA50" s="3"/>
      <c r="BB50" s="3"/>
    </row>
    <row r="51" spans="1:54" x14ac:dyDescent="0.2">
      <c r="A51" s="7" t="s">
        <v>16</v>
      </c>
      <c r="B51" s="7" t="s">
        <v>60</v>
      </c>
      <c r="C51" s="7" t="s">
        <v>18</v>
      </c>
      <c r="D51" s="8" t="s">
        <v>770</v>
      </c>
      <c r="E51" s="8" t="s">
        <v>771</v>
      </c>
      <c r="F51" s="8" t="s">
        <v>730</v>
      </c>
      <c r="G51" s="8" t="s">
        <v>787</v>
      </c>
      <c r="H51" s="13" t="b">
        <v>1</v>
      </c>
      <c r="I51" s="13" t="b">
        <v>0</v>
      </c>
      <c r="J51" s="10">
        <v>38</v>
      </c>
      <c r="K51" s="10">
        <v>0</v>
      </c>
      <c r="L51" s="10">
        <v>0</v>
      </c>
      <c r="M51" s="10">
        <v>912</v>
      </c>
      <c r="N51" s="10">
        <v>6955</v>
      </c>
      <c r="O51" s="10">
        <v>28</v>
      </c>
      <c r="P51" s="10">
        <v>0</v>
      </c>
      <c r="Q51" s="10">
        <v>0</v>
      </c>
      <c r="R51" s="10">
        <v>630</v>
      </c>
      <c r="S51" s="10">
        <v>4380</v>
      </c>
      <c r="T51" s="14" t="b">
        <v>0</v>
      </c>
      <c r="U51" s="14" t="b">
        <v>0</v>
      </c>
      <c r="V51" s="14" t="b">
        <v>0</v>
      </c>
      <c r="W51" s="14" t="b">
        <v>0</v>
      </c>
      <c r="X51" s="14" t="b">
        <v>0</v>
      </c>
      <c r="Y51" s="55">
        <v>0.74</v>
      </c>
      <c r="Z51" s="55">
        <v>0</v>
      </c>
      <c r="AA51" s="55">
        <v>0</v>
      </c>
      <c r="AB51" s="55">
        <v>0.69</v>
      </c>
      <c r="AC51" s="55">
        <v>0.63</v>
      </c>
      <c r="AD51" s="62">
        <v>0</v>
      </c>
      <c r="AE51" s="62">
        <v>0</v>
      </c>
      <c r="AF51" s="62">
        <v>0</v>
      </c>
      <c r="AG51" s="62">
        <v>0</v>
      </c>
      <c r="AH51" s="62">
        <v>0</v>
      </c>
      <c r="AI51" s="66">
        <f>IF(VIEW_IV_2019_REP_CALCULO[[#This Row],[Cobertura-BERINERT]]&lt;Cob_Min_REP,0,IF(VIEW_IV_2019_REP_CALCULO[[#This Row],[Cobertura-BERINERT]]&gt;Cob_Max_REP,Vlr_Max_REP,VLOOKUP(VIEW_IV_2019_REP_CALCULO[[#This Row],[Cobertura-BERINERT]],Tabela_Valores_REP,2,1)))*VIEW_IV_2019_REP_CALCULO[[#This Row],[Peso-BERINERT]]</f>
        <v>0</v>
      </c>
      <c r="AJ51" s="65">
        <f>IF(VIEW_IV_2019_REP_CALCULO[[#This Row],[Cobertura-BERIPLEX]]&lt;Cob_Min_REP,0,IF(VIEW_IV_2019_REP_CALCULO[[#This Row],[Cobertura-BERIPLEX]]&gt;Cob_Max_REP,Vlr_Max_REP,VLOOKUP(VIEW_IV_2019_REP_CALCULO[[#This Row],[Cobertura-BERIPLEX]],Tabela_Valores_REP,2,1)))*VIEW_IV_2019_REP_CALCULO[[#This Row],[Peso-BERIPLEX]]</f>
        <v>0</v>
      </c>
      <c r="AK51" s="65">
        <f>IF(VIEW_IV_2019_REP_CALCULO[[#This Row],[Cobertura-HAEMO]]&lt;Cob_Min_REP,0,IF(VIEW_IV_2019_REP_CALCULO[[#This Row],[Cobertura-HAEMO]]&gt;Cob_Max_REP,Vlr_Max_REP,VLOOKUP(VIEW_IV_2019_REP_CALCULO[[#This Row],[Cobertura-HAEMO]],Tabela_Valores_REP,2,1)))*VIEW_IV_2019_REP_CALCULO[[#This Row],[Peso-HAEMO]]</f>
        <v>0</v>
      </c>
      <c r="AL51" s="65">
        <f>IF(VIEW_IV_2019_REP_CALCULO[[#This Row],[Cobertura-HIZENTRA]]&lt;Cob_Min_REP,0,IF(VIEW_IV_2019_REP_CALCULO[[#This Row],[Cobertura-HIZENTRA]]&gt;Cob_Max_REP,Vlr_Max_REP,VLOOKUP(VIEW_IV_2019_REP_CALCULO[[#This Row],[Cobertura-HIZENTRA]],Tabela_Valores_REP,2,1)))*VIEW_IV_2019_REP_CALCULO[[#This Row],[Peso-HIZENTRA]]</f>
        <v>0</v>
      </c>
      <c r="AM51" s="65">
        <f>IF(VIEW_IV_2019_REP_CALCULO[[#This Row],[Cobertura-PRIVIGEN]]&lt;Cob_Min_REP,0,IF(VIEW_IV_2019_REP_CALCULO[[#This Row],[Cobertura-PRIVIGEN]]&gt;Cob_Max_REP,Vlr_Max_REP,VLOOKUP(VIEW_IV_2019_REP_CALCULO[[#This Row],[Cobertura-PRIVIGEN]],Tabela_Valores_REP,2,1)))*VIEW_IV_2019_REP_CALCULO[[#This Row],[Peso-PRIVIGEN]]</f>
        <v>0</v>
      </c>
      <c r="AN51" s="102">
        <f>SUM(VIEW_IV_2019_REP_CALCULO[[#This Row],[Premio-BERINERT]:[Premio-PRIVIGEN]])</f>
        <v>0</v>
      </c>
      <c r="AX51" s="3"/>
      <c r="AY51" s="3"/>
      <c r="AZ51" s="3"/>
      <c r="BA51" s="3"/>
      <c r="BB51" s="3"/>
    </row>
    <row r="52" spans="1:54" x14ac:dyDescent="0.2">
      <c r="A52" s="7" t="s">
        <v>16</v>
      </c>
      <c r="B52" s="7" t="s">
        <v>60</v>
      </c>
      <c r="C52" s="7" t="s">
        <v>18</v>
      </c>
      <c r="D52" s="8" t="s">
        <v>737</v>
      </c>
      <c r="E52" s="8" t="s">
        <v>738</v>
      </c>
      <c r="F52" s="8" t="s">
        <v>739</v>
      </c>
      <c r="G52" s="8" t="s">
        <v>785</v>
      </c>
      <c r="H52" s="13" t="b">
        <v>1</v>
      </c>
      <c r="I52" s="13" t="b">
        <v>1</v>
      </c>
      <c r="J52" s="10">
        <v>11</v>
      </c>
      <c r="K52" s="10">
        <v>80</v>
      </c>
      <c r="L52" s="10">
        <v>52</v>
      </c>
      <c r="M52" s="10">
        <v>152</v>
      </c>
      <c r="N52" s="10">
        <v>3210</v>
      </c>
      <c r="O52" s="10">
        <v>0</v>
      </c>
      <c r="P52" s="10">
        <v>25</v>
      </c>
      <c r="Q52" s="10">
        <v>27</v>
      </c>
      <c r="R52" s="10">
        <v>318</v>
      </c>
      <c r="S52" s="10">
        <v>4088</v>
      </c>
      <c r="T52" s="14" t="b">
        <v>0</v>
      </c>
      <c r="U52" s="14" t="b">
        <v>0</v>
      </c>
      <c r="V52" s="14" t="b">
        <v>0</v>
      </c>
      <c r="W52" s="14" t="b">
        <v>0</v>
      </c>
      <c r="X52" s="14" t="b">
        <v>0</v>
      </c>
      <c r="Y52" s="55">
        <v>0</v>
      </c>
      <c r="Z52" s="55">
        <v>0.31</v>
      </c>
      <c r="AA52" s="55">
        <v>0.52</v>
      </c>
      <c r="AB52" s="55">
        <v>2.09</v>
      </c>
      <c r="AC52" s="55">
        <v>1.27</v>
      </c>
      <c r="AD52" s="62">
        <v>0.05</v>
      </c>
      <c r="AE52" s="62">
        <v>0.15</v>
      </c>
      <c r="AF52" s="62">
        <v>0.15</v>
      </c>
      <c r="AG52" s="62">
        <v>0.2</v>
      </c>
      <c r="AH52" s="62">
        <v>0.15</v>
      </c>
      <c r="AI52" s="66">
        <f>IF(VIEW_IV_2019_REP_CALCULO[[#This Row],[Cobertura-BERINERT]]&lt;Cob_Min_REP,0,IF(VIEW_IV_2019_REP_CALCULO[[#This Row],[Cobertura-BERINERT]]&gt;Cob_Max_REP,Vlr_Max_REP,VLOOKUP(VIEW_IV_2019_REP_CALCULO[[#This Row],[Cobertura-BERINERT]],Tabela_Valores_REP,2,1)))*VIEW_IV_2019_REP_CALCULO[[#This Row],[Peso-BERINERT]]</f>
        <v>0</v>
      </c>
      <c r="AJ52" s="65">
        <f>IF(VIEW_IV_2019_REP_CALCULO[[#This Row],[Cobertura-BERIPLEX]]&lt;Cob_Min_REP,0,IF(VIEW_IV_2019_REP_CALCULO[[#This Row],[Cobertura-BERIPLEX]]&gt;Cob_Max_REP,Vlr_Max_REP,VLOOKUP(VIEW_IV_2019_REP_CALCULO[[#This Row],[Cobertura-BERIPLEX]],Tabela_Valores_REP,2,1)))*VIEW_IV_2019_REP_CALCULO[[#This Row],[Peso-BERIPLEX]]</f>
        <v>0</v>
      </c>
      <c r="AK52" s="65">
        <f>IF(VIEW_IV_2019_REP_CALCULO[[#This Row],[Cobertura-HAEMO]]&lt;Cob_Min_REP,0,IF(VIEW_IV_2019_REP_CALCULO[[#This Row],[Cobertura-HAEMO]]&gt;Cob_Max_REP,Vlr_Max_REP,VLOOKUP(VIEW_IV_2019_REP_CALCULO[[#This Row],[Cobertura-HAEMO]],Tabela_Valores_REP,2,1)))*VIEW_IV_2019_REP_CALCULO[[#This Row],[Peso-HAEMO]]</f>
        <v>0</v>
      </c>
      <c r="AL52" s="65">
        <f>IF(VIEW_IV_2019_REP_CALCULO[[#This Row],[Cobertura-HIZENTRA]]&lt;Cob_Min_REP,0,IF(VIEW_IV_2019_REP_CALCULO[[#This Row],[Cobertura-HIZENTRA]]&gt;Cob_Max_REP,Vlr_Max_REP,VLOOKUP(VIEW_IV_2019_REP_CALCULO[[#This Row],[Cobertura-HIZENTRA]],Tabela_Valores_REP,2,1)))*VIEW_IV_2019_REP_CALCULO[[#This Row],[Peso-HIZENTRA]]</f>
        <v>1629.8147338659624</v>
      </c>
      <c r="AM52" s="65">
        <f>IF(VIEW_IV_2019_REP_CALCULO[[#This Row],[Cobertura-PRIVIGEN]]&lt;Cob_Min_REP,0,IF(VIEW_IV_2019_REP_CALCULO[[#This Row],[Cobertura-PRIVIGEN]]&gt;Cob_Max_REP,Vlr_Max_REP,VLOOKUP(VIEW_IV_2019_REP_CALCULO[[#This Row],[Cobertura-PRIVIGEN]],Tabela_Valores_REP,2,1)))*VIEW_IV_2019_REP_CALCULO[[#This Row],[Peso-PRIVIGEN]]</f>
        <v>1024.6793068992476</v>
      </c>
      <c r="AN52" s="102">
        <f>SUM(VIEW_IV_2019_REP_CALCULO[[#This Row],[Premio-BERINERT]:[Premio-PRIVIGEN]])</f>
        <v>2654.4940407652102</v>
      </c>
      <c r="AX52" s="3"/>
      <c r="AY52" s="3"/>
      <c r="AZ52" s="3"/>
      <c r="BA52" s="3"/>
      <c r="BB52" s="3"/>
    </row>
    <row r="53" spans="1:54" x14ac:dyDescent="0.2">
      <c r="A53" s="7" t="s">
        <v>16</v>
      </c>
      <c r="B53" s="7" t="s">
        <v>60</v>
      </c>
      <c r="C53" s="7" t="s">
        <v>18</v>
      </c>
      <c r="D53" s="8" t="s">
        <v>780</v>
      </c>
      <c r="E53" s="8" t="s">
        <v>781</v>
      </c>
      <c r="F53" s="8" t="s">
        <v>739</v>
      </c>
      <c r="G53" s="8" t="s">
        <v>791</v>
      </c>
      <c r="H53" s="13" t="b">
        <v>1</v>
      </c>
      <c r="I53" s="13" t="b">
        <v>1</v>
      </c>
      <c r="J53" s="10">
        <v>38</v>
      </c>
      <c r="K53" s="10">
        <v>40</v>
      </c>
      <c r="L53" s="10">
        <v>13</v>
      </c>
      <c r="M53" s="10">
        <v>836</v>
      </c>
      <c r="N53" s="10">
        <v>1605</v>
      </c>
      <c r="O53" s="10">
        <v>3</v>
      </c>
      <c r="P53" s="10">
        <v>6</v>
      </c>
      <c r="Q53" s="10">
        <v>4</v>
      </c>
      <c r="R53" s="10">
        <v>468</v>
      </c>
      <c r="S53" s="10">
        <v>3445</v>
      </c>
      <c r="T53" s="14" t="b">
        <v>0</v>
      </c>
      <c r="U53" s="14" t="b">
        <v>0</v>
      </c>
      <c r="V53" s="14" t="b">
        <v>0</v>
      </c>
      <c r="W53" s="14" t="b">
        <v>0</v>
      </c>
      <c r="X53" s="14" t="b">
        <v>0</v>
      </c>
      <c r="Y53" s="55">
        <v>0.08</v>
      </c>
      <c r="Z53" s="55">
        <v>0.15</v>
      </c>
      <c r="AA53" s="55">
        <v>0.31</v>
      </c>
      <c r="AB53" s="55">
        <v>0.56000000000000005</v>
      </c>
      <c r="AC53" s="55">
        <v>2.15</v>
      </c>
      <c r="AD53" s="62">
        <v>0.05</v>
      </c>
      <c r="AE53" s="62">
        <v>0.15</v>
      </c>
      <c r="AF53" s="62">
        <v>0.15</v>
      </c>
      <c r="AG53" s="62">
        <v>0.2</v>
      </c>
      <c r="AH53" s="62">
        <v>0.15</v>
      </c>
      <c r="AI53" s="66">
        <f>IF(VIEW_IV_2019_REP_CALCULO[[#This Row],[Cobertura-BERINERT]]&lt;Cob_Min_REP,0,IF(VIEW_IV_2019_REP_CALCULO[[#This Row],[Cobertura-BERINERT]]&gt;Cob_Max_REP,Vlr_Max_REP,VLOOKUP(VIEW_IV_2019_REP_CALCULO[[#This Row],[Cobertura-BERINERT]],Tabela_Valores_REP,2,1)))*VIEW_IV_2019_REP_CALCULO[[#This Row],[Peso-BERINERT]]</f>
        <v>0</v>
      </c>
      <c r="AJ53" s="65">
        <f>IF(VIEW_IV_2019_REP_CALCULO[[#This Row],[Cobertura-BERIPLEX]]&lt;Cob_Min_REP,0,IF(VIEW_IV_2019_REP_CALCULO[[#This Row],[Cobertura-BERIPLEX]]&gt;Cob_Max_REP,Vlr_Max_REP,VLOOKUP(VIEW_IV_2019_REP_CALCULO[[#This Row],[Cobertura-BERIPLEX]],Tabela_Valores_REP,2,1)))*VIEW_IV_2019_REP_CALCULO[[#This Row],[Peso-BERIPLEX]]</f>
        <v>0</v>
      </c>
      <c r="AK53" s="65">
        <f>IF(VIEW_IV_2019_REP_CALCULO[[#This Row],[Cobertura-HAEMO]]&lt;Cob_Min_REP,0,IF(VIEW_IV_2019_REP_CALCULO[[#This Row],[Cobertura-HAEMO]]&gt;Cob_Max_REP,Vlr_Max_REP,VLOOKUP(VIEW_IV_2019_REP_CALCULO[[#This Row],[Cobertura-HAEMO]],Tabela_Valores_REP,2,1)))*VIEW_IV_2019_REP_CALCULO[[#This Row],[Peso-HAEMO]]</f>
        <v>0</v>
      </c>
      <c r="AL53" s="65">
        <f>IF(VIEW_IV_2019_REP_CALCULO[[#This Row],[Cobertura-HIZENTRA]]&lt;Cob_Min_REP,0,IF(VIEW_IV_2019_REP_CALCULO[[#This Row],[Cobertura-HIZENTRA]]&gt;Cob_Max_REP,Vlr_Max_REP,VLOOKUP(VIEW_IV_2019_REP_CALCULO[[#This Row],[Cobertura-HIZENTRA]],Tabela_Valores_REP,2,1)))*VIEW_IV_2019_REP_CALCULO[[#This Row],[Peso-HIZENTRA]]</f>
        <v>0</v>
      </c>
      <c r="AM53" s="65">
        <f>IF(VIEW_IV_2019_REP_CALCULO[[#This Row],[Cobertura-PRIVIGEN]]&lt;Cob_Min_REP,0,IF(VIEW_IV_2019_REP_CALCULO[[#This Row],[Cobertura-PRIVIGEN]]&gt;Cob_Max_REP,Vlr_Max_REP,VLOOKUP(VIEW_IV_2019_REP_CALCULO[[#This Row],[Cobertura-PRIVIGEN]],Tabela_Valores_REP,2,1)))*VIEW_IV_2019_REP_CALCULO[[#This Row],[Peso-PRIVIGEN]]</f>
        <v>1222.3610503994717</v>
      </c>
      <c r="AN53" s="102">
        <f>SUM(VIEW_IV_2019_REP_CALCULO[[#This Row],[Premio-BERINERT]:[Premio-PRIVIGEN]])</f>
        <v>1222.3610503994717</v>
      </c>
      <c r="AX53" s="3"/>
      <c r="AY53" s="3"/>
      <c r="AZ53" s="3"/>
      <c r="BA53" s="3"/>
      <c r="BB53" s="3"/>
    </row>
    <row r="54" spans="1:54" x14ac:dyDescent="0.2">
      <c r="A54" s="7" t="s">
        <v>16</v>
      </c>
      <c r="B54" s="7" t="s">
        <v>60</v>
      </c>
      <c r="C54" s="7" t="s">
        <v>18</v>
      </c>
      <c r="D54" s="8" t="s">
        <v>720</v>
      </c>
      <c r="E54" s="8" t="s">
        <v>721</v>
      </c>
      <c r="F54" s="8" t="s">
        <v>723</v>
      </c>
      <c r="G54" s="8" t="s">
        <v>785</v>
      </c>
      <c r="H54" s="13" t="b">
        <v>1</v>
      </c>
      <c r="I54" s="13" t="b">
        <v>1</v>
      </c>
      <c r="J54" s="10">
        <v>0</v>
      </c>
      <c r="K54" s="10">
        <v>120</v>
      </c>
      <c r="L54" s="10">
        <v>130</v>
      </c>
      <c r="M54" s="10">
        <v>0</v>
      </c>
      <c r="N54" s="10">
        <v>2675</v>
      </c>
      <c r="O54" s="10">
        <v>0</v>
      </c>
      <c r="P54" s="10">
        <v>92</v>
      </c>
      <c r="Q54" s="10">
        <v>98</v>
      </c>
      <c r="R54" s="10">
        <v>0</v>
      </c>
      <c r="S54" s="10">
        <v>880</v>
      </c>
      <c r="T54" s="14" t="b">
        <v>0</v>
      </c>
      <c r="U54" s="14" t="b">
        <v>0</v>
      </c>
      <c r="V54" s="14" t="b">
        <v>0</v>
      </c>
      <c r="W54" s="14" t="b">
        <v>0</v>
      </c>
      <c r="X54" s="14" t="b">
        <v>0</v>
      </c>
      <c r="Y54" s="55">
        <v>0</v>
      </c>
      <c r="Z54" s="55">
        <v>0.77</v>
      </c>
      <c r="AA54" s="55">
        <v>0.75</v>
      </c>
      <c r="AB54" s="55">
        <v>0</v>
      </c>
      <c r="AC54" s="55">
        <v>0.33</v>
      </c>
      <c r="AD54" s="62">
        <v>0</v>
      </c>
      <c r="AE54" s="62">
        <v>0.25</v>
      </c>
      <c r="AF54" s="62">
        <v>0.25</v>
      </c>
      <c r="AG54" s="62">
        <v>0</v>
      </c>
      <c r="AH54" s="62">
        <v>0.2</v>
      </c>
      <c r="AI54" s="66">
        <f>IF(VIEW_IV_2019_REP_CALCULO[[#This Row],[Cobertura-BERINERT]]&lt;Cob_Min_REP,0,IF(VIEW_IV_2019_REP_CALCULO[[#This Row],[Cobertura-BERINERT]]&gt;Cob_Max_REP,Vlr_Max_REP,VLOOKUP(VIEW_IV_2019_REP_CALCULO[[#This Row],[Cobertura-BERINERT]],Tabela_Valores_REP,2,1)))*VIEW_IV_2019_REP_CALCULO[[#This Row],[Peso-BERINERT]]</f>
        <v>0</v>
      </c>
      <c r="AJ54" s="65">
        <f>IF(VIEW_IV_2019_REP_CALCULO[[#This Row],[Cobertura-BERIPLEX]]&lt;Cob_Min_REP,0,IF(VIEW_IV_2019_REP_CALCULO[[#This Row],[Cobertura-BERIPLEX]]&gt;Cob_Max_REP,Vlr_Max_REP,VLOOKUP(VIEW_IV_2019_REP_CALCULO[[#This Row],[Cobertura-BERIPLEX]],Tabela_Valores_REP,2,1)))*VIEW_IV_2019_REP_CALCULO[[#This Row],[Peso-BERIPLEX]]</f>
        <v>0</v>
      </c>
      <c r="AK54" s="65">
        <f>IF(VIEW_IV_2019_REP_CALCULO[[#This Row],[Cobertura-HAEMO]]&lt;Cob_Min_REP,0,IF(VIEW_IV_2019_REP_CALCULO[[#This Row],[Cobertura-HAEMO]]&gt;Cob_Max_REP,Vlr_Max_REP,VLOOKUP(VIEW_IV_2019_REP_CALCULO[[#This Row],[Cobertura-HAEMO]],Tabela_Valores_REP,2,1)))*VIEW_IV_2019_REP_CALCULO[[#This Row],[Peso-HAEMO]]</f>
        <v>0</v>
      </c>
      <c r="AL54" s="65">
        <f>IF(VIEW_IV_2019_REP_CALCULO[[#This Row],[Cobertura-HIZENTRA]]&lt;Cob_Min_REP,0,IF(VIEW_IV_2019_REP_CALCULO[[#This Row],[Cobertura-HIZENTRA]]&gt;Cob_Max_REP,Vlr_Max_REP,VLOOKUP(VIEW_IV_2019_REP_CALCULO[[#This Row],[Cobertura-HIZENTRA]],Tabela_Valores_REP,2,1)))*VIEW_IV_2019_REP_CALCULO[[#This Row],[Peso-HIZENTRA]]</f>
        <v>0</v>
      </c>
      <c r="AM54" s="65">
        <f>IF(VIEW_IV_2019_REP_CALCULO[[#This Row],[Cobertura-PRIVIGEN]]&lt;Cob_Min_REP,0,IF(VIEW_IV_2019_REP_CALCULO[[#This Row],[Cobertura-PRIVIGEN]]&gt;Cob_Max_REP,Vlr_Max_REP,VLOOKUP(VIEW_IV_2019_REP_CALCULO[[#This Row],[Cobertura-PRIVIGEN]],Tabela_Valores_REP,2,1)))*VIEW_IV_2019_REP_CALCULO[[#This Row],[Peso-PRIVIGEN]]</f>
        <v>0</v>
      </c>
      <c r="AN54" s="102">
        <f>SUM(VIEW_IV_2019_REP_CALCULO[[#This Row],[Premio-BERINERT]:[Premio-PRIVIGEN]])</f>
        <v>0</v>
      </c>
      <c r="AX54" s="3"/>
      <c r="AY54" s="3"/>
      <c r="AZ54" s="3"/>
      <c r="BA54" s="3"/>
      <c r="BB54" s="3"/>
    </row>
    <row r="55" spans="1:54" x14ac:dyDescent="0.2">
      <c r="A55" s="7" t="s">
        <v>16</v>
      </c>
      <c r="B55" s="7" t="s">
        <v>60</v>
      </c>
      <c r="C55" s="7" t="s">
        <v>18</v>
      </c>
      <c r="D55" s="8" t="s">
        <v>724</v>
      </c>
      <c r="E55" s="8" t="s">
        <v>725</v>
      </c>
      <c r="F55" s="8" t="s">
        <v>723</v>
      </c>
      <c r="G55" s="8" t="s">
        <v>787</v>
      </c>
      <c r="H55" s="13" t="b">
        <v>1</v>
      </c>
      <c r="I55" s="13" t="b">
        <v>1</v>
      </c>
      <c r="J55" s="10">
        <v>0</v>
      </c>
      <c r="K55" s="10">
        <v>140</v>
      </c>
      <c r="L55" s="10">
        <v>156</v>
      </c>
      <c r="M55" s="10">
        <v>0</v>
      </c>
      <c r="N55" s="10">
        <v>4815</v>
      </c>
      <c r="O55" s="10">
        <v>0</v>
      </c>
      <c r="P55" s="10">
        <v>118</v>
      </c>
      <c r="Q55" s="10">
        <v>174</v>
      </c>
      <c r="R55" s="10">
        <v>0</v>
      </c>
      <c r="S55" s="10">
        <v>2795</v>
      </c>
      <c r="T55" s="14" t="b">
        <v>0</v>
      </c>
      <c r="U55" s="14" t="b">
        <v>0</v>
      </c>
      <c r="V55" s="14" t="b">
        <v>0</v>
      </c>
      <c r="W55" s="14" t="b">
        <v>0</v>
      </c>
      <c r="X55" s="14" t="b">
        <v>0</v>
      </c>
      <c r="Y55" s="55">
        <v>0</v>
      </c>
      <c r="Z55" s="55">
        <v>0.84</v>
      </c>
      <c r="AA55" s="55">
        <v>1.1200000000000001</v>
      </c>
      <c r="AB55" s="55">
        <v>0</v>
      </c>
      <c r="AC55" s="55">
        <v>0.57999999999999996</v>
      </c>
      <c r="AD55" s="62">
        <v>0</v>
      </c>
      <c r="AE55" s="62">
        <v>0.25</v>
      </c>
      <c r="AF55" s="62">
        <v>0.25</v>
      </c>
      <c r="AG55" s="62">
        <v>0</v>
      </c>
      <c r="AH55" s="62">
        <v>0.2</v>
      </c>
      <c r="AI55" s="66">
        <f>IF(VIEW_IV_2019_REP_CALCULO[[#This Row],[Cobertura-BERINERT]]&lt;Cob_Min_REP,0,IF(VIEW_IV_2019_REP_CALCULO[[#This Row],[Cobertura-BERINERT]]&gt;Cob_Max_REP,Vlr_Max_REP,VLOOKUP(VIEW_IV_2019_REP_CALCULO[[#This Row],[Cobertura-BERINERT]],Tabela_Valores_REP,2,1)))*VIEW_IV_2019_REP_CALCULO[[#This Row],[Peso-BERINERT]]</f>
        <v>0</v>
      </c>
      <c r="AJ55" s="65">
        <f>IF(VIEW_IV_2019_REP_CALCULO[[#This Row],[Cobertura-BERIPLEX]]&lt;Cob_Min_REP,0,IF(VIEW_IV_2019_REP_CALCULO[[#This Row],[Cobertura-BERIPLEX]]&gt;Cob_Max_REP,Vlr_Max_REP,VLOOKUP(VIEW_IV_2019_REP_CALCULO[[#This Row],[Cobertura-BERIPLEX]],Tabela_Valores_REP,2,1)))*VIEW_IV_2019_REP_CALCULO[[#This Row],[Peso-BERIPLEX]]</f>
        <v>378.60740499098563</v>
      </c>
      <c r="AK55" s="65">
        <f>IF(VIEW_IV_2019_REP_CALCULO[[#This Row],[Cobertura-HAEMO]]&lt;Cob_Min_REP,0,IF(VIEW_IV_2019_REP_CALCULO[[#This Row],[Cobertura-HAEMO]]&gt;Cob_Max_REP,Vlr_Max_REP,VLOOKUP(VIEW_IV_2019_REP_CALCULO[[#This Row],[Cobertura-HAEMO]],Tabela_Valores_REP,2,1)))*VIEW_IV_2019_REP_CALCULO[[#This Row],[Peso-HAEMO]]</f>
        <v>1271.3997238078268</v>
      </c>
      <c r="AL55" s="65">
        <f>IF(VIEW_IV_2019_REP_CALCULO[[#This Row],[Cobertura-HIZENTRA]]&lt;Cob_Min_REP,0,IF(VIEW_IV_2019_REP_CALCULO[[#This Row],[Cobertura-HIZENTRA]]&gt;Cob_Max_REP,Vlr_Max_REP,VLOOKUP(VIEW_IV_2019_REP_CALCULO[[#This Row],[Cobertura-HIZENTRA]],Tabela_Valores_REP,2,1)))*VIEW_IV_2019_REP_CALCULO[[#This Row],[Peso-HIZENTRA]]</f>
        <v>0</v>
      </c>
      <c r="AM55" s="65">
        <f>IF(VIEW_IV_2019_REP_CALCULO[[#This Row],[Cobertura-PRIVIGEN]]&lt;Cob_Min_REP,0,IF(VIEW_IV_2019_REP_CALCULO[[#This Row],[Cobertura-PRIVIGEN]]&gt;Cob_Max_REP,Vlr_Max_REP,VLOOKUP(VIEW_IV_2019_REP_CALCULO[[#This Row],[Cobertura-PRIVIGEN]],Tabela_Valores_REP,2,1)))*VIEW_IV_2019_REP_CALCULO[[#This Row],[Peso-PRIVIGEN]]</f>
        <v>0</v>
      </c>
      <c r="AN55" s="102">
        <f>SUM(VIEW_IV_2019_REP_CALCULO[[#This Row],[Premio-BERINERT]:[Premio-PRIVIGEN]])</f>
        <v>1650.0071287988126</v>
      </c>
      <c r="AX55" s="3"/>
      <c r="AY55" s="3"/>
      <c r="AZ55" s="3"/>
      <c r="BA55" s="3"/>
      <c r="BB55" s="3"/>
    </row>
    <row r="56" spans="1:54" x14ac:dyDescent="0.2">
      <c r="A56" s="7" t="s">
        <v>16</v>
      </c>
      <c r="B56" s="7" t="s">
        <v>60</v>
      </c>
      <c r="C56" s="7" t="s">
        <v>18</v>
      </c>
      <c r="D56" s="8" t="s">
        <v>726</v>
      </c>
      <c r="E56" s="8" t="s">
        <v>727</v>
      </c>
      <c r="F56" s="8" t="s">
        <v>723</v>
      </c>
      <c r="G56" s="8" t="s">
        <v>787</v>
      </c>
      <c r="H56" s="13" t="b">
        <v>1</v>
      </c>
      <c r="I56" s="13" t="b">
        <v>1</v>
      </c>
      <c r="J56" s="10">
        <v>0</v>
      </c>
      <c r="K56" s="10">
        <v>120</v>
      </c>
      <c r="L56" s="10">
        <v>65</v>
      </c>
      <c r="M56" s="10">
        <v>0</v>
      </c>
      <c r="N56" s="10">
        <v>6420</v>
      </c>
      <c r="O56" s="10">
        <v>0</v>
      </c>
      <c r="P56" s="10">
        <v>48</v>
      </c>
      <c r="Q56" s="10">
        <v>13</v>
      </c>
      <c r="R56" s="10">
        <v>0</v>
      </c>
      <c r="S56" s="10">
        <v>8735</v>
      </c>
      <c r="T56" s="14" t="b">
        <v>0</v>
      </c>
      <c r="U56" s="14" t="b">
        <v>0</v>
      </c>
      <c r="V56" s="14" t="b">
        <v>0</v>
      </c>
      <c r="W56" s="14" t="b">
        <v>0</v>
      </c>
      <c r="X56" s="14" t="b">
        <v>0</v>
      </c>
      <c r="Y56" s="55">
        <v>0</v>
      </c>
      <c r="Z56" s="55">
        <v>0.4</v>
      </c>
      <c r="AA56" s="55">
        <v>0.2</v>
      </c>
      <c r="AB56" s="55">
        <v>0</v>
      </c>
      <c r="AC56" s="55">
        <v>1.36</v>
      </c>
      <c r="AD56" s="62">
        <v>0</v>
      </c>
      <c r="AE56" s="62">
        <v>0.25</v>
      </c>
      <c r="AF56" s="62">
        <v>0.25</v>
      </c>
      <c r="AG56" s="62">
        <v>0</v>
      </c>
      <c r="AH56" s="62">
        <v>0.2</v>
      </c>
      <c r="AI56" s="66">
        <f>IF(VIEW_IV_2019_REP_CALCULO[[#This Row],[Cobertura-BERINERT]]&lt;Cob_Min_REP,0,IF(VIEW_IV_2019_REP_CALCULO[[#This Row],[Cobertura-BERINERT]]&gt;Cob_Max_REP,Vlr_Max_REP,VLOOKUP(VIEW_IV_2019_REP_CALCULO[[#This Row],[Cobertura-BERINERT]],Tabela_Valores_REP,2,1)))*VIEW_IV_2019_REP_CALCULO[[#This Row],[Peso-BERINERT]]</f>
        <v>0</v>
      </c>
      <c r="AJ56" s="65">
        <f>IF(VIEW_IV_2019_REP_CALCULO[[#This Row],[Cobertura-BERIPLEX]]&lt;Cob_Min_REP,0,IF(VIEW_IV_2019_REP_CALCULO[[#This Row],[Cobertura-BERIPLEX]]&gt;Cob_Max_REP,Vlr_Max_REP,VLOOKUP(VIEW_IV_2019_REP_CALCULO[[#This Row],[Cobertura-BERIPLEX]],Tabela_Valores_REP,2,1)))*VIEW_IV_2019_REP_CALCULO[[#This Row],[Peso-BERIPLEX]]</f>
        <v>0</v>
      </c>
      <c r="AK56" s="65">
        <f>IF(VIEW_IV_2019_REP_CALCULO[[#This Row],[Cobertura-HAEMO]]&lt;Cob_Min_REP,0,IF(VIEW_IV_2019_REP_CALCULO[[#This Row],[Cobertura-HAEMO]]&gt;Cob_Max_REP,Vlr_Max_REP,VLOOKUP(VIEW_IV_2019_REP_CALCULO[[#This Row],[Cobertura-HAEMO]],Tabela_Valores_REP,2,1)))*VIEW_IV_2019_REP_CALCULO[[#This Row],[Peso-HAEMO]]</f>
        <v>0</v>
      </c>
      <c r="AL56" s="65">
        <f>IF(VIEW_IV_2019_REP_CALCULO[[#This Row],[Cobertura-HIZENTRA]]&lt;Cob_Min_REP,0,IF(VIEW_IV_2019_REP_CALCULO[[#This Row],[Cobertura-HIZENTRA]]&gt;Cob_Max_REP,Vlr_Max_REP,VLOOKUP(VIEW_IV_2019_REP_CALCULO[[#This Row],[Cobertura-HIZENTRA]],Tabela_Valores_REP,2,1)))*VIEW_IV_2019_REP_CALCULO[[#This Row],[Peso-HIZENTRA]]</f>
        <v>0</v>
      </c>
      <c r="AM56" s="65">
        <f>IF(VIEW_IV_2019_REP_CALCULO[[#This Row],[Cobertura-PRIVIGEN]]&lt;Cob_Min_REP,0,IF(VIEW_IV_2019_REP_CALCULO[[#This Row],[Cobertura-PRIVIGEN]]&gt;Cob_Max_REP,Vlr_Max_REP,VLOOKUP(VIEW_IV_2019_REP_CALCULO[[#This Row],[Cobertura-PRIVIGEN]],Tabela_Valores_REP,2,1)))*VIEW_IV_2019_REP_CALCULO[[#This Row],[Peso-PRIVIGEN]]</f>
        <v>1466.7755679224153</v>
      </c>
      <c r="AN56" s="102">
        <f>SUM(VIEW_IV_2019_REP_CALCULO[[#This Row],[Premio-BERINERT]:[Premio-PRIVIGEN]])</f>
        <v>1466.7755679224153</v>
      </c>
      <c r="AX56" s="3"/>
      <c r="AY56" s="3"/>
      <c r="AZ56" s="3"/>
      <c r="BA56" s="3"/>
      <c r="BB56" s="3"/>
    </row>
    <row r="57" spans="1:54" x14ac:dyDescent="0.2">
      <c r="A57" s="7" t="s">
        <v>16</v>
      </c>
      <c r="B57" s="7" t="s">
        <v>60</v>
      </c>
      <c r="C57" s="7" t="s">
        <v>18</v>
      </c>
      <c r="D57" s="8" t="s">
        <v>735</v>
      </c>
      <c r="E57" s="8" t="s">
        <v>736</v>
      </c>
      <c r="F57" s="8" t="s">
        <v>723</v>
      </c>
      <c r="G57" s="8" t="s">
        <v>785</v>
      </c>
      <c r="H57" s="13" t="b">
        <v>1</v>
      </c>
      <c r="I57" s="13" t="b">
        <v>1</v>
      </c>
      <c r="J57" s="10">
        <v>0</v>
      </c>
      <c r="K57" s="10">
        <v>80</v>
      </c>
      <c r="L57" s="10">
        <v>52</v>
      </c>
      <c r="M57" s="10">
        <v>0</v>
      </c>
      <c r="N57" s="10">
        <v>8025</v>
      </c>
      <c r="O57" s="10">
        <v>0</v>
      </c>
      <c r="P57" s="10">
        <v>1</v>
      </c>
      <c r="Q57" s="10">
        <v>11</v>
      </c>
      <c r="R57" s="10">
        <v>0</v>
      </c>
      <c r="S57" s="10">
        <v>13765</v>
      </c>
      <c r="T57" s="14" t="b">
        <v>0</v>
      </c>
      <c r="U57" s="14" t="b">
        <v>0</v>
      </c>
      <c r="V57" s="14" t="b">
        <v>0</v>
      </c>
      <c r="W57" s="14" t="b">
        <v>0</v>
      </c>
      <c r="X57" s="14" t="b">
        <v>0</v>
      </c>
      <c r="Y57" s="55">
        <v>0</v>
      </c>
      <c r="Z57" s="55">
        <v>0.01</v>
      </c>
      <c r="AA57" s="55">
        <v>0.21</v>
      </c>
      <c r="AB57" s="55">
        <v>0</v>
      </c>
      <c r="AC57" s="55">
        <v>1.72</v>
      </c>
      <c r="AD57" s="62">
        <v>0</v>
      </c>
      <c r="AE57" s="62">
        <v>0.25</v>
      </c>
      <c r="AF57" s="62">
        <v>0.25</v>
      </c>
      <c r="AG57" s="62">
        <v>0</v>
      </c>
      <c r="AH57" s="62">
        <v>0.2</v>
      </c>
      <c r="AI57" s="66">
        <f>IF(VIEW_IV_2019_REP_CALCULO[[#This Row],[Cobertura-BERINERT]]&lt;Cob_Min_REP,0,IF(VIEW_IV_2019_REP_CALCULO[[#This Row],[Cobertura-BERINERT]]&gt;Cob_Max_REP,Vlr_Max_REP,VLOOKUP(VIEW_IV_2019_REP_CALCULO[[#This Row],[Cobertura-BERINERT]],Tabela_Valores_REP,2,1)))*VIEW_IV_2019_REP_CALCULO[[#This Row],[Peso-BERINERT]]</f>
        <v>0</v>
      </c>
      <c r="AJ57" s="65">
        <f>IF(VIEW_IV_2019_REP_CALCULO[[#This Row],[Cobertura-BERIPLEX]]&lt;Cob_Min_REP,0,IF(VIEW_IV_2019_REP_CALCULO[[#This Row],[Cobertura-BERIPLEX]]&gt;Cob_Max_REP,Vlr_Max_REP,VLOOKUP(VIEW_IV_2019_REP_CALCULO[[#This Row],[Cobertura-BERIPLEX]],Tabela_Valores_REP,2,1)))*VIEW_IV_2019_REP_CALCULO[[#This Row],[Peso-BERIPLEX]]</f>
        <v>0</v>
      </c>
      <c r="AK57" s="65">
        <f>IF(VIEW_IV_2019_REP_CALCULO[[#This Row],[Cobertura-HAEMO]]&lt;Cob_Min_REP,0,IF(VIEW_IV_2019_REP_CALCULO[[#This Row],[Cobertura-HAEMO]]&gt;Cob_Max_REP,Vlr_Max_REP,VLOOKUP(VIEW_IV_2019_REP_CALCULO[[#This Row],[Cobertura-HAEMO]],Tabela_Valores_REP,2,1)))*VIEW_IV_2019_REP_CALCULO[[#This Row],[Peso-HAEMO]]</f>
        <v>0</v>
      </c>
      <c r="AL57" s="65">
        <f>IF(VIEW_IV_2019_REP_CALCULO[[#This Row],[Cobertura-HIZENTRA]]&lt;Cob_Min_REP,0,IF(VIEW_IV_2019_REP_CALCULO[[#This Row],[Cobertura-HIZENTRA]]&gt;Cob_Max_REP,Vlr_Max_REP,VLOOKUP(VIEW_IV_2019_REP_CALCULO[[#This Row],[Cobertura-HIZENTRA]],Tabela_Valores_REP,2,1)))*VIEW_IV_2019_REP_CALCULO[[#This Row],[Peso-HIZENTRA]]</f>
        <v>0</v>
      </c>
      <c r="AM57" s="65">
        <f>IF(VIEW_IV_2019_REP_CALCULO[[#This Row],[Cobertura-PRIVIGEN]]&lt;Cob_Min_REP,0,IF(VIEW_IV_2019_REP_CALCULO[[#This Row],[Cobertura-PRIVIGEN]]&gt;Cob_Max_REP,Vlr_Max_REP,VLOOKUP(VIEW_IV_2019_REP_CALCULO[[#This Row],[Cobertura-PRIVIGEN]],Tabela_Valores_REP,2,1)))*VIEW_IV_2019_REP_CALCULO[[#This Row],[Peso-PRIVIGEN]]</f>
        <v>1629.8147338659624</v>
      </c>
      <c r="AN57" s="102">
        <f>SUM(VIEW_IV_2019_REP_CALCULO[[#This Row],[Premio-BERINERT]:[Premio-PRIVIGEN]])</f>
        <v>1629.8147338659624</v>
      </c>
      <c r="AX57" s="3"/>
      <c r="AY57" s="3"/>
      <c r="AZ57" s="3"/>
      <c r="BA57" s="3"/>
      <c r="BB57" s="3"/>
    </row>
    <row r="58" spans="1:54" x14ac:dyDescent="0.2">
      <c r="A58" s="7" t="s">
        <v>16</v>
      </c>
      <c r="B58" s="7" t="s">
        <v>60</v>
      </c>
      <c r="C58" s="7" t="s">
        <v>18</v>
      </c>
      <c r="D58" s="8" t="s">
        <v>742</v>
      </c>
      <c r="E58" s="8" t="s">
        <v>743</v>
      </c>
      <c r="F58" s="8" t="s">
        <v>723</v>
      </c>
      <c r="G58" s="8" t="s">
        <v>791</v>
      </c>
      <c r="H58" s="13" t="b">
        <v>1</v>
      </c>
      <c r="I58" s="13" t="b">
        <v>1</v>
      </c>
      <c r="J58" s="10">
        <v>0</v>
      </c>
      <c r="K58" s="10">
        <v>220</v>
      </c>
      <c r="L58" s="10">
        <v>91</v>
      </c>
      <c r="M58" s="10">
        <v>0</v>
      </c>
      <c r="N58" s="10">
        <v>2675</v>
      </c>
      <c r="O58" s="10">
        <v>0</v>
      </c>
      <c r="P58" s="10">
        <v>214</v>
      </c>
      <c r="Q58" s="10">
        <v>86</v>
      </c>
      <c r="R58" s="10">
        <v>0</v>
      </c>
      <c r="S58" s="10">
        <v>4880</v>
      </c>
      <c r="T58" s="14" t="b">
        <v>0</v>
      </c>
      <c r="U58" s="14" t="b">
        <v>0</v>
      </c>
      <c r="V58" s="14" t="b">
        <v>0</v>
      </c>
      <c r="W58" s="14" t="b">
        <v>0</v>
      </c>
      <c r="X58" s="14" t="b">
        <v>0</v>
      </c>
      <c r="Y58" s="55">
        <v>0</v>
      </c>
      <c r="Z58" s="55">
        <v>0.97</v>
      </c>
      <c r="AA58" s="55">
        <v>0.95</v>
      </c>
      <c r="AB58" s="55">
        <v>0</v>
      </c>
      <c r="AC58" s="55">
        <v>1.82</v>
      </c>
      <c r="AD58" s="62">
        <v>0</v>
      </c>
      <c r="AE58" s="62">
        <v>0.25</v>
      </c>
      <c r="AF58" s="62">
        <v>0.25</v>
      </c>
      <c r="AG58" s="62">
        <v>0</v>
      </c>
      <c r="AH58" s="62">
        <v>0.2</v>
      </c>
      <c r="AI58" s="66">
        <f>IF(VIEW_IV_2019_REP_CALCULO[[#This Row],[Cobertura-BERINERT]]&lt;Cob_Min_REP,0,IF(VIEW_IV_2019_REP_CALCULO[[#This Row],[Cobertura-BERINERT]]&gt;Cob_Max_REP,Vlr_Max_REP,VLOOKUP(VIEW_IV_2019_REP_CALCULO[[#This Row],[Cobertura-BERINERT]],Tabela_Valores_REP,2,1)))*VIEW_IV_2019_REP_CALCULO[[#This Row],[Peso-BERINERT]]</f>
        <v>0</v>
      </c>
      <c r="AJ58" s="65">
        <f>IF(VIEW_IV_2019_REP_CALCULO[[#This Row],[Cobertura-BERIPLEX]]&lt;Cob_Min_REP,0,IF(VIEW_IV_2019_REP_CALCULO[[#This Row],[Cobertura-BERIPLEX]]&gt;Cob_Max_REP,Vlr_Max_REP,VLOOKUP(VIEW_IV_2019_REP_CALCULO[[#This Row],[Cobertura-BERIPLEX]],Tabela_Valores_REP,2,1)))*VIEW_IV_2019_REP_CALCULO[[#This Row],[Peso-BERIPLEX]]</f>
        <v>655.80211221652928</v>
      </c>
      <c r="AK58" s="65">
        <f>IF(VIEW_IV_2019_REP_CALCULO[[#This Row],[Cobertura-HAEMO]]&lt;Cob_Min_REP,0,IF(VIEW_IV_2019_REP_CALCULO[[#This Row],[Cobertura-HAEMO]]&gt;Cob_Max_REP,Vlr_Max_REP,VLOOKUP(VIEW_IV_2019_REP_CALCULO[[#This Row],[Cobertura-HAEMO]],Tabela_Valores_REP,2,1)))*VIEW_IV_2019_REP_CALCULO[[#This Row],[Peso-HAEMO]]</f>
        <v>642.28041918113706</v>
      </c>
      <c r="AL58" s="65">
        <f>IF(VIEW_IV_2019_REP_CALCULO[[#This Row],[Cobertura-HIZENTRA]]&lt;Cob_Min_REP,0,IF(VIEW_IV_2019_REP_CALCULO[[#This Row],[Cobertura-HIZENTRA]]&gt;Cob_Max_REP,Vlr_Max_REP,VLOOKUP(VIEW_IV_2019_REP_CALCULO[[#This Row],[Cobertura-HIZENTRA]],Tabela_Valores_REP,2,1)))*VIEW_IV_2019_REP_CALCULO[[#This Row],[Peso-HIZENTRA]]</f>
        <v>0</v>
      </c>
      <c r="AM58" s="65">
        <f>IF(VIEW_IV_2019_REP_CALCULO[[#This Row],[Cobertura-PRIVIGEN]]&lt;Cob_Min_REP,0,IF(VIEW_IV_2019_REP_CALCULO[[#This Row],[Cobertura-PRIVIGEN]]&gt;Cob_Max_REP,Vlr_Max_REP,VLOOKUP(VIEW_IV_2019_REP_CALCULO[[#This Row],[Cobertura-PRIVIGEN]],Tabela_Valores_REP,2,1)))*VIEW_IV_2019_REP_CALCULO[[#This Row],[Peso-PRIVIGEN]]</f>
        <v>1629.8147338659624</v>
      </c>
      <c r="AN58" s="102">
        <f>SUM(VIEW_IV_2019_REP_CALCULO[[#This Row],[Premio-BERINERT]:[Premio-PRIVIGEN]])</f>
        <v>2927.8972652636285</v>
      </c>
      <c r="AX58" s="3"/>
      <c r="AY58" s="3"/>
      <c r="AZ58" s="3"/>
      <c r="BA58" s="3"/>
      <c r="BB58" s="3"/>
    </row>
    <row r="59" spans="1:54" x14ac:dyDescent="0.2">
      <c r="A59" s="7" t="s">
        <v>16</v>
      </c>
      <c r="B59" s="7" t="s">
        <v>60</v>
      </c>
      <c r="C59" s="7" t="s">
        <v>18</v>
      </c>
      <c r="D59" s="8" t="s">
        <v>744</v>
      </c>
      <c r="E59" s="8" t="s">
        <v>745</v>
      </c>
      <c r="F59" s="8" t="s">
        <v>723</v>
      </c>
      <c r="G59" s="8" t="s">
        <v>791</v>
      </c>
      <c r="H59" s="13" t="b">
        <v>1</v>
      </c>
      <c r="I59" s="13" t="b">
        <v>1</v>
      </c>
      <c r="J59" s="10">
        <v>0</v>
      </c>
      <c r="K59" s="10">
        <v>180</v>
      </c>
      <c r="L59" s="10">
        <v>143</v>
      </c>
      <c r="M59" s="10">
        <v>0</v>
      </c>
      <c r="N59" s="10">
        <v>1605</v>
      </c>
      <c r="O59" s="10">
        <v>0</v>
      </c>
      <c r="P59" s="10">
        <v>60</v>
      </c>
      <c r="Q59" s="10">
        <v>88</v>
      </c>
      <c r="R59" s="10">
        <v>0</v>
      </c>
      <c r="S59" s="10">
        <v>2260</v>
      </c>
      <c r="T59" s="14" t="b">
        <v>0</v>
      </c>
      <c r="U59" s="14" t="b">
        <v>0</v>
      </c>
      <c r="V59" s="14" t="b">
        <v>0</v>
      </c>
      <c r="W59" s="14" t="b">
        <v>0</v>
      </c>
      <c r="X59" s="14" t="b">
        <v>0</v>
      </c>
      <c r="Y59" s="55">
        <v>0</v>
      </c>
      <c r="Z59" s="55">
        <v>0.33</v>
      </c>
      <c r="AA59" s="55">
        <v>0.62</v>
      </c>
      <c r="AB59" s="55">
        <v>0</v>
      </c>
      <c r="AC59" s="55">
        <v>1.41</v>
      </c>
      <c r="AD59" s="62">
        <v>0</v>
      </c>
      <c r="AE59" s="62">
        <v>0.25</v>
      </c>
      <c r="AF59" s="62">
        <v>0.25</v>
      </c>
      <c r="AG59" s="62">
        <v>0</v>
      </c>
      <c r="AH59" s="62">
        <v>0.2</v>
      </c>
      <c r="AI59" s="66">
        <f>IF(VIEW_IV_2019_REP_CALCULO[[#This Row],[Cobertura-BERINERT]]&lt;Cob_Min_REP,0,IF(VIEW_IV_2019_REP_CALCULO[[#This Row],[Cobertura-BERINERT]]&gt;Cob_Max_REP,Vlr_Max_REP,VLOOKUP(VIEW_IV_2019_REP_CALCULO[[#This Row],[Cobertura-BERINERT]],Tabela_Valores_REP,2,1)))*VIEW_IV_2019_REP_CALCULO[[#This Row],[Peso-BERINERT]]</f>
        <v>0</v>
      </c>
      <c r="AJ59" s="65">
        <f>IF(VIEW_IV_2019_REP_CALCULO[[#This Row],[Cobertura-BERIPLEX]]&lt;Cob_Min_REP,0,IF(VIEW_IV_2019_REP_CALCULO[[#This Row],[Cobertura-BERIPLEX]]&gt;Cob_Max_REP,Vlr_Max_REP,VLOOKUP(VIEW_IV_2019_REP_CALCULO[[#This Row],[Cobertura-BERIPLEX]],Tabela_Valores_REP,2,1)))*VIEW_IV_2019_REP_CALCULO[[#This Row],[Peso-BERIPLEX]]</f>
        <v>0</v>
      </c>
      <c r="AK59" s="65">
        <f>IF(VIEW_IV_2019_REP_CALCULO[[#This Row],[Cobertura-HAEMO]]&lt;Cob_Min_REP,0,IF(VIEW_IV_2019_REP_CALCULO[[#This Row],[Cobertura-HAEMO]]&gt;Cob_Max_REP,Vlr_Max_REP,VLOOKUP(VIEW_IV_2019_REP_CALCULO[[#This Row],[Cobertura-HAEMO]],Tabela_Valores_REP,2,1)))*VIEW_IV_2019_REP_CALCULO[[#This Row],[Peso-HAEMO]]</f>
        <v>0</v>
      </c>
      <c r="AL59" s="65">
        <f>IF(VIEW_IV_2019_REP_CALCULO[[#This Row],[Cobertura-HIZENTRA]]&lt;Cob_Min_REP,0,IF(VIEW_IV_2019_REP_CALCULO[[#This Row],[Cobertura-HIZENTRA]]&gt;Cob_Max_REP,Vlr_Max_REP,VLOOKUP(VIEW_IV_2019_REP_CALCULO[[#This Row],[Cobertura-HIZENTRA]],Tabela_Valores_REP,2,1)))*VIEW_IV_2019_REP_CALCULO[[#This Row],[Peso-HIZENTRA]]</f>
        <v>0</v>
      </c>
      <c r="AM59" s="65">
        <f>IF(VIEW_IV_2019_REP_CALCULO[[#This Row],[Cobertura-PRIVIGEN]]&lt;Cob_Min_REP,0,IF(VIEW_IV_2019_REP_CALCULO[[#This Row],[Cobertura-PRIVIGEN]]&gt;Cob_Max_REP,Vlr_Max_REP,VLOOKUP(VIEW_IV_2019_REP_CALCULO[[#This Row],[Cobertura-PRIVIGEN]],Tabela_Valores_REP,2,1)))*VIEW_IV_2019_REP_CALCULO[[#This Row],[Peso-PRIVIGEN]]</f>
        <v>1527.2013097589761</v>
      </c>
      <c r="AN59" s="102">
        <f>SUM(VIEW_IV_2019_REP_CALCULO[[#This Row],[Premio-BERINERT]:[Premio-PRIVIGEN]])</f>
        <v>1527.2013097589761</v>
      </c>
      <c r="AX59" s="3"/>
      <c r="AY59" s="3"/>
      <c r="AZ59" s="3"/>
      <c r="BA59" s="3"/>
      <c r="BB59" s="3"/>
    </row>
    <row r="60" spans="1:54" x14ac:dyDescent="0.2">
      <c r="A60" s="7" t="s">
        <v>16</v>
      </c>
      <c r="B60" s="7" t="s">
        <v>60</v>
      </c>
      <c r="C60" s="7" t="s">
        <v>18</v>
      </c>
      <c r="D60" s="8" t="s">
        <v>746</v>
      </c>
      <c r="E60" s="8" t="s">
        <v>747</v>
      </c>
      <c r="F60" s="8" t="s">
        <v>723</v>
      </c>
      <c r="G60" s="8" t="s">
        <v>791</v>
      </c>
      <c r="H60" s="13" t="b">
        <v>1</v>
      </c>
      <c r="I60" s="13" t="b">
        <v>1</v>
      </c>
      <c r="J60" s="10">
        <v>0</v>
      </c>
      <c r="K60" s="10">
        <v>160</v>
      </c>
      <c r="L60" s="10">
        <v>91</v>
      </c>
      <c r="M60" s="10">
        <v>0</v>
      </c>
      <c r="N60" s="10">
        <v>3210</v>
      </c>
      <c r="O60" s="10">
        <v>0</v>
      </c>
      <c r="P60" s="10">
        <v>110</v>
      </c>
      <c r="Q60" s="10">
        <v>79</v>
      </c>
      <c r="R60" s="10">
        <v>0</v>
      </c>
      <c r="S60" s="10">
        <v>2005</v>
      </c>
      <c r="T60" s="14" t="b">
        <v>0</v>
      </c>
      <c r="U60" s="14" t="b">
        <v>0</v>
      </c>
      <c r="V60" s="14" t="b">
        <v>0</v>
      </c>
      <c r="W60" s="14" t="b">
        <v>0</v>
      </c>
      <c r="X60" s="14" t="b">
        <v>0</v>
      </c>
      <c r="Y60" s="55">
        <v>0</v>
      </c>
      <c r="Z60" s="55">
        <v>0.69</v>
      </c>
      <c r="AA60" s="55">
        <v>0.87</v>
      </c>
      <c r="AB60" s="55">
        <v>0</v>
      </c>
      <c r="AC60" s="55">
        <v>0.62</v>
      </c>
      <c r="AD60" s="62">
        <v>0</v>
      </c>
      <c r="AE60" s="62">
        <v>0.25</v>
      </c>
      <c r="AF60" s="62">
        <v>0.25</v>
      </c>
      <c r="AG60" s="62">
        <v>0</v>
      </c>
      <c r="AH60" s="62">
        <v>0.2</v>
      </c>
      <c r="AI60" s="66">
        <f>IF(VIEW_IV_2019_REP_CALCULO[[#This Row],[Cobertura-BERINERT]]&lt;Cob_Min_REP,0,IF(VIEW_IV_2019_REP_CALCULO[[#This Row],[Cobertura-BERINERT]]&gt;Cob_Max_REP,Vlr_Max_REP,VLOOKUP(VIEW_IV_2019_REP_CALCULO[[#This Row],[Cobertura-BERINERT]],Tabela_Valores_REP,2,1)))*VIEW_IV_2019_REP_CALCULO[[#This Row],[Peso-BERINERT]]</f>
        <v>0</v>
      </c>
      <c r="AJ60" s="65">
        <f>IF(VIEW_IV_2019_REP_CALCULO[[#This Row],[Cobertura-BERIPLEX]]&lt;Cob_Min_REP,0,IF(VIEW_IV_2019_REP_CALCULO[[#This Row],[Cobertura-BERIPLEX]]&gt;Cob_Max_REP,Vlr_Max_REP,VLOOKUP(VIEW_IV_2019_REP_CALCULO[[#This Row],[Cobertura-BERIPLEX]],Tabela_Valores_REP,2,1)))*VIEW_IV_2019_REP_CALCULO[[#This Row],[Peso-BERIPLEX]]</f>
        <v>0</v>
      </c>
      <c r="AK60" s="65">
        <f>IF(VIEW_IV_2019_REP_CALCULO[[#This Row],[Cobertura-HAEMO]]&lt;Cob_Min_REP,0,IF(VIEW_IV_2019_REP_CALCULO[[#This Row],[Cobertura-HAEMO]]&gt;Cob_Max_REP,Vlr_Max_REP,VLOOKUP(VIEW_IV_2019_REP_CALCULO[[#This Row],[Cobertura-HAEMO]],Tabela_Valores_REP,2,1)))*VIEW_IV_2019_REP_CALCULO[[#This Row],[Peso-HAEMO]]</f>
        <v>392.1290980263779</v>
      </c>
      <c r="AL60" s="65">
        <f>IF(VIEW_IV_2019_REP_CALCULO[[#This Row],[Cobertura-HIZENTRA]]&lt;Cob_Min_REP,0,IF(VIEW_IV_2019_REP_CALCULO[[#This Row],[Cobertura-HIZENTRA]]&gt;Cob_Max_REP,Vlr_Max_REP,VLOOKUP(VIEW_IV_2019_REP_CALCULO[[#This Row],[Cobertura-HIZENTRA]],Tabela_Valores_REP,2,1)))*VIEW_IV_2019_REP_CALCULO[[#This Row],[Peso-HIZENTRA]]</f>
        <v>0</v>
      </c>
      <c r="AM60" s="65">
        <f>IF(VIEW_IV_2019_REP_CALCULO[[#This Row],[Cobertura-PRIVIGEN]]&lt;Cob_Min_REP,0,IF(VIEW_IV_2019_REP_CALCULO[[#This Row],[Cobertura-PRIVIGEN]]&gt;Cob_Max_REP,Vlr_Max_REP,VLOOKUP(VIEW_IV_2019_REP_CALCULO[[#This Row],[Cobertura-PRIVIGEN]],Tabela_Valores_REP,2,1)))*VIEW_IV_2019_REP_CALCULO[[#This Row],[Peso-PRIVIGEN]]</f>
        <v>0</v>
      </c>
      <c r="AN60" s="102">
        <f>SUM(VIEW_IV_2019_REP_CALCULO[[#This Row],[Premio-BERINERT]:[Premio-PRIVIGEN]])</f>
        <v>392.1290980263779</v>
      </c>
      <c r="AX60" s="3"/>
      <c r="AY60" s="3"/>
      <c r="AZ60" s="3"/>
      <c r="BA60" s="3"/>
      <c r="BB60" s="3"/>
    </row>
    <row r="61" spans="1:54" x14ac:dyDescent="0.2">
      <c r="A61" s="7" t="s">
        <v>16</v>
      </c>
      <c r="B61" s="7" t="s">
        <v>60</v>
      </c>
      <c r="C61" s="7" t="s">
        <v>18</v>
      </c>
      <c r="D61" s="8" t="s">
        <v>748</v>
      </c>
      <c r="E61" s="8" t="s">
        <v>749</v>
      </c>
      <c r="F61" s="8" t="s">
        <v>723</v>
      </c>
      <c r="G61" s="8" t="s">
        <v>791</v>
      </c>
      <c r="H61" s="13" t="b">
        <v>1</v>
      </c>
      <c r="I61" s="13" t="b">
        <v>1</v>
      </c>
      <c r="J61" s="10">
        <v>0</v>
      </c>
      <c r="K61" s="10">
        <v>200</v>
      </c>
      <c r="L61" s="10">
        <v>52</v>
      </c>
      <c r="M61" s="10">
        <v>0</v>
      </c>
      <c r="N61" s="10">
        <v>1605</v>
      </c>
      <c r="O61" s="10">
        <v>0</v>
      </c>
      <c r="P61" s="10">
        <v>287</v>
      </c>
      <c r="Q61" s="10">
        <v>37</v>
      </c>
      <c r="R61" s="10">
        <v>0</v>
      </c>
      <c r="S61" s="10">
        <v>395</v>
      </c>
      <c r="T61" s="14" t="b">
        <v>0</v>
      </c>
      <c r="U61" s="14" t="b">
        <v>0</v>
      </c>
      <c r="V61" s="14" t="b">
        <v>0</v>
      </c>
      <c r="W61" s="14" t="b">
        <v>0</v>
      </c>
      <c r="X61" s="14" t="b">
        <v>0</v>
      </c>
      <c r="Y61" s="55">
        <v>0</v>
      </c>
      <c r="Z61" s="55">
        <v>1.44</v>
      </c>
      <c r="AA61" s="55">
        <v>0.71</v>
      </c>
      <c r="AB61" s="55">
        <v>0</v>
      </c>
      <c r="AC61" s="55">
        <v>0.25</v>
      </c>
      <c r="AD61" s="62">
        <v>0</v>
      </c>
      <c r="AE61" s="62">
        <v>0.25</v>
      </c>
      <c r="AF61" s="62">
        <v>0.25</v>
      </c>
      <c r="AG61" s="62">
        <v>0</v>
      </c>
      <c r="AH61" s="62">
        <v>0.2</v>
      </c>
      <c r="AI61" s="66">
        <f>IF(VIEW_IV_2019_REP_CALCULO[[#This Row],[Cobertura-BERINERT]]&lt;Cob_Min_REP,0,IF(VIEW_IV_2019_REP_CALCULO[[#This Row],[Cobertura-BERINERT]]&gt;Cob_Max_REP,Vlr_Max_REP,VLOOKUP(VIEW_IV_2019_REP_CALCULO[[#This Row],[Cobertura-BERINERT]],Tabela_Valores_REP,2,1)))*VIEW_IV_2019_REP_CALCULO[[#This Row],[Peso-BERINERT]]</f>
        <v>0</v>
      </c>
      <c r="AJ61" s="65">
        <f>IF(VIEW_IV_2019_REP_CALCULO[[#This Row],[Cobertura-BERIPLEX]]&lt;Cob_Min_REP,0,IF(VIEW_IV_2019_REP_CALCULO[[#This Row],[Cobertura-BERIPLEX]]&gt;Cob_Max_REP,Vlr_Max_REP,VLOOKUP(VIEW_IV_2019_REP_CALCULO[[#This Row],[Cobertura-BERIPLEX]],Tabela_Valores_REP,2,1)))*VIEW_IV_2019_REP_CALCULO[[#This Row],[Peso-BERIPLEX]]</f>
        <v>1947.7007226660123</v>
      </c>
      <c r="AK61" s="65">
        <f>IF(VIEW_IV_2019_REP_CALCULO[[#This Row],[Cobertura-HAEMO]]&lt;Cob_Min_REP,0,IF(VIEW_IV_2019_REP_CALCULO[[#This Row],[Cobertura-HAEMO]]&gt;Cob_Max_REP,Vlr_Max_REP,VLOOKUP(VIEW_IV_2019_REP_CALCULO[[#This Row],[Cobertura-HAEMO]],Tabela_Valores_REP,2,1)))*VIEW_IV_2019_REP_CALCULO[[#This Row],[Peso-HAEMO]]</f>
        <v>0</v>
      </c>
      <c r="AL61" s="65">
        <f>IF(VIEW_IV_2019_REP_CALCULO[[#This Row],[Cobertura-HIZENTRA]]&lt;Cob_Min_REP,0,IF(VIEW_IV_2019_REP_CALCULO[[#This Row],[Cobertura-HIZENTRA]]&gt;Cob_Max_REP,Vlr_Max_REP,VLOOKUP(VIEW_IV_2019_REP_CALCULO[[#This Row],[Cobertura-HIZENTRA]],Tabela_Valores_REP,2,1)))*VIEW_IV_2019_REP_CALCULO[[#This Row],[Peso-HIZENTRA]]</f>
        <v>0</v>
      </c>
      <c r="AM61" s="65">
        <f>IF(VIEW_IV_2019_REP_CALCULO[[#This Row],[Cobertura-PRIVIGEN]]&lt;Cob_Min_REP,0,IF(VIEW_IV_2019_REP_CALCULO[[#This Row],[Cobertura-PRIVIGEN]]&gt;Cob_Max_REP,Vlr_Max_REP,VLOOKUP(VIEW_IV_2019_REP_CALCULO[[#This Row],[Cobertura-PRIVIGEN]],Tabela_Valores_REP,2,1)))*VIEW_IV_2019_REP_CALCULO[[#This Row],[Peso-PRIVIGEN]]</f>
        <v>0</v>
      </c>
      <c r="AN61" s="102">
        <f>SUM(VIEW_IV_2019_REP_CALCULO[[#This Row],[Premio-BERINERT]:[Premio-PRIVIGEN]])</f>
        <v>1947.7007226660123</v>
      </c>
      <c r="AX61" s="3"/>
      <c r="AY61" s="3"/>
      <c r="AZ61" s="3"/>
      <c r="BA61" s="3"/>
      <c r="BB61" s="3"/>
    </row>
    <row r="62" spans="1:54" x14ac:dyDescent="0.2">
      <c r="A62" s="7" t="s">
        <v>16</v>
      </c>
      <c r="B62" s="7" t="s">
        <v>60</v>
      </c>
      <c r="C62" s="7" t="s">
        <v>18</v>
      </c>
      <c r="D62" s="8" t="s">
        <v>752</v>
      </c>
      <c r="E62" s="8" t="s">
        <v>753</v>
      </c>
      <c r="F62" s="8" t="s">
        <v>723</v>
      </c>
      <c r="G62" s="8" t="s">
        <v>785</v>
      </c>
      <c r="H62" s="13" t="b">
        <v>1</v>
      </c>
      <c r="I62" s="13" t="b">
        <v>1</v>
      </c>
      <c r="J62" s="10">
        <v>0</v>
      </c>
      <c r="K62" s="10">
        <v>120</v>
      </c>
      <c r="L62" s="10">
        <v>78</v>
      </c>
      <c r="M62" s="10">
        <v>0</v>
      </c>
      <c r="N62" s="10">
        <v>2675</v>
      </c>
      <c r="O62" s="10">
        <v>0</v>
      </c>
      <c r="P62" s="10">
        <v>115</v>
      </c>
      <c r="Q62" s="10">
        <v>57</v>
      </c>
      <c r="R62" s="10">
        <v>0</v>
      </c>
      <c r="S62" s="10">
        <v>5598</v>
      </c>
      <c r="T62" s="14" t="b">
        <v>0</v>
      </c>
      <c r="U62" s="14" t="b">
        <v>0</v>
      </c>
      <c r="V62" s="14" t="b">
        <v>0</v>
      </c>
      <c r="W62" s="14" t="b">
        <v>0</v>
      </c>
      <c r="X62" s="14" t="b">
        <v>0</v>
      </c>
      <c r="Y62" s="55">
        <v>0</v>
      </c>
      <c r="Z62" s="55">
        <v>0.96</v>
      </c>
      <c r="AA62" s="55">
        <v>0.73</v>
      </c>
      <c r="AB62" s="55">
        <v>0</v>
      </c>
      <c r="AC62" s="55">
        <v>2.09</v>
      </c>
      <c r="AD62" s="62">
        <v>0</v>
      </c>
      <c r="AE62" s="62">
        <v>0.25</v>
      </c>
      <c r="AF62" s="62">
        <v>0.25</v>
      </c>
      <c r="AG62" s="62">
        <v>0</v>
      </c>
      <c r="AH62" s="62">
        <v>0.2</v>
      </c>
      <c r="AI62" s="66">
        <f>IF(VIEW_IV_2019_REP_CALCULO[[#This Row],[Cobertura-BERINERT]]&lt;Cob_Min_REP,0,IF(VIEW_IV_2019_REP_CALCULO[[#This Row],[Cobertura-BERINERT]]&gt;Cob_Max_REP,Vlr_Max_REP,VLOOKUP(VIEW_IV_2019_REP_CALCULO[[#This Row],[Cobertura-BERINERT]],Tabela_Valores_REP,2,1)))*VIEW_IV_2019_REP_CALCULO[[#This Row],[Peso-BERINERT]]</f>
        <v>0</v>
      </c>
      <c r="AJ62" s="65">
        <f>IF(VIEW_IV_2019_REP_CALCULO[[#This Row],[Cobertura-BERIPLEX]]&lt;Cob_Min_REP,0,IF(VIEW_IV_2019_REP_CALCULO[[#This Row],[Cobertura-BERIPLEX]]&gt;Cob_Max_REP,Vlr_Max_REP,VLOOKUP(VIEW_IV_2019_REP_CALCULO[[#This Row],[Cobertura-BERIPLEX]],Tabela_Valores_REP,2,1)))*VIEW_IV_2019_REP_CALCULO[[#This Row],[Peso-BERIPLEX]]</f>
        <v>649.04126569883329</v>
      </c>
      <c r="AK62" s="65">
        <f>IF(VIEW_IV_2019_REP_CALCULO[[#This Row],[Cobertura-HAEMO]]&lt;Cob_Min_REP,0,IF(VIEW_IV_2019_REP_CALCULO[[#This Row],[Cobertura-HAEMO]]&gt;Cob_Max_REP,Vlr_Max_REP,VLOOKUP(VIEW_IV_2019_REP_CALCULO[[#This Row],[Cobertura-HAEMO]],Tabela_Valores_REP,2,1)))*VIEW_IV_2019_REP_CALCULO[[#This Row],[Peso-HAEMO]]</f>
        <v>0</v>
      </c>
      <c r="AL62" s="65">
        <f>IF(VIEW_IV_2019_REP_CALCULO[[#This Row],[Cobertura-HIZENTRA]]&lt;Cob_Min_REP,0,IF(VIEW_IV_2019_REP_CALCULO[[#This Row],[Cobertura-HIZENTRA]]&gt;Cob_Max_REP,Vlr_Max_REP,VLOOKUP(VIEW_IV_2019_REP_CALCULO[[#This Row],[Cobertura-HIZENTRA]],Tabela_Valores_REP,2,1)))*VIEW_IV_2019_REP_CALCULO[[#This Row],[Peso-HIZENTRA]]</f>
        <v>0</v>
      </c>
      <c r="AM62" s="65">
        <f>IF(VIEW_IV_2019_REP_CALCULO[[#This Row],[Cobertura-PRIVIGEN]]&lt;Cob_Min_REP,0,IF(VIEW_IV_2019_REP_CALCULO[[#This Row],[Cobertura-PRIVIGEN]]&gt;Cob_Max_REP,Vlr_Max_REP,VLOOKUP(VIEW_IV_2019_REP_CALCULO[[#This Row],[Cobertura-PRIVIGEN]],Tabela_Valores_REP,2,1)))*VIEW_IV_2019_REP_CALCULO[[#This Row],[Peso-PRIVIGEN]]</f>
        <v>1629.8147338659624</v>
      </c>
      <c r="AN62" s="102">
        <f>SUM(VIEW_IV_2019_REP_CALCULO[[#This Row],[Premio-BERINERT]:[Premio-PRIVIGEN]])</f>
        <v>2278.8559995647956</v>
      </c>
      <c r="AX62" s="3"/>
      <c r="AY62" s="3"/>
      <c r="AZ62" s="3"/>
      <c r="BA62" s="3"/>
      <c r="BB62" s="3"/>
    </row>
    <row r="63" spans="1:54" x14ac:dyDescent="0.2">
      <c r="A63" s="7" t="s">
        <v>16</v>
      </c>
      <c r="B63" s="7" t="s">
        <v>60</v>
      </c>
      <c r="C63" s="7" t="s">
        <v>18</v>
      </c>
      <c r="D63" s="8" t="s">
        <v>756</v>
      </c>
      <c r="E63" s="8" t="s">
        <v>757</v>
      </c>
      <c r="F63" s="8" t="s">
        <v>723</v>
      </c>
      <c r="G63" s="8" t="s">
        <v>787</v>
      </c>
      <c r="H63" s="13" t="b">
        <v>1</v>
      </c>
      <c r="I63" s="13" t="b">
        <v>1</v>
      </c>
      <c r="J63" s="10">
        <v>0</v>
      </c>
      <c r="K63" s="10">
        <v>140</v>
      </c>
      <c r="L63" s="10">
        <v>130</v>
      </c>
      <c r="M63" s="10">
        <v>0</v>
      </c>
      <c r="N63" s="10">
        <v>4815</v>
      </c>
      <c r="O63" s="10">
        <v>0</v>
      </c>
      <c r="P63" s="10">
        <v>161</v>
      </c>
      <c r="Q63" s="10">
        <v>176</v>
      </c>
      <c r="R63" s="10">
        <v>0</v>
      </c>
      <c r="S63" s="10">
        <v>2170</v>
      </c>
      <c r="T63" s="14" t="b">
        <v>0</v>
      </c>
      <c r="U63" s="14" t="b">
        <v>0</v>
      </c>
      <c r="V63" s="14" t="b">
        <v>0</v>
      </c>
      <c r="W63" s="14" t="b">
        <v>0</v>
      </c>
      <c r="X63" s="14" t="b">
        <v>0</v>
      </c>
      <c r="Y63" s="55">
        <v>0</v>
      </c>
      <c r="Z63" s="55">
        <v>1.1499999999999999</v>
      </c>
      <c r="AA63" s="55">
        <v>1.35</v>
      </c>
      <c r="AB63" s="55">
        <v>0</v>
      </c>
      <c r="AC63" s="55">
        <v>0.45</v>
      </c>
      <c r="AD63" s="62">
        <v>0</v>
      </c>
      <c r="AE63" s="62">
        <v>0.25</v>
      </c>
      <c r="AF63" s="62">
        <v>0.25</v>
      </c>
      <c r="AG63" s="62">
        <v>0</v>
      </c>
      <c r="AH63" s="62">
        <v>0.2</v>
      </c>
      <c r="AI63" s="66">
        <f>IF(VIEW_IV_2019_REP_CALCULO[[#This Row],[Cobertura-BERINERT]]&lt;Cob_Min_REP,0,IF(VIEW_IV_2019_REP_CALCULO[[#This Row],[Cobertura-BERINERT]]&gt;Cob_Max_REP,Vlr_Max_REP,VLOOKUP(VIEW_IV_2019_REP_CALCULO[[#This Row],[Cobertura-BERINERT]],Tabela_Valores_REP,2,1)))*VIEW_IV_2019_REP_CALCULO[[#This Row],[Peso-BERINERT]]</f>
        <v>0</v>
      </c>
      <c r="AJ63" s="65">
        <f>IF(VIEW_IV_2019_REP_CALCULO[[#This Row],[Cobertura-BERIPLEX]]&lt;Cob_Min_REP,0,IF(VIEW_IV_2019_REP_CALCULO[[#This Row],[Cobertura-BERIPLEX]]&gt;Cob_Max_REP,Vlr_Max_REP,VLOOKUP(VIEW_IV_2019_REP_CALCULO[[#This Row],[Cobertura-BERIPLEX]],Tabela_Valores_REP,2,1)))*VIEW_IV_2019_REP_CALCULO[[#This Row],[Peso-BERIPLEX]]</f>
        <v>1303.0404855106451</v>
      </c>
      <c r="AK63" s="65">
        <f>IF(VIEW_IV_2019_REP_CALCULO[[#This Row],[Cobertura-HAEMO]]&lt;Cob_Min_REP,0,IF(VIEW_IV_2019_REP_CALCULO[[#This Row],[Cobertura-HAEMO]]&gt;Cob_Max_REP,Vlr_Max_REP,VLOOKUP(VIEW_IV_2019_REP_CALCULO[[#This Row],[Cobertura-HAEMO]],Tabela_Valores_REP,2,1)))*VIEW_IV_2019_REP_CALCULO[[#This Row],[Peso-HAEMO]]</f>
        <v>1820.6508949054671</v>
      </c>
      <c r="AL63" s="65">
        <f>IF(VIEW_IV_2019_REP_CALCULO[[#This Row],[Cobertura-HIZENTRA]]&lt;Cob_Min_REP,0,IF(VIEW_IV_2019_REP_CALCULO[[#This Row],[Cobertura-HIZENTRA]]&gt;Cob_Max_REP,Vlr_Max_REP,VLOOKUP(VIEW_IV_2019_REP_CALCULO[[#This Row],[Cobertura-HIZENTRA]],Tabela_Valores_REP,2,1)))*VIEW_IV_2019_REP_CALCULO[[#This Row],[Peso-HIZENTRA]]</f>
        <v>0</v>
      </c>
      <c r="AM63" s="65">
        <f>IF(VIEW_IV_2019_REP_CALCULO[[#This Row],[Cobertura-PRIVIGEN]]&lt;Cob_Min_REP,0,IF(VIEW_IV_2019_REP_CALCULO[[#This Row],[Cobertura-PRIVIGEN]]&gt;Cob_Max_REP,Vlr_Max_REP,VLOOKUP(VIEW_IV_2019_REP_CALCULO[[#This Row],[Cobertura-PRIVIGEN]],Tabela_Valores_REP,2,1)))*VIEW_IV_2019_REP_CALCULO[[#This Row],[Peso-PRIVIGEN]]</f>
        <v>0</v>
      </c>
      <c r="AN63" s="102">
        <f>SUM(VIEW_IV_2019_REP_CALCULO[[#This Row],[Premio-BERINERT]:[Premio-PRIVIGEN]])</f>
        <v>3123.6913804161122</v>
      </c>
      <c r="AX63" s="3"/>
      <c r="AY63" s="3"/>
      <c r="AZ63" s="3"/>
      <c r="BA63" s="3"/>
      <c r="BB63" s="3"/>
    </row>
    <row r="64" spans="1:54" x14ac:dyDescent="0.2">
      <c r="A64" s="7" t="s">
        <v>16</v>
      </c>
      <c r="B64" s="7" t="s">
        <v>60</v>
      </c>
      <c r="C64" s="7" t="s">
        <v>18</v>
      </c>
      <c r="D64" s="8" t="s">
        <v>760</v>
      </c>
      <c r="E64" s="8" t="s">
        <v>761</v>
      </c>
      <c r="F64" s="8" t="s">
        <v>723</v>
      </c>
      <c r="G64" s="8" t="s">
        <v>785</v>
      </c>
      <c r="H64" s="13" t="b">
        <v>1</v>
      </c>
      <c r="I64" s="13" t="b">
        <v>1</v>
      </c>
      <c r="J64" s="10">
        <v>0</v>
      </c>
      <c r="K64" s="10">
        <v>220</v>
      </c>
      <c r="L64" s="10">
        <v>156</v>
      </c>
      <c r="M64" s="10">
        <v>0</v>
      </c>
      <c r="N64" s="10">
        <v>4280</v>
      </c>
      <c r="O64" s="10">
        <v>0</v>
      </c>
      <c r="P64" s="10">
        <v>329</v>
      </c>
      <c r="Q64" s="10">
        <v>403</v>
      </c>
      <c r="R64" s="10">
        <v>0</v>
      </c>
      <c r="S64" s="10">
        <v>5215</v>
      </c>
      <c r="T64" s="14" t="b">
        <v>0</v>
      </c>
      <c r="U64" s="14" t="b">
        <v>0</v>
      </c>
      <c r="V64" s="14" t="b">
        <v>0</v>
      </c>
      <c r="W64" s="14" t="b">
        <v>0</v>
      </c>
      <c r="X64" s="14" t="b">
        <v>0</v>
      </c>
      <c r="Y64" s="55">
        <v>0</v>
      </c>
      <c r="Z64" s="55">
        <v>1.5</v>
      </c>
      <c r="AA64" s="55">
        <v>2.58</v>
      </c>
      <c r="AB64" s="55">
        <v>0</v>
      </c>
      <c r="AC64" s="55">
        <v>1.22</v>
      </c>
      <c r="AD64" s="62">
        <v>0</v>
      </c>
      <c r="AE64" s="62">
        <v>0.25</v>
      </c>
      <c r="AF64" s="62">
        <v>0.25</v>
      </c>
      <c r="AG64" s="62">
        <v>0</v>
      </c>
      <c r="AH64" s="62">
        <v>0.2</v>
      </c>
      <c r="AI64" s="66">
        <f>IF(VIEW_IV_2019_REP_CALCULO[[#This Row],[Cobertura-BERINERT]]&lt;Cob_Min_REP,0,IF(VIEW_IV_2019_REP_CALCULO[[#This Row],[Cobertura-BERINERT]]&gt;Cob_Max_REP,Vlr_Max_REP,VLOOKUP(VIEW_IV_2019_REP_CALCULO[[#This Row],[Cobertura-BERINERT]],Tabela_Valores_REP,2,1)))*VIEW_IV_2019_REP_CALCULO[[#This Row],[Peso-BERINERT]]</f>
        <v>0</v>
      </c>
      <c r="AJ64" s="65">
        <f>IF(VIEW_IV_2019_REP_CALCULO[[#This Row],[Cobertura-BERIPLEX]]&lt;Cob_Min_REP,0,IF(VIEW_IV_2019_REP_CALCULO[[#This Row],[Cobertura-BERIPLEX]]&gt;Cob_Max_REP,Vlr_Max_REP,VLOOKUP(VIEW_IV_2019_REP_CALCULO[[#This Row],[Cobertura-BERIPLEX]],Tabela_Valores_REP,2,1)))*VIEW_IV_2019_REP_CALCULO[[#This Row],[Peso-BERIPLEX]]</f>
        <v>2037.2684173324528</v>
      </c>
      <c r="AK64" s="65">
        <f>IF(VIEW_IV_2019_REP_CALCULO[[#This Row],[Cobertura-HAEMO]]&lt;Cob_Min_REP,0,IF(VIEW_IV_2019_REP_CALCULO[[#This Row],[Cobertura-HAEMO]]&gt;Cob_Max_REP,Vlr_Max_REP,VLOOKUP(VIEW_IV_2019_REP_CALCULO[[#This Row],[Cobertura-HAEMO]],Tabela_Valores_REP,2,1)))*VIEW_IV_2019_REP_CALCULO[[#This Row],[Peso-HAEMO]]</f>
        <v>2037.2684173324528</v>
      </c>
      <c r="AL64" s="65">
        <f>IF(VIEW_IV_2019_REP_CALCULO[[#This Row],[Cobertura-HIZENTRA]]&lt;Cob_Min_REP,0,IF(VIEW_IV_2019_REP_CALCULO[[#This Row],[Cobertura-HIZENTRA]]&gt;Cob_Max_REP,Vlr_Max_REP,VLOOKUP(VIEW_IV_2019_REP_CALCULO[[#This Row],[Cobertura-HIZENTRA]],Tabela_Valores_REP,2,1)))*VIEW_IV_2019_REP_CALCULO[[#This Row],[Peso-HIZENTRA]]</f>
        <v>0</v>
      </c>
      <c r="AM64" s="65">
        <f>IF(VIEW_IV_2019_REP_CALCULO[[#This Row],[Cobertura-PRIVIGEN]]&lt;Cob_Min_REP,0,IF(VIEW_IV_2019_REP_CALCULO[[#This Row],[Cobertura-PRIVIGEN]]&gt;Cob_Max_REP,Vlr_Max_REP,VLOOKUP(VIEW_IV_2019_REP_CALCULO[[#This Row],[Cobertura-PRIVIGEN]],Tabela_Valores_REP,2,1)))*VIEW_IV_2019_REP_CALCULO[[#This Row],[Peso-PRIVIGEN]]</f>
        <v>1315.289336508306</v>
      </c>
      <c r="AN64" s="102">
        <f>SUM(VIEW_IV_2019_REP_CALCULO[[#This Row],[Premio-BERINERT]:[Premio-PRIVIGEN]])</f>
        <v>5389.8261711732121</v>
      </c>
      <c r="AX64" s="3"/>
      <c r="AY64" s="3"/>
      <c r="AZ64" s="3"/>
      <c r="BA64" s="3"/>
      <c r="BB64" s="3"/>
    </row>
    <row r="65" spans="1:54" x14ac:dyDescent="0.2">
      <c r="A65" s="7" t="s">
        <v>16</v>
      </c>
      <c r="B65" s="7" t="s">
        <v>60</v>
      </c>
      <c r="C65" s="7" t="s">
        <v>18</v>
      </c>
      <c r="D65" s="8" t="s">
        <v>762</v>
      </c>
      <c r="E65" s="8" t="s">
        <v>763</v>
      </c>
      <c r="F65" s="8" t="s">
        <v>723</v>
      </c>
      <c r="G65" s="8" t="s">
        <v>787</v>
      </c>
      <c r="H65" s="13" t="b">
        <v>1</v>
      </c>
      <c r="I65" s="13" t="b">
        <v>1</v>
      </c>
      <c r="J65" s="10">
        <v>0</v>
      </c>
      <c r="K65" s="10">
        <v>180</v>
      </c>
      <c r="L65" s="10">
        <v>91</v>
      </c>
      <c r="M65" s="10">
        <v>0</v>
      </c>
      <c r="N65" s="10">
        <v>5885</v>
      </c>
      <c r="O65" s="10">
        <v>0</v>
      </c>
      <c r="P65" s="10">
        <v>205</v>
      </c>
      <c r="Q65" s="10">
        <v>86</v>
      </c>
      <c r="R65" s="10">
        <v>0</v>
      </c>
      <c r="S65" s="10">
        <v>12305</v>
      </c>
      <c r="T65" s="14" t="b">
        <v>0</v>
      </c>
      <c r="U65" s="14" t="b">
        <v>0</v>
      </c>
      <c r="V65" s="14" t="b">
        <v>0</v>
      </c>
      <c r="W65" s="14" t="b">
        <v>0</v>
      </c>
      <c r="X65" s="14" t="b">
        <v>0</v>
      </c>
      <c r="Y65" s="55">
        <v>0</v>
      </c>
      <c r="Z65" s="55">
        <v>1.1399999999999999</v>
      </c>
      <c r="AA65" s="55">
        <v>0.95</v>
      </c>
      <c r="AB65" s="55">
        <v>0</v>
      </c>
      <c r="AC65" s="55">
        <v>2.09</v>
      </c>
      <c r="AD65" s="62">
        <v>0</v>
      </c>
      <c r="AE65" s="62">
        <v>0.25</v>
      </c>
      <c r="AF65" s="62">
        <v>0.25</v>
      </c>
      <c r="AG65" s="62">
        <v>0</v>
      </c>
      <c r="AH65" s="62">
        <v>0.2</v>
      </c>
      <c r="AI65" s="66">
        <f>IF(VIEW_IV_2019_REP_CALCULO[[#This Row],[Cobertura-BERINERT]]&lt;Cob_Min_REP,0,IF(VIEW_IV_2019_REP_CALCULO[[#This Row],[Cobertura-BERINERT]]&gt;Cob_Max_REP,Vlr_Max_REP,VLOOKUP(VIEW_IV_2019_REP_CALCULO[[#This Row],[Cobertura-BERINERT]],Tabela_Valores_REP,2,1)))*VIEW_IV_2019_REP_CALCULO[[#This Row],[Peso-BERINERT]]</f>
        <v>0</v>
      </c>
      <c r="AJ65" s="65">
        <f>IF(VIEW_IV_2019_REP_CALCULO[[#This Row],[Cobertura-BERIPLEX]]&lt;Cob_Min_REP,0,IF(VIEW_IV_2019_REP_CALCULO[[#This Row],[Cobertura-BERIPLEX]]&gt;Cob_Max_REP,Vlr_Max_REP,VLOOKUP(VIEW_IV_2019_REP_CALCULO[[#This Row],[Cobertura-BERIPLEX]],Tabela_Valores_REP,2,1)))*VIEW_IV_2019_REP_CALCULO[[#This Row],[Peso-BERIPLEX]]</f>
        <v>1292.4935649430388</v>
      </c>
      <c r="AK65" s="65">
        <f>IF(VIEW_IV_2019_REP_CALCULO[[#This Row],[Cobertura-HAEMO]]&lt;Cob_Min_REP,0,IF(VIEW_IV_2019_REP_CALCULO[[#This Row],[Cobertura-HAEMO]]&gt;Cob_Max_REP,Vlr_Max_REP,VLOOKUP(VIEW_IV_2019_REP_CALCULO[[#This Row],[Cobertura-HAEMO]],Tabela_Valores_REP,2,1)))*VIEW_IV_2019_REP_CALCULO[[#This Row],[Peso-HAEMO]]</f>
        <v>642.28041918113706</v>
      </c>
      <c r="AL65" s="65">
        <f>IF(VIEW_IV_2019_REP_CALCULO[[#This Row],[Cobertura-HIZENTRA]]&lt;Cob_Min_REP,0,IF(VIEW_IV_2019_REP_CALCULO[[#This Row],[Cobertura-HIZENTRA]]&gt;Cob_Max_REP,Vlr_Max_REP,VLOOKUP(VIEW_IV_2019_REP_CALCULO[[#This Row],[Cobertura-HIZENTRA]],Tabela_Valores_REP,2,1)))*VIEW_IV_2019_REP_CALCULO[[#This Row],[Peso-HIZENTRA]]</f>
        <v>0</v>
      </c>
      <c r="AM65" s="65">
        <f>IF(VIEW_IV_2019_REP_CALCULO[[#This Row],[Cobertura-PRIVIGEN]]&lt;Cob_Min_REP,0,IF(VIEW_IV_2019_REP_CALCULO[[#This Row],[Cobertura-PRIVIGEN]]&gt;Cob_Max_REP,Vlr_Max_REP,VLOOKUP(VIEW_IV_2019_REP_CALCULO[[#This Row],[Cobertura-PRIVIGEN]],Tabela_Valores_REP,2,1)))*VIEW_IV_2019_REP_CALCULO[[#This Row],[Peso-PRIVIGEN]]</f>
        <v>1629.8147338659624</v>
      </c>
      <c r="AN65" s="102">
        <f>SUM(VIEW_IV_2019_REP_CALCULO[[#This Row],[Premio-BERINERT]:[Premio-PRIVIGEN]])</f>
        <v>3564.5887179901383</v>
      </c>
      <c r="AX65" s="3"/>
      <c r="AY65" s="3"/>
      <c r="AZ65" s="3"/>
      <c r="BA65" s="3"/>
      <c r="BB65" s="3"/>
    </row>
    <row r="66" spans="1:54" x14ac:dyDescent="0.2">
      <c r="A66" s="7" t="s">
        <v>16</v>
      </c>
      <c r="B66" s="7" t="s">
        <v>65</v>
      </c>
      <c r="C66" s="7" t="s">
        <v>66</v>
      </c>
      <c r="D66" s="8" t="s">
        <v>728</v>
      </c>
      <c r="E66" s="8" t="s">
        <v>729</v>
      </c>
      <c r="F66" s="8" t="s">
        <v>730</v>
      </c>
      <c r="G66" s="8" t="s">
        <v>787</v>
      </c>
      <c r="H66" s="13" t="b">
        <v>1</v>
      </c>
      <c r="I66" s="13" t="b">
        <v>1</v>
      </c>
      <c r="J66" s="10">
        <v>48</v>
      </c>
      <c r="K66" s="10">
        <v>0</v>
      </c>
      <c r="L66" s="10">
        <v>0</v>
      </c>
      <c r="M66" s="10">
        <v>1326</v>
      </c>
      <c r="N66" s="10">
        <v>7490</v>
      </c>
      <c r="O66" s="10">
        <v>0</v>
      </c>
      <c r="P66" s="10">
        <v>0</v>
      </c>
      <c r="Q66" s="10">
        <v>0</v>
      </c>
      <c r="R66" s="10">
        <v>210</v>
      </c>
      <c r="S66" s="10">
        <v>600</v>
      </c>
      <c r="T66" s="14" t="b">
        <v>0</v>
      </c>
      <c r="U66" s="14" t="b">
        <v>0</v>
      </c>
      <c r="V66" s="14" t="b">
        <v>0</v>
      </c>
      <c r="W66" s="14" t="b">
        <v>0</v>
      </c>
      <c r="X66" s="14" t="b">
        <v>0</v>
      </c>
      <c r="Y66" s="55">
        <v>0</v>
      </c>
      <c r="Z66" s="55">
        <v>0</v>
      </c>
      <c r="AA66" s="55">
        <v>0</v>
      </c>
      <c r="AB66" s="55">
        <v>0.16</v>
      </c>
      <c r="AC66" s="55">
        <v>0.08</v>
      </c>
      <c r="AD66" s="62">
        <v>0.1</v>
      </c>
      <c r="AE66" s="62">
        <v>0</v>
      </c>
      <c r="AF66" s="62">
        <v>0</v>
      </c>
      <c r="AG66" s="62">
        <v>0.4</v>
      </c>
      <c r="AH66" s="62">
        <v>0.2</v>
      </c>
      <c r="AI66" s="66">
        <f>IF(VIEW_IV_2019_REP_CALCULO[[#This Row],[Cobertura-BERINERT]]&lt;Cob_Min_REP,0,IF(VIEW_IV_2019_REP_CALCULO[[#This Row],[Cobertura-BERINERT]]&gt;Cob_Max_REP,Vlr_Max_REP,VLOOKUP(VIEW_IV_2019_REP_CALCULO[[#This Row],[Cobertura-BERINERT]],Tabela_Valores_REP,2,1)))*VIEW_IV_2019_REP_CALCULO[[#This Row],[Peso-BERINERT]]</f>
        <v>0</v>
      </c>
      <c r="AJ66" s="65">
        <f>IF(VIEW_IV_2019_REP_CALCULO[[#This Row],[Cobertura-BERIPLEX]]&lt;Cob_Min_REP,0,IF(VIEW_IV_2019_REP_CALCULO[[#This Row],[Cobertura-BERIPLEX]]&gt;Cob_Max_REP,Vlr_Max_REP,VLOOKUP(VIEW_IV_2019_REP_CALCULO[[#This Row],[Cobertura-BERIPLEX]],Tabela_Valores_REP,2,1)))*VIEW_IV_2019_REP_CALCULO[[#This Row],[Peso-BERIPLEX]]</f>
        <v>0</v>
      </c>
      <c r="AK66" s="65">
        <f>IF(VIEW_IV_2019_REP_CALCULO[[#This Row],[Cobertura-HAEMO]]&lt;Cob_Min_REP,0,IF(VIEW_IV_2019_REP_CALCULO[[#This Row],[Cobertura-HAEMO]]&gt;Cob_Max_REP,Vlr_Max_REP,VLOOKUP(VIEW_IV_2019_REP_CALCULO[[#This Row],[Cobertura-HAEMO]],Tabela_Valores_REP,2,1)))*VIEW_IV_2019_REP_CALCULO[[#This Row],[Peso-HAEMO]]</f>
        <v>0</v>
      </c>
      <c r="AL66" s="65">
        <f>IF(VIEW_IV_2019_REP_CALCULO[[#This Row],[Cobertura-HIZENTRA]]&lt;Cob_Min_REP,0,IF(VIEW_IV_2019_REP_CALCULO[[#This Row],[Cobertura-HIZENTRA]]&gt;Cob_Max_REP,Vlr_Max_REP,VLOOKUP(VIEW_IV_2019_REP_CALCULO[[#This Row],[Cobertura-HIZENTRA]],Tabela_Valores_REP,2,1)))*VIEW_IV_2019_REP_CALCULO[[#This Row],[Peso-HIZENTRA]]</f>
        <v>0</v>
      </c>
      <c r="AM66" s="65">
        <f>IF(VIEW_IV_2019_REP_CALCULO[[#This Row],[Cobertura-PRIVIGEN]]&lt;Cob_Min_REP,0,IF(VIEW_IV_2019_REP_CALCULO[[#This Row],[Cobertura-PRIVIGEN]]&gt;Cob_Max_REP,Vlr_Max_REP,VLOOKUP(VIEW_IV_2019_REP_CALCULO[[#This Row],[Cobertura-PRIVIGEN]],Tabela_Valores_REP,2,1)))*VIEW_IV_2019_REP_CALCULO[[#This Row],[Peso-PRIVIGEN]]</f>
        <v>0</v>
      </c>
      <c r="AN66" s="102">
        <f>SUM(VIEW_IV_2019_REP_CALCULO[[#This Row],[Premio-BERINERT]:[Premio-PRIVIGEN]])</f>
        <v>0</v>
      </c>
      <c r="AX66" s="3"/>
      <c r="AY66" s="3"/>
      <c r="AZ66" s="3"/>
      <c r="BA66" s="3"/>
      <c r="BB66" s="3"/>
    </row>
    <row r="67" spans="1:54" x14ac:dyDescent="0.2">
      <c r="A67" s="7" t="s">
        <v>16</v>
      </c>
      <c r="B67" s="7" t="s">
        <v>65</v>
      </c>
      <c r="C67" s="7" t="s">
        <v>66</v>
      </c>
      <c r="D67" s="8" t="s">
        <v>733</v>
      </c>
      <c r="E67" s="8" t="s">
        <v>734</v>
      </c>
      <c r="F67" s="8" t="s">
        <v>730</v>
      </c>
      <c r="G67" s="8" t="s">
        <v>785</v>
      </c>
      <c r="H67" s="13" t="b">
        <v>1</v>
      </c>
      <c r="I67" s="13" t="b">
        <v>1</v>
      </c>
      <c r="J67" s="10">
        <v>34</v>
      </c>
      <c r="K67" s="10">
        <v>0</v>
      </c>
      <c r="L67" s="10">
        <v>0</v>
      </c>
      <c r="M67" s="10">
        <v>1638</v>
      </c>
      <c r="N67" s="10">
        <v>6955</v>
      </c>
      <c r="O67" s="10">
        <v>0</v>
      </c>
      <c r="P67" s="10">
        <v>0</v>
      </c>
      <c r="Q67" s="10">
        <v>0</v>
      </c>
      <c r="R67" s="10">
        <v>47</v>
      </c>
      <c r="S67" s="10">
        <v>360</v>
      </c>
      <c r="T67" s="14" t="b">
        <v>0</v>
      </c>
      <c r="U67" s="14" t="b">
        <v>0</v>
      </c>
      <c r="V67" s="14" t="b">
        <v>0</v>
      </c>
      <c r="W67" s="14" t="b">
        <v>0</v>
      </c>
      <c r="X67" s="14" t="b">
        <v>0</v>
      </c>
      <c r="Y67" s="55">
        <v>0</v>
      </c>
      <c r="Z67" s="55">
        <v>0</v>
      </c>
      <c r="AA67" s="55">
        <v>0</v>
      </c>
      <c r="AB67" s="55">
        <v>0.03</v>
      </c>
      <c r="AC67" s="55">
        <v>0.05</v>
      </c>
      <c r="AD67" s="62">
        <v>0.1</v>
      </c>
      <c r="AE67" s="62">
        <v>0</v>
      </c>
      <c r="AF67" s="62">
        <v>0</v>
      </c>
      <c r="AG67" s="62">
        <v>0.4</v>
      </c>
      <c r="AH67" s="62">
        <v>0.2</v>
      </c>
      <c r="AI67" s="66">
        <f>IF(VIEW_IV_2019_REP_CALCULO[[#This Row],[Cobertura-BERINERT]]&lt;Cob_Min_REP,0,IF(VIEW_IV_2019_REP_CALCULO[[#This Row],[Cobertura-BERINERT]]&gt;Cob_Max_REP,Vlr_Max_REP,VLOOKUP(VIEW_IV_2019_REP_CALCULO[[#This Row],[Cobertura-BERINERT]],Tabela_Valores_REP,2,1)))*VIEW_IV_2019_REP_CALCULO[[#This Row],[Peso-BERINERT]]</f>
        <v>0</v>
      </c>
      <c r="AJ67" s="65">
        <f>IF(VIEW_IV_2019_REP_CALCULO[[#This Row],[Cobertura-BERIPLEX]]&lt;Cob_Min_REP,0,IF(VIEW_IV_2019_REP_CALCULO[[#This Row],[Cobertura-BERIPLEX]]&gt;Cob_Max_REP,Vlr_Max_REP,VLOOKUP(VIEW_IV_2019_REP_CALCULO[[#This Row],[Cobertura-BERIPLEX]],Tabela_Valores_REP,2,1)))*VIEW_IV_2019_REP_CALCULO[[#This Row],[Peso-BERIPLEX]]</f>
        <v>0</v>
      </c>
      <c r="AK67" s="65">
        <f>IF(VIEW_IV_2019_REP_CALCULO[[#This Row],[Cobertura-HAEMO]]&lt;Cob_Min_REP,0,IF(VIEW_IV_2019_REP_CALCULO[[#This Row],[Cobertura-HAEMO]]&gt;Cob_Max_REP,Vlr_Max_REP,VLOOKUP(VIEW_IV_2019_REP_CALCULO[[#This Row],[Cobertura-HAEMO]],Tabela_Valores_REP,2,1)))*VIEW_IV_2019_REP_CALCULO[[#This Row],[Peso-HAEMO]]</f>
        <v>0</v>
      </c>
      <c r="AL67" s="65">
        <f>IF(VIEW_IV_2019_REP_CALCULO[[#This Row],[Cobertura-HIZENTRA]]&lt;Cob_Min_REP,0,IF(VIEW_IV_2019_REP_CALCULO[[#This Row],[Cobertura-HIZENTRA]]&gt;Cob_Max_REP,Vlr_Max_REP,VLOOKUP(VIEW_IV_2019_REP_CALCULO[[#This Row],[Cobertura-HIZENTRA]],Tabela_Valores_REP,2,1)))*VIEW_IV_2019_REP_CALCULO[[#This Row],[Peso-HIZENTRA]]</f>
        <v>0</v>
      </c>
      <c r="AM67" s="65">
        <f>IF(VIEW_IV_2019_REP_CALCULO[[#This Row],[Cobertura-PRIVIGEN]]&lt;Cob_Min_REP,0,IF(VIEW_IV_2019_REP_CALCULO[[#This Row],[Cobertura-PRIVIGEN]]&gt;Cob_Max_REP,Vlr_Max_REP,VLOOKUP(VIEW_IV_2019_REP_CALCULO[[#This Row],[Cobertura-PRIVIGEN]],Tabela_Valores_REP,2,1)))*VIEW_IV_2019_REP_CALCULO[[#This Row],[Peso-PRIVIGEN]]</f>
        <v>0</v>
      </c>
      <c r="AN67" s="102">
        <f>SUM(VIEW_IV_2019_REP_CALCULO[[#This Row],[Premio-BERINERT]:[Premio-PRIVIGEN]])</f>
        <v>0</v>
      </c>
      <c r="AX67" s="3"/>
      <c r="AY67" s="3"/>
      <c r="AZ67" s="3"/>
      <c r="BA67" s="3"/>
      <c r="BB67" s="3"/>
    </row>
    <row r="68" spans="1:54" x14ac:dyDescent="0.2">
      <c r="A68" s="7" t="s">
        <v>16</v>
      </c>
      <c r="B68" s="7" t="s">
        <v>65</v>
      </c>
      <c r="C68" s="7" t="s">
        <v>66</v>
      </c>
      <c r="D68" s="8" t="s">
        <v>740</v>
      </c>
      <c r="E68" s="8" t="s">
        <v>741</v>
      </c>
      <c r="F68" s="8" t="s">
        <v>730</v>
      </c>
      <c r="G68" s="8" t="s">
        <v>787</v>
      </c>
      <c r="H68" s="13" t="b">
        <v>1</v>
      </c>
      <c r="I68" s="13" t="b">
        <v>1</v>
      </c>
      <c r="J68" s="10">
        <v>48</v>
      </c>
      <c r="K68" s="10">
        <v>0</v>
      </c>
      <c r="L68" s="10">
        <v>0</v>
      </c>
      <c r="M68" s="10">
        <v>936</v>
      </c>
      <c r="N68" s="10">
        <v>7490</v>
      </c>
      <c r="O68" s="10">
        <v>0</v>
      </c>
      <c r="P68" s="10">
        <v>0</v>
      </c>
      <c r="Q68" s="10">
        <v>0</v>
      </c>
      <c r="R68" s="10">
        <v>124</v>
      </c>
      <c r="S68" s="10">
        <v>3080</v>
      </c>
      <c r="T68" s="14" t="b">
        <v>0</v>
      </c>
      <c r="U68" s="14" t="b">
        <v>0</v>
      </c>
      <c r="V68" s="14" t="b">
        <v>0</v>
      </c>
      <c r="W68" s="14" t="b">
        <v>0</v>
      </c>
      <c r="X68" s="14" t="b">
        <v>0</v>
      </c>
      <c r="Y68" s="55">
        <v>0</v>
      </c>
      <c r="Z68" s="55">
        <v>0</v>
      </c>
      <c r="AA68" s="55">
        <v>0</v>
      </c>
      <c r="AB68" s="55">
        <v>0.13</v>
      </c>
      <c r="AC68" s="55">
        <v>0.41</v>
      </c>
      <c r="AD68" s="62">
        <v>0.1</v>
      </c>
      <c r="AE68" s="62">
        <v>0</v>
      </c>
      <c r="AF68" s="62">
        <v>0</v>
      </c>
      <c r="AG68" s="62">
        <v>0.4</v>
      </c>
      <c r="AH68" s="62">
        <v>0.2</v>
      </c>
      <c r="AI68" s="66">
        <f>IF(VIEW_IV_2019_REP_CALCULO[[#This Row],[Cobertura-BERINERT]]&lt;Cob_Min_REP,0,IF(VIEW_IV_2019_REP_CALCULO[[#This Row],[Cobertura-BERINERT]]&gt;Cob_Max_REP,Vlr_Max_REP,VLOOKUP(VIEW_IV_2019_REP_CALCULO[[#This Row],[Cobertura-BERINERT]],Tabela_Valores_REP,2,1)))*VIEW_IV_2019_REP_CALCULO[[#This Row],[Peso-BERINERT]]</f>
        <v>0</v>
      </c>
      <c r="AJ68" s="65">
        <f>IF(VIEW_IV_2019_REP_CALCULO[[#This Row],[Cobertura-BERIPLEX]]&lt;Cob_Min_REP,0,IF(VIEW_IV_2019_REP_CALCULO[[#This Row],[Cobertura-BERIPLEX]]&gt;Cob_Max_REP,Vlr_Max_REP,VLOOKUP(VIEW_IV_2019_REP_CALCULO[[#This Row],[Cobertura-BERIPLEX]],Tabela_Valores_REP,2,1)))*VIEW_IV_2019_REP_CALCULO[[#This Row],[Peso-BERIPLEX]]</f>
        <v>0</v>
      </c>
      <c r="AK68" s="65">
        <f>IF(VIEW_IV_2019_REP_CALCULO[[#This Row],[Cobertura-HAEMO]]&lt;Cob_Min_REP,0,IF(VIEW_IV_2019_REP_CALCULO[[#This Row],[Cobertura-HAEMO]]&gt;Cob_Max_REP,Vlr_Max_REP,VLOOKUP(VIEW_IV_2019_REP_CALCULO[[#This Row],[Cobertura-HAEMO]],Tabela_Valores_REP,2,1)))*VIEW_IV_2019_REP_CALCULO[[#This Row],[Peso-HAEMO]]</f>
        <v>0</v>
      </c>
      <c r="AL68" s="65">
        <f>IF(VIEW_IV_2019_REP_CALCULO[[#This Row],[Cobertura-HIZENTRA]]&lt;Cob_Min_REP,0,IF(VIEW_IV_2019_REP_CALCULO[[#This Row],[Cobertura-HIZENTRA]]&gt;Cob_Max_REP,Vlr_Max_REP,VLOOKUP(VIEW_IV_2019_REP_CALCULO[[#This Row],[Cobertura-HIZENTRA]],Tabela_Valores_REP,2,1)))*VIEW_IV_2019_REP_CALCULO[[#This Row],[Peso-HIZENTRA]]</f>
        <v>0</v>
      </c>
      <c r="AM68" s="65">
        <f>IF(VIEW_IV_2019_REP_CALCULO[[#This Row],[Cobertura-PRIVIGEN]]&lt;Cob_Min_REP,0,IF(VIEW_IV_2019_REP_CALCULO[[#This Row],[Cobertura-PRIVIGEN]]&gt;Cob_Max_REP,Vlr_Max_REP,VLOOKUP(VIEW_IV_2019_REP_CALCULO[[#This Row],[Cobertura-PRIVIGEN]],Tabela_Valores_REP,2,1)))*VIEW_IV_2019_REP_CALCULO[[#This Row],[Peso-PRIVIGEN]]</f>
        <v>0</v>
      </c>
      <c r="AN68" s="102">
        <f>SUM(VIEW_IV_2019_REP_CALCULO[[#This Row],[Premio-BERINERT]:[Premio-PRIVIGEN]])</f>
        <v>0</v>
      </c>
      <c r="AX68" s="3"/>
      <c r="AY68" s="3"/>
      <c r="AZ68" s="3"/>
      <c r="BA68" s="3"/>
      <c r="BB68" s="3"/>
    </row>
    <row r="69" spans="1:54" x14ac:dyDescent="0.2">
      <c r="A69" s="7" t="s">
        <v>16</v>
      </c>
      <c r="B69" s="7" t="s">
        <v>65</v>
      </c>
      <c r="C69" s="7" t="s">
        <v>66</v>
      </c>
      <c r="D69" s="8" t="s">
        <v>754</v>
      </c>
      <c r="E69" s="8" t="s">
        <v>755</v>
      </c>
      <c r="F69" s="8" t="s">
        <v>730</v>
      </c>
      <c r="G69" s="8" t="s">
        <v>785</v>
      </c>
      <c r="H69" s="13" t="b">
        <v>1</v>
      </c>
      <c r="I69" s="13" t="b">
        <v>1</v>
      </c>
      <c r="J69" s="10">
        <v>120</v>
      </c>
      <c r="K69" s="10">
        <v>0</v>
      </c>
      <c r="L69" s="10">
        <v>0</v>
      </c>
      <c r="M69" s="10">
        <v>1014</v>
      </c>
      <c r="N69" s="10">
        <v>10700</v>
      </c>
      <c r="O69" s="10">
        <v>37</v>
      </c>
      <c r="P69" s="10">
        <v>0</v>
      </c>
      <c r="Q69" s="10">
        <v>0</v>
      </c>
      <c r="R69" s="10">
        <v>33</v>
      </c>
      <c r="S69" s="10">
        <v>4110</v>
      </c>
      <c r="T69" s="14" t="b">
        <v>0</v>
      </c>
      <c r="U69" s="14" t="b">
        <v>0</v>
      </c>
      <c r="V69" s="14" t="b">
        <v>0</v>
      </c>
      <c r="W69" s="14" t="b">
        <v>0</v>
      </c>
      <c r="X69" s="14" t="b">
        <v>0</v>
      </c>
      <c r="Y69" s="55">
        <v>0.31</v>
      </c>
      <c r="Z69" s="55">
        <v>0</v>
      </c>
      <c r="AA69" s="55">
        <v>0</v>
      </c>
      <c r="AB69" s="55">
        <v>0.03</v>
      </c>
      <c r="AC69" s="55">
        <v>0.38</v>
      </c>
      <c r="AD69" s="62">
        <v>0.1</v>
      </c>
      <c r="AE69" s="62">
        <v>0</v>
      </c>
      <c r="AF69" s="62">
        <v>0</v>
      </c>
      <c r="AG69" s="62">
        <v>0.4</v>
      </c>
      <c r="AH69" s="62">
        <v>0.2</v>
      </c>
      <c r="AI69" s="66">
        <f>IF(VIEW_IV_2019_REP_CALCULO[[#This Row],[Cobertura-BERINERT]]&lt;Cob_Min_REP,0,IF(VIEW_IV_2019_REP_CALCULO[[#This Row],[Cobertura-BERINERT]]&gt;Cob_Max_REP,Vlr_Max_REP,VLOOKUP(VIEW_IV_2019_REP_CALCULO[[#This Row],[Cobertura-BERINERT]],Tabela_Valores_REP,2,1)))*VIEW_IV_2019_REP_CALCULO[[#This Row],[Peso-BERINERT]]</f>
        <v>0</v>
      </c>
      <c r="AJ69" s="65">
        <f>IF(VIEW_IV_2019_REP_CALCULO[[#This Row],[Cobertura-BERIPLEX]]&lt;Cob_Min_REP,0,IF(VIEW_IV_2019_REP_CALCULO[[#This Row],[Cobertura-BERIPLEX]]&gt;Cob_Max_REP,Vlr_Max_REP,VLOOKUP(VIEW_IV_2019_REP_CALCULO[[#This Row],[Cobertura-BERIPLEX]],Tabela_Valores_REP,2,1)))*VIEW_IV_2019_REP_CALCULO[[#This Row],[Peso-BERIPLEX]]</f>
        <v>0</v>
      </c>
      <c r="AK69" s="65">
        <f>IF(VIEW_IV_2019_REP_CALCULO[[#This Row],[Cobertura-HAEMO]]&lt;Cob_Min_REP,0,IF(VIEW_IV_2019_REP_CALCULO[[#This Row],[Cobertura-HAEMO]]&gt;Cob_Max_REP,Vlr_Max_REP,VLOOKUP(VIEW_IV_2019_REP_CALCULO[[#This Row],[Cobertura-HAEMO]],Tabela_Valores_REP,2,1)))*VIEW_IV_2019_REP_CALCULO[[#This Row],[Peso-HAEMO]]</f>
        <v>0</v>
      </c>
      <c r="AL69" s="65">
        <f>IF(VIEW_IV_2019_REP_CALCULO[[#This Row],[Cobertura-HIZENTRA]]&lt;Cob_Min_REP,0,IF(VIEW_IV_2019_REP_CALCULO[[#This Row],[Cobertura-HIZENTRA]]&gt;Cob_Max_REP,Vlr_Max_REP,VLOOKUP(VIEW_IV_2019_REP_CALCULO[[#This Row],[Cobertura-HIZENTRA]],Tabela_Valores_REP,2,1)))*VIEW_IV_2019_REP_CALCULO[[#This Row],[Peso-HIZENTRA]]</f>
        <v>0</v>
      </c>
      <c r="AM69" s="65">
        <f>IF(VIEW_IV_2019_REP_CALCULO[[#This Row],[Cobertura-PRIVIGEN]]&lt;Cob_Min_REP,0,IF(VIEW_IV_2019_REP_CALCULO[[#This Row],[Cobertura-PRIVIGEN]]&gt;Cob_Max_REP,Vlr_Max_REP,VLOOKUP(VIEW_IV_2019_REP_CALCULO[[#This Row],[Cobertura-PRIVIGEN]],Tabela_Valores_REP,2,1)))*VIEW_IV_2019_REP_CALCULO[[#This Row],[Peso-PRIVIGEN]]</f>
        <v>0</v>
      </c>
      <c r="AN69" s="102">
        <f>SUM(VIEW_IV_2019_REP_CALCULO[[#This Row],[Premio-BERINERT]:[Premio-PRIVIGEN]])</f>
        <v>0</v>
      </c>
      <c r="AX69" s="3"/>
      <c r="AY69" s="3"/>
      <c r="AZ69" s="3"/>
      <c r="BA69" s="3"/>
      <c r="BB69" s="3"/>
    </row>
    <row r="70" spans="1:54" x14ac:dyDescent="0.2">
      <c r="A70" s="7" t="s">
        <v>16</v>
      </c>
      <c r="B70" s="7" t="s">
        <v>65</v>
      </c>
      <c r="C70" s="7" t="s">
        <v>66</v>
      </c>
      <c r="D70" s="8" t="s">
        <v>778</v>
      </c>
      <c r="E70" s="8" t="s">
        <v>779</v>
      </c>
      <c r="F70" s="8" t="s">
        <v>730</v>
      </c>
      <c r="G70" s="8" t="s">
        <v>791</v>
      </c>
      <c r="H70" s="13" t="b">
        <v>1</v>
      </c>
      <c r="I70" s="13" t="b">
        <v>1</v>
      </c>
      <c r="J70" s="10">
        <v>120</v>
      </c>
      <c r="K70" s="10">
        <v>0</v>
      </c>
      <c r="L70" s="10">
        <v>0</v>
      </c>
      <c r="M70" s="10">
        <v>936</v>
      </c>
      <c r="N70" s="10">
        <v>6420</v>
      </c>
      <c r="O70" s="10">
        <v>0</v>
      </c>
      <c r="P70" s="10">
        <v>0</v>
      </c>
      <c r="Q70" s="10">
        <v>0</v>
      </c>
      <c r="R70" s="10">
        <v>96</v>
      </c>
      <c r="S70" s="10">
        <v>275</v>
      </c>
      <c r="T70" s="14" t="b">
        <v>0</v>
      </c>
      <c r="U70" s="14" t="b">
        <v>0</v>
      </c>
      <c r="V70" s="14" t="b">
        <v>0</v>
      </c>
      <c r="W70" s="14" t="b">
        <v>0</v>
      </c>
      <c r="X70" s="14" t="b">
        <v>0</v>
      </c>
      <c r="Y70" s="55">
        <v>0</v>
      </c>
      <c r="Z70" s="55">
        <v>0</v>
      </c>
      <c r="AA70" s="55">
        <v>0</v>
      </c>
      <c r="AB70" s="55">
        <v>0.1</v>
      </c>
      <c r="AC70" s="55">
        <v>0.04</v>
      </c>
      <c r="AD70" s="62">
        <v>0.1</v>
      </c>
      <c r="AE70" s="62">
        <v>0</v>
      </c>
      <c r="AF70" s="62">
        <v>0</v>
      </c>
      <c r="AG70" s="62">
        <v>0.4</v>
      </c>
      <c r="AH70" s="62">
        <v>0.2</v>
      </c>
      <c r="AI70" s="66">
        <f>IF(VIEW_IV_2019_REP_CALCULO[[#This Row],[Cobertura-BERINERT]]&lt;Cob_Min_REP,0,IF(VIEW_IV_2019_REP_CALCULO[[#This Row],[Cobertura-BERINERT]]&gt;Cob_Max_REP,Vlr_Max_REP,VLOOKUP(VIEW_IV_2019_REP_CALCULO[[#This Row],[Cobertura-BERINERT]],Tabela_Valores_REP,2,1)))*VIEW_IV_2019_REP_CALCULO[[#This Row],[Peso-BERINERT]]</f>
        <v>0</v>
      </c>
      <c r="AJ70" s="65">
        <f>IF(VIEW_IV_2019_REP_CALCULO[[#This Row],[Cobertura-BERIPLEX]]&lt;Cob_Min_REP,0,IF(VIEW_IV_2019_REP_CALCULO[[#This Row],[Cobertura-BERIPLEX]]&gt;Cob_Max_REP,Vlr_Max_REP,VLOOKUP(VIEW_IV_2019_REP_CALCULO[[#This Row],[Cobertura-BERIPLEX]],Tabela_Valores_REP,2,1)))*VIEW_IV_2019_REP_CALCULO[[#This Row],[Peso-BERIPLEX]]</f>
        <v>0</v>
      </c>
      <c r="AK70" s="65">
        <f>IF(VIEW_IV_2019_REP_CALCULO[[#This Row],[Cobertura-HAEMO]]&lt;Cob_Min_REP,0,IF(VIEW_IV_2019_REP_CALCULO[[#This Row],[Cobertura-HAEMO]]&gt;Cob_Max_REP,Vlr_Max_REP,VLOOKUP(VIEW_IV_2019_REP_CALCULO[[#This Row],[Cobertura-HAEMO]],Tabela_Valores_REP,2,1)))*VIEW_IV_2019_REP_CALCULO[[#This Row],[Peso-HAEMO]]</f>
        <v>0</v>
      </c>
      <c r="AL70" s="65">
        <f>IF(VIEW_IV_2019_REP_CALCULO[[#This Row],[Cobertura-HIZENTRA]]&lt;Cob_Min_REP,0,IF(VIEW_IV_2019_REP_CALCULO[[#This Row],[Cobertura-HIZENTRA]]&gt;Cob_Max_REP,Vlr_Max_REP,VLOOKUP(VIEW_IV_2019_REP_CALCULO[[#This Row],[Cobertura-HIZENTRA]],Tabela_Valores_REP,2,1)))*VIEW_IV_2019_REP_CALCULO[[#This Row],[Peso-HIZENTRA]]</f>
        <v>0</v>
      </c>
      <c r="AM70" s="65">
        <f>IF(VIEW_IV_2019_REP_CALCULO[[#This Row],[Cobertura-PRIVIGEN]]&lt;Cob_Min_REP,0,IF(VIEW_IV_2019_REP_CALCULO[[#This Row],[Cobertura-PRIVIGEN]]&gt;Cob_Max_REP,Vlr_Max_REP,VLOOKUP(VIEW_IV_2019_REP_CALCULO[[#This Row],[Cobertura-PRIVIGEN]],Tabela_Valores_REP,2,1)))*VIEW_IV_2019_REP_CALCULO[[#This Row],[Peso-PRIVIGEN]]</f>
        <v>0</v>
      </c>
      <c r="AN70" s="102">
        <f>SUM(VIEW_IV_2019_REP_CALCULO[[#This Row],[Premio-BERINERT]:[Premio-PRIVIGEN]])</f>
        <v>0</v>
      </c>
      <c r="AX70" s="3"/>
      <c r="AY70" s="3"/>
      <c r="AZ70" s="3"/>
      <c r="BA70" s="3"/>
      <c r="BB70" s="3"/>
    </row>
    <row r="71" spans="1:54" x14ac:dyDescent="0.2">
      <c r="A71" s="7" t="s">
        <v>16</v>
      </c>
      <c r="B71" s="7" t="s">
        <v>65</v>
      </c>
      <c r="C71" s="7" t="s">
        <v>66</v>
      </c>
      <c r="D71" s="8" t="s">
        <v>770</v>
      </c>
      <c r="E71" s="8" t="s">
        <v>771</v>
      </c>
      <c r="F71" s="8" t="s">
        <v>730</v>
      </c>
      <c r="G71" s="8" t="s">
        <v>787</v>
      </c>
      <c r="H71" s="13" t="b">
        <v>1</v>
      </c>
      <c r="I71" s="13" t="b">
        <v>0</v>
      </c>
      <c r="J71" s="10">
        <v>48</v>
      </c>
      <c r="K71" s="10">
        <v>0</v>
      </c>
      <c r="L71" s="10">
        <v>0</v>
      </c>
      <c r="M71" s="10">
        <v>936</v>
      </c>
      <c r="N71" s="10">
        <v>6955</v>
      </c>
      <c r="O71" s="10">
        <v>0</v>
      </c>
      <c r="P71" s="10">
        <v>0</v>
      </c>
      <c r="Q71" s="10">
        <v>0</v>
      </c>
      <c r="R71" s="10">
        <v>4</v>
      </c>
      <c r="S71" s="10">
        <v>1270</v>
      </c>
      <c r="T71" s="14" t="b">
        <v>0</v>
      </c>
      <c r="U71" s="14" t="b">
        <v>0</v>
      </c>
      <c r="V71" s="14" t="b">
        <v>0</v>
      </c>
      <c r="W71" s="14" t="b">
        <v>0</v>
      </c>
      <c r="X71" s="14" t="b">
        <v>0</v>
      </c>
      <c r="Y71" s="55">
        <v>0</v>
      </c>
      <c r="Z71" s="55">
        <v>0</v>
      </c>
      <c r="AA71" s="55">
        <v>0</v>
      </c>
      <c r="AB71" s="55">
        <v>0</v>
      </c>
      <c r="AC71" s="55">
        <v>0.18</v>
      </c>
      <c r="AD71" s="62">
        <v>0</v>
      </c>
      <c r="AE71" s="62">
        <v>0</v>
      </c>
      <c r="AF71" s="62">
        <v>0</v>
      </c>
      <c r="AG71" s="62">
        <v>0</v>
      </c>
      <c r="AH71" s="62">
        <v>0</v>
      </c>
      <c r="AI71" s="66">
        <f>IF(VIEW_IV_2019_REP_CALCULO[[#This Row],[Cobertura-BERINERT]]&lt;Cob_Min_REP,0,IF(VIEW_IV_2019_REP_CALCULO[[#This Row],[Cobertura-BERINERT]]&gt;Cob_Max_REP,Vlr_Max_REP,VLOOKUP(VIEW_IV_2019_REP_CALCULO[[#This Row],[Cobertura-BERINERT]],Tabela_Valores_REP,2,1)))*VIEW_IV_2019_REP_CALCULO[[#This Row],[Peso-BERINERT]]</f>
        <v>0</v>
      </c>
      <c r="AJ71" s="65">
        <f>IF(VIEW_IV_2019_REP_CALCULO[[#This Row],[Cobertura-BERIPLEX]]&lt;Cob_Min_REP,0,IF(VIEW_IV_2019_REP_CALCULO[[#This Row],[Cobertura-BERIPLEX]]&gt;Cob_Max_REP,Vlr_Max_REP,VLOOKUP(VIEW_IV_2019_REP_CALCULO[[#This Row],[Cobertura-BERIPLEX]],Tabela_Valores_REP,2,1)))*VIEW_IV_2019_REP_CALCULO[[#This Row],[Peso-BERIPLEX]]</f>
        <v>0</v>
      </c>
      <c r="AK71" s="65">
        <f>IF(VIEW_IV_2019_REP_CALCULO[[#This Row],[Cobertura-HAEMO]]&lt;Cob_Min_REP,0,IF(VIEW_IV_2019_REP_CALCULO[[#This Row],[Cobertura-HAEMO]]&gt;Cob_Max_REP,Vlr_Max_REP,VLOOKUP(VIEW_IV_2019_REP_CALCULO[[#This Row],[Cobertura-HAEMO]],Tabela_Valores_REP,2,1)))*VIEW_IV_2019_REP_CALCULO[[#This Row],[Peso-HAEMO]]</f>
        <v>0</v>
      </c>
      <c r="AL71" s="65">
        <f>IF(VIEW_IV_2019_REP_CALCULO[[#This Row],[Cobertura-HIZENTRA]]&lt;Cob_Min_REP,0,IF(VIEW_IV_2019_REP_CALCULO[[#This Row],[Cobertura-HIZENTRA]]&gt;Cob_Max_REP,Vlr_Max_REP,VLOOKUP(VIEW_IV_2019_REP_CALCULO[[#This Row],[Cobertura-HIZENTRA]],Tabela_Valores_REP,2,1)))*VIEW_IV_2019_REP_CALCULO[[#This Row],[Peso-HIZENTRA]]</f>
        <v>0</v>
      </c>
      <c r="AM71" s="65">
        <f>IF(VIEW_IV_2019_REP_CALCULO[[#This Row],[Cobertura-PRIVIGEN]]&lt;Cob_Min_REP,0,IF(VIEW_IV_2019_REP_CALCULO[[#This Row],[Cobertura-PRIVIGEN]]&gt;Cob_Max_REP,Vlr_Max_REP,VLOOKUP(VIEW_IV_2019_REP_CALCULO[[#This Row],[Cobertura-PRIVIGEN]],Tabela_Valores_REP,2,1)))*VIEW_IV_2019_REP_CALCULO[[#This Row],[Peso-PRIVIGEN]]</f>
        <v>0</v>
      </c>
      <c r="AN71" s="102">
        <f>SUM(VIEW_IV_2019_REP_CALCULO[[#This Row],[Premio-BERINERT]:[Premio-PRIVIGEN]])</f>
        <v>0</v>
      </c>
      <c r="AX71" s="3"/>
      <c r="AY71" s="3"/>
      <c r="AZ71" s="3"/>
      <c r="BA71" s="3"/>
      <c r="BB71" s="3"/>
    </row>
    <row r="72" spans="1:54" x14ac:dyDescent="0.2">
      <c r="A72" s="7" t="s">
        <v>16</v>
      </c>
      <c r="B72" s="7" t="s">
        <v>65</v>
      </c>
      <c r="C72" s="7" t="s">
        <v>66</v>
      </c>
      <c r="D72" s="8" t="s">
        <v>737</v>
      </c>
      <c r="E72" s="8" t="s">
        <v>738</v>
      </c>
      <c r="F72" s="8" t="s">
        <v>739</v>
      </c>
      <c r="G72" s="8" t="s">
        <v>785</v>
      </c>
      <c r="H72" s="13" t="b">
        <v>1</v>
      </c>
      <c r="I72" s="13" t="b">
        <v>1</v>
      </c>
      <c r="J72" s="10">
        <v>14</v>
      </c>
      <c r="K72" s="10">
        <v>88</v>
      </c>
      <c r="L72" s="10">
        <v>60</v>
      </c>
      <c r="M72" s="10">
        <v>156</v>
      </c>
      <c r="N72" s="10">
        <v>3210</v>
      </c>
      <c r="O72" s="10">
        <v>0</v>
      </c>
      <c r="P72" s="10">
        <v>0</v>
      </c>
      <c r="Q72" s="10">
        <v>3</v>
      </c>
      <c r="R72" s="10">
        <v>9</v>
      </c>
      <c r="S72" s="10">
        <v>1445</v>
      </c>
      <c r="T72" s="14" t="b">
        <v>0</v>
      </c>
      <c r="U72" s="14" t="b">
        <v>0</v>
      </c>
      <c r="V72" s="14" t="b">
        <v>0</v>
      </c>
      <c r="W72" s="14" t="b">
        <v>0</v>
      </c>
      <c r="X72" s="14" t="b">
        <v>0</v>
      </c>
      <c r="Y72" s="55">
        <v>0</v>
      </c>
      <c r="Z72" s="55">
        <v>0</v>
      </c>
      <c r="AA72" s="55">
        <v>0.05</v>
      </c>
      <c r="AB72" s="55">
        <v>0.06</v>
      </c>
      <c r="AC72" s="55">
        <v>0.45</v>
      </c>
      <c r="AD72" s="62">
        <v>0.05</v>
      </c>
      <c r="AE72" s="62">
        <v>0.15</v>
      </c>
      <c r="AF72" s="62">
        <v>0.15</v>
      </c>
      <c r="AG72" s="62">
        <v>0.2</v>
      </c>
      <c r="AH72" s="62">
        <v>0.15</v>
      </c>
      <c r="AI72" s="66">
        <f>IF(VIEW_IV_2019_REP_CALCULO[[#This Row],[Cobertura-BERINERT]]&lt;Cob_Min_REP,0,IF(VIEW_IV_2019_REP_CALCULO[[#This Row],[Cobertura-BERINERT]]&gt;Cob_Max_REP,Vlr_Max_REP,VLOOKUP(VIEW_IV_2019_REP_CALCULO[[#This Row],[Cobertura-BERINERT]],Tabela_Valores_REP,2,1)))*VIEW_IV_2019_REP_CALCULO[[#This Row],[Peso-BERINERT]]</f>
        <v>0</v>
      </c>
      <c r="AJ72" s="65">
        <f>IF(VIEW_IV_2019_REP_CALCULO[[#This Row],[Cobertura-BERIPLEX]]&lt;Cob_Min_REP,0,IF(VIEW_IV_2019_REP_CALCULO[[#This Row],[Cobertura-BERIPLEX]]&gt;Cob_Max_REP,Vlr_Max_REP,VLOOKUP(VIEW_IV_2019_REP_CALCULO[[#This Row],[Cobertura-BERIPLEX]],Tabela_Valores_REP,2,1)))*VIEW_IV_2019_REP_CALCULO[[#This Row],[Peso-BERIPLEX]]</f>
        <v>0</v>
      </c>
      <c r="AK72" s="65">
        <f>IF(VIEW_IV_2019_REP_CALCULO[[#This Row],[Cobertura-HAEMO]]&lt;Cob_Min_REP,0,IF(VIEW_IV_2019_REP_CALCULO[[#This Row],[Cobertura-HAEMO]]&gt;Cob_Max_REP,Vlr_Max_REP,VLOOKUP(VIEW_IV_2019_REP_CALCULO[[#This Row],[Cobertura-HAEMO]],Tabela_Valores_REP,2,1)))*VIEW_IV_2019_REP_CALCULO[[#This Row],[Peso-HAEMO]]</f>
        <v>0</v>
      </c>
      <c r="AL72" s="65">
        <f>IF(VIEW_IV_2019_REP_CALCULO[[#This Row],[Cobertura-HIZENTRA]]&lt;Cob_Min_REP,0,IF(VIEW_IV_2019_REP_CALCULO[[#This Row],[Cobertura-HIZENTRA]]&gt;Cob_Max_REP,Vlr_Max_REP,VLOOKUP(VIEW_IV_2019_REP_CALCULO[[#This Row],[Cobertura-HIZENTRA]],Tabela_Valores_REP,2,1)))*VIEW_IV_2019_REP_CALCULO[[#This Row],[Peso-HIZENTRA]]</f>
        <v>0</v>
      </c>
      <c r="AM72" s="65">
        <f>IF(VIEW_IV_2019_REP_CALCULO[[#This Row],[Cobertura-PRIVIGEN]]&lt;Cob_Min_REP,0,IF(VIEW_IV_2019_REP_CALCULO[[#This Row],[Cobertura-PRIVIGEN]]&gt;Cob_Max_REP,Vlr_Max_REP,VLOOKUP(VIEW_IV_2019_REP_CALCULO[[#This Row],[Cobertura-PRIVIGEN]],Tabela_Valores_REP,2,1)))*VIEW_IV_2019_REP_CALCULO[[#This Row],[Peso-PRIVIGEN]]</f>
        <v>0</v>
      </c>
      <c r="AN72" s="102">
        <f>SUM(VIEW_IV_2019_REP_CALCULO[[#This Row],[Premio-BERINERT]:[Premio-PRIVIGEN]])</f>
        <v>0</v>
      </c>
      <c r="AX72" s="3"/>
      <c r="AY72" s="3"/>
      <c r="AZ72" s="3"/>
      <c r="BA72" s="3"/>
      <c r="BB72" s="3"/>
    </row>
    <row r="73" spans="1:54" x14ac:dyDescent="0.2">
      <c r="A73" s="7" t="s">
        <v>16</v>
      </c>
      <c r="B73" s="7" t="s">
        <v>65</v>
      </c>
      <c r="C73" s="7" t="s">
        <v>66</v>
      </c>
      <c r="D73" s="8" t="s">
        <v>780</v>
      </c>
      <c r="E73" s="8" t="s">
        <v>781</v>
      </c>
      <c r="F73" s="8" t="s">
        <v>739</v>
      </c>
      <c r="G73" s="8" t="s">
        <v>791</v>
      </c>
      <c r="H73" s="13" t="b">
        <v>1</v>
      </c>
      <c r="I73" s="13" t="b">
        <v>1</v>
      </c>
      <c r="J73" s="10">
        <v>48</v>
      </c>
      <c r="K73" s="10">
        <v>44</v>
      </c>
      <c r="L73" s="10">
        <v>15</v>
      </c>
      <c r="M73" s="10">
        <v>858</v>
      </c>
      <c r="N73" s="10">
        <v>1605</v>
      </c>
      <c r="O73" s="10">
        <v>0</v>
      </c>
      <c r="P73" s="10">
        <v>0</v>
      </c>
      <c r="Q73" s="10">
        <v>0</v>
      </c>
      <c r="R73" s="10">
        <v>161</v>
      </c>
      <c r="S73" s="10">
        <v>1760</v>
      </c>
      <c r="T73" s="14" t="b">
        <v>0</v>
      </c>
      <c r="U73" s="14" t="b">
        <v>0</v>
      </c>
      <c r="V73" s="14" t="b">
        <v>0</v>
      </c>
      <c r="W73" s="14" t="b">
        <v>0</v>
      </c>
      <c r="X73" s="14" t="b">
        <v>0</v>
      </c>
      <c r="Y73" s="55">
        <v>0</v>
      </c>
      <c r="Z73" s="55">
        <v>0</v>
      </c>
      <c r="AA73" s="55">
        <v>0</v>
      </c>
      <c r="AB73" s="55">
        <v>0.19</v>
      </c>
      <c r="AC73" s="55">
        <v>1.1000000000000001</v>
      </c>
      <c r="AD73" s="62">
        <v>0.05</v>
      </c>
      <c r="AE73" s="62">
        <v>0.15</v>
      </c>
      <c r="AF73" s="62">
        <v>0.15</v>
      </c>
      <c r="AG73" s="62">
        <v>0.2</v>
      </c>
      <c r="AH73" s="62">
        <v>0.15</v>
      </c>
      <c r="AI73" s="66">
        <f>IF(VIEW_IV_2019_REP_CALCULO[[#This Row],[Cobertura-BERINERT]]&lt;Cob_Min_REP,0,IF(VIEW_IV_2019_REP_CALCULO[[#This Row],[Cobertura-BERINERT]]&gt;Cob_Max_REP,Vlr_Max_REP,VLOOKUP(VIEW_IV_2019_REP_CALCULO[[#This Row],[Cobertura-BERINERT]],Tabela_Valores_REP,2,1)))*VIEW_IV_2019_REP_CALCULO[[#This Row],[Peso-BERINERT]]</f>
        <v>0</v>
      </c>
      <c r="AJ73" s="65">
        <f>IF(VIEW_IV_2019_REP_CALCULO[[#This Row],[Cobertura-BERIPLEX]]&lt;Cob_Min_REP,0,IF(VIEW_IV_2019_REP_CALCULO[[#This Row],[Cobertura-BERIPLEX]]&gt;Cob_Max_REP,Vlr_Max_REP,VLOOKUP(VIEW_IV_2019_REP_CALCULO[[#This Row],[Cobertura-BERIPLEX]],Tabela_Valores_REP,2,1)))*VIEW_IV_2019_REP_CALCULO[[#This Row],[Peso-BERIPLEX]]</f>
        <v>0</v>
      </c>
      <c r="AK73" s="65">
        <f>IF(VIEW_IV_2019_REP_CALCULO[[#This Row],[Cobertura-HAEMO]]&lt;Cob_Min_REP,0,IF(VIEW_IV_2019_REP_CALCULO[[#This Row],[Cobertura-HAEMO]]&gt;Cob_Max_REP,Vlr_Max_REP,VLOOKUP(VIEW_IV_2019_REP_CALCULO[[#This Row],[Cobertura-HAEMO]],Tabela_Valores_REP,2,1)))*VIEW_IV_2019_REP_CALCULO[[#This Row],[Peso-HAEMO]]</f>
        <v>0</v>
      </c>
      <c r="AL73" s="65">
        <f>IF(VIEW_IV_2019_REP_CALCULO[[#This Row],[Cobertura-HIZENTRA]]&lt;Cob_Min_REP,0,IF(VIEW_IV_2019_REP_CALCULO[[#This Row],[Cobertura-HIZENTRA]]&gt;Cob_Max_REP,Vlr_Max_REP,VLOOKUP(VIEW_IV_2019_REP_CALCULO[[#This Row],[Cobertura-HIZENTRA]],Tabela_Valores_REP,2,1)))*VIEW_IV_2019_REP_CALCULO[[#This Row],[Peso-HIZENTRA]]</f>
        <v>0</v>
      </c>
      <c r="AM73" s="65">
        <f>IF(VIEW_IV_2019_REP_CALCULO[[#This Row],[Cobertura-PRIVIGEN]]&lt;Cob_Min_REP,0,IF(VIEW_IV_2019_REP_CALCULO[[#This Row],[Cobertura-PRIVIGEN]]&gt;Cob_Max_REP,Vlr_Max_REP,VLOOKUP(VIEW_IV_2019_REP_CALCULO[[#This Row],[Cobertura-PRIVIGEN]],Tabela_Valores_REP,2,1)))*VIEW_IV_2019_REP_CALCULO[[#This Row],[Peso-PRIVIGEN]]</f>
        <v>750.18352960356822</v>
      </c>
      <c r="AN73" s="102">
        <f>SUM(VIEW_IV_2019_REP_CALCULO[[#This Row],[Premio-BERINERT]:[Premio-PRIVIGEN]])</f>
        <v>750.18352960356822</v>
      </c>
      <c r="AX73" s="3"/>
      <c r="AY73" s="3"/>
      <c r="AZ73" s="3"/>
      <c r="BA73" s="3"/>
      <c r="BB73" s="3"/>
    </row>
    <row r="74" spans="1:54" x14ac:dyDescent="0.2">
      <c r="A74" s="7" t="s">
        <v>16</v>
      </c>
      <c r="B74" s="7" t="s">
        <v>65</v>
      </c>
      <c r="C74" s="7" t="s">
        <v>66</v>
      </c>
      <c r="D74" s="8" t="s">
        <v>720</v>
      </c>
      <c r="E74" s="8" t="s">
        <v>721</v>
      </c>
      <c r="F74" s="8" t="s">
        <v>723</v>
      </c>
      <c r="G74" s="8" t="s">
        <v>785</v>
      </c>
      <c r="H74" s="13" t="b">
        <v>1</v>
      </c>
      <c r="I74" s="13" t="b">
        <v>1</v>
      </c>
      <c r="J74" s="10">
        <v>0</v>
      </c>
      <c r="K74" s="10">
        <v>132</v>
      </c>
      <c r="L74" s="10">
        <v>150</v>
      </c>
      <c r="M74" s="10">
        <v>0</v>
      </c>
      <c r="N74" s="10">
        <v>2675</v>
      </c>
      <c r="O74" s="10">
        <v>0</v>
      </c>
      <c r="P74" s="10">
        <v>28</v>
      </c>
      <c r="Q74" s="10">
        <v>6</v>
      </c>
      <c r="R74" s="10">
        <v>0</v>
      </c>
      <c r="S74" s="10">
        <v>260</v>
      </c>
      <c r="T74" s="14" t="b">
        <v>0</v>
      </c>
      <c r="U74" s="14" t="b">
        <v>0</v>
      </c>
      <c r="V74" s="14" t="b">
        <v>0</v>
      </c>
      <c r="W74" s="14" t="b">
        <v>0</v>
      </c>
      <c r="X74" s="14" t="b">
        <v>0</v>
      </c>
      <c r="Y74" s="55">
        <v>0</v>
      </c>
      <c r="Z74" s="55">
        <v>0.21</v>
      </c>
      <c r="AA74" s="55">
        <v>0.04</v>
      </c>
      <c r="AB74" s="55">
        <v>0</v>
      </c>
      <c r="AC74" s="55">
        <v>0.1</v>
      </c>
      <c r="AD74" s="62">
        <v>0</v>
      </c>
      <c r="AE74" s="62">
        <v>0.25</v>
      </c>
      <c r="AF74" s="62">
        <v>0.25</v>
      </c>
      <c r="AG74" s="62">
        <v>0</v>
      </c>
      <c r="AH74" s="62">
        <v>0.2</v>
      </c>
      <c r="AI74" s="66">
        <f>IF(VIEW_IV_2019_REP_CALCULO[[#This Row],[Cobertura-BERINERT]]&lt;Cob_Min_REP,0,IF(VIEW_IV_2019_REP_CALCULO[[#This Row],[Cobertura-BERINERT]]&gt;Cob_Max_REP,Vlr_Max_REP,VLOOKUP(VIEW_IV_2019_REP_CALCULO[[#This Row],[Cobertura-BERINERT]],Tabela_Valores_REP,2,1)))*VIEW_IV_2019_REP_CALCULO[[#This Row],[Peso-BERINERT]]</f>
        <v>0</v>
      </c>
      <c r="AJ74" s="65">
        <f>IF(VIEW_IV_2019_REP_CALCULO[[#This Row],[Cobertura-BERIPLEX]]&lt;Cob_Min_REP,0,IF(VIEW_IV_2019_REP_CALCULO[[#This Row],[Cobertura-BERIPLEX]]&gt;Cob_Max_REP,Vlr_Max_REP,VLOOKUP(VIEW_IV_2019_REP_CALCULO[[#This Row],[Cobertura-BERIPLEX]],Tabela_Valores_REP,2,1)))*VIEW_IV_2019_REP_CALCULO[[#This Row],[Peso-BERIPLEX]]</f>
        <v>0</v>
      </c>
      <c r="AK74" s="65">
        <f>IF(VIEW_IV_2019_REP_CALCULO[[#This Row],[Cobertura-HAEMO]]&lt;Cob_Min_REP,0,IF(VIEW_IV_2019_REP_CALCULO[[#This Row],[Cobertura-HAEMO]]&gt;Cob_Max_REP,Vlr_Max_REP,VLOOKUP(VIEW_IV_2019_REP_CALCULO[[#This Row],[Cobertura-HAEMO]],Tabela_Valores_REP,2,1)))*VIEW_IV_2019_REP_CALCULO[[#This Row],[Peso-HAEMO]]</f>
        <v>0</v>
      </c>
      <c r="AL74" s="65">
        <f>IF(VIEW_IV_2019_REP_CALCULO[[#This Row],[Cobertura-HIZENTRA]]&lt;Cob_Min_REP,0,IF(VIEW_IV_2019_REP_CALCULO[[#This Row],[Cobertura-HIZENTRA]]&gt;Cob_Max_REP,Vlr_Max_REP,VLOOKUP(VIEW_IV_2019_REP_CALCULO[[#This Row],[Cobertura-HIZENTRA]],Tabela_Valores_REP,2,1)))*VIEW_IV_2019_REP_CALCULO[[#This Row],[Peso-HIZENTRA]]</f>
        <v>0</v>
      </c>
      <c r="AM74" s="65">
        <f>IF(VIEW_IV_2019_REP_CALCULO[[#This Row],[Cobertura-PRIVIGEN]]&lt;Cob_Min_REP,0,IF(VIEW_IV_2019_REP_CALCULO[[#This Row],[Cobertura-PRIVIGEN]]&gt;Cob_Max_REP,Vlr_Max_REP,VLOOKUP(VIEW_IV_2019_REP_CALCULO[[#This Row],[Cobertura-PRIVIGEN]],Tabela_Valores_REP,2,1)))*VIEW_IV_2019_REP_CALCULO[[#This Row],[Peso-PRIVIGEN]]</f>
        <v>0</v>
      </c>
      <c r="AN74" s="102">
        <f>SUM(VIEW_IV_2019_REP_CALCULO[[#This Row],[Premio-BERINERT]:[Premio-PRIVIGEN]])</f>
        <v>0</v>
      </c>
      <c r="AX74" s="3"/>
      <c r="AY74" s="3"/>
      <c r="AZ74" s="3"/>
      <c r="BA74" s="3"/>
      <c r="BB74" s="3"/>
    </row>
    <row r="75" spans="1:54" x14ac:dyDescent="0.2">
      <c r="A75" s="7" t="s">
        <v>16</v>
      </c>
      <c r="B75" s="7" t="s">
        <v>65</v>
      </c>
      <c r="C75" s="7" t="s">
        <v>66</v>
      </c>
      <c r="D75" s="8" t="s">
        <v>724</v>
      </c>
      <c r="E75" s="8" t="s">
        <v>725</v>
      </c>
      <c r="F75" s="8" t="s">
        <v>723</v>
      </c>
      <c r="G75" s="8" t="s">
        <v>787</v>
      </c>
      <c r="H75" s="13" t="b">
        <v>1</v>
      </c>
      <c r="I75" s="13" t="b">
        <v>1</v>
      </c>
      <c r="J75" s="10">
        <v>0</v>
      </c>
      <c r="K75" s="10">
        <v>154</v>
      </c>
      <c r="L75" s="10">
        <v>180</v>
      </c>
      <c r="M75" s="10">
        <v>0</v>
      </c>
      <c r="N75" s="10">
        <v>4815</v>
      </c>
      <c r="O75" s="10">
        <v>0</v>
      </c>
      <c r="P75" s="10">
        <v>3</v>
      </c>
      <c r="Q75" s="10">
        <v>13</v>
      </c>
      <c r="R75" s="10">
        <v>0</v>
      </c>
      <c r="S75" s="10">
        <v>165</v>
      </c>
      <c r="T75" s="14" t="b">
        <v>0</v>
      </c>
      <c r="U75" s="14" t="b">
        <v>0</v>
      </c>
      <c r="V75" s="14" t="b">
        <v>0</v>
      </c>
      <c r="W75" s="14" t="b">
        <v>0</v>
      </c>
      <c r="X75" s="14" t="b">
        <v>0</v>
      </c>
      <c r="Y75" s="55">
        <v>0</v>
      </c>
      <c r="Z75" s="55">
        <v>0.02</v>
      </c>
      <c r="AA75" s="55">
        <v>7.0000000000000007E-2</v>
      </c>
      <c r="AB75" s="55">
        <v>0</v>
      </c>
      <c r="AC75" s="55">
        <v>0.03</v>
      </c>
      <c r="AD75" s="62">
        <v>0</v>
      </c>
      <c r="AE75" s="62">
        <v>0.25</v>
      </c>
      <c r="AF75" s="62">
        <v>0.25</v>
      </c>
      <c r="AG75" s="62">
        <v>0</v>
      </c>
      <c r="AH75" s="62">
        <v>0.2</v>
      </c>
      <c r="AI75" s="66">
        <f>IF(VIEW_IV_2019_REP_CALCULO[[#This Row],[Cobertura-BERINERT]]&lt;Cob_Min_REP,0,IF(VIEW_IV_2019_REP_CALCULO[[#This Row],[Cobertura-BERINERT]]&gt;Cob_Max_REP,Vlr_Max_REP,VLOOKUP(VIEW_IV_2019_REP_CALCULO[[#This Row],[Cobertura-BERINERT]],Tabela_Valores_REP,2,1)))*VIEW_IV_2019_REP_CALCULO[[#This Row],[Peso-BERINERT]]</f>
        <v>0</v>
      </c>
      <c r="AJ75" s="65">
        <f>IF(VIEW_IV_2019_REP_CALCULO[[#This Row],[Cobertura-BERIPLEX]]&lt;Cob_Min_REP,0,IF(VIEW_IV_2019_REP_CALCULO[[#This Row],[Cobertura-BERIPLEX]]&gt;Cob_Max_REP,Vlr_Max_REP,VLOOKUP(VIEW_IV_2019_REP_CALCULO[[#This Row],[Cobertura-BERIPLEX]],Tabela_Valores_REP,2,1)))*VIEW_IV_2019_REP_CALCULO[[#This Row],[Peso-BERIPLEX]]</f>
        <v>0</v>
      </c>
      <c r="AK75" s="65">
        <f>IF(VIEW_IV_2019_REP_CALCULO[[#This Row],[Cobertura-HAEMO]]&lt;Cob_Min_REP,0,IF(VIEW_IV_2019_REP_CALCULO[[#This Row],[Cobertura-HAEMO]]&gt;Cob_Max_REP,Vlr_Max_REP,VLOOKUP(VIEW_IV_2019_REP_CALCULO[[#This Row],[Cobertura-HAEMO]],Tabela_Valores_REP,2,1)))*VIEW_IV_2019_REP_CALCULO[[#This Row],[Peso-HAEMO]]</f>
        <v>0</v>
      </c>
      <c r="AL75" s="65">
        <f>IF(VIEW_IV_2019_REP_CALCULO[[#This Row],[Cobertura-HIZENTRA]]&lt;Cob_Min_REP,0,IF(VIEW_IV_2019_REP_CALCULO[[#This Row],[Cobertura-HIZENTRA]]&gt;Cob_Max_REP,Vlr_Max_REP,VLOOKUP(VIEW_IV_2019_REP_CALCULO[[#This Row],[Cobertura-HIZENTRA]],Tabela_Valores_REP,2,1)))*VIEW_IV_2019_REP_CALCULO[[#This Row],[Peso-HIZENTRA]]</f>
        <v>0</v>
      </c>
      <c r="AM75" s="65">
        <f>IF(VIEW_IV_2019_REP_CALCULO[[#This Row],[Cobertura-PRIVIGEN]]&lt;Cob_Min_REP,0,IF(VIEW_IV_2019_REP_CALCULO[[#This Row],[Cobertura-PRIVIGEN]]&gt;Cob_Max_REP,Vlr_Max_REP,VLOOKUP(VIEW_IV_2019_REP_CALCULO[[#This Row],[Cobertura-PRIVIGEN]],Tabela_Valores_REP,2,1)))*VIEW_IV_2019_REP_CALCULO[[#This Row],[Peso-PRIVIGEN]]</f>
        <v>0</v>
      </c>
      <c r="AN75" s="102">
        <f>SUM(VIEW_IV_2019_REP_CALCULO[[#This Row],[Premio-BERINERT]:[Premio-PRIVIGEN]])</f>
        <v>0</v>
      </c>
      <c r="AX75" s="3"/>
      <c r="AY75" s="3"/>
      <c r="AZ75" s="3"/>
      <c r="BA75" s="3"/>
      <c r="BB75" s="3"/>
    </row>
    <row r="76" spans="1:54" x14ac:dyDescent="0.2">
      <c r="A76" s="7" t="s">
        <v>16</v>
      </c>
      <c r="B76" s="7" t="s">
        <v>65</v>
      </c>
      <c r="C76" s="7" t="s">
        <v>66</v>
      </c>
      <c r="D76" s="8" t="s">
        <v>726</v>
      </c>
      <c r="E76" s="8" t="s">
        <v>727</v>
      </c>
      <c r="F76" s="8" t="s">
        <v>723</v>
      </c>
      <c r="G76" s="8" t="s">
        <v>787</v>
      </c>
      <c r="H76" s="13" t="b">
        <v>1</v>
      </c>
      <c r="I76" s="13" t="b">
        <v>1</v>
      </c>
      <c r="J76" s="10">
        <v>0</v>
      </c>
      <c r="K76" s="10">
        <v>132</v>
      </c>
      <c r="L76" s="10">
        <v>75</v>
      </c>
      <c r="M76" s="10">
        <v>0</v>
      </c>
      <c r="N76" s="10">
        <v>6420</v>
      </c>
      <c r="O76" s="10">
        <v>0</v>
      </c>
      <c r="P76" s="10">
        <v>0</v>
      </c>
      <c r="Q76" s="10">
        <v>12</v>
      </c>
      <c r="R76" s="10">
        <v>0</v>
      </c>
      <c r="S76" s="10">
        <v>600</v>
      </c>
      <c r="T76" s="14" t="b">
        <v>0</v>
      </c>
      <c r="U76" s="14" t="b">
        <v>0</v>
      </c>
      <c r="V76" s="14" t="b">
        <v>0</v>
      </c>
      <c r="W76" s="14" t="b">
        <v>0</v>
      </c>
      <c r="X76" s="14" t="b">
        <v>0</v>
      </c>
      <c r="Y76" s="55">
        <v>0</v>
      </c>
      <c r="Z76" s="55">
        <v>0</v>
      </c>
      <c r="AA76" s="55">
        <v>0.16</v>
      </c>
      <c r="AB76" s="55">
        <v>0</v>
      </c>
      <c r="AC76" s="55">
        <v>0.09</v>
      </c>
      <c r="AD76" s="62">
        <v>0</v>
      </c>
      <c r="AE76" s="62">
        <v>0.25</v>
      </c>
      <c r="AF76" s="62">
        <v>0.25</v>
      </c>
      <c r="AG76" s="62">
        <v>0</v>
      </c>
      <c r="AH76" s="62">
        <v>0.2</v>
      </c>
      <c r="AI76" s="66">
        <f>IF(VIEW_IV_2019_REP_CALCULO[[#This Row],[Cobertura-BERINERT]]&lt;Cob_Min_REP,0,IF(VIEW_IV_2019_REP_CALCULO[[#This Row],[Cobertura-BERINERT]]&gt;Cob_Max_REP,Vlr_Max_REP,VLOOKUP(VIEW_IV_2019_REP_CALCULO[[#This Row],[Cobertura-BERINERT]],Tabela_Valores_REP,2,1)))*VIEW_IV_2019_REP_CALCULO[[#This Row],[Peso-BERINERT]]</f>
        <v>0</v>
      </c>
      <c r="AJ76" s="65">
        <f>IF(VIEW_IV_2019_REP_CALCULO[[#This Row],[Cobertura-BERIPLEX]]&lt;Cob_Min_REP,0,IF(VIEW_IV_2019_REP_CALCULO[[#This Row],[Cobertura-BERIPLEX]]&gt;Cob_Max_REP,Vlr_Max_REP,VLOOKUP(VIEW_IV_2019_REP_CALCULO[[#This Row],[Cobertura-BERIPLEX]],Tabela_Valores_REP,2,1)))*VIEW_IV_2019_REP_CALCULO[[#This Row],[Peso-BERIPLEX]]</f>
        <v>0</v>
      </c>
      <c r="AK76" s="65">
        <f>IF(VIEW_IV_2019_REP_CALCULO[[#This Row],[Cobertura-HAEMO]]&lt;Cob_Min_REP,0,IF(VIEW_IV_2019_REP_CALCULO[[#This Row],[Cobertura-HAEMO]]&gt;Cob_Max_REP,Vlr_Max_REP,VLOOKUP(VIEW_IV_2019_REP_CALCULO[[#This Row],[Cobertura-HAEMO]],Tabela_Valores_REP,2,1)))*VIEW_IV_2019_REP_CALCULO[[#This Row],[Peso-HAEMO]]</f>
        <v>0</v>
      </c>
      <c r="AL76" s="65">
        <f>IF(VIEW_IV_2019_REP_CALCULO[[#This Row],[Cobertura-HIZENTRA]]&lt;Cob_Min_REP,0,IF(VIEW_IV_2019_REP_CALCULO[[#This Row],[Cobertura-HIZENTRA]]&gt;Cob_Max_REP,Vlr_Max_REP,VLOOKUP(VIEW_IV_2019_REP_CALCULO[[#This Row],[Cobertura-HIZENTRA]],Tabela_Valores_REP,2,1)))*VIEW_IV_2019_REP_CALCULO[[#This Row],[Peso-HIZENTRA]]</f>
        <v>0</v>
      </c>
      <c r="AM76" s="65">
        <f>IF(VIEW_IV_2019_REP_CALCULO[[#This Row],[Cobertura-PRIVIGEN]]&lt;Cob_Min_REP,0,IF(VIEW_IV_2019_REP_CALCULO[[#This Row],[Cobertura-PRIVIGEN]]&gt;Cob_Max_REP,Vlr_Max_REP,VLOOKUP(VIEW_IV_2019_REP_CALCULO[[#This Row],[Cobertura-PRIVIGEN]],Tabela_Valores_REP,2,1)))*VIEW_IV_2019_REP_CALCULO[[#This Row],[Peso-PRIVIGEN]]</f>
        <v>0</v>
      </c>
      <c r="AN76" s="102">
        <f>SUM(VIEW_IV_2019_REP_CALCULO[[#This Row],[Premio-BERINERT]:[Premio-PRIVIGEN]])</f>
        <v>0</v>
      </c>
      <c r="AX76" s="3"/>
      <c r="AY76" s="3"/>
      <c r="AZ76" s="3"/>
      <c r="BA76" s="3"/>
      <c r="BB76" s="3"/>
    </row>
    <row r="77" spans="1:54" x14ac:dyDescent="0.2">
      <c r="A77" s="7" t="s">
        <v>16</v>
      </c>
      <c r="B77" s="7" t="s">
        <v>65</v>
      </c>
      <c r="C77" s="7" t="s">
        <v>66</v>
      </c>
      <c r="D77" s="8" t="s">
        <v>735</v>
      </c>
      <c r="E77" s="8" t="s">
        <v>736</v>
      </c>
      <c r="F77" s="8" t="s">
        <v>723</v>
      </c>
      <c r="G77" s="8" t="s">
        <v>785</v>
      </c>
      <c r="H77" s="13" t="b">
        <v>1</v>
      </c>
      <c r="I77" s="13" t="b">
        <v>1</v>
      </c>
      <c r="J77" s="10">
        <v>0</v>
      </c>
      <c r="K77" s="10">
        <v>88</v>
      </c>
      <c r="L77" s="10">
        <v>60</v>
      </c>
      <c r="M77" s="10">
        <v>0</v>
      </c>
      <c r="N77" s="10">
        <v>8025</v>
      </c>
      <c r="O77" s="10">
        <v>0</v>
      </c>
      <c r="P77" s="10">
        <v>2</v>
      </c>
      <c r="Q77" s="10">
        <v>3</v>
      </c>
      <c r="R77" s="10">
        <v>0</v>
      </c>
      <c r="S77" s="10">
        <v>3850</v>
      </c>
      <c r="T77" s="14" t="b">
        <v>0</v>
      </c>
      <c r="U77" s="14" t="b">
        <v>0</v>
      </c>
      <c r="V77" s="14" t="b">
        <v>0</v>
      </c>
      <c r="W77" s="14" t="b">
        <v>0</v>
      </c>
      <c r="X77" s="14" t="b">
        <v>0</v>
      </c>
      <c r="Y77" s="55">
        <v>0</v>
      </c>
      <c r="Z77" s="55">
        <v>0.02</v>
      </c>
      <c r="AA77" s="55">
        <v>0.05</v>
      </c>
      <c r="AB77" s="55">
        <v>0</v>
      </c>
      <c r="AC77" s="55">
        <v>0.48</v>
      </c>
      <c r="AD77" s="62">
        <v>0</v>
      </c>
      <c r="AE77" s="62">
        <v>0.25</v>
      </c>
      <c r="AF77" s="62">
        <v>0.25</v>
      </c>
      <c r="AG77" s="62">
        <v>0</v>
      </c>
      <c r="AH77" s="62">
        <v>0.2</v>
      </c>
      <c r="AI77" s="66">
        <f>IF(VIEW_IV_2019_REP_CALCULO[[#This Row],[Cobertura-BERINERT]]&lt;Cob_Min_REP,0,IF(VIEW_IV_2019_REP_CALCULO[[#This Row],[Cobertura-BERINERT]]&gt;Cob_Max_REP,Vlr_Max_REP,VLOOKUP(VIEW_IV_2019_REP_CALCULO[[#This Row],[Cobertura-BERINERT]],Tabela_Valores_REP,2,1)))*VIEW_IV_2019_REP_CALCULO[[#This Row],[Peso-BERINERT]]</f>
        <v>0</v>
      </c>
      <c r="AJ77" s="65">
        <f>IF(VIEW_IV_2019_REP_CALCULO[[#This Row],[Cobertura-BERIPLEX]]&lt;Cob_Min_REP,0,IF(VIEW_IV_2019_REP_CALCULO[[#This Row],[Cobertura-BERIPLEX]]&gt;Cob_Max_REP,Vlr_Max_REP,VLOOKUP(VIEW_IV_2019_REP_CALCULO[[#This Row],[Cobertura-BERIPLEX]],Tabela_Valores_REP,2,1)))*VIEW_IV_2019_REP_CALCULO[[#This Row],[Peso-BERIPLEX]]</f>
        <v>0</v>
      </c>
      <c r="AK77" s="65">
        <f>IF(VIEW_IV_2019_REP_CALCULO[[#This Row],[Cobertura-HAEMO]]&lt;Cob_Min_REP,0,IF(VIEW_IV_2019_REP_CALCULO[[#This Row],[Cobertura-HAEMO]]&gt;Cob_Max_REP,Vlr_Max_REP,VLOOKUP(VIEW_IV_2019_REP_CALCULO[[#This Row],[Cobertura-HAEMO]],Tabela_Valores_REP,2,1)))*VIEW_IV_2019_REP_CALCULO[[#This Row],[Peso-HAEMO]]</f>
        <v>0</v>
      </c>
      <c r="AL77" s="65">
        <f>IF(VIEW_IV_2019_REP_CALCULO[[#This Row],[Cobertura-HIZENTRA]]&lt;Cob_Min_REP,0,IF(VIEW_IV_2019_REP_CALCULO[[#This Row],[Cobertura-HIZENTRA]]&gt;Cob_Max_REP,Vlr_Max_REP,VLOOKUP(VIEW_IV_2019_REP_CALCULO[[#This Row],[Cobertura-HIZENTRA]],Tabela_Valores_REP,2,1)))*VIEW_IV_2019_REP_CALCULO[[#This Row],[Peso-HIZENTRA]]</f>
        <v>0</v>
      </c>
      <c r="AM77" s="65">
        <f>IF(VIEW_IV_2019_REP_CALCULO[[#This Row],[Cobertura-PRIVIGEN]]&lt;Cob_Min_REP,0,IF(VIEW_IV_2019_REP_CALCULO[[#This Row],[Cobertura-PRIVIGEN]]&gt;Cob_Max_REP,Vlr_Max_REP,VLOOKUP(VIEW_IV_2019_REP_CALCULO[[#This Row],[Cobertura-PRIVIGEN]],Tabela_Valores_REP,2,1)))*VIEW_IV_2019_REP_CALCULO[[#This Row],[Peso-PRIVIGEN]]</f>
        <v>0</v>
      </c>
      <c r="AN77" s="102">
        <f>SUM(VIEW_IV_2019_REP_CALCULO[[#This Row],[Premio-BERINERT]:[Premio-PRIVIGEN]])</f>
        <v>0</v>
      </c>
      <c r="AX77" s="3"/>
      <c r="AY77" s="3"/>
      <c r="AZ77" s="3"/>
      <c r="BA77" s="3"/>
      <c r="BB77" s="3"/>
    </row>
    <row r="78" spans="1:54" x14ac:dyDescent="0.2">
      <c r="A78" s="7" t="s">
        <v>16</v>
      </c>
      <c r="B78" s="7" t="s">
        <v>65</v>
      </c>
      <c r="C78" s="7" t="s">
        <v>66</v>
      </c>
      <c r="D78" s="8" t="s">
        <v>742</v>
      </c>
      <c r="E78" s="8" t="s">
        <v>743</v>
      </c>
      <c r="F78" s="8" t="s">
        <v>723</v>
      </c>
      <c r="G78" s="8" t="s">
        <v>791</v>
      </c>
      <c r="H78" s="13" t="b">
        <v>1</v>
      </c>
      <c r="I78" s="13" t="b">
        <v>1</v>
      </c>
      <c r="J78" s="10">
        <v>0</v>
      </c>
      <c r="K78" s="10">
        <v>242</v>
      </c>
      <c r="L78" s="10">
        <v>105</v>
      </c>
      <c r="M78" s="10">
        <v>0</v>
      </c>
      <c r="N78" s="10">
        <v>2675</v>
      </c>
      <c r="O78" s="10">
        <v>0</v>
      </c>
      <c r="P78" s="10">
        <v>70</v>
      </c>
      <c r="Q78" s="10">
        <v>14</v>
      </c>
      <c r="R78" s="10">
        <v>0</v>
      </c>
      <c r="S78" s="10">
        <v>1955</v>
      </c>
      <c r="T78" s="14" t="b">
        <v>0</v>
      </c>
      <c r="U78" s="14" t="b">
        <v>0</v>
      </c>
      <c r="V78" s="14" t="b">
        <v>0</v>
      </c>
      <c r="W78" s="14" t="b">
        <v>0</v>
      </c>
      <c r="X78" s="14" t="b">
        <v>0</v>
      </c>
      <c r="Y78" s="55">
        <v>0</v>
      </c>
      <c r="Z78" s="55">
        <v>0.28999999999999998</v>
      </c>
      <c r="AA78" s="55">
        <v>0.13</v>
      </c>
      <c r="AB78" s="55">
        <v>0</v>
      </c>
      <c r="AC78" s="55">
        <v>0.73</v>
      </c>
      <c r="AD78" s="62">
        <v>0</v>
      </c>
      <c r="AE78" s="62">
        <v>0.25</v>
      </c>
      <c r="AF78" s="62">
        <v>0.25</v>
      </c>
      <c r="AG78" s="62">
        <v>0</v>
      </c>
      <c r="AH78" s="62">
        <v>0.2</v>
      </c>
      <c r="AI78" s="66">
        <f>IF(VIEW_IV_2019_REP_CALCULO[[#This Row],[Cobertura-BERINERT]]&lt;Cob_Min_REP,0,IF(VIEW_IV_2019_REP_CALCULO[[#This Row],[Cobertura-BERINERT]]&gt;Cob_Max_REP,Vlr_Max_REP,VLOOKUP(VIEW_IV_2019_REP_CALCULO[[#This Row],[Cobertura-BERINERT]],Tabela_Valores_REP,2,1)))*VIEW_IV_2019_REP_CALCULO[[#This Row],[Peso-BERINERT]]</f>
        <v>0</v>
      </c>
      <c r="AJ78" s="65">
        <f>IF(VIEW_IV_2019_REP_CALCULO[[#This Row],[Cobertura-BERIPLEX]]&lt;Cob_Min_REP,0,IF(VIEW_IV_2019_REP_CALCULO[[#This Row],[Cobertura-BERIPLEX]]&gt;Cob_Max_REP,Vlr_Max_REP,VLOOKUP(VIEW_IV_2019_REP_CALCULO[[#This Row],[Cobertura-BERIPLEX]],Tabela_Valores_REP,2,1)))*VIEW_IV_2019_REP_CALCULO[[#This Row],[Peso-BERIPLEX]]</f>
        <v>0</v>
      </c>
      <c r="AK78" s="65">
        <f>IF(VIEW_IV_2019_REP_CALCULO[[#This Row],[Cobertura-HAEMO]]&lt;Cob_Min_REP,0,IF(VIEW_IV_2019_REP_CALCULO[[#This Row],[Cobertura-HAEMO]]&gt;Cob_Max_REP,Vlr_Max_REP,VLOOKUP(VIEW_IV_2019_REP_CALCULO[[#This Row],[Cobertura-HAEMO]],Tabela_Valores_REP,2,1)))*VIEW_IV_2019_REP_CALCULO[[#This Row],[Peso-HAEMO]]</f>
        <v>0</v>
      </c>
      <c r="AL78" s="65">
        <f>IF(VIEW_IV_2019_REP_CALCULO[[#This Row],[Cobertura-HIZENTRA]]&lt;Cob_Min_REP,0,IF(VIEW_IV_2019_REP_CALCULO[[#This Row],[Cobertura-HIZENTRA]]&gt;Cob_Max_REP,Vlr_Max_REP,VLOOKUP(VIEW_IV_2019_REP_CALCULO[[#This Row],[Cobertura-HIZENTRA]],Tabela_Valores_REP,2,1)))*VIEW_IV_2019_REP_CALCULO[[#This Row],[Peso-HIZENTRA]]</f>
        <v>0</v>
      </c>
      <c r="AM78" s="65">
        <f>IF(VIEW_IV_2019_REP_CALCULO[[#This Row],[Cobertura-PRIVIGEN]]&lt;Cob_Min_REP,0,IF(VIEW_IV_2019_REP_CALCULO[[#This Row],[Cobertura-PRIVIGEN]]&gt;Cob_Max_REP,Vlr_Max_REP,VLOOKUP(VIEW_IV_2019_REP_CALCULO[[#This Row],[Cobertura-PRIVIGEN]],Tabela_Valores_REP,2,1)))*VIEW_IV_2019_REP_CALCULO[[#This Row],[Peso-PRIVIGEN]]</f>
        <v>0</v>
      </c>
      <c r="AN78" s="102">
        <f>SUM(VIEW_IV_2019_REP_CALCULO[[#This Row],[Premio-BERINERT]:[Premio-PRIVIGEN]])</f>
        <v>0</v>
      </c>
      <c r="AX78" s="3"/>
      <c r="AY78" s="3"/>
      <c r="AZ78" s="3"/>
      <c r="BA78" s="3"/>
      <c r="BB78" s="3"/>
    </row>
    <row r="79" spans="1:54" x14ac:dyDescent="0.2">
      <c r="A79" s="7" t="s">
        <v>16</v>
      </c>
      <c r="B79" s="7" t="s">
        <v>65</v>
      </c>
      <c r="C79" s="7" t="s">
        <v>66</v>
      </c>
      <c r="D79" s="8" t="s">
        <v>744</v>
      </c>
      <c r="E79" s="8" t="s">
        <v>745</v>
      </c>
      <c r="F79" s="8" t="s">
        <v>723</v>
      </c>
      <c r="G79" s="8" t="s">
        <v>791</v>
      </c>
      <c r="H79" s="13" t="b">
        <v>1</v>
      </c>
      <c r="I79" s="13" t="b">
        <v>1</v>
      </c>
      <c r="J79" s="10">
        <v>0</v>
      </c>
      <c r="K79" s="10">
        <v>198</v>
      </c>
      <c r="L79" s="10">
        <v>165</v>
      </c>
      <c r="M79" s="10">
        <v>0</v>
      </c>
      <c r="N79" s="10">
        <v>1605</v>
      </c>
      <c r="O79" s="10">
        <v>0</v>
      </c>
      <c r="P79" s="10">
        <v>0</v>
      </c>
      <c r="Q79" s="10">
        <v>140</v>
      </c>
      <c r="R79" s="10">
        <v>0</v>
      </c>
      <c r="S79" s="10">
        <v>0</v>
      </c>
      <c r="T79" s="14" t="b">
        <v>0</v>
      </c>
      <c r="U79" s="14" t="b">
        <v>0</v>
      </c>
      <c r="V79" s="14" t="b">
        <v>0</v>
      </c>
      <c r="W79" s="14" t="b">
        <v>0</v>
      </c>
      <c r="X79" s="14" t="b">
        <v>0</v>
      </c>
      <c r="Y79" s="55">
        <v>0</v>
      </c>
      <c r="Z79" s="55">
        <v>0</v>
      </c>
      <c r="AA79" s="55">
        <v>0.85</v>
      </c>
      <c r="AB79" s="55">
        <v>0</v>
      </c>
      <c r="AC79" s="55">
        <v>0</v>
      </c>
      <c r="AD79" s="62">
        <v>0</v>
      </c>
      <c r="AE79" s="62">
        <v>0.25</v>
      </c>
      <c r="AF79" s="62">
        <v>0.25</v>
      </c>
      <c r="AG79" s="62">
        <v>0</v>
      </c>
      <c r="AH79" s="62">
        <v>0.2</v>
      </c>
      <c r="AI79" s="66">
        <f>IF(VIEW_IV_2019_REP_CALCULO[[#This Row],[Cobertura-BERINERT]]&lt;Cob_Min_REP,0,IF(VIEW_IV_2019_REP_CALCULO[[#This Row],[Cobertura-BERINERT]]&gt;Cob_Max_REP,Vlr_Max_REP,VLOOKUP(VIEW_IV_2019_REP_CALCULO[[#This Row],[Cobertura-BERINERT]],Tabela_Valores_REP,2,1)))*VIEW_IV_2019_REP_CALCULO[[#This Row],[Peso-BERINERT]]</f>
        <v>0</v>
      </c>
      <c r="AJ79" s="65">
        <f>IF(VIEW_IV_2019_REP_CALCULO[[#This Row],[Cobertura-BERIPLEX]]&lt;Cob_Min_REP,0,IF(VIEW_IV_2019_REP_CALCULO[[#This Row],[Cobertura-BERIPLEX]]&gt;Cob_Max_REP,Vlr_Max_REP,VLOOKUP(VIEW_IV_2019_REP_CALCULO[[#This Row],[Cobertura-BERIPLEX]],Tabela_Valores_REP,2,1)))*VIEW_IV_2019_REP_CALCULO[[#This Row],[Peso-BERIPLEX]]</f>
        <v>0</v>
      </c>
      <c r="AK79" s="65">
        <f>IF(VIEW_IV_2019_REP_CALCULO[[#This Row],[Cobertura-HAEMO]]&lt;Cob_Min_REP,0,IF(VIEW_IV_2019_REP_CALCULO[[#This Row],[Cobertura-HAEMO]]&gt;Cob_Max_REP,Vlr_Max_REP,VLOOKUP(VIEW_IV_2019_REP_CALCULO[[#This Row],[Cobertura-HAEMO]],Tabela_Valores_REP,2,1)))*VIEW_IV_2019_REP_CALCULO[[#This Row],[Peso-HAEMO]]</f>
        <v>383.11463600278285</v>
      </c>
      <c r="AL79" s="65">
        <f>IF(VIEW_IV_2019_REP_CALCULO[[#This Row],[Cobertura-HIZENTRA]]&lt;Cob_Min_REP,0,IF(VIEW_IV_2019_REP_CALCULO[[#This Row],[Cobertura-HIZENTRA]]&gt;Cob_Max_REP,Vlr_Max_REP,VLOOKUP(VIEW_IV_2019_REP_CALCULO[[#This Row],[Cobertura-HIZENTRA]],Tabela_Valores_REP,2,1)))*VIEW_IV_2019_REP_CALCULO[[#This Row],[Peso-HIZENTRA]]</f>
        <v>0</v>
      </c>
      <c r="AM79" s="65">
        <f>IF(VIEW_IV_2019_REP_CALCULO[[#This Row],[Cobertura-PRIVIGEN]]&lt;Cob_Min_REP,0,IF(VIEW_IV_2019_REP_CALCULO[[#This Row],[Cobertura-PRIVIGEN]]&gt;Cob_Max_REP,Vlr_Max_REP,VLOOKUP(VIEW_IV_2019_REP_CALCULO[[#This Row],[Cobertura-PRIVIGEN]],Tabela_Valores_REP,2,1)))*VIEW_IV_2019_REP_CALCULO[[#This Row],[Peso-PRIVIGEN]]</f>
        <v>0</v>
      </c>
      <c r="AN79" s="102">
        <f>SUM(VIEW_IV_2019_REP_CALCULO[[#This Row],[Premio-BERINERT]:[Premio-PRIVIGEN]])</f>
        <v>383.11463600278285</v>
      </c>
      <c r="AX79" s="3"/>
      <c r="AY79" s="3"/>
      <c r="AZ79" s="3"/>
      <c r="BA79" s="3"/>
      <c r="BB79" s="3"/>
    </row>
    <row r="80" spans="1:54" x14ac:dyDescent="0.2">
      <c r="A80" s="7" t="s">
        <v>16</v>
      </c>
      <c r="B80" s="7" t="s">
        <v>65</v>
      </c>
      <c r="C80" s="7" t="s">
        <v>66</v>
      </c>
      <c r="D80" s="8" t="s">
        <v>746</v>
      </c>
      <c r="E80" s="8" t="s">
        <v>747</v>
      </c>
      <c r="F80" s="8" t="s">
        <v>723</v>
      </c>
      <c r="G80" s="8" t="s">
        <v>791</v>
      </c>
      <c r="H80" s="13" t="b">
        <v>1</v>
      </c>
      <c r="I80" s="13" t="b">
        <v>1</v>
      </c>
      <c r="J80" s="10">
        <v>0</v>
      </c>
      <c r="K80" s="10">
        <v>176</v>
      </c>
      <c r="L80" s="10">
        <v>105</v>
      </c>
      <c r="M80" s="10">
        <v>0</v>
      </c>
      <c r="N80" s="10">
        <v>3210</v>
      </c>
      <c r="O80" s="10">
        <v>0</v>
      </c>
      <c r="P80" s="10">
        <v>57</v>
      </c>
      <c r="Q80" s="10">
        <v>0</v>
      </c>
      <c r="R80" s="10">
        <v>0</v>
      </c>
      <c r="S80" s="10">
        <v>100</v>
      </c>
      <c r="T80" s="14" t="b">
        <v>0</v>
      </c>
      <c r="U80" s="14" t="b">
        <v>0</v>
      </c>
      <c r="V80" s="14" t="b">
        <v>0</v>
      </c>
      <c r="W80" s="14" t="b">
        <v>0</v>
      </c>
      <c r="X80" s="14" t="b">
        <v>0</v>
      </c>
      <c r="Y80" s="55">
        <v>0</v>
      </c>
      <c r="Z80" s="55">
        <v>0.32</v>
      </c>
      <c r="AA80" s="55">
        <v>0</v>
      </c>
      <c r="AB80" s="55">
        <v>0</v>
      </c>
      <c r="AC80" s="55">
        <v>0.03</v>
      </c>
      <c r="AD80" s="62">
        <v>0</v>
      </c>
      <c r="AE80" s="62">
        <v>0.25</v>
      </c>
      <c r="AF80" s="62">
        <v>0.25</v>
      </c>
      <c r="AG80" s="62">
        <v>0</v>
      </c>
      <c r="AH80" s="62">
        <v>0.2</v>
      </c>
      <c r="AI80" s="66">
        <f>IF(VIEW_IV_2019_REP_CALCULO[[#This Row],[Cobertura-BERINERT]]&lt;Cob_Min_REP,0,IF(VIEW_IV_2019_REP_CALCULO[[#This Row],[Cobertura-BERINERT]]&gt;Cob_Max_REP,Vlr_Max_REP,VLOOKUP(VIEW_IV_2019_REP_CALCULO[[#This Row],[Cobertura-BERINERT]],Tabela_Valores_REP,2,1)))*VIEW_IV_2019_REP_CALCULO[[#This Row],[Peso-BERINERT]]</f>
        <v>0</v>
      </c>
      <c r="AJ80" s="65">
        <f>IF(VIEW_IV_2019_REP_CALCULO[[#This Row],[Cobertura-BERIPLEX]]&lt;Cob_Min_REP,0,IF(VIEW_IV_2019_REP_CALCULO[[#This Row],[Cobertura-BERIPLEX]]&gt;Cob_Max_REP,Vlr_Max_REP,VLOOKUP(VIEW_IV_2019_REP_CALCULO[[#This Row],[Cobertura-BERIPLEX]],Tabela_Valores_REP,2,1)))*VIEW_IV_2019_REP_CALCULO[[#This Row],[Peso-BERIPLEX]]</f>
        <v>0</v>
      </c>
      <c r="AK80" s="65">
        <f>IF(VIEW_IV_2019_REP_CALCULO[[#This Row],[Cobertura-HAEMO]]&lt;Cob_Min_REP,0,IF(VIEW_IV_2019_REP_CALCULO[[#This Row],[Cobertura-HAEMO]]&gt;Cob_Max_REP,Vlr_Max_REP,VLOOKUP(VIEW_IV_2019_REP_CALCULO[[#This Row],[Cobertura-HAEMO]],Tabela_Valores_REP,2,1)))*VIEW_IV_2019_REP_CALCULO[[#This Row],[Peso-HAEMO]]</f>
        <v>0</v>
      </c>
      <c r="AL80" s="65">
        <f>IF(VIEW_IV_2019_REP_CALCULO[[#This Row],[Cobertura-HIZENTRA]]&lt;Cob_Min_REP,0,IF(VIEW_IV_2019_REP_CALCULO[[#This Row],[Cobertura-HIZENTRA]]&gt;Cob_Max_REP,Vlr_Max_REP,VLOOKUP(VIEW_IV_2019_REP_CALCULO[[#This Row],[Cobertura-HIZENTRA]],Tabela_Valores_REP,2,1)))*VIEW_IV_2019_REP_CALCULO[[#This Row],[Peso-HIZENTRA]]</f>
        <v>0</v>
      </c>
      <c r="AM80" s="65">
        <f>IF(VIEW_IV_2019_REP_CALCULO[[#This Row],[Cobertura-PRIVIGEN]]&lt;Cob_Min_REP,0,IF(VIEW_IV_2019_REP_CALCULO[[#This Row],[Cobertura-PRIVIGEN]]&gt;Cob_Max_REP,Vlr_Max_REP,VLOOKUP(VIEW_IV_2019_REP_CALCULO[[#This Row],[Cobertura-PRIVIGEN]],Tabela_Valores_REP,2,1)))*VIEW_IV_2019_REP_CALCULO[[#This Row],[Peso-PRIVIGEN]]</f>
        <v>0</v>
      </c>
      <c r="AN80" s="102">
        <f>SUM(VIEW_IV_2019_REP_CALCULO[[#This Row],[Premio-BERINERT]:[Premio-PRIVIGEN]])</f>
        <v>0</v>
      </c>
      <c r="AX80" s="3"/>
      <c r="AY80" s="3"/>
      <c r="AZ80" s="3"/>
      <c r="BA80" s="3"/>
      <c r="BB80" s="3"/>
    </row>
    <row r="81" spans="1:54" x14ac:dyDescent="0.2">
      <c r="A81" s="7" t="s">
        <v>16</v>
      </c>
      <c r="B81" s="7" t="s">
        <v>65</v>
      </c>
      <c r="C81" s="7" t="s">
        <v>66</v>
      </c>
      <c r="D81" s="8" t="s">
        <v>748</v>
      </c>
      <c r="E81" s="8" t="s">
        <v>749</v>
      </c>
      <c r="F81" s="8" t="s">
        <v>723</v>
      </c>
      <c r="G81" s="8" t="s">
        <v>791</v>
      </c>
      <c r="H81" s="13" t="b">
        <v>1</v>
      </c>
      <c r="I81" s="13" t="b">
        <v>1</v>
      </c>
      <c r="J81" s="10">
        <v>0</v>
      </c>
      <c r="K81" s="10">
        <v>220</v>
      </c>
      <c r="L81" s="10">
        <v>60</v>
      </c>
      <c r="M81" s="10">
        <v>0</v>
      </c>
      <c r="N81" s="10">
        <v>1605</v>
      </c>
      <c r="O81" s="10">
        <v>0</v>
      </c>
      <c r="P81" s="10">
        <v>118</v>
      </c>
      <c r="Q81" s="10">
        <v>8</v>
      </c>
      <c r="R81" s="10">
        <v>0</v>
      </c>
      <c r="S81" s="10">
        <v>175</v>
      </c>
      <c r="T81" s="14" t="b">
        <v>0</v>
      </c>
      <c r="U81" s="14" t="b">
        <v>0</v>
      </c>
      <c r="V81" s="14" t="b">
        <v>0</v>
      </c>
      <c r="W81" s="14" t="b">
        <v>0</v>
      </c>
      <c r="X81" s="14" t="b">
        <v>0</v>
      </c>
      <c r="Y81" s="55">
        <v>0</v>
      </c>
      <c r="Z81" s="55">
        <v>0.54</v>
      </c>
      <c r="AA81" s="55">
        <v>0.13</v>
      </c>
      <c r="AB81" s="55">
        <v>0</v>
      </c>
      <c r="AC81" s="55">
        <v>0.11</v>
      </c>
      <c r="AD81" s="62">
        <v>0</v>
      </c>
      <c r="AE81" s="62">
        <v>0.25</v>
      </c>
      <c r="AF81" s="62">
        <v>0.25</v>
      </c>
      <c r="AG81" s="62">
        <v>0</v>
      </c>
      <c r="AH81" s="62">
        <v>0.2</v>
      </c>
      <c r="AI81" s="66">
        <f>IF(VIEW_IV_2019_REP_CALCULO[[#This Row],[Cobertura-BERINERT]]&lt;Cob_Min_REP,0,IF(VIEW_IV_2019_REP_CALCULO[[#This Row],[Cobertura-BERINERT]]&gt;Cob_Max_REP,Vlr_Max_REP,VLOOKUP(VIEW_IV_2019_REP_CALCULO[[#This Row],[Cobertura-BERINERT]],Tabela_Valores_REP,2,1)))*VIEW_IV_2019_REP_CALCULO[[#This Row],[Peso-BERINERT]]</f>
        <v>0</v>
      </c>
      <c r="AJ81" s="65">
        <f>IF(VIEW_IV_2019_REP_CALCULO[[#This Row],[Cobertura-BERIPLEX]]&lt;Cob_Min_REP,0,IF(VIEW_IV_2019_REP_CALCULO[[#This Row],[Cobertura-BERIPLEX]]&gt;Cob_Max_REP,Vlr_Max_REP,VLOOKUP(VIEW_IV_2019_REP_CALCULO[[#This Row],[Cobertura-BERIPLEX]],Tabela_Valores_REP,2,1)))*VIEW_IV_2019_REP_CALCULO[[#This Row],[Peso-BERIPLEX]]</f>
        <v>0</v>
      </c>
      <c r="AK81" s="65">
        <f>IF(VIEW_IV_2019_REP_CALCULO[[#This Row],[Cobertura-HAEMO]]&lt;Cob_Min_REP,0,IF(VIEW_IV_2019_REP_CALCULO[[#This Row],[Cobertura-HAEMO]]&gt;Cob_Max_REP,Vlr_Max_REP,VLOOKUP(VIEW_IV_2019_REP_CALCULO[[#This Row],[Cobertura-HAEMO]],Tabela_Valores_REP,2,1)))*VIEW_IV_2019_REP_CALCULO[[#This Row],[Peso-HAEMO]]</f>
        <v>0</v>
      </c>
      <c r="AL81" s="65">
        <f>IF(VIEW_IV_2019_REP_CALCULO[[#This Row],[Cobertura-HIZENTRA]]&lt;Cob_Min_REP,0,IF(VIEW_IV_2019_REP_CALCULO[[#This Row],[Cobertura-HIZENTRA]]&gt;Cob_Max_REP,Vlr_Max_REP,VLOOKUP(VIEW_IV_2019_REP_CALCULO[[#This Row],[Cobertura-HIZENTRA]],Tabela_Valores_REP,2,1)))*VIEW_IV_2019_REP_CALCULO[[#This Row],[Peso-HIZENTRA]]</f>
        <v>0</v>
      </c>
      <c r="AM81" s="65">
        <f>IF(VIEW_IV_2019_REP_CALCULO[[#This Row],[Cobertura-PRIVIGEN]]&lt;Cob_Min_REP,0,IF(VIEW_IV_2019_REP_CALCULO[[#This Row],[Cobertura-PRIVIGEN]]&gt;Cob_Max_REP,Vlr_Max_REP,VLOOKUP(VIEW_IV_2019_REP_CALCULO[[#This Row],[Cobertura-PRIVIGEN]],Tabela_Valores_REP,2,1)))*VIEW_IV_2019_REP_CALCULO[[#This Row],[Peso-PRIVIGEN]]</f>
        <v>0</v>
      </c>
      <c r="AN81" s="102">
        <f>SUM(VIEW_IV_2019_REP_CALCULO[[#This Row],[Premio-BERINERT]:[Premio-PRIVIGEN]])</f>
        <v>0</v>
      </c>
      <c r="AX81" s="3"/>
      <c r="AY81" s="3"/>
      <c r="AZ81" s="3"/>
      <c r="BA81" s="3"/>
      <c r="BB81" s="3"/>
    </row>
    <row r="82" spans="1:54" x14ac:dyDescent="0.2">
      <c r="A82" s="7" t="s">
        <v>16</v>
      </c>
      <c r="B82" s="7" t="s">
        <v>65</v>
      </c>
      <c r="C82" s="7" t="s">
        <v>66</v>
      </c>
      <c r="D82" s="8" t="s">
        <v>752</v>
      </c>
      <c r="E82" s="8" t="s">
        <v>753</v>
      </c>
      <c r="F82" s="8" t="s">
        <v>723</v>
      </c>
      <c r="G82" s="8" t="s">
        <v>785</v>
      </c>
      <c r="H82" s="13" t="b">
        <v>1</v>
      </c>
      <c r="I82" s="13" t="b">
        <v>1</v>
      </c>
      <c r="J82" s="10">
        <v>0</v>
      </c>
      <c r="K82" s="10">
        <v>132</v>
      </c>
      <c r="L82" s="10">
        <v>90</v>
      </c>
      <c r="M82" s="10">
        <v>0</v>
      </c>
      <c r="N82" s="10">
        <v>2675</v>
      </c>
      <c r="O82" s="10">
        <v>0</v>
      </c>
      <c r="P82" s="10">
        <v>31</v>
      </c>
      <c r="Q82" s="10">
        <v>13</v>
      </c>
      <c r="R82" s="10">
        <v>0</v>
      </c>
      <c r="S82" s="10">
        <v>255</v>
      </c>
      <c r="T82" s="14" t="b">
        <v>0</v>
      </c>
      <c r="U82" s="14" t="b">
        <v>0</v>
      </c>
      <c r="V82" s="14" t="b">
        <v>0</v>
      </c>
      <c r="W82" s="14" t="b">
        <v>0</v>
      </c>
      <c r="X82" s="14" t="b">
        <v>0</v>
      </c>
      <c r="Y82" s="55">
        <v>0</v>
      </c>
      <c r="Z82" s="55">
        <v>0.23</v>
      </c>
      <c r="AA82" s="55">
        <v>0.14000000000000001</v>
      </c>
      <c r="AB82" s="55">
        <v>0</v>
      </c>
      <c r="AC82" s="55">
        <v>0.1</v>
      </c>
      <c r="AD82" s="62">
        <v>0</v>
      </c>
      <c r="AE82" s="62">
        <v>0.25</v>
      </c>
      <c r="AF82" s="62">
        <v>0.25</v>
      </c>
      <c r="AG82" s="62">
        <v>0</v>
      </c>
      <c r="AH82" s="62">
        <v>0.2</v>
      </c>
      <c r="AI82" s="66">
        <f>IF(VIEW_IV_2019_REP_CALCULO[[#This Row],[Cobertura-BERINERT]]&lt;Cob_Min_REP,0,IF(VIEW_IV_2019_REP_CALCULO[[#This Row],[Cobertura-BERINERT]]&gt;Cob_Max_REP,Vlr_Max_REP,VLOOKUP(VIEW_IV_2019_REP_CALCULO[[#This Row],[Cobertura-BERINERT]],Tabela_Valores_REP,2,1)))*VIEW_IV_2019_REP_CALCULO[[#This Row],[Peso-BERINERT]]</f>
        <v>0</v>
      </c>
      <c r="AJ82" s="65">
        <f>IF(VIEW_IV_2019_REP_CALCULO[[#This Row],[Cobertura-BERIPLEX]]&lt;Cob_Min_REP,0,IF(VIEW_IV_2019_REP_CALCULO[[#This Row],[Cobertura-BERIPLEX]]&gt;Cob_Max_REP,Vlr_Max_REP,VLOOKUP(VIEW_IV_2019_REP_CALCULO[[#This Row],[Cobertura-BERIPLEX]],Tabela_Valores_REP,2,1)))*VIEW_IV_2019_REP_CALCULO[[#This Row],[Peso-BERIPLEX]]</f>
        <v>0</v>
      </c>
      <c r="AK82" s="65">
        <f>IF(VIEW_IV_2019_REP_CALCULO[[#This Row],[Cobertura-HAEMO]]&lt;Cob_Min_REP,0,IF(VIEW_IV_2019_REP_CALCULO[[#This Row],[Cobertura-HAEMO]]&gt;Cob_Max_REP,Vlr_Max_REP,VLOOKUP(VIEW_IV_2019_REP_CALCULO[[#This Row],[Cobertura-HAEMO]],Tabela_Valores_REP,2,1)))*VIEW_IV_2019_REP_CALCULO[[#This Row],[Peso-HAEMO]]</f>
        <v>0</v>
      </c>
      <c r="AL82" s="65">
        <f>IF(VIEW_IV_2019_REP_CALCULO[[#This Row],[Cobertura-HIZENTRA]]&lt;Cob_Min_REP,0,IF(VIEW_IV_2019_REP_CALCULO[[#This Row],[Cobertura-HIZENTRA]]&gt;Cob_Max_REP,Vlr_Max_REP,VLOOKUP(VIEW_IV_2019_REP_CALCULO[[#This Row],[Cobertura-HIZENTRA]],Tabela_Valores_REP,2,1)))*VIEW_IV_2019_REP_CALCULO[[#This Row],[Peso-HIZENTRA]]</f>
        <v>0</v>
      </c>
      <c r="AM82" s="65">
        <f>IF(VIEW_IV_2019_REP_CALCULO[[#This Row],[Cobertura-PRIVIGEN]]&lt;Cob_Min_REP,0,IF(VIEW_IV_2019_REP_CALCULO[[#This Row],[Cobertura-PRIVIGEN]]&gt;Cob_Max_REP,Vlr_Max_REP,VLOOKUP(VIEW_IV_2019_REP_CALCULO[[#This Row],[Cobertura-PRIVIGEN]],Tabela_Valores_REP,2,1)))*VIEW_IV_2019_REP_CALCULO[[#This Row],[Peso-PRIVIGEN]]</f>
        <v>0</v>
      </c>
      <c r="AN82" s="102">
        <f>SUM(VIEW_IV_2019_REP_CALCULO[[#This Row],[Premio-BERINERT]:[Premio-PRIVIGEN]])</f>
        <v>0</v>
      </c>
      <c r="AX82" s="3"/>
      <c r="AY82" s="3"/>
      <c r="AZ82" s="3"/>
      <c r="BA82" s="3"/>
      <c r="BB82" s="3"/>
    </row>
    <row r="83" spans="1:54" x14ac:dyDescent="0.2">
      <c r="A83" s="7" t="s">
        <v>16</v>
      </c>
      <c r="B83" s="7" t="s">
        <v>65</v>
      </c>
      <c r="C83" s="7" t="s">
        <v>66</v>
      </c>
      <c r="D83" s="8" t="s">
        <v>756</v>
      </c>
      <c r="E83" s="8" t="s">
        <v>757</v>
      </c>
      <c r="F83" s="8" t="s">
        <v>723</v>
      </c>
      <c r="G83" s="8" t="s">
        <v>787</v>
      </c>
      <c r="H83" s="13" t="b">
        <v>1</v>
      </c>
      <c r="I83" s="13" t="b">
        <v>1</v>
      </c>
      <c r="J83" s="10">
        <v>0</v>
      </c>
      <c r="K83" s="10">
        <v>154</v>
      </c>
      <c r="L83" s="10">
        <v>150</v>
      </c>
      <c r="M83" s="10">
        <v>0</v>
      </c>
      <c r="N83" s="10">
        <v>4815</v>
      </c>
      <c r="O83" s="10">
        <v>0</v>
      </c>
      <c r="P83" s="10">
        <v>36</v>
      </c>
      <c r="Q83" s="10">
        <v>83</v>
      </c>
      <c r="R83" s="10">
        <v>0</v>
      </c>
      <c r="S83" s="10">
        <v>25</v>
      </c>
      <c r="T83" s="14" t="b">
        <v>0</v>
      </c>
      <c r="U83" s="14" t="b">
        <v>0</v>
      </c>
      <c r="V83" s="14" t="b">
        <v>0</v>
      </c>
      <c r="W83" s="14" t="b">
        <v>0</v>
      </c>
      <c r="X83" s="14" t="b">
        <v>0</v>
      </c>
      <c r="Y83" s="55">
        <v>0</v>
      </c>
      <c r="Z83" s="55">
        <v>0.23</v>
      </c>
      <c r="AA83" s="55">
        <v>0.55000000000000004</v>
      </c>
      <c r="AB83" s="55">
        <v>0</v>
      </c>
      <c r="AC83" s="55">
        <v>0.01</v>
      </c>
      <c r="AD83" s="62">
        <v>0</v>
      </c>
      <c r="AE83" s="62">
        <v>0.25</v>
      </c>
      <c r="AF83" s="62">
        <v>0.25</v>
      </c>
      <c r="AG83" s="62">
        <v>0</v>
      </c>
      <c r="AH83" s="62">
        <v>0.2</v>
      </c>
      <c r="AI83" s="66">
        <f>IF(VIEW_IV_2019_REP_CALCULO[[#This Row],[Cobertura-BERINERT]]&lt;Cob_Min_REP,0,IF(VIEW_IV_2019_REP_CALCULO[[#This Row],[Cobertura-BERINERT]]&gt;Cob_Max_REP,Vlr_Max_REP,VLOOKUP(VIEW_IV_2019_REP_CALCULO[[#This Row],[Cobertura-BERINERT]],Tabela_Valores_REP,2,1)))*VIEW_IV_2019_REP_CALCULO[[#This Row],[Peso-BERINERT]]</f>
        <v>0</v>
      </c>
      <c r="AJ83" s="65">
        <f>IF(VIEW_IV_2019_REP_CALCULO[[#This Row],[Cobertura-BERIPLEX]]&lt;Cob_Min_REP,0,IF(VIEW_IV_2019_REP_CALCULO[[#This Row],[Cobertura-BERIPLEX]]&gt;Cob_Max_REP,Vlr_Max_REP,VLOOKUP(VIEW_IV_2019_REP_CALCULO[[#This Row],[Cobertura-BERIPLEX]],Tabela_Valores_REP,2,1)))*VIEW_IV_2019_REP_CALCULO[[#This Row],[Peso-BERIPLEX]]</f>
        <v>0</v>
      </c>
      <c r="AK83" s="65">
        <f>IF(VIEW_IV_2019_REP_CALCULO[[#This Row],[Cobertura-HAEMO]]&lt;Cob_Min_REP,0,IF(VIEW_IV_2019_REP_CALCULO[[#This Row],[Cobertura-HAEMO]]&gt;Cob_Max_REP,Vlr_Max_REP,VLOOKUP(VIEW_IV_2019_REP_CALCULO[[#This Row],[Cobertura-HAEMO]],Tabela_Valores_REP,2,1)))*VIEW_IV_2019_REP_CALCULO[[#This Row],[Peso-HAEMO]]</f>
        <v>0</v>
      </c>
      <c r="AL83" s="65">
        <f>IF(VIEW_IV_2019_REP_CALCULO[[#This Row],[Cobertura-HIZENTRA]]&lt;Cob_Min_REP,0,IF(VIEW_IV_2019_REP_CALCULO[[#This Row],[Cobertura-HIZENTRA]]&gt;Cob_Max_REP,Vlr_Max_REP,VLOOKUP(VIEW_IV_2019_REP_CALCULO[[#This Row],[Cobertura-HIZENTRA]],Tabela_Valores_REP,2,1)))*VIEW_IV_2019_REP_CALCULO[[#This Row],[Peso-HIZENTRA]]</f>
        <v>0</v>
      </c>
      <c r="AM83" s="65">
        <f>IF(VIEW_IV_2019_REP_CALCULO[[#This Row],[Cobertura-PRIVIGEN]]&lt;Cob_Min_REP,0,IF(VIEW_IV_2019_REP_CALCULO[[#This Row],[Cobertura-PRIVIGEN]]&gt;Cob_Max_REP,Vlr_Max_REP,VLOOKUP(VIEW_IV_2019_REP_CALCULO[[#This Row],[Cobertura-PRIVIGEN]],Tabela_Valores_REP,2,1)))*VIEW_IV_2019_REP_CALCULO[[#This Row],[Peso-PRIVIGEN]]</f>
        <v>0</v>
      </c>
      <c r="AN83" s="102">
        <f>SUM(VIEW_IV_2019_REP_CALCULO[[#This Row],[Premio-BERINERT]:[Premio-PRIVIGEN]])</f>
        <v>0</v>
      </c>
      <c r="AX83" s="3"/>
      <c r="AY83" s="3"/>
      <c r="AZ83" s="3"/>
      <c r="BA83" s="3"/>
      <c r="BB83" s="3"/>
    </row>
    <row r="84" spans="1:54" x14ac:dyDescent="0.2">
      <c r="A84" s="7" t="s">
        <v>16</v>
      </c>
      <c r="B84" s="7" t="s">
        <v>65</v>
      </c>
      <c r="C84" s="7" t="s">
        <v>66</v>
      </c>
      <c r="D84" s="8" t="s">
        <v>760</v>
      </c>
      <c r="E84" s="8" t="s">
        <v>761</v>
      </c>
      <c r="F84" s="8" t="s">
        <v>723</v>
      </c>
      <c r="G84" s="8" t="s">
        <v>785</v>
      </c>
      <c r="H84" s="13" t="b">
        <v>1</v>
      </c>
      <c r="I84" s="13" t="b">
        <v>1</v>
      </c>
      <c r="J84" s="10">
        <v>0</v>
      </c>
      <c r="K84" s="10">
        <v>242</v>
      </c>
      <c r="L84" s="10">
        <v>180</v>
      </c>
      <c r="M84" s="10">
        <v>0</v>
      </c>
      <c r="N84" s="10">
        <v>4280</v>
      </c>
      <c r="O84" s="10">
        <v>0</v>
      </c>
      <c r="P84" s="10">
        <v>23</v>
      </c>
      <c r="Q84" s="10">
        <v>33</v>
      </c>
      <c r="R84" s="10">
        <v>0</v>
      </c>
      <c r="S84" s="10">
        <v>105</v>
      </c>
      <c r="T84" s="14" t="b">
        <v>0</v>
      </c>
      <c r="U84" s="14" t="b">
        <v>0</v>
      </c>
      <c r="V84" s="14" t="b">
        <v>0</v>
      </c>
      <c r="W84" s="14" t="b">
        <v>0</v>
      </c>
      <c r="X84" s="14" t="b">
        <v>0</v>
      </c>
      <c r="Y84" s="55">
        <v>0</v>
      </c>
      <c r="Z84" s="55">
        <v>0.1</v>
      </c>
      <c r="AA84" s="55">
        <v>0.18</v>
      </c>
      <c r="AB84" s="55">
        <v>0</v>
      </c>
      <c r="AC84" s="55">
        <v>0.02</v>
      </c>
      <c r="AD84" s="62">
        <v>0</v>
      </c>
      <c r="AE84" s="62">
        <v>0.25</v>
      </c>
      <c r="AF84" s="62">
        <v>0.25</v>
      </c>
      <c r="AG84" s="62">
        <v>0</v>
      </c>
      <c r="AH84" s="62">
        <v>0.2</v>
      </c>
      <c r="AI84" s="66">
        <f>IF(VIEW_IV_2019_REP_CALCULO[[#This Row],[Cobertura-BERINERT]]&lt;Cob_Min_REP,0,IF(VIEW_IV_2019_REP_CALCULO[[#This Row],[Cobertura-BERINERT]]&gt;Cob_Max_REP,Vlr_Max_REP,VLOOKUP(VIEW_IV_2019_REP_CALCULO[[#This Row],[Cobertura-BERINERT]],Tabela_Valores_REP,2,1)))*VIEW_IV_2019_REP_CALCULO[[#This Row],[Peso-BERINERT]]</f>
        <v>0</v>
      </c>
      <c r="AJ84" s="65">
        <f>IF(VIEW_IV_2019_REP_CALCULO[[#This Row],[Cobertura-BERIPLEX]]&lt;Cob_Min_REP,0,IF(VIEW_IV_2019_REP_CALCULO[[#This Row],[Cobertura-BERIPLEX]]&gt;Cob_Max_REP,Vlr_Max_REP,VLOOKUP(VIEW_IV_2019_REP_CALCULO[[#This Row],[Cobertura-BERIPLEX]],Tabela_Valores_REP,2,1)))*VIEW_IV_2019_REP_CALCULO[[#This Row],[Peso-BERIPLEX]]</f>
        <v>0</v>
      </c>
      <c r="AK84" s="65">
        <f>IF(VIEW_IV_2019_REP_CALCULO[[#This Row],[Cobertura-HAEMO]]&lt;Cob_Min_REP,0,IF(VIEW_IV_2019_REP_CALCULO[[#This Row],[Cobertura-HAEMO]]&gt;Cob_Max_REP,Vlr_Max_REP,VLOOKUP(VIEW_IV_2019_REP_CALCULO[[#This Row],[Cobertura-HAEMO]],Tabela_Valores_REP,2,1)))*VIEW_IV_2019_REP_CALCULO[[#This Row],[Peso-HAEMO]]</f>
        <v>0</v>
      </c>
      <c r="AL84" s="65">
        <f>IF(VIEW_IV_2019_REP_CALCULO[[#This Row],[Cobertura-HIZENTRA]]&lt;Cob_Min_REP,0,IF(VIEW_IV_2019_REP_CALCULO[[#This Row],[Cobertura-HIZENTRA]]&gt;Cob_Max_REP,Vlr_Max_REP,VLOOKUP(VIEW_IV_2019_REP_CALCULO[[#This Row],[Cobertura-HIZENTRA]],Tabela_Valores_REP,2,1)))*VIEW_IV_2019_REP_CALCULO[[#This Row],[Peso-HIZENTRA]]</f>
        <v>0</v>
      </c>
      <c r="AM84" s="65">
        <f>IF(VIEW_IV_2019_REP_CALCULO[[#This Row],[Cobertura-PRIVIGEN]]&lt;Cob_Min_REP,0,IF(VIEW_IV_2019_REP_CALCULO[[#This Row],[Cobertura-PRIVIGEN]]&gt;Cob_Max_REP,Vlr_Max_REP,VLOOKUP(VIEW_IV_2019_REP_CALCULO[[#This Row],[Cobertura-PRIVIGEN]],Tabela_Valores_REP,2,1)))*VIEW_IV_2019_REP_CALCULO[[#This Row],[Peso-PRIVIGEN]]</f>
        <v>0</v>
      </c>
      <c r="AN84" s="102">
        <f>SUM(VIEW_IV_2019_REP_CALCULO[[#This Row],[Premio-BERINERT]:[Premio-PRIVIGEN]])</f>
        <v>0</v>
      </c>
      <c r="AX84" s="3"/>
      <c r="AY84" s="3"/>
      <c r="AZ84" s="3"/>
      <c r="BA84" s="3"/>
      <c r="BB84" s="3"/>
    </row>
    <row r="85" spans="1:54" x14ac:dyDescent="0.2">
      <c r="A85" s="7" t="s">
        <v>16</v>
      </c>
      <c r="B85" s="7" t="s">
        <v>65</v>
      </c>
      <c r="C85" s="7" t="s">
        <v>66</v>
      </c>
      <c r="D85" s="8" t="s">
        <v>762</v>
      </c>
      <c r="E85" s="8" t="s">
        <v>763</v>
      </c>
      <c r="F85" s="8" t="s">
        <v>723</v>
      </c>
      <c r="G85" s="8" t="s">
        <v>787</v>
      </c>
      <c r="H85" s="13" t="b">
        <v>1</v>
      </c>
      <c r="I85" s="13" t="b">
        <v>1</v>
      </c>
      <c r="J85" s="10">
        <v>0</v>
      </c>
      <c r="K85" s="10">
        <v>198</v>
      </c>
      <c r="L85" s="10">
        <v>105</v>
      </c>
      <c r="M85" s="10">
        <v>0</v>
      </c>
      <c r="N85" s="10">
        <v>5885</v>
      </c>
      <c r="O85" s="10">
        <v>0</v>
      </c>
      <c r="P85" s="10">
        <v>0</v>
      </c>
      <c r="Q85" s="10">
        <v>10</v>
      </c>
      <c r="R85" s="10">
        <v>0</v>
      </c>
      <c r="S85" s="10">
        <v>4160</v>
      </c>
      <c r="T85" s="14" t="b">
        <v>0</v>
      </c>
      <c r="U85" s="14" t="b">
        <v>0</v>
      </c>
      <c r="V85" s="14" t="b">
        <v>0</v>
      </c>
      <c r="W85" s="14" t="b">
        <v>0</v>
      </c>
      <c r="X85" s="14" t="b">
        <v>0</v>
      </c>
      <c r="Y85" s="55">
        <v>0</v>
      </c>
      <c r="Z85" s="55">
        <v>0</v>
      </c>
      <c r="AA85" s="55">
        <v>0.1</v>
      </c>
      <c r="AB85" s="55">
        <v>0</v>
      </c>
      <c r="AC85" s="55">
        <v>0.71</v>
      </c>
      <c r="AD85" s="62">
        <v>0</v>
      </c>
      <c r="AE85" s="62">
        <v>0.25</v>
      </c>
      <c r="AF85" s="62">
        <v>0.25</v>
      </c>
      <c r="AG85" s="62">
        <v>0</v>
      </c>
      <c r="AH85" s="62">
        <v>0.2</v>
      </c>
      <c r="AI85" s="66">
        <f>IF(VIEW_IV_2019_REP_CALCULO[[#This Row],[Cobertura-BERINERT]]&lt;Cob_Min_REP,0,IF(VIEW_IV_2019_REP_CALCULO[[#This Row],[Cobertura-BERINERT]]&gt;Cob_Max_REP,Vlr_Max_REP,VLOOKUP(VIEW_IV_2019_REP_CALCULO[[#This Row],[Cobertura-BERINERT]],Tabela_Valores_REP,2,1)))*VIEW_IV_2019_REP_CALCULO[[#This Row],[Peso-BERINERT]]</f>
        <v>0</v>
      </c>
      <c r="AJ85" s="65">
        <f>IF(VIEW_IV_2019_REP_CALCULO[[#This Row],[Cobertura-BERIPLEX]]&lt;Cob_Min_REP,0,IF(VIEW_IV_2019_REP_CALCULO[[#This Row],[Cobertura-BERIPLEX]]&gt;Cob_Max_REP,Vlr_Max_REP,VLOOKUP(VIEW_IV_2019_REP_CALCULO[[#This Row],[Cobertura-BERIPLEX]],Tabela_Valores_REP,2,1)))*VIEW_IV_2019_REP_CALCULO[[#This Row],[Peso-BERIPLEX]]</f>
        <v>0</v>
      </c>
      <c r="AK85" s="65">
        <f>IF(VIEW_IV_2019_REP_CALCULO[[#This Row],[Cobertura-HAEMO]]&lt;Cob_Min_REP,0,IF(VIEW_IV_2019_REP_CALCULO[[#This Row],[Cobertura-HAEMO]]&gt;Cob_Max_REP,Vlr_Max_REP,VLOOKUP(VIEW_IV_2019_REP_CALCULO[[#This Row],[Cobertura-HAEMO]],Tabela_Valores_REP,2,1)))*VIEW_IV_2019_REP_CALCULO[[#This Row],[Peso-HAEMO]]</f>
        <v>0</v>
      </c>
      <c r="AL85" s="65">
        <f>IF(VIEW_IV_2019_REP_CALCULO[[#This Row],[Cobertura-HIZENTRA]]&lt;Cob_Min_REP,0,IF(VIEW_IV_2019_REP_CALCULO[[#This Row],[Cobertura-HIZENTRA]]&gt;Cob_Max_REP,Vlr_Max_REP,VLOOKUP(VIEW_IV_2019_REP_CALCULO[[#This Row],[Cobertura-HIZENTRA]],Tabela_Valores_REP,2,1)))*VIEW_IV_2019_REP_CALCULO[[#This Row],[Peso-HIZENTRA]]</f>
        <v>0</v>
      </c>
      <c r="AM85" s="65">
        <f>IF(VIEW_IV_2019_REP_CALCULO[[#This Row],[Cobertura-PRIVIGEN]]&lt;Cob_Min_REP,0,IF(VIEW_IV_2019_REP_CALCULO[[#This Row],[Cobertura-PRIVIGEN]]&gt;Cob_Max_REP,Vlr_Max_REP,VLOOKUP(VIEW_IV_2019_REP_CALCULO[[#This Row],[Cobertura-PRIVIGEN]],Tabela_Valores_REP,2,1)))*VIEW_IV_2019_REP_CALCULO[[#This Row],[Peso-PRIVIGEN]]</f>
        <v>0</v>
      </c>
      <c r="AN85" s="102">
        <f>SUM(VIEW_IV_2019_REP_CALCULO[[#This Row],[Premio-BERINERT]:[Premio-PRIVIGEN]])</f>
        <v>0</v>
      </c>
      <c r="AX85" s="3"/>
      <c r="AY85" s="3"/>
      <c r="AZ85" s="3"/>
      <c r="BA85" s="3"/>
      <c r="BB85" s="3"/>
    </row>
    <row r="86" spans="1:54" x14ac:dyDescent="0.2">
      <c r="A86" s="7" t="s">
        <v>16</v>
      </c>
      <c r="B86" s="7" t="s">
        <v>813</v>
      </c>
      <c r="C86" s="7" t="s">
        <v>66</v>
      </c>
      <c r="D86" s="8" t="s">
        <v>728</v>
      </c>
      <c r="E86" s="8" t="s">
        <v>729</v>
      </c>
      <c r="F86" s="8" t="s">
        <v>730</v>
      </c>
      <c r="G86" s="8" t="s">
        <v>787</v>
      </c>
      <c r="H86" s="13" t="b">
        <v>1</v>
      </c>
      <c r="I86" s="13" t="b">
        <v>1</v>
      </c>
      <c r="J86" s="10">
        <v>48</v>
      </c>
      <c r="K86" s="10">
        <v>0</v>
      </c>
      <c r="L86" s="10">
        <v>0</v>
      </c>
      <c r="M86" s="10">
        <v>1326</v>
      </c>
      <c r="N86" s="10">
        <v>7490</v>
      </c>
      <c r="O86" s="10"/>
      <c r="P86" s="10"/>
      <c r="Q86" s="10"/>
      <c r="R86" s="10"/>
      <c r="S86" s="10"/>
      <c r="T86" s="14" t="b">
        <v>0</v>
      </c>
      <c r="U86" s="14" t="b">
        <v>0</v>
      </c>
      <c r="V86" s="14" t="b">
        <v>0</v>
      </c>
      <c r="W86" s="14" t="b">
        <v>0</v>
      </c>
      <c r="X86" s="14" t="b">
        <v>0</v>
      </c>
      <c r="Y86" s="55">
        <v>0</v>
      </c>
      <c r="Z86" s="55">
        <v>0</v>
      </c>
      <c r="AA86" s="55">
        <v>0</v>
      </c>
      <c r="AB86" s="55">
        <v>0</v>
      </c>
      <c r="AC86" s="55">
        <v>0</v>
      </c>
      <c r="AD86" s="62">
        <v>0.1</v>
      </c>
      <c r="AE86" s="62">
        <v>0</v>
      </c>
      <c r="AF86" s="62">
        <v>0</v>
      </c>
      <c r="AG86" s="62">
        <v>0.4</v>
      </c>
      <c r="AH86" s="62">
        <v>0.2</v>
      </c>
      <c r="AI86" s="66">
        <f>IF(VIEW_IV_2019_REP_CALCULO[[#This Row],[Cobertura-BERINERT]]&lt;Cob_Min_REP,0,IF(VIEW_IV_2019_REP_CALCULO[[#This Row],[Cobertura-BERINERT]]&gt;Cob_Max_REP,Vlr_Max_REP,VLOOKUP(VIEW_IV_2019_REP_CALCULO[[#This Row],[Cobertura-BERINERT]],Tabela_Valores_REP,2,1)))*VIEW_IV_2019_REP_CALCULO[[#This Row],[Peso-BERINERT]]</f>
        <v>0</v>
      </c>
      <c r="AJ86" s="65">
        <f>IF(VIEW_IV_2019_REP_CALCULO[[#This Row],[Cobertura-BERIPLEX]]&lt;Cob_Min_REP,0,IF(VIEW_IV_2019_REP_CALCULO[[#This Row],[Cobertura-BERIPLEX]]&gt;Cob_Max_REP,Vlr_Max_REP,VLOOKUP(VIEW_IV_2019_REP_CALCULO[[#This Row],[Cobertura-BERIPLEX]],Tabela_Valores_REP,2,1)))*VIEW_IV_2019_REP_CALCULO[[#This Row],[Peso-BERIPLEX]]</f>
        <v>0</v>
      </c>
      <c r="AK86" s="65">
        <f>IF(VIEW_IV_2019_REP_CALCULO[[#This Row],[Cobertura-HAEMO]]&lt;Cob_Min_REP,0,IF(VIEW_IV_2019_REP_CALCULO[[#This Row],[Cobertura-HAEMO]]&gt;Cob_Max_REP,Vlr_Max_REP,VLOOKUP(VIEW_IV_2019_REP_CALCULO[[#This Row],[Cobertura-HAEMO]],Tabela_Valores_REP,2,1)))*VIEW_IV_2019_REP_CALCULO[[#This Row],[Peso-HAEMO]]</f>
        <v>0</v>
      </c>
      <c r="AL86" s="65">
        <f>IF(VIEW_IV_2019_REP_CALCULO[[#This Row],[Cobertura-HIZENTRA]]&lt;Cob_Min_REP,0,IF(VIEW_IV_2019_REP_CALCULO[[#This Row],[Cobertura-HIZENTRA]]&gt;Cob_Max_REP,Vlr_Max_REP,VLOOKUP(VIEW_IV_2019_REP_CALCULO[[#This Row],[Cobertura-HIZENTRA]],Tabela_Valores_REP,2,1)))*VIEW_IV_2019_REP_CALCULO[[#This Row],[Peso-HIZENTRA]]</f>
        <v>0</v>
      </c>
      <c r="AM86" s="65">
        <f>IF(VIEW_IV_2019_REP_CALCULO[[#This Row],[Cobertura-PRIVIGEN]]&lt;Cob_Min_REP,0,IF(VIEW_IV_2019_REP_CALCULO[[#This Row],[Cobertura-PRIVIGEN]]&gt;Cob_Max_REP,Vlr_Max_REP,VLOOKUP(VIEW_IV_2019_REP_CALCULO[[#This Row],[Cobertura-PRIVIGEN]],Tabela_Valores_REP,2,1)))*VIEW_IV_2019_REP_CALCULO[[#This Row],[Peso-PRIVIGEN]]</f>
        <v>0</v>
      </c>
      <c r="AN86" s="102">
        <f>SUM(VIEW_IV_2019_REP_CALCULO[[#This Row],[Premio-BERINERT]:[Premio-PRIVIGEN]])</f>
        <v>0</v>
      </c>
      <c r="AX86" s="3"/>
      <c r="AY86" s="3"/>
      <c r="AZ86" s="3"/>
      <c r="BA86" s="3"/>
      <c r="BB86" s="3"/>
    </row>
    <row r="87" spans="1:54" x14ac:dyDescent="0.2">
      <c r="A87" s="7" t="s">
        <v>16</v>
      </c>
      <c r="B87" s="7" t="s">
        <v>813</v>
      </c>
      <c r="C87" s="7" t="s">
        <v>66</v>
      </c>
      <c r="D87" s="8" t="s">
        <v>733</v>
      </c>
      <c r="E87" s="8" t="s">
        <v>734</v>
      </c>
      <c r="F87" s="8" t="s">
        <v>730</v>
      </c>
      <c r="G87" s="8" t="s">
        <v>785</v>
      </c>
      <c r="H87" s="13" t="b">
        <v>1</v>
      </c>
      <c r="I87" s="13" t="b">
        <v>1</v>
      </c>
      <c r="J87" s="10">
        <v>34</v>
      </c>
      <c r="K87" s="10">
        <v>0</v>
      </c>
      <c r="L87" s="10">
        <v>0</v>
      </c>
      <c r="M87" s="10">
        <v>1638</v>
      </c>
      <c r="N87" s="10">
        <v>6955</v>
      </c>
      <c r="O87" s="10"/>
      <c r="P87" s="10"/>
      <c r="Q87" s="10"/>
      <c r="R87" s="10"/>
      <c r="S87" s="10"/>
      <c r="T87" s="14" t="b">
        <v>0</v>
      </c>
      <c r="U87" s="14" t="b">
        <v>0</v>
      </c>
      <c r="V87" s="14" t="b">
        <v>0</v>
      </c>
      <c r="W87" s="14" t="b">
        <v>0</v>
      </c>
      <c r="X87" s="14" t="b">
        <v>0</v>
      </c>
      <c r="Y87" s="55">
        <v>0</v>
      </c>
      <c r="Z87" s="55">
        <v>0</v>
      </c>
      <c r="AA87" s="55">
        <v>0</v>
      </c>
      <c r="AB87" s="55">
        <v>0</v>
      </c>
      <c r="AC87" s="55">
        <v>0</v>
      </c>
      <c r="AD87" s="62">
        <v>0.1</v>
      </c>
      <c r="AE87" s="62">
        <v>0</v>
      </c>
      <c r="AF87" s="62">
        <v>0</v>
      </c>
      <c r="AG87" s="62">
        <v>0.4</v>
      </c>
      <c r="AH87" s="62">
        <v>0.2</v>
      </c>
      <c r="AI87" s="66">
        <f>IF(VIEW_IV_2019_REP_CALCULO[[#This Row],[Cobertura-BERINERT]]&lt;Cob_Min_REP,0,IF(VIEW_IV_2019_REP_CALCULO[[#This Row],[Cobertura-BERINERT]]&gt;Cob_Max_REP,Vlr_Max_REP,VLOOKUP(VIEW_IV_2019_REP_CALCULO[[#This Row],[Cobertura-BERINERT]],Tabela_Valores_REP,2,1)))*VIEW_IV_2019_REP_CALCULO[[#This Row],[Peso-BERINERT]]</f>
        <v>0</v>
      </c>
      <c r="AJ87" s="65">
        <f>IF(VIEW_IV_2019_REP_CALCULO[[#This Row],[Cobertura-BERIPLEX]]&lt;Cob_Min_REP,0,IF(VIEW_IV_2019_REP_CALCULO[[#This Row],[Cobertura-BERIPLEX]]&gt;Cob_Max_REP,Vlr_Max_REP,VLOOKUP(VIEW_IV_2019_REP_CALCULO[[#This Row],[Cobertura-BERIPLEX]],Tabela_Valores_REP,2,1)))*VIEW_IV_2019_REP_CALCULO[[#This Row],[Peso-BERIPLEX]]</f>
        <v>0</v>
      </c>
      <c r="AK87" s="65">
        <f>IF(VIEW_IV_2019_REP_CALCULO[[#This Row],[Cobertura-HAEMO]]&lt;Cob_Min_REP,0,IF(VIEW_IV_2019_REP_CALCULO[[#This Row],[Cobertura-HAEMO]]&gt;Cob_Max_REP,Vlr_Max_REP,VLOOKUP(VIEW_IV_2019_REP_CALCULO[[#This Row],[Cobertura-HAEMO]],Tabela_Valores_REP,2,1)))*VIEW_IV_2019_REP_CALCULO[[#This Row],[Peso-HAEMO]]</f>
        <v>0</v>
      </c>
      <c r="AL87" s="65">
        <f>IF(VIEW_IV_2019_REP_CALCULO[[#This Row],[Cobertura-HIZENTRA]]&lt;Cob_Min_REP,0,IF(VIEW_IV_2019_REP_CALCULO[[#This Row],[Cobertura-HIZENTRA]]&gt;Cob_Max_REP,Vlr_Max_REP,VLOOKUP(VIEW_IV_2019_REP_CALCULO[[#This Row],[Cobertura-HIZENTRA]],Tabela_Valores_REP,2,1)))*VIEW_IV_2019_REP_CALCULO[[#This Row],[Peso-HIZENTRA]]</f>
        <v>0</v>
      </c>
      <c r="AM87" s="65">
        <f>IF(VIEW_IV_2019_REP_CALCULO[[#This Row],[Cobertura-PRIVIGEN]]&lt;Cob_Min_REP,0,IF(VIEW_IV_2019_REP_CALCULO[[#This Row],[Cobertura-PRIVIGEN]]&gt;Cob_Max_REP,Vlr_Max_REP,VLOOKUP(VIEW_IV_2019_REP_CALCULO[[#This Row],[Cobertura-PRIVIGEN]],Tabela_Valores_REP,2,1)))*VIEW_IV_2019_REP_CALCULO[[#This Row],[Peso-PRIVIGEN]]</f>
        <v>0</v>
      </c>
      <c r="AN87" s="102">
        <f>SUM(VIEW_IV_2019_REP_CALCULO[[#This Row],[Premio-BERINERT]:[Premio-PRIVIGEN]])</f>
        <v>0</v>
      </c>
      <c r="AX87" s="3"/>
      <c r="AY87" s="3"/>
      <c r="AZ87" s="3"/>
      <c r="BA87" s="3"/>
      <c r="BB87" s="3"/>
    </row>
    <row r="88" spans="1:54" x14ac:dyDescent="0.2">
      <c r="A88" s="7" t="s">
        <v>16</v>
      </c>
      <c r="B88" s="7" t="s">
        <v>813</v>
      </c>
      <c r="C88" s="7" t="s">
        <v>66</v>
      </c>
      <c r="D88" s="8" t="s">
        <v>740</v>
      </c>
      <c r="E88" s="8" t="s">
        <v>741</v>
      </c>
      <c r="F88" s="8" t="s">
        <v>730</v>
      </c>
      <c r="G88" s="8" t="s">
        <v>787</v>
      </c>
      <c r="H88" s="13" t="b">
        <v>1</v>
      </c>
      <c r="I88" s="13" t="b">
        <v>1</v>
      </c>
      <c r="J88" s="10">
        <v>48</v>
      </c>
      <c r="K88" s="10">
        <v>0</v>
      </c>
      <c r="L88" s="10">
        <v>0</v>
      </c>
      <c r="M88" s="10">
        <v>936</v>
      </c>
      <c r="N88" s="10">
        <v>7490</v>
      </c>
      <c r="O88" s="10"/>
      <c r="P88" s="10"/>
      <c r="Q88" s="10"/>
      <c r="R88" s="10"/>
      <c r="S88" s="10"/>
      <c r="T88" s="14" t="b">
        <v>0</v>
      </c>
      <c r="U88" s="14" t="b">
        <v>0</v>
      </c>
      <c r="V88" s="14" t="b">
        <v>0</v>
      </c>
      <c r="W88" s="14" t="b">
        <v>0</v>
      </c>
      <c r="X88" s="14" t="b">
        <v>0</v>
      </c>
      <c r="Y88" s="55">
        <v>0</v>
      </c>
      <c r="Z88" s="55">
        <v>0</v>
      </c>
      <c r="AA88" s="55">
        <v>0</v>
      </c>
      <c r="AB88" s="55">
        <v>0</v>
      </c>
      <c r="AC88" s="55">
        <v>0</v>
      </c>
      <c r="AD88" s="62">
        <v>0.1</v>
      </c>
      <c r="AE88" s="62">
        <v>0</v>
      </c>
      <c r="AF88" s="62">
        <v>0</v>
      </c>
      <c r="AG88" s="62">
        <v>0.4</v>
      </c>
      <c r="AH88" s="62">
        <v>0.2</v>
      </c>
      <c r="AI88" s="66">
        <f>IF(VIEW_IV_2019_REP_CALCULO[[#This Row],[Cobertura-BERINERT]]&lt;Cob_Min_REP,0,IF(VIEW_IV_2019_REP_CALCULO[[#This Row],[Cobertura-BERINERT]]&gt;Cob_Max_REP,Vlr_Max_REP,VLOOKUP(VIEW_IV_2019_REP_CALCULO[[#This Row],[Cobertura-BERINERT]],Tabela_Valores_REP,2,1)))*VIEW_IV_2019_REP_CALCULO[[#This Row],[Peso-BERINERT]]</f>
        <v>0</v>
      </c>
      <c r="AJ88" s="65">
        <f>IF(VIEW_IV_2019_REP_CALCULO[[#This Row],[Cobertura-BERIPLEX]]&lt;Cob_Min_REP,0,IF(VIEW_IV_2019_REP_CALCULO[[#This Row],[Cobertura-BERIPLEX]]&gt;Cob_Max_REP,Vlr_Max_REP,VLOOKUP(VIEW_IV_2019_REP_CALCULO[[#This Row],[Cobertura-BERIPLEX]],Tabela_Valores_REP,2,1)))*VIEW_IV_2019_REP_CALCULO[[#This Row],[Peso-BERIPLEX]]</f>
        <v>0</v>
      </c>
      <c r="AK88" s="65">
        <f>IF(VIEW_IV_2019_REP_CALCULO[[#This Row],[Cobertura-HAEMO]]&lt;Cob_Min_REP,0,IF(VIEW_IV_2019_REP_CALCULO[[#This Row],[Cobertura-HAEMO]]&gt;Cob_Max_REP,Vlr_Max_REP,VLOOKUP(VIEW_IV_2019_REP_CALCULO[[#This Row],[Cobertura-HAEMO]],Tabela_Valores_REP,2,1)))*VIEW_IV_2019_REP_CALCULO[[#This Row],[Peso-HAEMO]]</f>
        <v>0</v>
      </c>
      <c r="AL88" s="65">
        <f>IF(VIEW_IV_2019_REP_CALCULO[[#This Row],[Cobertura-HIZENTRA]]&lt;Cob_Min_REP,0,IF(VIEW_IV_2019_REP_CALCULO[[#This Row],[Cobertura-HIZENTRA]]&gt;Cob_Max_REP,Vlr_Max_REP,VLOOKUP(VIEW_IV_2019_REP_CALCULO[[#This Row],[Cobertura-HIZENTRA]],Tabela_Valores_REP,2,1)))*VIEW_IV_2019_REP_CALCULO[[#This Row],[Peso-HIZENTRA]]</f>
        <v>0</v>
      </c>
      <c r="AM88" s="65">
        <f>IF(VIEW_IV_2019_REP_CALCULO[[#This Row],[Cobertura-PRIVIGEN]]&lt;Cob_Min_REP,0,IF(VIEW_IV_2019_REP_CALCULO[[#This Row],[Cobertura-PRIVIGEN]]&gt;Cob_Max_REP,Vlr_Max_REP,VLOOKUP(VIEW_IV_2019_REP_CALCULO[[#This Row],[Cobertura-PRIVIGEN]],Tabela_Valores_REP,2,1)))*VIEW_IV_2019_REP_CALCULO[[#This Row],[Peso-PRIVIGEN]]</f>
        <v>0</v>
      </c>
      <c r="AN88" s="102">
        <f>SUM(VIEW_IV_2019_REP_CALCULO[[#This Row],[Premio-BERINERT]:[Premio-PRIVIGEN]])</f>
        <v>0</v>
      </c>
      <c r="AX88" s="3"/>
      <c r="AY88" s="3"/>
      <c r="AZ88" s="3"/>
      <c r="BA88" s="3"/>
      <c r="BB88" s="3"/>
    </row>
    <row r="89" spans="1:54" x14ac:dyDescent="0.2">
      <c r="A89" s="7" t="s">
        <v>16</v>
      </c>
      <c r="B89" s="7" t="s">
        <v>813</v>
      </c>
      <c r="C89" s="7" t="s">
        <v>66</v>
      </c>
      <c r="D89" s="8" t="s">
        <v>754</v>
      </c>
      <c r="E89" s="8" t="s">
        <v>755</v>
      </c>
      <c r="F89" s="8" t="s">
        <v>730</v>
      </c>
      <c r="G89" s="8" t="s">
        <v>785</v>
      </c>
      <c r="H89" s="13" t="b">
        <v>1</v>
      </c>
      <c r="I89" s="13" t="b">
        <v>1</v>
      </c>
      <c r="J89" s="10">
        <v>120</v>
      </c>
      <c r="K89" s="10">
        <v>0</v>
      </c>
      <c r="L89" s="10">
        <v>0</v>
      </c>
      <c r="M89" s="10">
        <v>1014</v>
      </c>
      <c r="N89" s="10">
        <v>10700</v>
      </c>
      <c r="O89" s="10"/>
      <c r="P89" s="10"/>
      <c r="Q89" s="10"/>
      <c r="R89" s="10"/>
      <c r="S89" s="10"/>
      <c r="T89" s="14" t="b">
        <v>0</v>
      </c>
      <c r="U89" s="14" t="b">
        <v>0</v>
      </c>
      <c r="V89" s="14" t="b">
        <v>0</v>
      </c>
      <c r="W89" s="14" t="b">
        <v>0</v>
      </c>
      <c r="X89" s="14" t="b">
        <v>0</v>
      </c>
      <c r="Y89" s="55">
        <v>0</v>
      </c>
      <c r="Z89" s="55">
        <v>0</v>
      </c>
      <c r="AA89" s="55">
        <v>0</v>
      </c>
      <c r="AB89" s="55">
        <v>0</v>
      </c>
      <c r="AC89" s="55">
        <v>0</v>
      </c>
      <c r="AD89" s="62">
        <v>0.1</v>
      </c>
      <c r="AE89" s="62">
        <v>0</v>
      </c>
      <c r="AF89" s="62">
        <v>0</v>
      </c>
      <c r="AG89" s="62">
        <v>0.4</v>
      </c>
      <c r="AH89" s="62">
        <v>0.2</v>
      </c>
      <c r="AI89" s="66">
        <f>IF(VIEW_IV_2019_REP_CALCULO[[#This Row],[Cobertura-BERINERT]]&lt;Cob_Min_REP,0,IF(VIEW_IV_2019_REP_CALCULO[[#This Row],[Cobertura-BERINERT]]&gt;Cob_Max_REP,Vlr_Max_REP,VLOOKUP(VIEW_IV_2019_REP_CALCULO[[#This Row],[Cobertura-BERINERT]],Tabela_Valores_REP,2,1)))*VIEW_IV_2019_REP_CALCULO[[#This Row],[Peso-BERINERT]]</f>
        <v>0</v>
      </c>
      <c r="AJ89" s="65">
        <f>IF(VIEW_IV_2019_REP_CALCULO[[#This Row],[Cobertura-BERIPLEX]]&lt;Cob_Min_REP,0,IF(VIEW_IV_2019_REP_CALCULO[[#This Row],[Cobertura-BERIPLEX]]&gt;Cob_Max_REP,Vlr_Max_REP,VLOOKUP(VIEW_IV_2019_REP_CALCULO[[#This Row],[Cobertura-BERIPLEX]],Tabela_Valores_REP,2,1)))*VIEW_IV_2019_REP_CALCULO[[#This Row],[Peso-BERIPLEX]]</f>
        <v>0</v>
      </c>
      <c r="AK89" s="65">
        <f>IF(VIEW_IV_2019_REP_CALCULO[[#This Row],[Cobertura-HAEMO]]&lt;Cob_Min_REP,0,IF(VIEW_IV_2019_REP_CALCULO[[#This Row],[Cobertura-HAEMO]]&gt;Cob_Max_REP,Vlr_Max_REP,VLOOKUP(VIEW_IV_2019_REP_CALCULO[[#This Row],[Cobertura-HAEMO]],Tabela_Valores_REP,2,1)))*VIEW_IV_2019_REP_CALCULO[[#This Row],[Peso-HAEMO]]</f>
        <v>0</v>
      </c>
      <c r="AL89" s="65">
        <f>IF(VIEW_IV_2019_REP_CALCULO[[#This Row],[Cobertura-HIZENTRA]]&lt;Cob_Min_REP,0,IF(VIEW_IV_2019_REP_CALCULO[[#This Row],[Cobertura-HIZENTRA]]&gt;Cob_Max_REP,Vlr_Max_REP,VLOOKUP(VIEW_IV_2019_REP_CALCULO[[#This Row],[Cobertura-HIZENTRA]],Tabela_Valores_REP,2,1)))*VIEW_IV_2019_REP_CALCULO[[#This Row],[Peso-HIZENTRA]]</f>
        <v>0</v>
      </c>
      <c r="AM89" s="65">
        <f>IF(VIEW_IV_2019_REP_CALCULO[[#This Row],[Cobertura-PRIVIGEN]]&lt;Cob_Min_REP,0,IF(VIEW_IV_2019_REP_CALCULO[[#This Row],[Cobertura-PRIVIGEN]]&gt;Cob_Max_REP,Vlr_Max_REP,VLOOKUP(VIEW_IV_2019_REP_CALCULO[[#This Row],[Cobertura-PRIVIGEN]],Tabela_Valores_REP,2,1)))*VIEW_IV_2019_REP_CALCULO[[#This Row],[Peso-PRIVIGEN]]</f>
        <v>0</v>
      </c>
      <c r="AN89" s="102">
        <f>SUM(VIEW_IV_2019_REP_CALCULO[[#This Row],[Premio-BERINERT]:[Premio-PRIVIGEN]])</f>
        <v>0</v>
      </c>
      <c r="AX89" s="3"/>
      <c r="AY89" s="3"/>
      <c r="AZ89" s="3"/>
      <c r="BA89" s="3"/>
      <c r="BB89" s="3"/>
    </row>
    <row r="90" spans="1:54" x14ac:dyDescent="0.2">
      <c r="A90" s="7" t="s">
        <v>16</v>
      </c>
      <c r="B90" s="7" t="s">
        <v>813</v>
      </c>
      <c r="C90" s="7" t="s">
        <v>66</v>
      </c>
      <c r="D90" s="8" t="s">
        <v>778</v>
      </c>
      <c r="E90" s="8" t="s">
        <v>779</v>
      </c>
      <c r="F90" s="8" t="s">
        <v>730</v>
      </c>
      <c r="G90" s="8" t="s">
        <v>791</v>
      </c>
      <c r="H90" s="13" t="b">
        <v>1</v>
      </c>
      <c r="I90" s="13" t="b">
        <v>1</v>
      </c>
      <c r="J90" s="10">
        <v>120</v>
      </c>
      <c r="K90" s="10">
        <v>0</v>
      </c>
      <c r="L90" s="10">
        <v>0</v>
      </c>
      <c r="M90" s="10">
        <v>936</v>
      </c>
      <c r="N90" s="10">
        <v>6420</v>
      </c>
      <c r="O90" s="10"/>
      <c r="P90" s="10"/>
      <c r="Q90" s="10"/>
      <c r="R90" s="10"/>
      <c r="S90" s="10"/>
      <c r="T90" s="14" t="b">
        <v>0</v>
      </c>
      <c r="U90" s="14" t="b">
        <v>0</v>
      </c>
      <c r="V90" s="14" t="b">
        <v>0</v>
      </c>
      <c r="W90" s="14" t="b">
        <v>0</v>
      </c>
      <c r="X90" s="14" t="b">
        <v>0</v>
      </c>
      <c r="Y90" s="55">
        <v>0</v>
      </c>
      <c r="Z90" s="55">
        <v>0</v>
      </c>
      <c r="AA90" s="55">
        <v>0</v>
      </c>
      <c r="AB90" s="55">
        <v>0</v>
      </c>
      <c r="AC90" s="55">
        <v>0</v>
      </c>
      <c r="AD90" s="62">
        <v>0.1</v>
      </c>
      <c r="AE90" s="62">
        <v>0</v>
      </c>
      <c r="AF90" s="62">
        <v>0</v>
      </c>
      <c r="AG90" s="62">
        <v>0.4</v>
      </c>
      <c r="AH90" s="62">
        <v>0.2</v>
      </c>
      <c r="AI90" s="66">
        <f>IF(VIEW_IV_2019_REP_CALCULO[[#This Row],[Cobertura-BERINERT]]&lt;Cob_Min_REP,0,IF(VIEW_IV_2019_REP_CALCULO[[#This Row],[Cobertura-BERINERT]]&gt;Cob_Max_REP,Vlr_Max_REP,VLOOKUP(VIEW_IV_2019_REP_CALCULO[[#This Row],[Cobertura-BERINERT]],Tabela_Valores_REP,2,1)))*VIEW_IV_2019_REP_CALCULO[[#This Row],[Peso-BERINERT]]</f>
        <v>0</v>
      </c>
      <c r="AJ90" s="65">
        <f>IF(VIEW_IV_2019_REP_CALCULO[[#This Row],[Cobertura-BERIPLEX]]&lt;Cob_Min_REP,0,IF(VIEW_IV_2019_REP_CALCULO[[#This Row],[Cobertura-BERIPLEX]]&gt;Cob_Max_REP,Vlr_Max_REP,VLOOKUP(VIEW_IV_2019_REP_CALCULO[[#This Row],[Cobertura-BERIPLEX]],Tabela_Valores_REP,2,1)))*VIEW_IV_2019_REP_CALCULO[[#This Row],[Peso-BERIPLEX]]</f>
        <v>0</v>
      </c>
      <c r="AK90" s="65">
        <f>IF(VIEW_IV_2019_REP_CALCULO[[#This Row],[Cobertura-HAEMO]]&lt;Cob_Min_REP,0,IF(VIEW_IV_2019_REP_CALCULO[[#This Row],[Cobertura-HAEMO]]&gt;Cob_Max_REP,Vlr_Max_REP,VLOOKUP(VIEW_IV_2019_REP_CALCULO[[#This Row],[Cobertura-HAEMO]],Tabela_Valores_REP,2,1)))*VIEW_IV_2019_REP_CALCULO[[#This Row],[Peso-HAEMO]]</f>
        <v>0</v>
      </c>
      <c r="AL90" s="65">
        <f>IF(VIEW_IV_2019_REP_CALCULO[[#This Row],[Cobertura-HIZENTRA]]&lt;Cob_Min_REP,0,IF(VIEW_IV_2019_REP_CALCULO[[#This Row],[Cobertura-HIZENTRA]]&gt;Cob_Max_REP,Vlr_Max_REP,VLOOKUP(VIEW_IV_2019_REP_CALCULO[[#This Row],[Cobertura-HIZENTRA]],Tabela_Valores_REP,2,1)))*VIEW_IV_2019_REP_CALCULO[[#This Row],[Peso-HIZENTRA]]</f>
        <v>0</v>
      </c>
      <c r="AM90" s="65">
        <f>IF(VIEW_IV_2019_REP_CALCULO[[#This Row],[Cobertura-PRIVIGEN]]&lt;Cob_Min_REP,0,IF(VIEW_IV_2019_REP_CALCULO[[#This Row],[Cobertura-PRIVIGEN]]&gt;Cob_Max_REP,Vlr_Max_REP,VLOOKUP(VIEW_IV_2019_REP_CALCULO[[#This Row],[Cobertura-PRIVIGEN]],Tabela_Valores_REP,2,1)))*VIEW_IV_2019_REP_CALCULO[[#This Row],[Peso-PRIVIGEN]]</f>
        <v>0</v>
      </c>
      <c r="AN90" s="102">
        <f>SUM(VIEW_IV_2019_REP_CALCULO[[#This Row],[Premio-BERINERT]:[Premio-PRIVIGEN]])</f>
        <v>0</v>
      </c>
      <c r="AX90" s="3"/>
      <c r="AY90" s="3"/>
      <c r="AZ90" s="3"/>
      <c r="BA90" s="3"/>
      <c r="BB90" s="3"/>
    </row>
    <row r="91" spans="1:54" x14ac:dyDescent="0.2">
      <c r="A91" s="7" t="s">
        <v>16</v>
      </c>
      <c r="B91" s="7" t="s">
        <v>813</v>
      </c>
      <c r="C91" s="7" t="s">
        <v>66</v>
      </c>
      <c r="D91" s="8" t="s">
        <v>770</v>
      </c>
      <c r="E91" s="8" t="s">
        <v>771</v>
      </c>
      <c r="F91" s="8" t="s">
        <v>730</v>
      </c>
      <c r="G91" s="8" t="s">
        <v>787</v>
      </c>
      <c r="H91" s="13" t="b">
        <v>1</v>
      </c>
      <c r="I91" s="13" t="b">
        <v>0</v>
      </c>
      <c r="J91" s="10">
        <v>48</v>
      </c>
      <c r="K91" s="10">
        <v>0</v>
      </c>
      <c r="L91" s="10">
        <v>0</v>
      </c>
      <c r="M91" s="10">
        <v>936</v>
      </c>
      <c r="N91" s="10">
        <v>6955</v>
      </c>
      <c r="O91" s="10"/>
      <c r="P91" s="10"/>
      <c r="Q91" s="10"/>
      <c r="R91" s="10"/>
      <c r="S91" s="10"/>
      <c r="T91" s="14" t="b">
        <v>0</v>
      </c>
      <c r="U91" s="14" t="b">
        <v>0</v>
      </c>
      <c r="V91" s="14" t="b">
        <v>0</v>
      </c>
      <c r="W91" s="14" t="b">
        <v>0</v>
      </c>
      <c r="X91" s="14" t="b">
        <v>0</v>
      </c>
      <c r="Y91" s="55">
        <v>0</v>
      </c>
      <c r="Z91" s="55">
        <v>0</v>
      </c>
      <c r="AA91" s="55">
        <v>0</v>
      </c>
      <c r="AB91" s="55">
        <v>0</v>
      </c>
      <c r="AC91" s="55">
        <v>0</v>
      </c>
      <c r="AD91" s="62">
        <v>0</v>
      </c>
      <c r="AE91" s="62">
        <v>0</v>
      </c>
      <c r="AF91" s="62">
        <v>0</v>
      </c>
      <c r="AG91" s="62">
        <v>0</v>
      </c>
      <c r="AH91" s="62">
        <v>0</v>
      </c>
      <c r="AI91" s="66">
        <f>IF(VIEW_IV_2019_REP_CALCULO[[#This Row],[Cobertura-BERINERT]]&lt;Cob_Min_REP,0,IF(VIEW_IV_2019_REP_CALCULO[[#This Row],[Cobertura-BERINERT]]&gt;Cob_Max_REP,Vlr_Max_REP,VLOOKUP(VIEW_IV_2019_REP_CALCULO[[#This Row],[Cobertura-BERINERT]],Tabela_Valores_REP,2,1)))*VIEW_IV_2019_REP_CALCULO[[#This Row],[Peso-BERINERT]]</f>
        <v>0</v>
      </c>
      <c r="AJ91" s="65">
        <f>IF(VIEW_IV_2019_REP_CALCULO[[#This Row],[Cobertura-BERIPLEX]]&lt;Cob_Min_REP,0,IF(VIEW_IV_2019_REP_CALCULO[[#This Row],[Cobertura-BERIPLEX]]&gt;Cob_Max_REP,Vlr_Max_REP,VLOOKUP(VIEW_IV_2019_REP_CALCULO[[#This Row],[Cobertura-BERIPLEX]],Tabela_Valores_REP,2,1)))*VIEW_IV_2019_REP_CALCULO[[#This Row],[Peso-BERIPLEX]]</f>
        <v>0</v>
      </c>
      <c r="AK91" s="65">
        <f>IF(VIEW_IV_2019_REP_CALCULO[[#This Row],[Cobertura-HAEMO]]&lt;Cob_Min_REP,0,IF(VIEW_IV_2019_REP_CALCULO[[#This Row],[Cobertura-HAEMO]]&gt;Cob_Max_REP,Vlr_Max_REP,VLOOKUP(VIEW_IV_2019_REP_CALCULO[[#This Row],[Cobertura-HAEMO]],Tabela_Valores_REP,2,1)))*VIEW_IV_2019_REP_CALCULO[[#This Row],[Peso-HAEMO]]</f>
        <v>0</v>
      </c>
      <c r="AL91" s="65">
        <f>IF(VIEW_IV_2019_REP_CALCULO[[#This Row],[Cobertura-HIZENTRA]]&lt;Cob_Min_REP,0,IF(VIEW_IV_2019_REP_CALCULO[[#This Row],[Cobertura-HIZENTRA]]&gt;Cob_Max_REP,Vlr_Max_REP,VLOOKUP(VIEW_IV_2019_REP_CALCULO[[#This Row],[Cobertura-HIZENTRA]],Tabela_Valores_REP,2,1)))*VIEW_IV_2019_REP_CALCULO[[#This Row],[Peso-HIZENTRA]]</f>
        <v>0</v>
      </c>
      <c r="AM91" s="65">
        <f>IF(VIEW_IV_2019_REP_CALCULO[[#This Row],[Cobertura-PRIVIGEN]]&lt;Cob_Min_REP,0,IF(VIEW_IV_2019_REP_CALCULO[[#This Row],[Cobertura-PRIVIGEN]]&gt;Cob_Max_REP,Vlr_Max_REP,VLOOKUP(VIEW_IV_2019_REP_CALCULO[[#This Row],[Cobertura-PRIVIGEN]],Tabela_Valores_REP,2,1)))*VIEW_IV_2019_REP_CALCULO[[#This Row],[Peso-PRIVIGEN]]</f>
        <v>0</v>
      </c>
      <c r="AN91" s="102">
        <f>SUM(VIEW_IV_2019_REP_CALCULO[[#This Row],[Premio-BERINERT]:[Premio-PRIVIGEN]])</f>
        <v>0</v>
      </c>
      <c r="AX91" s="3"/>
      <c r="AY91" s="3"/>
      <c r="AZ91" s="3"/>
      <c r="BA91" s="3"/>
      <c r="BB91" s="3"/>
    </row>
    <row r="92" spans="1:54" x14ac:dyDescent="0.2">
      <c r="A92" s="7" t="s">
        <v>16</v>
      </c>
      <c r="B92" s="7" t="s">
        <v>813</v>
      </c>
      <c r="C92" s="7" t="s">
        <v>66</v>
      </c>
      <c r="D92" s="8" t="s">
        <v>737</v>
      </c>
      <c r="E92" s="8" t="s">
        <v>738</v>
      </c>
      <c r="F92" s="8" t="s">
        <v>739</v>
      </c>
      <c r="G92" s="8" t="s">
        <v>785</v>
      </c>
      <c r="H92" s="13" t="b">
        <v>1</v>
      </c>
      <c r="I92" s="13" t="b">
        <v>1</v>
      </c>
      <c r="J92" s="10">
        <v>14</v>
      </c>
      <c r="K92" s="10">
        <v>88</v>
      </c>
      <c r="L92" s="10">
        <v>60</v>
      </c>
      <c r="M92" s="10">
        <v>156</v>
      </c>
      <c r="N92" s="10">
        <v>3210</v>
      </c>
      <c r="O92" s="10"/>
      <c r="P92" s="10"/>
      <c r="Q92" s="10"/>
      <c r="R92" s="10"/>
      <c r="S92" s="10"/>
      <c r="T92" s="14" t="b">
        <v>0</v>
      </c>
      <c r="U92" s="14" t="b">
        <v>0</v>
      </c>
      <c r="V92" s="14" t="b">
        <v>0</v>
      </c>
      <c r="W92" s="14" t="b">
        <v>0</v>
      </c>
      <c r="X92" s="14" t="b">
        <v>0</v>
      </c>
      <c r="Y92" s="55">
        <v>0</v>
      </c>
      <c r="Z92" s="55">
        <v>0</v>
      </c>
      <c r="AA92" s="55">
        <v>0</v>
      </c>
      <c r="AB92" s="55">
        <v>0</v>
      </c>
      <c r="AC92" s="55">
        <v>0</v>
      </c>
      <c r="AD92" s="62">
        <v>0.05</v>
      </c>
      <c r="AE92" s="62">
        <v>0.15</v>
      </c>
      <c r="AF92" s="62">
        <v>0.15</v>
      </c>
      <c r="AG92" s="62">
        <v>0.2</v>
      </c>
      <c r="AH92" s="62">
        <v>0.15</v>
      </c>
      <c r="AI92" s="66">
        <f>IF(VIEW_IV_2019_REP_CALCULO[[#This Row],[Cobertura-BERINERT]]&lt;Cob_Min_REP,0,IF(VIEW_IV_2019_REP_CALCULO[[#This Row],[Cobertura-BERINERT]]&gt;Cob_Max_REP,Vlr_Max_REP,VLOOKUP(VIEW_IV_2019_REP_CALCULO[[#This Row],[Cobertura-BERINERT]],Tabela_Valores_REP,2,1)))*VIEW_IV_2019_REP_CALCULO[[#This Row],[Peso-BERINERT]]</f>
        <v>0</v>
      </c>
      <c r="AJ92" s="65">
        <f>IF(VIEW_IV_2019_REP_CALCULO[[#This Row],[Cobertura-BERIPLEX]]&lt;Cob_Min_REP,0,IF(VIEW_IV_2019_REP_CALCULO[[#This Row],[Cobertura-BERIPLEX]]&gt;Cob_Max_REP,Vlr_Max_REP,VLOOKUP(VIEW_IV_2019_REP_CALCULO[[#This Row],[Cobertura-BERIPLEX]],Tabela_Valores_REP,2,1)))*VIEW_IV_2019_REP_CALCULO[[#This Row],[Peso-BERIPLEX]]</f>
        <v>0</v>
      </c>
      <c r="AK92" s="65">
        <f>IF(VIEW_IV_2019_REP_CALCULO[[#This Row],[Cobertura-HAEMO]]&lt;Cob_Min_REP,0,IF(VIEW_IV_2019_REP_CALCULO[[#This Row],[Cobertura-HAEMO]]&gt;Cob_Max_REP,Vlr_Max_REP,VLOOKUP(VIEW_IV_2019_REP_CALCULO[[#This Row],[Cobertura-HAEMO]],Tabela_Valores_REP,2,1)))*VIEW_IV_2019_REP_CALCULO[[#This Row],[Peso-HAEMO]]</f>
        <v>0</v>
      </c>
      <c r="AL92" s="65">
        <f>IF(VIEW_IV_2019_REP_CALCULO[[#This Row],[Cobertura-HIZENTRA]]&lt;Cob_Min_REP,0,IF(VIEW_IV_2019_REP_CALCULO[[#This Row],[Cobertura-HIZENTRA]]&gt;Cob_Max_REP,Vlr_Max_REP,VLOOKUP(VIEW_IV_2019_REP_CALCULO[[#This Row],[Cobertura-HIZENTRA]],Tabela_Valores_REP,2,1)))*VIEW_IV_2019_REP_CALCULO[[#This Row],[Peso-HIZENTRA]]</f>
        <v>0</v>
      </c>
      <c r="AM92" s="65">
        <f>IF(VIEW_IV_2019_REP_CALCULO[[#This Row],[Cobertura-PRIVIGEN]]&lt;Cob_Min_REP,0,IF(VIEW_IV_2019_REP_CALCULO[[#This Row],[Cobertura-PRIVIGEN]]&gt;Cob_Max_REP,Vlr_Max_REP,VLOOKUP(VIEW_IV_2019_REP_CALCULO[[#This Row],[Cobertura-PRIVIGEN]],Tabela_Valores_REP,2,1)))*VIEW_IV_2019_REP_CALCULO[[#This Row],[Peso-PRIVIGEN]]</f>
        <v>0</v>
      </c>
      <c r="AN92" s="102">
        <f>SUM(VIEW_IV_2019_REP_CALCULO[[#This Row],[Premio-BERINERT]:[Premio-PRIVIGEN]])</f>
        <v>0</v>
      </c>
      <c r="AX92" s="3"/>
      <c r="AY92" s="3"/>
      <c r="AZ92" s="3"/>
      <c r="BA92" s="3"/>
      <c r="BB92" s="3"/>
    </row>
    <row r="93" spans="1:54" x14ac:dyDescent="0.2">
      <c r="A93" s="7" t="s">
        <v>16</v>
      </c>
      <c r="B93" s="7" t="s">
        <v>813</v>
      </c>
      <c r="C93" s="7" t="s">
        <v>66</v>
      </c>
      <c r="D93" s="8" t="s">
        <v>780</v>
      </c>
      <c r="E93" s="8" t="s">
        <v>781</v>
      </c>
      <c r="F93" s="8" t="s">
        <v>739</v>
      </c>
      <c r="G93" s="8" t="s">
        <v>791</v>
      </c>
      <c r="H93" s="13" t="b">
        <v>1</v>
      </c>
      <c r="I93" s="13" t="b">
        <v>1</v>
      </c>
      <c r="J93" s="10">
        <v>48</v>
      </c>
      <c r="K93" s="10">
        <v>44</v>
      </c>
      <c r="L93" s="10">
        <v>15</v>
      </c>
      <c r="M93" s="10">
        <v>858</v>
      </c>
      <c r="N93" s="10">
        <v>1605</v>
      </c>
      <c r="O93" s="10"/>
      <c r="P93" s="10"/>
      <c r="Q93" s="10"/>
      <c r="R93" s="10"/>
      <c r="S93" s="10"/>
      <c r="T93" s="14" t="b">
        <v>0</v>
      </c>
      <c r="U93" s="14" t="b">
        <v>0</v>
      </c>
      <c r="V93" s="14" t="b">
        <v>0</v>
      </c>
      <c r="W93" s="14" t="b">
        <v>0</v>
      </c>
      <c r="X93" s="14" t="b">
        <v>0</v>
      </c>
      <c r="Y93" s="55">
        <v>0</v>
      </c>
      <c r="Z93" s="55">
        <v>0</v>
      </c>
      <c r="AA93" s="55">
        <v>0</v>
      </c>
      <c r="AB93" s="55">
        <v>0</v>
      </c>
      <c r="AC93" s="55">
        <v>0</v>
      </c>
      <c r="AD93" s="62">
        <v>0.05</v>
      </c>
      <c r="AE93" s="62">
        <v>0.15</v>
      </c>
      <c r="AF93" s="62">
        <v>0.15</v>
      </c>
      <c r="AG93" s="62">
        <v>0.2</v>
      </c>
      <c r="AH93" s="62">
        <v>0.15</v>
      </c>
      <c r="AI93" s="66">
        <f>IF(VIEW_IV_2019_REP_CALCULO[[#This Row],[Cobertura-BERINERT]]&lt;Cob_Min_REP,0,IF(VIEW_IV_2019_REP_CALCULO[[#This Row],[Cobertura-BERINERT]]&gt;Cob_Max_REP,Vlr_Max_REP,VLOOKUP(VIEW_IV_2019_REP_CALCULO[[#This Row],[Cobertura-BERINERT]],Tabela_Valores_REP,2,1)))*VIEW_IV_2019_REP_CALCULO[[#This Row],[Peso-BERINERT]]</f>
        <v>0</v>
      </c>
      <c r="AJ93" s="65">
        <f>IF(VIEW_IV_2019_REP_CALCULO[[#This Row],[Cobertura-BERIPLEX]]&lt;Cob_Min_REP,0,IF(VIEW_IV_2019_REP_CALCULO[[#This Row],[Cobertura-BERIPLEX]]&gt;Cob_Max_REP,Vlr_Max_REP,VLOOKUP(VIEW_IV_2019_REP_CALCULO[[#This Row],[Cobertura-BERIPLEX]],Tabela_Valores_REP,2,1)))*VIEW_IV_2019_REP_CALCULO[[#This Row],[Peso-BERIPLEX]]</f>
        <v>0</v>
      </c>
      <c r="AK93" s="65">
        <f>IF(VIEW_IV_2019_REP_CALCULO[[#This Row],[Cobertura-HAEMO]]&lt;Cob_Min_REP,0,IF(VIEW_IV_2019_REP_CALCULO[[#This Row],[Cobertura-HAEMO]]&gt;Cob_Max_REP,Vlr_Max_REP,VLOOKUP(VIEW_IV_2019_REP_CALCULO[[#This Row],[Cobertura-HAEMO]],Tabela_Valores_REP,2,1)))*VIEW_IV_2019_REP_CALCULO[[#This Row],[Peso-HAEMO]]</f>
        <v>0</v>
      </c>
      <c r="AL93" s="65">
        <f>IF(VIEW_IV_2019_REP_CALCULO[[#This Row],[Cobertura-HIZENTRA]]&lt;Cob_Min_REP,0,IF(VIEW_IV_2019_REP_CALCULO[[#This Row],[Cobertura-HIZENTRA]]&gt;Cob_Max_REP,Vlr_Max_REP,VLOOKUP(VIEW_IV_2019_REP_CALCULO[[#This Row],[Cobertura-HIZENTRA]],Tabela_Valores_REP,2,1)))*VIEW_IV_2019_REP_CALCULO[[#This Row],[Peso-HIZENTRA]]</f>
        <v>0</v>
      </c>
      <c r="AM93" s="65">
        <f>IF(VIEW_IV_2019_REP_CALCULO[[#This Row],[Cobertura-PRIVIGEN]]&lt;Cob_Min_REP,0,IF(VIEW_IV_2019_REP_CALCULO[[#This Row],[Cobertura-PRIVIGEN]]&gt;Cob_Max_REP,Vlr_Max_REP,VLOOKUP(VIEW_IV_2019_REP_CALCULO[[#This Row],[Cobertura-PRIVIGEN]],Tabela_Valores_REP,2,1)))*VIEW_IV_2019_REP_CALCULO[[#This Row],[Peso-PRIVIGEN]]</f>
        <v>0</v>
      </c>
      <c r="AN93" s="102">
        <f>SUM(VIEW_IV_2019_REP_CALCULO[[#This Row],[Premio-BERINERT]:[Premio-PRIVIGEN]])</f>
        <v>0</v>
      </c>
      <c r="AX93" s="3"/>
      <c r="AY93" s="3"/>
      <c r="AZ93" s="3"/>
      <c r="BA93" s="3"/>
      <c r="BB93" s="3"/>
    </row>
    <row r="94" spans="1:54" x14ac:dyDescent="0.2">
      <c r="A94" s="7" t="s">
        <v>16</v>
      </c>
      <c r="B94" s="7" t="s">
        <v>813</v>
      </c>
      <c r="C94" s="7" t="s">
        <v>66</v>
      </c>
      <c r="D94" s="8" t="s">
        <v>720</v>
      </c>
      <c r="E94" s="8" t="s">
        <v>721</v>
      </c>
      <c r="F94" s="8" t="s">
        <v>723</v>
      </c>
      <c r="G94" s="8" t="s">
        <v>785</v>
      </c>
      <c r="H94" s="13" t="b">
        <v>1</v>
      </c>
      <c r="I94" s="13" t="b">
        <v>1</v>
      </c>
      <c r="J94" s="10">
        <v>0</v>
      </c>
      <c r="K94" s="10">
        <v>132</v>
      </c>
      <c r="L94" s="10">
        <v>150</v>
      </c>
      <c r="M94" s="10">
        <v>0</v>
      </c>
      <c r="N94" s="10">
        <v>2675</v>
      </c>
      <c r="O94" s="10"/>
      <c r="P94" s="10"/>
      <c r="Q94" s="10"/>
      <c r="R94" s="10"/>
      <c r="S94" s="10"/>
      <c r="T94" s="14" t="b">
        <v>0</v>
      </c>
      <c r="U94" s="14" t="b">
        <v>0</v>
      </c>
      <c r="V94" s="14" t="b">
        <v>0</v>
      </c>
      <c r="W94" s="14" t="b">
        <v>0</v>
      </c>
      <c r="X94" s="14" t="b">
        <v>0</v>
      </c>
      <c r="Y94" s="55">
        <v>0</v>
      </c>
      <c r="Z94" s="55">
        <v>0</v>
      </c>
      <c r="AA94" s="55">
        <v>0</v>
      </c>
      <c r="AB94" s="55">
        <v>0</v>
      </c>
      <c r="AC94" s="55">
        <v>0</v>
      </c>
      <c r="AD94" s="62">
        <v>0</v>
      </c>
      <c r="AE94" s="62">
        <v>0.25</v>
      </c>
      <c r="AF94" s="62">
        <v>0.25</v>
      </c>
      <c r="AG94" s="62">
        <v>0</v>
      </c>
      <c r="AH94" s="62">
        <v>0.2</v>
      </c>
      <c r="AI94" s="66">
        <f>IF(VIEW_IV_2019_REP_CALCULO[[#This Row],[Cobertura-BERINERT]]&lt;Cob_Min_REP,0,IF(VIEW_IV_2019_REP_CALCULO[[#This Row],[Cobertura-BERINERT]]&gt;Cob_Max_REP,Vlr_Max_REP,VLOOKUP(VIEW_IV_2019_REP_CALCULO[[#This Row],[Cobertura-BERINERT]],Tabela_Valores_REP,2,1)))*VIEW_IV_2019_REP_CALCULO[[#This Row],[Peso-BERINERT]]</f>
        <v>0</v>
      </c>
      <c r="AJ94" s="65">
        <f>IF(VIEW_IV_2019_REP_CALCULO[[#This Row],[Cobertura-BERIPLEX]]&lt;Cob_Min_REP,0,IF(VIEW_IV_2019_REP_CALCULO[[#This Row],[Cobertura-BERIPLEX]]&gt;Cob_Max_REP,Vlr_Max_REP,VLOOKUP(VIEW_IV_2019_REP_CALCULO[[#This Row],[Cobertura-BERIPLEX]],Tabela_Valores_REP,2,1)))*VIEW_IV_2019_REP_CALCULO[[#This Row],[Peso-BERIPLEX]]</f>
        <v>0</v>
      </c>
      <c r="AK94" s="65">
        <f>IF(VIEW_IV_2019_REP_CALCULO[[#This Row],[Cobertura-HAEMO]]&lt;Cob_Min_REP,0,IF(VIEW_IV_2019_REP_CALCULO[[#This Row],[Cobertura-HAEMO]]&gt;Cob_Max_REP,Vlr_Max_REP,VLOOKUP(VIEW_IV_2019_REP_CALCULO[[#This Row],[Cobertura-HAEMO]],Tabela_Valores_REP,2,1)))*VIEW_IV_2019_REP_CALCULO[[#This Row],[Peso-HAEMO]]</f>
        <v>0</v>
      </c>
      <c r="AL94" s="65">
        <f>IF(VIEW_IV_2019_REP_CALCULO[[#This Row],[Cobertura-HIZENTRA]]&lt;Cob_Min_REP,0,IF(VIEW_IV_2019_REP_CALCULO[[#This Row],[Cobertura-HIZENTRA]]&gt;Cob_Max_REP,Vlr_Max_REP,VLOOKUP(VIEW_IV_2019_REP_CALCULO[[#This Row],[Cobertura-HIZENTRA]],Tabela_Valores_REP,2,1)))*VIEW_IV_2019_REP_CALCULO[[#This Row],[Peso-HIZENTRA]]</f>
        <v>0</v>
      </c>
      <c r="AM94" s="65">
        <f>IF(VIEW_IV_2019_REP_CALCULO[[#This Row],[Cobertura-PRIVIGEN]]&lt;Cob_Min_REP,0,IF(VIEW_IV_2019_REP_CALCULO[[#This Row],[Cobertura-PRIVIGEN]]&gt;Cob_Max_REP,Vlr_Max_REP,VLOOKUP(VIEW_IV_2019_REP_CALCULO[[#This Row],[Cobertura-PRIVIGEN]],Tabela_Valores_REP,2,1)))*VIEW_IV_2019_REP_CALCULO[[#This Row],[Peso-PRIVIGEN]]</f>
        <v>0</v>
      </c>
      <c r="AN94" s="102">
        <f>SUM(VIEW_IV_2019_REP_CALCULO[[#This Row],[Premio-BERINERT]:[Premio-PRIVIGEN]])</f>
        <v>0</v>
      </c>
      <c r="AX94" s="3"/>
      <c r="AY94" s="3"/>
      <c r="AZ94" s="3"/>
      <c r="BA94" s="3"/>
      <c r="BB94" s="3"/>
    </row>
    <row r="95" spans="1:54" x14ac:dyDescent="0.2">
      <c r="A95" s="7" t="s">
        <v>16</v>
      </c>
      <c r="B95" s="7" t="s">
        <v>813</v>
      </c>
      <c r="C95" s="7" t="s">
        <v>66</v>
      </c>
      <c r="D95" s="8" t="s">
        <v>724</v>
      </c>
      <c r="E95" s="8" t="s">
        <v>725</v>
      </c>
      <c r="F95" s="8" t="s">
        <v>723</v>
      </c>
      <c r="G95" s="8" t="s">
        <v>787</v>
      </c>
      <c r="H95" s="13" t="b">
        <v>1</v>
      </c>
      <c r="I95" s="13" t="b">
        <v>1</v>
      </c>
      <c r="J95" s="10">
        <v>0</v>
      </c>
      <c r="K95" s="10">
        <v>154</v>
      </c>
      <c r="L95" s="10">
        <v>180</v>
      </c>
      <c r="M95" s="10">
        <v>0</v>
      </c>
      <c r="N95" s="10">
        <v>4815</v>
      </c>
      <c r="O95" s="10"/>
      <c r="P95" s="10"/>
      <c r="Q95" s="10"/>
      <c r="R95" s="10"/>
      <c r="S95" s="10"/>
      <c r="T95" s="14" t="b">
        <v>0</v>
      </c>
      <c r="U95" s="14" t="b">
        <v>0</v>
      </c>
      <c r="V95" s="14" t="b">
        <v>0</v>
      </c>
      <c r="W95" s="14" t="b">
        <v>0</v>
      </c>
      <c r="X95" s="14" t="b">
        <v>0</v>
      </c>
      <c r="Y95" s="55">
        <v>0</v>
      </c>
      <c r="Z95" s="55">
        <v>0</v>
      </c>
      <c r="AA95" s="55">
        <v>0</v>
      </c>
      <c r="AB95" s="55">
        <v>0</v>
      </c>
      <c r="AC95" s="55">
        <v>0</v>
      </c>
      <c r="AD95" s="62">
        <v>0</v>
      </c>
      <c r="AE95" s="62">
        <v>0.25</v>
      </c>
      <c r="AF95" s="62">
        <v>0.25</v>
      </c>
      <c r="AG95" s="62">
        <v>0</v>
      </c>
      <c r="AH95" s="62">
        <v>0.2</v>
      </c>
      <c r="AI95" s="66">
        <f>IF(VIEW_IV_2019_REP_CALCULO[[#This Row],[Cobertura-BERINERT]]&lt;Cob_Min_REP,0,IF(VIEW_IV_2019_REP_CALCULO[[#This Row],[Cobertura-BERINERT]]&gt;Cob_Max_REP,Vlr_Max_REP,VLOOKUP(VIEW_IV_2019_REP_CALCULO[[#This Row],[Cobertura-BERINERT]],Tabela_Valores_REP,2,1)))*VIEW_IV_2019_REP_CALCULO[[#This Row],[Peso-BERINERT]]</f>
        <v>0</v>
      </c>
      <c r="AJ95" s="65">
        <f>IF(VIEW_IV_2019_REP_CALCULO[[#This Row],[Cobertura-BERIPLEX]]&lt;Cob_Min_REP,0,IF(VIEW_IV_2019_REP_CALCULO[[#This Row],[Cobertura-BERIPLEX]]&gt;Cob_Max_REP,Vlr_Max_REP,VLOOKUP(VIEW_IV_2019_REP_CALCULO[[#This Row],[Cobertura-BERIPLEX]],Tabela_Valores_REP,2,1)))*VIEW_IV_2019_REP_CALCULO[[#This Row],[Peso-BERIPLEX]]</f>
        <v>0</v>
      </c>
      <c r="AK95" s="65">
        <f>IF(VIEW_IV_2019_REP_CALCULO[[#This Row],[Cobertura-HAEMO]]&lt;Cob_Min_REP,0,IF(VIEW_IV_2019_REP_CALCULO[[#This Row],[Cobertura-HAEMO]]&gt;Cob_Max_REP,Vlr_Max_REP,VLOOKUP(VIEW_IV_2019_REP_CALCULO[[#This Row],[Cobertura-HAEMO]],Tabela_Valores_REP,2,1)))*VIEW_IV_2019_REP_CALCULO[[#This Row],[Peso-HAEMO]]</f>
        <v>0</v>
      </c>
      <c r="AL95" s="65">
        <f>IF(VIEW_IV_2019_REP_CALCULO[[#This Row],[Cobertura-HIZENTRA]]&lt;Cob_Min_REP,0,IF(VIEW_IV_2019_REP_CALCULO[[#This Row],[Cobertura-HIZENTRA]]&gt;Cob_Max_REP,Vlr_Max_REP,VLOOKUP(VIEW_IV_2019_REP_CALCULO[[#This Row],[Cobertura-HIZENTRA]],Tabela_Valores_REP,2,1)))*VIEW_IV_2019_REP_CALCULO[[#This Row],[Peso-HIZENTRA]]</f>
        <v>0</v>
      </c>
      <c r="AM95" s="65">
        <f>IF(VIEW_IV_2019_REP_CALCULO[[#This Row],[Cobertura-PRIVIGEN]]&lt;Cob_Min_REP,0,IF(VIEW_IV_2019_REP_CALCULO[[#This Row],[Cobertura-PRIVIGEN]]&gt;Cob_Max_REP,Vlr_Max_REP,VLOOKUP(VIEW_IV_2019_REP_CALCULO[[#This Row],[Cobertura-PRIVIGEN]],Tabela_Valores_REP,2,1)))*VIEW_IV_2019_REP_CALCULO[[#This Row],[Peso-PRIVIGEN]]</f>
        <v>0</v>
      </c>
      <c r="AN95" s="102">
        <f>SUM(VIEW_IV_2019_REP_CALCULO[[#This Row],[Premio-BERINERT]:[Premio-PRIVIGEN]])</f>
        <v>0</v>
      </c>
      <c r="AX95" s="3"/>
      <c r="AY95" s="3"/>
      <c r="AZ95" s="3"/>
      <c r="BA95" s="3"/>
      <c r="BB95" s="3"/>
    </row>
    <row r="96" spans="1:54" x14ac:dyDescent="0.2">
      <c r="A96" s="7" t="s">
        <v>16</v>
      </c>
      <c r="B96" s="7" t="s">
        <v>813</v>
      </c>
      <c r="C96" s="7" t="s">
        <v>66</v>
      </c>
      <c r="D96" s="8" t="s">
        <v>726</v>
      </c>
      <c r="E96" s="8" t="s">
        <v>727</v>
      </c>
      <c r="F96" s="8" t="s">
        <v>723</v>
      </c>
      <c r="G96" s="8" t="s">
        <v>787</v>
      </c>
      <c r="H96" s="13" t="b">
        <v>1</v>
      </c>
      <c r="I96" s="13" t="b">
        <v>1</v>
      </c>
      <c r="J96" s="10">
        <v>0</v>
      </c>
      <c r="K96" s="10">
        <v>132</v>
      </c>
      <c r="L96" s="10">
        <v>75</v>
      </c>
      <c r="M96" s="10">
        <v>0</v>
      </c>
      <c r="N96" s="10">
        <v>6420</v>
      </c>
      <c r="O96" s="10"/>
      <c r="P96" s="10"/>
      <c r="Q96" s="10"/>
      <c r="R96" s="10"/>
      <c r="S96" s="10"/>
      <c r="T96" s="14" t="b">
        <v>0</v>
      </c>
      <c r="U96" s="14" t="b">
        <v>0</v>
      </c>
      <c r="V96" s="14" t="b">
        <v>0</v>
      </c>
      <c r="W96" s="14" t="b">
        <v>0</v>
      </c>
      <c r="X96" s="14" t="b">
        <v>0</v>
      </c>
      <c r="Y96" s="55">
        <v>0</v>
      </c>
      <c r="Z96" s="55">
        <v>0</v>
      </c>
      <c r="AA96" s="55">
        <v>0</v>
      </c>
      <c r="AB96" s="55">
        <v>0</v>
      </c>
      <c r="AC96" s="55">
        <v>0</v>
      </c>
      <c r="AD96" s="62">
        <v>0</v>
      </c>
      <c r="AE96" s="62">
        <v>0.25</v>
      </c>
      <c r="AF96" s="62">
        <v>0.25</v>
      </c>
      <c r="AG96" s="62">
        <v>0</v>
      </c>
      <c r="AH96" s="62">
        <v>0.2</v>
      </c>
      <c r="AI96" s="66">
        <f>IF(VIEW_IV_2019_REP_CALCULO[[#This Row],[Cobertura-BERINERT]]&lt;Cob_Min_REP,0,IF(VIEW_IV_2019_REP_CALCULO[[#This Row],[Cobertura-BERINERT]]&gt;Cob_Max_REP,Vlr_Max_REP,VLOOKUP(VIEW_IV_2019_REP_CALCULO[[#This Row],[Cobertura-BERINERT]],Tabela_Valores_REP,2,1)))*VIEW_IV_2019_REP_CALCULO[[#This Row],[Peso-BERINERT]]</f>
        <v>0</v>
      </c>
      <c r="AJ96" s="65">
        <f>IF(VIEW_IV_2019_REP_CALCULO[[#This Row],[Cobertura-BERIPLEX]]&lt;Cob_Min_REP,0,IF(VIEW_IV_2019_REP_CALCULO[[#This Row],[Cobertura-BERIPLEX]]&gt;Cob_Max_REP,Vlr_Max_REP,VLOOKUP(VIEW_IV_2019_REP_CALCULO[[#This Row],[Cobertura-BERIPLEX]],Tabela_Valores_REP,2,1)))*VIEW_IV_2019_REP_CALCULO[[#This Row],[Peso-BERIPLEX]]</f>
        <v>0</v>
      </c>
      <c r="AK96" s="65">
        <f>IF(VIEW_IV_2019_REP_CALCULO[[#This Row],[Cobertura-HAEMO]]&lt;Cob_Min_REP,0,IF(VIEW_IV_2019_REP_CALCULO[[#This Row],[Cobertura-HAEMO]]&gt;Cob_Max_REP,Vlr_Max_REP,VLOOKUP(VIEW_IV_2019_REP_CALCULO[[#This Row],[Cobertura-HAEMO]],Tabela_Valores_REP,2,1)))*VIEW_IV_2019_REP_CALCULO[[#This Row],[Peso-HAEMO]]</f>
        <v>0</v>
      </c>
      <c r="AL96" s="65">
        <f>IF(VIEW_IV_2019_REP_CALCULO[[#This Row],[Cobertura-HIZENTRA]]&lt;Cob_Min_REP,0,IF(VIEW_IV_2019_REP_CALCULO[[#This Row],[Cobertura-HIZENTRA]]&gt;Cob_Max_REP,Vlr_Max_REP,VLOOKUP(VIEW_IV_2019_REP_CALCULO[[#This Row],[Cobertura-HIZENTRA]],Tabela_Valores_REP,2,1)))*VIEW_IV_2019_REP_CALCULO[[#This Row],[Peso-HIZENTRA]]</f>
        <v>0</v>
      </c>
      <c r="AM96" s="65">
        <f>IF(VIEW_IV_2019_REP_CALCULO[[#This Row],[Cobertura-PRIVIGEN]]&lt;Cob_Min_REP,0,IF(VIEW_IV_2019_REP_CALCULO[[#This Row],[Cobertura-PRIVIGEN]]&gt;Cob_Max_REP,Vlr_Max_REP,VLOOKUP(VIEW_IV_2019_REP_CALCULO[[#This Row],[Cobertura-PRIVIGEN]],Tabela_Valores_REP,2,1)))*VIEW_IV_2019_REP_CALCULO[[#This Row],[Peso-PRIVIGEN]]</f>
        <v>0</v>
      </c>
      <c r="AN96" s="102">
        <f>SUM(VIEW_IV_2019_REP_CALCULO[[#This Row],[Premio-BERINERT]:[Premio-PRIVIGEN]])</f>
        <v>0</v>
      </c>
      <c r="AX96" s="3"/>
      <c r="AY96" s="3"/>
      <c r="AZ96" s="3"/>
      <c r="BA96" s="3"/>
      <c r="BB96" s="3"/>
    </row>
    <row r="97" spans="1:54" x14ac:dyDescent="0.2">
      <c r="A97" s="7" t="s">
        <v>16</v>
      </c>
      <c r="B97" s="7" t="s">
        <v>813</v>
      </c>
      <c r="C97" s="7" t="s">
        <v>66</v>
      </c>
      <c r="D97" s="8" t="s">
        <v>735</v>
      </c>
      <c r="E97" s="8" t="s">
        <v>736</v>
      </c>
      <c r="F97" s="8" t="s">
        <v>723</v>
      </c>
      <c r="G97" s="8" t="s">
        <v>785</v>
      </c>
      <c r="H97" s="13" t="b">
        <v>1</v>
      </c>
      <c r="I97" s="13" t="b">
        <v>1</v>
      </c>
      <c r="J97" s="10">
        <v>0</v>
      </c>
      <c r="K97" s="10">
        <v>88</v>
      </c>
      <c r="L97" s="10">
        <v>60</v>
      </c>
      <c r="M97" s="10">
        <v>0</v>
      </c>
      <c r="N97" s="10">
        <v>8025</v>
      </c>
      <c r="O97" s="10"/>
      <c r="P97" s="10"/>
      <c r="Q97" s="10"/>
      <c r="R97" s="10"/>
      <c r="S97" s="10"/>
      <c r="T97" s="14" t="b">
        <v>0</v>
      </c>
      <c r="U97" s="14" t="b">
        <v>0</v>
      </c>
      <c r="V97" s="14" t="b">
        <v>0</v>
      </c>
      <c r="W97" s="14" t="b">
        <v>0</v>
      </c>
      <c r="X97" s="14" t="b">
        <v>0</v>
      </c>
      <c r="Y97" s="55">
        <v>0</v>
      </c>
      <c r="Z97" s="55">
        <v>0</v>
      </c>
      <c r="AA97" s="55">
        <v>0</v>
      </c>
      <c r="AB97" s="55">
        <v>0</v>
      </c>
      <c r="AC97" s="55">
        <v>0</v>
      </c>
      <c r="AD97" s="62">
        <v>0</v>
      </c>
      <c r="AE97" s="62">
        <v>0.25</v>
      </c>
      <c r="AF97" s="62">
        <v>0.25</v>
      </c>
      <c r="AG97" s="62">
        <v>0</v>
      </c>
      <c r="AH97" s="62">
        <v>0.2</v>
      </c>
      <c r="AI97" s="66">
        <f>IF(VIEW_IV_2019_REP_CALCULO[[#This Row],[Cobertura-BERINERT]]&lt;Cob_Min_REP,0,IF(VIEW_IV_2019_REP_CALCULO[[#This Row],[Cobertura-BERINERT]]&gt;Cob_Max_REP,Vlr_Max_REP,VLOOKUP(VIEW_IV_2019_REP_CALCULO[[#This Row],[Cobertura-BERINERT]],Tabela_Valores_REP,2,1)))*VIEW_IV_2019_REP_CALCULO[[#This Row],[Peso-BERINERT]]</f>
        <v>0</v>
      </c>
      <c r="AJ97" s="65">
        <f>IF(VIEW_IV_2019_REP_CALCULO[[#This Row],[Cobertura-BERIPLEX]]&lt;Cob_Min_REP,0,IF(VIEW_IV_2019_REP_CALCULO[[#This Row],[Cobertura-BERIPLEX]]&gt;Cob_Max_REP,Vlr_Max_REP,VLOOKUP(VIEW_IV_2019_REP_CALCULO[[#This Row],[Cobertura-BERIPLEX]],Tabela_Valores_REP,2,1)))*VIEW_IV_2019_REP_CALCULO[[#This Row],[Peso-BERIPLEX]]</f>
        <v>0</v>
      </c>
      <c r="AK97" s="65">
        <f>IF(VIEW_IV_2019_REP_CALCULO[[#This Row],[Cobertura-HAEMO]]&lt;Cob_Min_REP,0,IF(VIEW_IV_2019_REP_CALCULO[[#This Row],[Cobertura-HAEMO]]&gt;Cob_Max_REP,Vlr_Max_REP,VLOOKUP(VIEW_IV_2019_REP_CALCULO[[#This Row],[Cobertura-HAEMO]],Tabela_Valores_REP,2,1)))*VIEW_IV_2019_REP_CALCULO[[#This Row],[Peso-HAEMO]]</f>
        <v>0</v>
      </c>
      <c r="AL97" s="65">
        <f>IF(VIEW_IV_2019_REP_CALCULO[[#This Row],[Cobertura-HIZENTRA]]&lt;Cob_Min_REP,0,IF(VIEW_IV_2019_REP_CALCULO[[#This Row],[Cobertura-HIZENTRA]]&gt;Cob_Max_REP,Vlr_Max_REP,VLOOKUP(VIEW_IV_2019_REP_CALCULO[[#This Row],[Cobertura-HIZENTRA]],Tabela_Valores_REP,2,1)))*VIEW_IV_2019_REP_CALCULO[[#This Row],[Peso-HIZENTRA]]</f>
        <v>0</v>
      </c>
      <c r="AM97" s="65">
        <f>IF(VIEW_IV_2019_REP_CALCULO[[#This Row],[Cobertura-PRIVIGEN]]&lt;Cob_Min_REP,0,IF(VIEW_IV_2019_REP_CALCULO[[#This Row],[Cobertura-PRIVIGEN]]&gt;Cob_Max_REP,Vlr_Max_REP,VLOOKUP(VIEW_IV_2019_REP_CALCULO[[#This Row],[Cobertura-PRIVIGEN]],Tabela_Valores_REP,2,1)))*VIEW_IV_2019_REP_CALCULO[[#This Row],[Peso-PRIVIGEN]]</f>
        <v>0</v>
      </c>
      <c r="AN97" s="102">
        <f>SUM(VIEW_IV_2019_REP_CALCULO[[#This Row],[Premio-BERINERT]:[Premio-PRIVIGEN]])</f>
        <v>0</v>
      </c>
      <c r="AX97" s="3"/>
      <c r="AY97" s="3"/>
      <c r="AZ97" s="3"/>
      <c r="BA97" s="3"/>
      <c r="BB97" s="3"/>
    </row>
    <row r="98" spans="1:54" x14ac:dyDescent="0.2">
      <c r="A98" s="7" t="s">
        <v>16</v>
      </c>
      <c r="B98" s="7" t="s">
        <v>813</v>
      </c>
      <c r="C98" s="7" t="s">
        <v>66</v>
      </c>
      <c r="D98" s="8" t="s">
        <v>742</v>
      </c>
      <c r="E98" s="8" t="s">
        <v>743</v>
      </c>
      <c r="F98" s="8" t="s">
        <v>723</v>
      </c>
      <c r="G98" s="8" t="s">
        <v>791</v>
      </c>
      <c r="H98" s="13" t="b">
        <v>1</v>
      </c>
      <c r="I98" s="13" t="b">
        <v>1</v>
      </c>
      <c r="J98" s="10">
        <v>0</v>
      </c>
      <c r="K98" s="10">
        <v>242</v>
      </c>
      <c r="L98" s="10">
        <v>105</v>
      </c>
      <c r="M98" s="10">
        <v>0</v>
      </c>
      <c r="N98" s="10">
        <v>2675</v>
      </c>
      <c r="O98" s="10"/>
      <c r="P98" s="10"/>
      <c r="Q98" s="10"/>
      <c r="R98" s="10"/>
      <c r="S98" s="10"/>
      <c r="T98" s="14" t="b">
        <v>0</v>
      </c>
      <c r="U98" s="14" t="b">
        <v>0</v>
      </c>
      <c r="V98" s="14" t="b">
        <v>0</v>
      </c>
      <c r="W98" s="14" t="b">
        <v>0</v>
      </c>
      <c r="X98" s="14" t="b">
        <v>0</v>
      </c>
      <c r="Y98" s="55">
        <v>0</v>
      </c>
      <c r="Z98" s="55">
        <v>0</v>
      </c>
      <c r="AA98" s="55">
        <v>0</v>
      </c>
      <c r="AB98" s="55">
        <v>0</v>
      </c>
      <c r="AC98" s="55">
        <v>0</v>
      </c>
      <c r="AD98" s="62">
        <v>0</v>
      </c>
      <c r="AE98" s="62">
        <v>0.25</v>
      </c>
      <c r="AF98" s="62">
        <v>0.25</v>
      </c>
      <c r="AG98" s="62">
        <v>0</v>
      </c>
      <c r="AH98" s="62">
        <v>0.2</v>
      </c>
      <c r="AI98" s="66">
        <f>IF(VIEW_IV_2019_REP_CALCULO[[#This Row],[Cobertura-BERINERT]]&lt;Cob_Min_REP,0,IF(VIEW_IV_2019_REP_CALCULO[[#This Row],[Cobertura-BERINERT]]&gt;Cob_Max_REP,Vlr_Max_REP,VLOOKUP(VIEW_IV_2019_REP_CALCULO[[#This Row],[Cobertura-BERINERT]],Tabela_Valores_REP,2,1)))*VIEW_IV_2019_REP_CALCULO[[#This Row],[Peso-BERINERT]]</f>
        <v>0</v>
      </c>
      <c r="AJ98" s="65">
        <f>IF(VIEW_IV_2019_REP_CALCULO[[#This Row],[Cobertura-BERIPLEX]]&lt;Cob_Min_REP,0,IF(VIEW_IV_2019_REP_CALCULO[[#This Row],[Cobertura-BERIPLEX]]&gt;Cob_Max_REP,Vlr_Max_REP,VLOOKUP(VIEW_IV_2019_REP_CALCULO[[#This Row],[Cobertura-BERIPLEX]],Tabela_Valores_REP,2,1)))*VIEW_IV_2019_REP_CALCULO[[#This Row],[Peso-BERIPLEX]]</f>
        <v>0</v>
      </c>
      <c r="AK98" s="65">
        <f>IF(VIEW_IV_2019_REP_CALCULO[[#This Row],[Cobertura-HAEMO]]&lt;Cob_Min_REP,0,IF(VIEW_IV_2019_REP_CALCULO[[#This Row],[Cobertura-HAEMO]]&gt;Cob_Max_REP,Vlr_Max_REP,VLOOKUP(VIEW_IV_2019_REP_CALCULO[[#This Row],[Cobertura-HAEMO]],Tabela_Valores_REP,2,1)))*VIEW_IV_2019_REP_CALCULO[[#This Row],[Peso-HAEMO]]</f>
        <v>0</v>
      </c>
      <c r="AL98" s="65">
        <f>IF(VIEW_IV_2019_REP_CALCULO[[#This Row],[Cobertura-HIZENTRA]]&lt;Cob_Min_REP,0,IF(VIEW_IV_2019_REP_CALCULO[[#This Row],[Cobertura-HIZENTRA]]&gt;Cob_Max_REP,Vlr_Max_REP,VLOOKUP(VIEW_IV_2019_REP_CALCULO[[#This Row],[Cobertura-HIZENTRA]],Tabela_Valores_REP,2,1)))*VIEW_IV_2019_REP_CALCULO[[#This Row],[Peso-HIZENTRA]]</f>
        <v>0</v>
      </c>
      <c r="AM98" s="65">
        <f>IF(VIEW_IV_2019_REP_CALCULO[[#This Row],[Cobertura-PRIVIGEN]]&lt;Cob_Min_REP,0,IF(VIEW_IV_2019_REP_CALCULO[[#This Row],[Cobertura-PRIVIGEN]]&gt;Cob_Max_REP,Vlr_Max_REP,VLOOKUP(VIEW_IV_2019_REP_CALCULO[[#This Row],[Cobertura-PRIVIGEN]],Tabela_Valores_REP,2,1)))*VIEW_IV_2019_REP_CALCULO[[#This Row],[Peso-PRIVIGEN]]</f>
        <v>0</v>
      </c>
      <c r="AN98" s="102">
        <f>SUM(VIEW_IV_2019_REP_CALCULO[[#This Row],[Premio-BERINERT]:[Premio-PRIVIGEN]])</f>
        <v>0</v>
      </c>
      <c r="AX98" s="3"/>
      <c r="AY98" s="3"/>
      <c r="AZ98" s="3"/>
      <c r="BA98" s="3"/>
      <c r="BB98" s="3"/>
    </row>
    <row r="99" spans="1:54" x14ac:dyDescent="0.2">
      <c r="A99" s="7" t="s">
        <v>16</v>
      </c>
      <c r="B99" s="7" t="s">
        <v>813</v>
      </c>
      <c r="C99" s="7" t="s">
        <v>66</v>
      </c>
      <c r="D99" s="8" t="s">
        <v>744</v>
      </c>
      <c r="E99" s="8" t="s">
        <v>745</v>
      </c>
      <c r="F99" s="8" t="s">
        <v>723</v>
      </c>
      <c r="G99" s="8" t="s">
        <v>791</v>
      </c>
      <c r="H99" s="13" t="b">
        <v>1</v>
      </c>
      <c r="I99" s="13" t="b">
        <v>1</v>
      </c>
      <c r="J99" s="10">
        <v>0</v>
      </c>
      <c r="K99" s="10">
        <v>198</v>
      </c>
      <c r="L99" s="10">
        <v>165</v>
      </c>
      <c r="M99" s="10">
        <v>0</v>
      </c>
      <c r="N99" s="10">
        <v>1605</v>
      </c>
      <c r="O99" s="10"/>
      <c r="P99" s="10"/>
      <c r="Q99" s="10"/>
      <c r="R99" s="10"/>
      <c r="S99" s="10"/>
      <c r="T99" s="14" t="b">
        <v>0</v>
      </c>
      <c r="U99" s="14" t="b">
        <v>0</v>
      </c>
      <c r="V99" s="14" t="b">
        <v>0</v>
      </c>
      <c r="W99" s="14" t="b">
        <v>0</v>
      </c>
      <c r="X99" s="14" t="b">
        <v>0</v>
      </c>
      <c r="Y99" s="55">
        <v>0</v>
      </c>
      <c r="Z99" s="55">
        <v>0</v>
      </c>
      <c r="AA99" s="55">
        <v>0</v>
      </c>
      <c r="AB99" s="55">
        <v>0</v>
      </c>
      <c r="AC99" s="55">
        <v>0</v>
      </c>
      <c r="AD99" s="62">
        <v>0</v>
      </c>
      <c r="AE99" s="62">
        <v>0.25</v>
      </c>
      <c r="AF99" s="62">
        <v>0.25</v>
      </c>
      <c r="AG99" s="62">
        <v>0</v>
      </c>
      <c r="AH99" s="62">
        <v>0.2</v>
      </c>
      <c r="AI99" s="66">
        <f>IF(VIEW_IV_2019_REP_CALCULO[[#This Row],[Cobertura-BERINERT]]&lt;Cob_Min_REP,0,IF(VIEW_IV_2019_REP_CALCULO[[#This Row],[Cobertura-BERINERT]]&gt;Cob_Max_REP,Vlr_Max_REP,VLOOKUP(VIEW_IV_2019_REP_CALCULO[[#This Row],[Cobertura-BERINERT]],Tabela_Valores_REP,2,1)))*VIEW_IV_2019_REP_CALCULO[[#This Row],[Peso-BERINERT]]</f>
        <v>0</v>
      </c>
      <c r="AJ99" s="65">
        <f>IF(VIEW_IV_2019_REP_CALCULO[[#This Row],[Cobertura-BERIPLEX]]&lt;Cob_Min_REP,0,IF(VIEW_IV_2019_REP_CALCULO[[#This Row],[Cobertura-BERIPLEX]]&gt;Cob_Max_REP,Vlr_Max_REP,VLOOKUP(VIEW_IV_2019_REP_CALCULO[[#This Row],[Cobertura-BERIPLEX]],Tabela_Valores_REP,2,1)))*VIEW_IV_2019_REP_CALCULO[[#This Row],[Peso-BERIPLEX]]</f>
        <v>0</v>
      </c>
      <c r="AK99" s="65">
        <f>IF(VIEW_IV_2019_REP_CALCULO[[#This Row],[Cobertura-HAEMO]]&lt;Cob_Min_REP,0,IF(VIEW_IV_2019_REP_CALCULO[[#This Row],[Cobertura-HAEMO]]&gt;Cob_Max_REP,Vlr_Max_REP,VLOOKUP(VIEW_IV_2019_REP_CALCULO[[#This Row],[Cobertura-HAEMO]],Tabela_Valores_REP,2,1)))*VIEW_IV_2019_REP_CALCULO[[#This Row],[Peso-HAEMO]]</f>
        <v>0</v>
      </c>
      <c r="AL99" s="65">
        <f>IF(VIEW_IV_2019_REP_CALCULO[[#This Row],[Cobertura-HIZENTRA]]&lt;Cob_Min_REP,0,IF(VIEW_IV_2019_REP_CALCULO[[#This Row],[Cobertura-HIZENTRA]]&gt;Cob_Max_REP,Vlr_Max_REP,VLOOKUP(VIEW_IV_2019_REP_CALCULO[[#This Row],[Cobertura-HIZENTRA]],Tabela_Valores_REP,2,1)))*VIEW_IV_2019_REP_CALCULO[[#This Row],[Peso-HIZENTRA]]</f>
        <v>0</v>
      </c>
      <c r="AM99" s="65">
        <f>IF(VIEW_IV_2019_REP_CALCULO[[#This Row],[Cobertura-PRIVIGEN]]&lt;Cob_Min_REP,0,IF(VIEW_IV_2019_REP_CALCULO[[#This Row],[Cobertura-PRIVIGEN]]&gt;Cob_Max_REP,Vlr_Max_REP,VLOOKUP(VIEW_IV_2019_REP_CALCULO[[#This Row],[Cobertura-PRIVIGEN]],Tabela_Valores_REP,2,1)))*VIEW_IV_2019_REP_CALCULO[[#This Row],[Peso-PRIVIGEN]]</f>
        <v>0</v>
      </c>
      <c r="AN99" s="102">
        <f>SUM(VIEW_IV_2019_REP_CALCULO[[#This Row],[Premio-BERINERT]:[Premio-PRIVIGEN]])</f>
        <v>0</v>
      </c>
      <c r="AX99" s="3"/>
      <c r="AY99" s="3"/>
      <c r="AZ99" s="3"/>
      <c r="BA99" s="3"/>
      <c r="BB99" s="3"/>
    </row>
    <row r="100" spans="1:54" x14ac:dyDescent="0.2">
      <c r="A100" s="7" t="s">
        <v>16</v>
      </c>
      <c r="B100" s="7" t="s">
        <v>813</v>
      </c>
      <c r="C100" s="7" t="s">
        <v>66</v>
      </c>
      <c r="D100" s="8" t="s">
        <v>746</v>
      </c>
      <c r="E100" s="8" t="s">
        <v>747</v>
      </c>
      <c r="F100" s="8" t="s">
        <v>723</v>
      </c>
      <c r="G100" s="8" t="s">
        <v>791</v>
      </c>
      <c r="H100" s="13" t="b">
        <v>1</v>
      </c>
      <c r="I100" s="13" t="b">
        <v>1</v>
      </c>
      <c r="J100" s="10">
        <v>0</v>
      </c>
      <c r="K100" s="10">
        <v>176</v>
      </c>
      <c r="L100" s="10">
        <v>105</v>
      </c>
      <c r="M100" s="10">
        <v>0</v>
      </c>
      <c r="N100" s="10">
        <v>3210</v>
      </c>
      <c r="O100" s="10"/>
      <c r="P100" s="10"/>
      <c r="Q100" s="10"/>
      <c r="R100" s="10"/>
      <c r="S100" s="10"/>
      <c r="T100" s="14" t="b">
        <v>0</v>
      </c>
      <c r="U100" s="14" t="b">
        <v>0</v>
      </c>
      <c r="V100" s="14" t="b">
        <v>0</v>
      </c>
      <c r="W100" s="14" t="b">
        <v>0</v>
      </c>
      <c r="X100" s="14" t="b">
        <v>0</v>
      </c>
      <c r="Y100" s="55">
        <v>0</v>
      </c>
      <c r="Z100" s="55">
        <v>0</v>
      </c>
      <c r="AA100" s="55">
        <v>0</v>
      </c>
      <c r="AB100" s="55">
        <v>0</v>
      </c>
      <c r="AC100" s="55">
        <v>0</v>
      </c>
      <c r="AD100" s="62">
        <v>0</v>
      </c>
      <c r="AE100" s="62">
        <v>0.25</v>
      </c>
      <c r="AF100" s="62">
        <v>0.25</v>
      </c>
      <c r="AG100" s="62">
        <v>0</v>
      </c>
      <c r="AH100" s="62">
        <v>0.2</v>
      </c>
      <c r="AI100" s="66">
        <f>IF(VIEW_IV_2019_REP_CALCULO[[#This Row],[Cobertura-BERINERT]]&lt;Cob_Min_REP,0,IF(VIEW_IV_2019_REP_CALCULO[[#This Row],[Cobertura-BERINERT]]&gt;Cob_Max_REP,Vlr_Max_REP,VLOOKUP(VIEW_IV_2019_REP_CALCULO[[#This Row],[Cobertura-BERINERT]],Tabela_Valores_REP,2,1)))*VIEW_IV_2019_REP_CALCULO[[#This Row],[Peso-BERINERT]]</f>
        <v>0</v>
      </c>
      <c r="AJ100" s="65">
        <f>IF(VIEW_IV_2019_REP_CALCULO[[#This Row],[Cobertura-BERIPLEX]]&lt;Cob_Min_REP,0,IF(VIEW_IV_2019_REP_CALCULO[[#This Row],[Cobertura-BERIPLEX]]&gt;Cob_Max_REP,Vlr_Max_REP,VLOOKUP(VIEW_IV_2019_REP_CALCULO[[#This Row],[Cobertura-BERIPLEX]],Tabela_Valores_REP,2,1)))*VIEW_IV_2019_REP_CALCULO[[#This Row],[Peso-BERIPLEX]]</f>
        <v>0</v>
      </c>
      <c r="AK100" s="65">
        <f>IF(VIEW_IV_2019_REP_CALCULO[[#This Row],[Cobertura-HAEMO]]&lt;Cob_Min_REP,0,IF(VIEW_IV_2019_REP_CALCULO[[#This Row],[Cobertura-HAEMO]]&gt;Cob_Max_REP,Vlr_Max_REP,VLOOKUP(VIEW_IV_2019_REP_CALCULO[[#This Row],[Cobertura-HAEMO]],Tabela_Valores_REP,2,1)))*VIEW_IV_2019_REP_CALCULO[[#This Row],[Peso-HAEMO]]</f>
        <v>0</v>
      </c>
      <c r="AL100" s="65">
        <f>IF(VIEW_IV_2019_REP_CALCULO[[#This Row],[Cobertura-HIZENTRA]]&lt;Cob_Min_REP,0,IF(VIEW_IV_2019_REP_CALCULO[[#This Row],[Cobertura-HIZENTRA]]&gt;Cob_Max_REP,Vlr_Max_REP,VLOOKUP(VIEW_IV_2019_REP_CALCULO[[#This Row],[Cobertura-HIZENTRA]],Tabela_Valores_REP,2,1)))*VIEW_IV_2019_REP_CALCULO[[#This Row],[Peso-HIZENTRA]]</f>
        <v>0</v>
      </c>
      <c r="AM100" s="65">
        <f>IF(VIEW_IV_2019_REP_CALCULO[[#This Row],[Cobertura-PRIVIGEN]]&lt;Cob_Min_REP,0,IF(VIEW_IV_2019_REP_CALCULO[[#This Row],[Cobertura-PRIVIGEN]]&gt;Cob_Max_REP,Vlr_Max_REP,VLOOKUP(VIEW_IV_2019_REP_CALCULO[[#This Row],[Cobertura-PRIVIGEN]],Tabela_Valores_REP,2,1)))*VIEW_IV_2019_REP_CALCULO[[#This Row],[Peso-PRIVIGEN]]</f>
        <v>0</v>
      </c>
      <c r="AN100" s="102">
        <f>SUM(VIEW_IV_2019_REP_CALCULO[[#This Row],[Premio-BERINERT]:[Premio-PRIVIGEN]])</f>
        <v>0</v>
      </c>
      <c r="AX100" s="3"/>
      <c r="AY100" s="3"/>
      <c r="AZ100" s="3"/>
      <c r="BA100" s="3"/>
      <c r="BB100" s="3"/>
    </row>
    <row r="101" spans="1:54" x14ac:dyDescent="0.2">
      <c r="A101" s="7" t="s">
        <v>16</v>
      </c>
      <c r="B101" s="7" t="s">
        <v>813</v>
      </c>
      <c r="C101" s="7" t="s">
        <v>66</v>
      </c>
      <c r="D101" s="8" t="s">
        <v>748</v>
      </c>
      <c r="E101" s="8" t="s">
        <v>749</v>
      </c>
      <c r="F101" s="8" t="s">
        <v>723</v>
      </c>
      <c r="G101" s="8" t="s">
        <v>791</v>
      </c>
      <c r="H101" s="13" t="b">
        <v>1</v>
      </c>
      <c r="I101" s="13" t="b">
        <v>1</v>
      </c>
      <c r="J101" s="10">
        <v>0</v>
      </c>
      <c r="K101" s="10">
        <v>220</v>
      </c>
      <c r="L101" s="10">
        <v>60</v>
      </c>
      <c r="M101" s="10">
        <v>0</v>
      </c>
      <c r="N101" s="10">
        <v>1605</v>
      </c>
      <c r="O101" s="10"/>
      <c r="P101" s="10"/>
      <c r="Q101" s="10"/>
      <c r="R101" s="10"/>
      <c r="S101" s="10"/>
      <c r="T101" s="14" t="b">
        <v>0</v>
      </c>
      <c r="U101" s="14" t="b">
        <v>0</v>
      </c>
      <c r="V101" s="14" t="b">
        <v>0</v>
      </c>
      <c r="W101" s="14" t="b">
        <v>0</v>
      </c>
      <c r="X101" s="14" t="b">
        <v>0</v>
      </c>
      <c r="Y101" s="55">
        <v>0</v>
      </c>
      <c r="Z101" s="55">
        <v>0</v>
      </c>
      <c r="AA101" s="55">
        <v>0</v>
      </c>
      <c r="AB101" s="55">
        <v>0</v>
      </c>
      <c r="AC101" s="55">
        <v>0</v>
      </c>
      <c r="AD101" s="62">
        <v>0</v>
      </c>
      <c r="AE101" s="62">
        <v>0.25</v>
      </c>
      <c r="AF101" s="62">
        <v>0.25</v>
      </c>
      <c r="AG101" s="62">
        <v>0</v>
      </c>
      <c r="AH101" s="62">
        <v>0.2</v>
      </c>
      <c r="AI101" s="66">
        <f>IF(VIEW_IV_2019_REP_CALCULO[[#This Row],[Cobertura-BERINERT]]&lt;Cob_Min_REP,0,IF(VIEW_IV_2019_REP_CALCULO[[#This Row],[Cobertura-BERINERT]]&gt;Cob_Max_REP,Vlr_Max_REP,VLOOKUP(VIEW_IV_2019_REP_CALCULO[[#This Row],[Cobertura-BERINERT]],Tabela_Valores_REP,2,1)))*VIEW_IV_2019_REP_CALCULO[[#This Row],[Peso-BERINERT]]</f>
        <v>0</v>
      </c>
      <c r="AJ101" s="65">
        <f>IF(VIEW_IV_2019_REP_CALCULO[[#This Row],[Cobertura-BERIPLEX]]&lt;Cob_Min_REP,0,IF(VIEW_IV_2019_REP_CALCULO[[#This Row],[Cobertura-BERIPLEX]]&gt;Cob_Max_REP,Vlr_Max_REP,VLOOKUP(VIEW_IV_2019_REP_CALCULO[[#This Row],[Cobertura-BERIPLEX]],Tabela_Valores_REP,2,1)))*VIEW_IV_2019_REP_CALCULO[[#This Row],[Peso-BERIPLEX]]</f>
        <v>0</v>
      </c>
      <c r="AK101" s="65">
        <f>IF(VIEW_IV_2019_REP_CALCULO[[#This Row],[Cobertura-HAEMO]]&lt;Cob_Min_REP,0,IF(VIEW_IV_2019_REP_CALCULO[[#This Row],[Cobertura-HAEMO]]&gt;Cob_Max_REP,Vlr_Max_REP,VLOOKUP(VIEW_IV_2019_REP_CALCULO[[#This Row],[Cobertura-HAEMO]],Tabela_Valores_REP,2,1)))*VIEW_IV_2019_REP_CALCULO[[#This Row],[Peso-HAEMO]]</f>
        <v>0</v>
      </c>
      <c r="AL101" s="65">
        <f>IF(VIEW_IV_2019_REP_CALCULO[[#This Row],[Cobertura-HIZENTRA]]&lt;Cob_Min_REP,0,IF(VIEW_IV_2019_REP_CALCULO[[#This Row],[Cobertura-HIZENTRA]]&gt;Cob_Max_REP,Vlr_Max_REP,VLOOKUP(VIEW_IV_2019_REP_CALCULO[[#This Row],[Cobertura-HIZENTRA]],Tabela_Valores_REP,2,1)))*VIEW_IV_2019_REP_CALCULO[[#This Row],[Peso-HIZENTRA]]</f>
        <v>0</v>
      </c>
      <c r="AM101" s="65">
        <f>IF(VIEW_IV_2019_REP_CALCULO[[#This Row],[Cobertura-PRIVIGEN]]&lt;Cob_Min_REP,0,IF(VIEW_IV_2019_REP_CALCULO[[#This Row],[Cobertura-PRIVIGEN]]&gt;Cob_Max_REP,Vlr_Max_REP,VLOOKUP(VIEW_IV_2019_REP_CALCULO[[#This Row],[Cobertura-PRIVIGEN]],Tabela_Valores_REP,2,1)))*VIEW_IV_2019_REP_CALCULO[[#This Row],[Peso-PRIVIGEN]]</f>
        <v>0</v>
      </c>
      <c r="AN101" s="102">
        <f>SUM(VIEW_IV_2019_REP_CALCULO[[#This Row],[Premio-BERINERT]:[Premio-PRIVIGEN]])</f>
        <v>0</v>
      </c>
      <c r="AX101" s="3"/>
      <c r="AY101" s="3"/>
      <c r="AZ101" s="3"/>
      <c r="BA101" s="3"/>
      <c r="BB101" s="3"/>
    </row>
    <row r="102" spans="1:54" x14ac:dyDescent="0.2">
      <c r="A102" s="7" t="s">
        <v>16</v>
      </c>
      <c r="B102" s="7" t="s">
        <v>813</v>
      </c>
      <c r="C102" s="7" t="s">
        <v>66</v>
      </c>
      <c r="D102" s="8" t="s">
        <v>752</v>
      </c>
      <c r="E102" s="8" t="s">
        <v>753</v>
      </c>
      <c r="F102" s="8" t="s">
        <v>723</v>
      </c>
      <c r="G102" s="8" t="s">
        <v>785</v>
      </c>
      <c r="H102" s="13" t="b">
        <v>1</v>
      </c>
      <c r="I102" s="13" t="b">
        <v>1</v>
      </c>
      <c r="J102" s="10">
        <v>0</v>
      </c>
      <c r="K102" s="10">
        <v>132</v>
      </c>
      <c r="L102" s="10">
        <v>90</v>
      </c>
      <c r="M102" s="10">
        <v>0</v>
      </c>
      <c r="N102" s="10">
        <v>2675</v>
      </c>
      <c r="O102" s="10"/>
      <c r="P102" s="10"/>
      <c r="Q102" s="10"/>
      <c r="R102" s="10"/>
      <c r="S102" s="10"/>
      <c r="T102" s="14" t="b">
        <v>0</v>
      </c>
      <c r="U102" s="14" t="b">
        <v>0</v>
      </c>
      <c r="V102" s="14" t="b">
        <v>0</v>
      </c>
      <c r="W102" s="14" t="b">
        <v>0</v>
      </c>
      <c r="X102" s="14" t="b">
        <v>0</v>
      </c>
      <c r="Y102" s="55">
        <v>0</v>
      </c>
      <c r="Z102" s="55">
        <v>0</v>
      </c>
      <c r="AA102" s="55">
        <v>0</v>
      </c>
      <c r="AB102" s="55">
        <v>0</v>
      </c>
      <c r="AC102" s="55">
        <v>0</v>
      </c>
      <c r="AD102" s="62">
        <v>0</v>
      </c>
      <c r="AE102" s="62">
        <v>0.25</v>
      </c>
      <c r="AF102" s="62">
        <v>0.25</v>
      </c>
      <c r="AG102" s="62">
        <v>0</v>
      </c>
      <c r="AH102" s="62">
        <v>0.2</v>
      </c>
      <c r="AI102" s="66">
        <f>IF(VIEW_IV_2019_REP_CALCULO[[#This Row],[Cobertura-BERINERT]]&lt;Cob_Min_REP,0,IF(VIEW_IV_2019_REP_CALCULO[[#This Row],[Cobertura-BERINERT]]&gt;Cob_Max_REP,Vlr_Max_REP,VLOOKUP(VIEW_IV_2019_REP_CALCULO[[#This Row],[Cobertura-BERINERT]],Tabela_Valores_REP,2,1)))*VIEW_IV_2019_REP_CALCULO[[#This Row],[Peso-BERINERT]]</f>
        <v>0</v>
      </c>
      <c r="AJ102" s="65">
        <f>IF(VIEW_IV_2019_REP_CALCULO[[#This Row],[Cobertura-BERIPLEX]]&lt;Cob_Min_REP,0,IF(VIEW_IV_2019_REP_CALCULO[[#This Row],[Cobertura-BERIPLEX]]&gt;Cob_Max_REP,Vlr_Max_REP,VLOOKUP(VIEW_IV_2019_REP_CALCULO[[#This Row],[Cobertura-BERIPLEX]],Tabela_Valores_REP,2,1)))*VIEW_IV_2019_REP_CALCULO[[#This Row],[Peso-BERIPLEX]]</f>
        <v>0</v>
      </c>
      <c r="AK102" s="65">
        <f>IF(VIEW_IV_2019_REP_CALCULO[[#This Row],[Cobertura-HAEMO]]&lt;Cob_Min_REP,0,IF(VIEW_IV_2019_REP_CALCULO[[#This Row],[Cobertura-HAEMO]]&gt;Cob_Max_REP,Vlr_Max_REP,VLOOKUP(VIEW_IV_2019_REP_CALCULO[[#This Row],[Cobertura-HAEMO]],Tabela_Valores_REP,2,1)))*VIEW_IV_2019_REP_CALCULO[[#This Row],[Peso-HAEMO]]</f>
        <v>0</v>
      </c>
      <c r="AL102" s="65">
        <f>IF(VIEW_IV_2019_REP_CALCULO[[#This Row],[Cobertura-HIZENTRA]]&lt;Cob_Min_REP,0,IF(VIEW_IV_2019_REP_CALCULO[[#This Row],[Cobertura-HIZENTRA]]&gt;Cob_Max_REP,Vlr_Max_REP,VLOOKUP(VIEW_IV_2019_REP_CALCULO[[#This Row],[Cobertura-HIZENTRA]],Tabela_Valores_REP,2,1)))*VIEW_IV_2019_REP_CALCULO[[#This Row],[Peso-HIZENTRA]]</f>
        <v>0</v>
      </c>
      <c r="AM102" s="65">
        <f>IF(VIEW_IV_2019_REP_CALCULO[[#This Row],[Cobertura-PRIVIGEN]]&lt;Cob_Min_REP,0,IF(VIEW_IV_2019_REP_CALCULO[[#This Row],[Cobertura-PRIVIGEN]]&gt;Cob_Max_REP,Vlr_Max_REP,VLOOKUP(VIEW_IV_2019_REP_CALCULO[[#This Row],[Cobertura-PRIVIGEN]],Tabela_Valores_REP,2,1)))*VIEW_IV_2019_REP_CALCULO[[#This Row],[Peso-PRIVIGEN]]</f>
        <v>0</v>
      </c>
      <c r="AN102" s="102">
        <f>SUM(VIEW_IV_2019_REP_CALCULO[[#This Row],[Premio-BERINERT]:[Premio-PRIVIGEN]])</f>
        <v>0</v>
      </c>
      <c r="AX102" s="3"/>
      <c r="AY102" s="3"/>
      <c r="AZ102" s="3"/>
      <c r="BA102" s="3"/>
      <c r="BB102" s="3"/>
    </row>
    <row r="103" spans="1:54" x14ac:dyDescent="0.2">
      <c r="A103" s="7" t="s">
        <v>16</v>
      </c>
      <c r="B103" s="7" t="s">
        <v>813</v>
      </c>
      <c r="C103" s="7" t="s">
        <v>66</v>
      </c>
      <c r="D103" s="8" t="s">
        <v>756</v>
      </c>
      <c r="E103" s="8" t="s">
        <v>757</v>
      </c>
      <c r="F103" s="8" t="s">
        <v>723</v>
      </c>
      <c r="G103" s="8" t="s">
        <v>787</v>
      </c>
      <c r="H103" s="13" t="b">
        <v>1</v>
      </c>
      <c r="I103" s="13" t="b">
        <v>1</v>
      </c>
      <c r="J103" s="10">
        <v>0</v>
      </c>
      <c r="K103" s="10">
        <v>154</v>
      </c>
      <c r="L103" s="10">
        <v>150</v>
      </c>
      <c r="M103" s="10">
        <v>0</v>
      </c>
      <c r="N103" s="10">
        <v>4815</v>
      </c>
      <c r="O103" s="10"/>
      <c r="P103" s="10"/>
      <c r="Q103" s="10"/>
      <c r="R103" s="10"/>
      <c r="S103" s="10"/>
      <c r="T103" s="14" t="b">
        <v>0</v>
      </c>
      <c r="U103" s="14" t="b">
        <v>0</v>
      </c>
      <c r="V103" s="14" t="b">
        <v>0</v>
      </c>
      <c r="W103" s="14" t="b">
        <v>0</v>
      </c>
      <c r="X103" s="14" t="b">
        <v>0</v>
      </c>
      <c r="Y103" s="55">
        <v>0</v>
      </c>
      <c r="Z103" s="55">
        <v>0</v>
      </c>
      <c r="AA103" s="55">
        <v>0</v>
      </c>
      <c r="AB103" s="55">
        <v>0</v>
      </c>
      <c r="AC103" s="55">
        <v>0</v>
      </c>
      <c r="AD103" s="62">
        <v>0</v>
      </c>
      <c r="AE103" s="62">
        <v>0.25</v>
      </c>
      <c r="AF103" s="62">
        <v>0.25</v>
      </c>
      <c r="AG103" s="62">
        <v>0</v>
      </c>
      <c r="AH103" s="62">
        <v>0.2</v>
      </c>
      <c r="AI103" s="66">
        <f>IF(VIEW_IV_2019_REP_CALCULO[[#This Row],[Cobertura-BERINERT]]&lt;Cob_Min_REP,0,IF(VIEW_IV_2019_REP_CALCULO[[#This Row],[Cobertura-BERINERT]]&gt;Cob_Max_REP,Vlr_Max_REP,VLOOKUP(VIEW_IV_2019_REP_CALCULO[[#This Row],[Cobertura-BERINERT]],Tabela_Valores_REP,2,1)))*VIEW_IV_2019_REP_CALCULO[[#This Row],[Peso-BERINERT]]</f>
        <v>0</v>
      </c>
      <c r="AJ103" s="65">
        <f>IF(VIEW_IV_2019_REP_CALCULO[[#This Row],[Cobertura-BERIPLEX]]&lt;Cob_Min_REP,0,IF(VIEW_IV_2019_REP_CALCULO[[#This Row],[Cobertura-BERIPLEX]]&gt;Cob_Max_REP,Vlr_Max_REP,VLOOKUP(VIEW_IV_2019_REP_CALCULO[[#This Row],[Cobertura-BERIPLEX]],Tabela_Valores_REP,2,1)))*VIEW_IV_2019_REP_CALCULO[[#This Row],[Peso-BERIPLEX]]</f>
        <v>0</v>
      </c>
      <c r="AK103" s="65">
        <f>IF(VIEW_IV_2019_REP_CALCULO[[#This Row],[Cobertura-HAEMO]]&lt;Cob_Min_REP,0,IF(VIEW_IV_2019_REP_CALCULO[[#This Row],[Cobertura-HAEMO]]&gt;Cob_Max_REP,Vlr_Max_REP,VLOOKUP(VIEW_IV_2019_REP_CALCULO[[#This Row],[Cobertura-HAEMO]],Tabela_Valores_REP,2,1)))*VIEW_IV_2019_REP_CALCULO[[#This Row],[Peso-HAEMO]]</f>
        <v>0</v>
      </c>
      <c r="AL103" s="65">
        <f>IF(VIEW_IV_2019_REP_CALCULO[[#This Row],[Cobertura-HIZENTRA]]&lt;Cob_Min_REP,0,IF(VIEW_IV_2019_REP_CALCULO[[#This Row],[Cobertura-HIZENTRA]]&gt;Cob_Max_REP,Vlr_Max_REP,VLOOKUP(VIEW_IV_2019_REP_CALCULO[[#This Row],[Cobertura-HIZENTRA]],Tabela_Valores_REP,2,1)))*VIEW_IV_2019_REP_CALCULO[[#This Row],[Peso-HIZENTRA]]</f>
        <v>0</v>
      </c>
      <c r="AM103" s="65">
        <f>IF(VIEW_IV_2019_REP_CALCULO[[#This Row],[Cobertura-PRIVIGEN]]&lt;Cob_Min_REP,0,IF(VIEW_IV_2019_REP_CALCULO[[#This Row],[Cobertura-PRIVIGEN]]&gt;Cob_Max_REP,Vlr_Max_REP,VLOOKUP(VIEW_IV_2019_REP_CALCULO[[#This Row],[Cobertura-PRIVIGEN]],Tabela_Valores_REP,2,1)))*VIEW_IV_2019_REP_CALCULO[[#This Row],[Peso-PRIVIGEN]]</f>
        <v>0</v>
      </c>
      <c r="AN103" s="102">
        <f>SUM(VIEW_IV_2019_REP_CALCULO[[#This Row],[Premio-BERINERT]:[Premio-PRIVIGEN]])</f>
        <v>0</v>
      </c>
      <c r="AX103" s="3"/>
      <c r="AY103" s="3"/>
      <c r="AZ103" s="3"/>
      <c r="BA103" s="3"/>
      <c r="BB103" s="3"/>
    </row>
    <row r="104" spans="1:54" x14ac:dyDescent="0.2">
      <c r="A104" s="7" t="s">
        <v>16</v>
      </c>
      <c r="B104" s="7" t="s">
        <v>813</v>
      </c>
      <c r="C104" s="7" t="s">
        <v>66</v>
      </c>
      <c r="D104" s="8" t="s">
        <v>760</v>
      </c>
      <c r="E104" s="8" t="s">
        <v>761</v>
      </c>
      <c r="F104" s="8" t="s">
        <v>723</v>
      </c>
      <c r="G104" s="8" t="s">
        <v>785</v>
      </c>
      <c r="H104" s="13" t="b">
        <v>1</v>
      </c>
      <c r="I104" s="13" t="b">
        <v>1</v>
      </c>
      <c r="J104" s="10">
        <v>0</v>
      </c>
      <c r="K104" s="10">
        <v>242</v>
      </c>
      <c r="L104" s="10">
        <v>180</v>
      </c>
      <c r="M104" s="10">
        <v>0</v>
      </c>
      <c r="N104" s="10">
        <v>4280</v>
      </c>
      <c r="O104" s="10"/>
      <c r="P104" s="10"/>
      <c r="Q104" s="10"/>
      <c r="R104" s="10"/>
      <c r="S104" s="10"/>
      <c r="T104" s="14" t="b">
        <v>0</v>
      </c>
      <c r="U104" s="14" t="b">
        <v>0</v>
      </c>
      <c r="V104" s="14" t="b">
        <v>0</v>
      </c>
      <c r="W104" s="14" t="b">
        <v>0</v>
      </c>
      <c r="X104" s="14" t="b">
        <v>0</v>
      </c>
      <c r="Y104" s="55">
        <v>0</v>
      </c>
      <c r="Z104" s="55">
        <v>0</v>
      </c>
      <c r="AA104" s="55">
        <v>0</v>
      </c>
      <c r="AB104" s="55">
        <v>0</v>
      </c>
      <c r="AC104" s="55">
        <v>0</v>
      </c>
      <c r="AD104" s="62">
        <v>0</v>
      </c>
      <c r="AE104" s="62">
        <v>0.25</v>
      </c>
      <c r="AF104" s="62">
        <v>0.25</v>
      </c>
      <c r="AG104" s="62">
        <v>0</v>
      </c>
      <c r="AH104" s="62">
        <v>0.2</v>
      </c>
      <c r="AI104" s="66">
        <f>IF(VIEW_IV_2019_REP_CALCULO[[#This Row],[Cobertura-BERINERT]]&lt;Cob_Min_REP,0,IF(VIEW_IV_2019_REP_CALCULO[[#This Row],[Cobertura-BERINERT]]&gt;Cob_Max_REP,Vlr_Max_REP,VLOOKUP(VIEW_IV_2019_REP_CALCULO[[#This Row],[Cobertura-BERINERT]],Tabela_Valores_REP,2,1)))*VIEW_IV_2019_REP_CALCULO[[#This Row],[Peso-BERINERT]]</f>
        <v>0</v>
      </c>
      <c r="AJ104" s="65">
        <f>IF(VIEW_IV_2019_REP_CALCULO[[#This Row],[Cobertura-BERIPLEX]]&lt;Cob_Min_REP,0,IF(VIEW_IV_2019_REP_CALCULO[[#This Row],[Cobertura-BERIPLEX]]&gt;Cob_Max_REP,Vlr_Max_REP,VLOOKUP(VIEW_IV_2019_REP_CALCULO[[#This Row],[Cobertura-BERIPLEX]],Tabela_Valores_REP,2,1)))*VIEW_IV_2019_REP_CALCULO[[#This Row],[Peso-BERIPLEX]]</f>
        <v>0</v>
      </c>
      <c r="AK104" s="65">
        <f>IF(VIEW_IV_2019_REP_CALCULO[[#This Row],[Cobertura-HAEMO]]&lt;Cob_Min_REP,0,IF(VIEW_IV_2019_REP_CALCULO[[#This Row],[Cobertura-HAEMO]]&gt;Cob_Max_REP,Vlr_Max_REP,VLOOKUP(VIEW_IV_2019_REP_CALCULO[[#This Row],[Cobertura-HAEMO]],Tabela_Valores_REP,2,1)))*VIEW_IV_2019_REP_CALCULO[[#This Row],[Peso-HAEMO]]</f>
        <v>0</v>
      </c>
      <c r="AL104" s="65">
        <f>IF(VIEW_IV_2019_REP_CALCULO[[#This Row],[Cobertura-HIZENTRA]]&lt;Cob_Min_REP,0,IF(VIEW_IV_2019_REP_CALCULO[[#This Row],[Cobertura-HIZENTRA]]&gt;Cob_Max_REP,Vlr_Max_REP,VLOOKUP(VIEW_IV_2019_REP_CALCULO[[#This Row],[Cobertura-HIZENTRA]],Tabela_Valores_REP,2,1)))*VIEW_IV_2019_REP_CALCULO[[#This Row],[Peso-HIZENTRA]]</f>
        <v>0</v>
      </c>
      <c r="AM104" s="65">
        <f>IF(VIEW_IV_2019_REP_CALCULO[[#This Row],[Cobertura-PRIVIGEN]]&lt;Cob_Min_REP,0,IF(VIEW_IV_2019_REP_CALCULO[[#This Row],[Cobertura-PRIVIGEN]]&gt;Cob_Max_REP,Vlr_Max_REP,VLOOKUP(VIEW_IV_2019_REP_CALCULO[[#This Row],[Cobertura-PRIVIGEN]],Tabela_Valores_REP,2,1)))*VIEW_IV_2019_REP_CALCULO[[#This Row],[Peso-PRIVIGEN]]</f>
        <v>0</v>
      </c>
      <c r="AN104" s="102">
        <f>SUM(VIEW_IV_2019_REP_CALCULO[[#This Row],[Premio-BERINERT]:[Premio-PRIVIGEN]])</f>
        <v>0</v>
      </c>
      <c r="AX104" s="3"/>
      <c r="AY104" s="3"/>
      <c r="AZ104" s="3"/>
      <c r="BA104" s="3"/>
      <c r="BB104" s="3"/>
    </row>
    <row r="105" spans="1:54" x14ac:dyDescent="0.2">
      <c r="A105" s="7" t="s">
        <v>16</v>
      </c>
      <c r="B105" s="7" t="s">
        <v>813</v>
      </c>
      <c r="C105" s="7" t="s">
        <v>66</v>
      </c>
      <c r="D105" s="8" t="s">
        <v>762</v>
      </c>
      <c r="E105" s="8" t="s">
        <v>763</v>
      </c>
      <c r="F105" s="8" t="s">
        <v>723</v>
      </c>
      <c r="G105" s="8" t="s">
        <v>787</v>
      </c>
      <c r="H105" s="13" t="b">
        <v>1</v>
      </c>
      <c r="I105" s="13" t="b">
        <v>1</v>
      </c>
      <c r="J105" s="10">
        <v>0</v>
      </c>
      <c r="K105" s="10">
        <v>198</v>
      </c>
      <c r="L105" s="10">
        <v>105</v>
      </c>
      <c r="M105" s="10">
        <v>0</v>
      </c>
      <c r="N105" s="10">
        <v>5885</v>
      </c>
      <c r="O105" s="10"/>
      <c r="P105" s="10"/>
      <c r="Q105" s="10"/>
      <c r="R105" s="10"/>
      <c r="S105" s="10"/>
      <c r="T105" s="14" t="b">
        <v>0</v>
      </c>
      <c r="U105" s="14" t="b">
        <v>0</v>
      </c>
      <c r="V105" s="14" t="b">
        <v>0</v>
      </c>
      <c r="W105" s="14" t="b">
        <v>0</v>
      </c>
      <c r="X105" s="14" t="b">
        <v>0</v>
      </c>
      <c r="Y105" s="55">
        <v>0</v>
      </c>
      <c r="Z105" s="55">
        <v>0</v>
      </c>
      <c r="AA105" s="55">
        <v>0</v>
      </c>
      <c r="AB105" s="55">
        <v>0</v>
      </c>
      <c r="AC105" s="55">
        <v>0</v>
      </c>
      <c r="AD105" s="62">
        <v>0</v>
      </c>
      <c r="AE105" s="62">
        <v>0.25</v>
      </c>
      <c r="AF105" s="62">
        <v>0.25</v>
      </c>
      <c r="AG105" s="62">
        <v>0</v>
      </c>
      <c r="AH105" s="62">
        <v>0.2</v>
      </c>
      <c r="AI105" s="66">
        <f>IF(VIEW_IV_2019_REP_CALCULO[[#This Row],[Cobertura-BERINERT]]&lt;Cob_Min_REP,0,IF(VIEW_IV_2019_REP_CALCULO[[#This Row],[Cobertura-BERINERT]]&gt;Cob_Max_REP,Vlr_Max_REP,VLOOKUP(VIEW_IV_2019_REP_CALCULO[[#This Row],[Cobertura-BERINERT]],Tabela_Valores_REP,2,1)))*VIEW_IV_2019_REP_CALCULO[[#This Row],[Peso-BERINERT]]</f>
        <v>0</v>
      </c>
      <c r="AJ105" s="65">
        <f>IF(VIEW_IV_2019_REP_CALCULO[[#This Row],[Cobertura-BERIPLEX]]&lt;Cob_Min_REP,0,IF(VIEW_IV_2019_REP_CALCULO[[#This Row],[Cobertura-BERIPLEX]]&gt;Cob_Max_REP,Vlr_Max_REP,VLOOKUP(VIEW_IV_2019_REP_CALCULO[[#This Row],[Cobertura-BERIPLEX]],Tabela_Valores_REP,2,1)))*VIEW_IV_2019_REP_CALCULO[[#This Row],[Peso-BERIPLEX]]</f>
        <v>0</v>
      </c>
      <c r="AK105" s="65">
        <f>IF(VIEW_IV_2019_REP_CALCULO[[#This Row],[Cobertura-HAEMO]]&lt;Cob_Min_REP,0,IF(VIEW_IV_2019_REP_CALCULO[[#This Row],[Cobertura-HAEMO]]&gt;Cob_Max_REP,Vlr_Max_REP,VLOOKUP(VIEW_IV_2019_REP_CALCULO[[#This Row],[Cobertura-HAEMO]],Tabela_Valores_REP,2,1)))*VIEW_IV_2019_REP_CALCULO[[#This Row],[Peso-HAEMO]]</f>
        <v>0</v>
      </c>
      <c r="AL105" s="65">
        <f>IF(VIEW_IV_2019_REP_CALCULO[[#This Row],[Cobertura-HIZENTRA]]&lt;Cob_Min_REP,0,IF(VIEW_IV_2019_REP_CALCULO[[#This Row],[Cobertura-HIZENTRA]]&gt;Cob_Max_REP,Vlr_Max_REP,VLOOKUP(VIEW_IV_2019_REP_CALCULO[[#This Row],[Cobertura-HIZENTRA]],Tabela_Valores_REP,2,1)))*VIEW_IV_2019_REP_CALCULO[[#This Row],[Peso-HIZENTRA]]</f>
        <v>0</v>
      </c>
      <c r="AM105" s="65">
        <f>IF(VIEW_IV_2019_REP_CALCULO[[#This Row],[Cobertura-PRIVIGEN]]&lt;Cob_Min_REP,0,IF(VIEW_IV_2019_REP_CALCULO[[#This Row],[Cobertura-PRIVIGEN]]&gt;Cob_Max_REP,Vlr_Max_REP,VLOOKUP(VIEW_IV_2019_REP_CALCULO[[#This Row],[Cobertura-PRIVIGEN]],Tabela_Valores_REP,2,1)))*VIEW_IV_2019_REP_CALCULO[[#This Row],[Peso-PRIVIGEN]]</f>
        <v>0</v>
      </c>
      <c r="AN105" s="102">
        <f>SUM(VIEW_IV_2019_REP_CALCULO[[#This Row],[Premio-BERINERT]:[Premio-PRIVIGEN]])</f>
        <v>0</v>
      </c>
      <c r="AX105" s="3"/>
      <c r="AY105" s="3"/>
      <c r="AZ105" s="3"/>
      <c r="BA105" s="3"/>
      <c r="BB105" s="3"/>
    </row>
    <row r="106" spans="1:54" x14ac:dyDescent="0.2">
      <c r="A106" s="7" t="s">
        <v>16</v>
      </c>
      <c r="B106" s="7" t="s">
        <v>814</v>
      </c>
      <c r="C106" s="7" t="s">
        <v>66</v>
      </c>
      <c r="D106" s="8" t="s">
        <v>728</v>
      </c>
      <c r="E106" s="8" t="s">
        <v>729</v>
      </c>
      <c r="F106" s="8" t="s">
        <v>730</v>
      </c>
      <c r="G106" s="8" t="s">
        <v>787</v>
      </c>
      <c r="H106" s="13" t="b">
        <v>1</v>
      </c>
      <c r="I106" s="13" t="b">
        <v>1</v>
      </c>
      <c r="J106" s="10">
        <v>20</v>
      </c>
      <c r="K106" s="10">
        <v>0</v>
      </c>
      <c r="L106" s="10">
        <v>0</v>
      </c>
      <c r="M106" s="10">
        <v>1037</v>
      </c>
      <c r="N106" s="10">
        <v>6090</v>
      </c>
      <c r="O106" s="10"/>
      <c r="P106" s="10"/>
      <c r="Q106" s="10"/>
      <c r="R106" s="10"/>
      <c r="S106" s="10"/>
      <c r="T106" s="14" t="b">
        <v>0</v>
      </c>
      <c r="U106" s="14" t="b">
        <v>0</v>
      </c>
      <c r="V106" s="14" t="b">
        <v>0</v>
      </c>
      <c r="W106" s="14" t="b">
        <v>0</v>
      </c>
      <c r="X106" s="14" t="b">
        <v>0</v>
      </c>
      <c r="Y106" s="55">
        <v>0</v>
      </c>
      <c r="Z106" s="55">
        <v>0</v>
      </c>
      <c r="AA106" s="55">
        <v>0</v>
      </c>
      <c r="AB106" s="55">
        <v>0</v>
      </c>
      <c r="AC106" s="55">
        <v>0</v>
      </c>
      <c r="AD106" s="62">
        <v>0.1</v>
      </c>
      <c r="AE106" s="62">
        <v>0</v>
      </c>
      <c r="AF106" s="62">
        <v>0</v>
      </c>
      <c r="AG106" s="62">
        <v>0.4</v>
      </c>
      <c r="AH106" s="62">
        <v>0.2</v>
      </c>
      <c r="AI106" s="66">
        <f>IF(VIEW_IV_2019_REP_CALCULO[[#This Row],[Cobertura-BERINERT]]&lt;Cob_Min_REP,0,IF(VIEW_IV_2019_REP_CALCULO[[#This Row],[Cobertura-BERINERT]]&gt;Cob_Max_REP,Vlr_Max_REP,VLOOKUP(VIEW_IV_2019_REP_CALCULO[[#This Row],[Cobertura-BERINERT]],Tabela_Valores_REP,2,1)))*VIEW_IV_2019_REP_CALCULO[[#This Row],[Peso-BERINERT]]</f>
        <v>0</v>
      </c>
      <c r="AJ106" s="65">
        <f>IF(VIEW_IV_2019_REP_CALCULO[[#This Row],[Cobertura-BERIPLEX]]&lt;Cob_Min_REP,0,IF(VIEW_IV_2019_REP_CALCULO[[#This Row],[Cobertura-BERIPLEX]]&gt;Cob_Max_REP,Vlr_Max_REP,VLOOKUP(VIEW_IV_2019_REP_CALCULO[[#This Row],[Cobertura-BERIPLEX]],Tabela_Valores_REP,2,1)))*VIEW_IV_2019_REP_CALCULO[[#This Row],[Peso-BERIPLEX]]</f>
        <v>0</v>
      </c>
      <c r="AK106" s="65">
        <f>IF(VIEW_IV_2019_REP_CALCULO[[#This Row],[Cobertura-HAEMO]]&lt;Cob_Min_REP,0,IF(VIEW_IV_2019_REP_CALCULO[[#This Row],[Cobertura-HAEMO]]&gt;Cob_Max_REP,Vlr_Max_REP,VLOOKUP(VIEW_IV_2019_REP_CALCULO[[#This Row],[Cobertura-HAEMO]],Tabela_Valores_REP,2,1)))*VIEW_IV_2019_REP_CALCULO[[#This Row],[Peso-HAEMO]]</f>
        <v>0</v>
      </c>
      <c r="AL106" s="65">
        <f>IF(VIEW_IV_2019_REP_CALCULO[[#This Row],[Cobertura-HIZENTRA]]&lt;Cob_Min_REP,0,IF(VIEW_IV_2019_REP_CALCULO[[#This Row],[Cobertura-HIZENTRA]]&gt;Cob_Max_REP,Vlr_Max_REP,VLOOKUP(VIEW_IV_2019_REP_CALCULO[[#This Row],[Cobertura-HIZENTRA]],Tabela_Valores_REP,2,1)))*VIEW_IV_2019_REP_CALCULO[[#This Row],[Peso-HIZENTRA]]</f>
        <v>0</v>
      </c>
      <c r="AM106" s="65">
        <f>IF(VIEW_IV_2019_REP_CALCULO[[#This Row],[Cobertura-PRIVIGEN]]&lt;Cob_Min_REP,0,IF(VIEW_IV_2019_REP_CALCULO[[#This Row],[Cobertura-PRIVIGEN]]&gt;Cob_Max_REP,Vlr_Max_REP,VLOOKUP(VIEW_IV_2019_REP_CALCULO[[#This Row],[Cobertura-PRIVIGEN]],Tabela_Valores_REP,2,1)))*VIEW_IV_2019_REP_CALCULO[[#This Row],[Peso-PRIVIGEN]]</f>
        <v>0</v>
      </c>
      <c r="AN106" s="102">
        <f>SUM(VIEW_IV_2019_REP_CALCULO[[#This Row],[Premio-BERINERT]:[Premio-PRIVIGEN]])</f>
        <v>0</v>
      </c>
      <c r="AX106" s="3"/>
      <c r="AY106" s="3"/>
      <c r="AZ106" s="3"/>
      <c r="BA106" s="3"/>
      <c r="BB106" s="3"/>
    </row>
    <row r="107" spans="1:54" x14ac:dyDescent="0.2">
      <c r="A107" s="7" t="s">
        <v>16</v>
      </c>
      <c r="B107" s="7" t="s">
        <v>814</v>
      </c>
      <c r="C107" s="7" t="s">
        <v>66</v>
      </c>
      <c r="D107" s="8" t="s">
        <v>733</v>
      </c>
      <c r="E107" s="8" t="s">
        <v>734</v>
      </c>
      <c r="F107" s="8" t="s">
        <v>730</v>
      </c>
      <c r="G107" s="8" t="s">
        <v>785</v>
      </c>
      <c r="H107" s="13" t="b">
        <v>1</v>
      </c>
      <c r="I107" s="13" t="b">
        <v>1</v>
      </c>
      <c r="J107" s="10">
        <v>14</v>
      </c>
      <c r="K107" s="10">
        <v>0</v>
      </c>
      <c r="L107" s="10">
        <v>0</v>
      </c>
      <c r="M107" s="10">
        <v>1281</v>
      </c>
      <c r="N107" s="10">
        <v>5655</v>
      </c>
      <c r="O107" s="10"/>
      <c r="P107" s="10"/>
      <c r="Q107" s="10"/>
      <c r="R107" s="10"/>
      <c r="S107" s="10"/>
      <c r="T107" s="14" t="b">
        <v>0</v>
      </c>
      <c r="U107" s="14" t="b">
        <v>0</v>
      </c>
      <c r="V107" s="14" t="b">
        <v>0</v>
      </c>
      <c r="W107" s="14" t="b">
        <v>0</v>
      </c>
      <c r="X107" s="14" t="b">
        <v>0</v>
      </c>
      <c r="Y107" s="55">
        <v>0</v>
      </c>
      <c r="Z107" s="55">
        <v>0</v>
      </c>
      <c r="AA107" s="55">
        <v>0</v>
      </c>
      <c r="AB107" s="55">
        <v>0</v>
      </c>
      <c r="AC107" s="55">
        <v>0</v>
      </c>
      <c r="AD107" s="62">
        <v>0.1</v>
      </c>
      <c r="AE107" s="62">
        <v>0</v>
      </c>
      <c r="AF107" s="62">
        <v>0</v>
      </c>
      <c r="AG107" s="62">
        <v>0.4</v>
      </c>
      <c r="AH107" s="62">
        <v>0.2</v>
      </c>
      <c r="AI107" s="66">
        <f>IF(VIEW_IV_2019_REP_CALCULO[[#This Row],[Cobertura-BERINERT]]&lt;Cob_Min_REP,0,IF(VIEW_IV_2019_REP_CALCULO[[#This Row],[Cobertura-BERINERT]]&gt;Cob_Max_REP,Vlr_Max_REP,VLOOKUP(VIEW_IV_2019_REP_CALCULO[[#This Row],[Cobertura-BERINERT]],Tabela_Valores_REP,2,1)))*VIEW_IV_2019_REP_CALCULO[[#This Row],[Peso-BERINERT]]</f>
        <v>0</v>
      </c>
      <c r="AJ107" s="65">
        <f>IF(VIEW_IV_2019_REP_CALCULO[[#This Row],[Cobertura-BERIPLEX]]&lt;Cob_Min_REP,0,IF(VIEW_IV_2019_REP_CALCULO[[#This Row],[Cobertura-BERIPLEX]]&gt;Cob_Max_REP,Vlr_Max_REP,VLOOKUP(VIEW_IV_2019_REP_CALCULO[[#This Row],[Cobertura-BERIPLEX]],Tabela_Valores_REP,2,1)))*VIEW_IV_2019_REP_CALCULO[[#This Row],[Peso-BERIPLEX]]</f>
        <v>0</v>
      </c>
      <c r="AK107" s="65">
        <f>IF(VIEW_IV_2019_REP_CALCULO[[#This Row],[Cobertura-HAEMO]]&lt;Cob_Min_REP,0,IF(VIEW_IV_2019_REP_CALCULO[[#This Row],[Cobertura-HAEMO]]&gt;Cob_Max_REP,Vlr_Max_REP,VLOOKUP(VIEW_IV_2019_REP_CALCULO[[#This Row],[Cobertura-HAEMO]],Tabela_Valores_REP,2,1)))*VIEW_IV_2019_REP_CALCULO[[#This Row],[Peso-HAEMO]]</f>
        <v>0</v>
      </c>
      <c r="AL107" s="65">
        <f>IF(VIEW_IV_2019_REP_CALCULO[[#This Row],[Cobertura-HIZENTRA]]&lt;Cob_Min_REP,0,IF(VIEW_IV_2019_REP_CALCULO[[#This Row],[Cobertura-HIZENTRA]]&gt;Cob_Max_REP,Vlr_Max_REP,VLOOKUP(VIEW_IV_2019_REP_CALCULO[[#This Row],[Cobertura-HIZENTRA]],Tabela_Valores_REP,2,1)))*VIEW_IV_2019_REP_CALCULO[[#This Row],[Peso-HIZENTRA]]</f>
        <v>0</v>
      </c>
      <c r="AM107" s="65">
        <f>IF(VIEW_IV_2019_REP_CALCULO[[#This Row],[Cobertura-PRIVIGEN]]&lt;Cob_Min_REP,0,IF(VIEW_IV_2019_REP_CALCULO[[#This Row],[Cobertura-PRIVIGEN]]&gt;Cob_Max_REP,Vlr_Max_REP,VLOOKUP(VIEW_IV_2019_REP_CALCULO[[#This Row],[Cobertura-PRIVIGEN]],Tabela_Valores_REP,2,1)))*VIEW_IV_2019_REP_CALCULO[[#This Row],[Peso-PRIVIGEN]]</f>
        <v>0</v>
      </c>
      <c r="AN107" s="102">
        <f>SUM(VIEW_IV_2019_REP_CALCULO[[#This Row],[Premio-BERINERT]:[Premio-PRIVIGEN]])</f>
        <v>0</v>
      </c>
      <c r="AX107" s="3"/>
      <c r="AY107" s="3"/>
      <c r="AZ107" s="3"/>
      <c r="BA107" s="3"/>
      <c r="BB107" s="3"/>
    </row>
    <row r="108" spans="1:54" x14ac:dyDescent="0.2">
      <c r="A108" s="7" t="s">
        <v>16</v>
      </c>
      <c r="B108" s="7" t="s">
        <v>814</v>
      </c>
      <c r="C108" s="7" t="s">
        <v>66</v>
      </c>
      <c r="D108" s="8" t="s">
        <v>740</v>
      </c>
      <c r="E108" s="8" t="s">
        <v>741</v>
      </c>
      <c r="F108" s="8" t="s">
        <v>730</v>
      </c>
      <c r="G108" s="8" t="s">
        <v>787</v>
      </c>
      <c r="H108" s="13" t="b">
        <v>1</v>
      </c>
      <c r="I108" s="13" t="b">
        <v>1</v>
      </c>
      <c r="J108" s="10">
        <v>20</v>
      </c>
      <c r="K108" s="10">
        <v>0</v>
      </c>
      <c r="L108" s="10">
        <v>0</v>
      </c>
      <c r="M108" s="10">
        <v>732</v>
      </c>
      <c r="N108" s="10">
        <v>6090</v>
      </c>
      <c r="O108" s="10"/>
      <c r="P108" s="10"/>
      <c r="Q108" s="10"/>
      <c r="R108" s="10"/>
      <c r="S108" s="10"/>
      <c r="T108" s="14" t="b">
        <v>0</v>
      </c>
      <c r="U108" s="14" t="b">
        <v>0</v>
      </c>
      <c r="V108" s="14" t="b">
        <v>0</v>
      </c>
      <c r="W108" s="14" t="b">
        <v>0</v>
      </c>
      <c r="X108" s="14" t="b">
        <v>0</v>
      </c>
      <c r="Y108" s="55">
        <v>0</v>
      </c>
      <c r="Z108" s="55">
        <v>0</v>
      </c>
      <c r="AA108" s="55">
        <v>0</v>
      </c>
      <c r="AB108" s="55">
        <v>0</v>
      </c>
      <c r="AC108" s="55">
        <v>0</v>
      </c>
      <c r="AD108" s="62">
        <v>0.1</v>
      </c>
      <c r="AE108" s="62">
        <v>0</v>
      </c>
      <c r="AF108" s="62">
        <v>0</v>
      </c>
      <c r="AG108" s="62">
        <v>0.4</v>
      </c>
      <c r="AH108" s="62">
        <v>0.2</v>
      </c>
      <c r="AI108" s="66">
        <f>IF(VIEW_IV_2019_REP_CALCULO[[#This Row],[Cobertura-BERINERT]]&lt;Cob_Min_REP,0,IF(VIEW_IV_2019_REP_CALCULO[[#This Row],[Cobertura-BERINERT]]&gt;Cob_Max_REP,Vlr_Max_REP,VLOOKUP(VIEW_IV_2019_REP_CALCULO[[#This Row],[Cobertura-BERINERT]],Tabela_Valores_REP,2,1)))*VIEW_IV_2019_REP_CALCULO[[#This Row],[Peso-BERINERT]]</f>
        <v>0</v>
      </c>
      <c r="AJ108" s="65">
        <f>IF(VIEW_IV_2019_REP_CALCULO[[#This Row],[Cobertura-BERIPLEX]]&lt;Cob_Min_REP,0,IF(VIEW_IV_2019_REP_CALCULO[[#This Row],[Cobertura-BERIPLEX]]&gt;Cob_Max_REP,Vlr_Max_REP,VLOOKUP(VIEW_IV_2019_REP_CALCULO[[#This Row],[Cobertura-BERIPLEX]],Tabela_Valores_REP,2,1)))*VIEW_IV_2019_REP_CALCULO[[#This Row],[Peso-BERIPLEX]]</f>
        <v>0</v>
      </c>
      <c r="AK108" s="65">
        <f>IF(VIEW_IV_2019_REP_CALCULO[[#This Row],[Cobertura-HAEMO]]&lt;Cob_Min_REP,0,IF(VIEW_IV_2019_REP_CALCULO[[#This Row],[Cobertura-HAEMO]]&gt;Cob_Max_REP,Vlr_Max_REP,VLOOKUP(VIEW_IV_2019_REP_CALCULO[[#This Row],[Cobertura-HAEMO]],Tabela_Valores_REP,2,1)))*VIEW_IV_2019_REP_CALCULO[[#This Row],[Peso-HAEMO]]</f>
        <v>0</v>
      </c>
      <c r="AL108" s="65">
        <f>IF(VIEW_IV_2019_REP_CALCULO[[#This Row],[Cobertura-HIZENTRA]]&lt;Cob_Min_REP,0,IF(VIEW_IV_2019_REP_CALCULO[[#This Row],[Cobertura-HIZENTRA]]&gt;Cob_Max_REP,Vlr_Max_REP,VLOOKUP(VIEW_IV_2019_REP_CALCULO[[#This Row],[Cobertura-HIZENTRA]],Tabela_Valores_REP,2,1)))*VIEW_IV_2019_REP_CALCULO[[#This Row],[Peso-HIZENTRA]]</f>
        <v>0</v>
      </c>
      <c r="AM108" s="65">
        <f>IF(VIEW_IV_2019_REP_CALCULO[[#This Row],[Cobertura-PRIVIGEN]]&lt;Cob_Min_REP,0,IF(VIEW_IV_2019_REP_CALCULO[[#This Row],[Cobertura-PRIVIGEN]]&gt;Cob_Max_REP,Vlr_Max_REP,VLOOKUP(VIEW_IV_2019_REP_CALCULO[[#This Row],[Cobertura-PRIVIGEN]],Tabela_Valores_REP,2,1)))*VIEW_IV_2019_REP_CALCULO[[#This Row],[Peso-PRIVIGEN]]</f>
        <v>0</v>
      </c>
      <c r="AN108" s="102">
        <f>SUM(VIEW_IV_2019_REP_CALCULO[[#This Row],[Premio-BERINERT]:[Premio-PRIVIGEN]])</f>
        <v>0</v>
      </c>
      <c r="AX108" s="3"/>
      <c r="AY108" s="3"/>
      <c r="AZ108" s="3"/>
      <c r="BA108" s="3"/>
      <c r="BB108" s="3"/>
    </row>
    <row r="109" spans="1:54" x14ac:dyDescent="0.2">
      <c r="A109" s="7" t="s">
        <v>16</v>
      </c>
      <c r="B109" s="7" t="s">
        <v>814</v>
      </c>
      <c r="C109" s="7" t="s">
        <v>66</v>
      </c>
      <c r="D109" s="8" t="s">
        <v>754</v>
      </c>
      <c r="E109" s="8" t="s">
        <v>755</v>
      </c>
      <c r="F109" s="8" t="s">
        <v>730</v>
      </c>
      <c r="G109" s="8" t="s">
        <v>785</v>
      </c>
      <c r="H109" s="13" t="b">
        <v>1</v>
      </c>
      <c r="I109" s="13" t="b">
        <v>1</v>
      </c>
      <c r="J109" s="10">
        <v>50</v>
      </c>
      <c r="K109" s="10">
        <v>0</v>
      </c>
      <c r="L109" s="10">
        <v>0</v>
      </c>
      <c r="M109" s="10">
        <v>793</v>
      </c>
      <c r="N109" s="10">
        <v>8700</v>
      </c>
      <c r="O109" s="10"/>
      <c r="P109" s="10"/>
      <c r="Q109" s="10"/>
      <c r="R109" s="10"/>
      <c r="S109" s="10"/>
      <c r="T109" s="14" t="b">
        <v>0</v>
      </c>
      <c r="U109" s="14" t="b">
        <v>0</v>
      </c>
      <c r="V109" s="14" t="b">
        <v>0</v>
      </c>
      <c r="W109" s="14" t="b">
        <v>0</v>
      </c>
      <c r="X109" s="14" t="b">
        <v>0</v>
      </c>
      <c r="Y109" s="55">
        <v>0</v>
      </c>
      <c r="Z109" s="55">
        <v>0</v>
      </c>
      <c r="AA109" s="55">
        <v>0</v>
      </c>
      <c r="AB109" s="55">
        <v>0</v>
      </c>
      <c r="AC109" s="55">
        <v>0</v>
      </c>
      <c r="AD109" s="62">
        <v>0.1</v>
      </c>
      <c r="AE109" s="62">
        <v>0</v>
      </c>
      <c r="AF109" s="62">
        <v>0</v>
      </c>
      <c r="AG109" s="62">
        <v>0.4</v>
      </c>
      <c r="AH109" s="62">
        <v>0.2</v>
      </c>
      <c r="AI109" s="66">
        <f>IF(VIEW_IV_2019_REP_CALCULO[[#This Row],[Cobertura-BERINERT]]&lt;Cob_Min_REP,0,IF(VIEW_IV_2019_REP_CALCULO[[#This Row],[Cobertura-BERINERT]]&gt;Cob_Max_REP,Vlr_Max_REP,VLOOKUP(VIEW_IV_2019_REP_CALCULO[[#This Row],[Cobertura-BERINERT]],Tabela_Valores_REP,2,1)))*VIEW_IV_2019_REP_CALCULO[[#This Row],[Peso-BERINERT]]</f>
        <v>0</v>
      </c>
      <c r="AJ109" s="65">
        <f>IF(VIEW_IV_2019_REP_CALCULO[[#This Row],[Cobertura-BERIPLEX]]&lt;Cob_Min_REP,0,IF(VIEW_IV_2019_REP_CALCULO[[#This Row],[Cobertura-BERIPLEX]]&gt;Cob_Max_REP,Vlr_Max_REP,VLOOKUP(VIEW_IV_2019_REP_CALCULO[[#This Row],[Cobertura-BERIPLEX]],Tabela_Valores_REP,2,1)))*VIEW_IV_2019_REP_CALCULO[[#This Row],[Peso-BERIPLEX]]</f>
        <v>0</v>
      </c>
      <c r="AK109" s="65">
        <f>IF(VIEW_IV_2019_REP_CALCULO[[#This Row],[Cobertura-HAEMO]]&lt;Cob_Min_REP,0,IF(VIEW_IV_2019_REP_CALCULO[[#This Row],[Cobertura-HAEMO]]&gt;Cob_Max_REP,Vlr_Max_REP,VLOOKUP(VIEW_IV_2019_REP_CALCULO[[#This Row],[Cobertura-HAEMO]],Tabela_Valores_REP,2,1)))*VIEW_IV_2019_REP_CALCULO[[#This Row],[Peso-HAEMO]]</f>
        <v>0</v>
      </c>
      <c r="AL109" s="65">
        <f>IF(VIEW_IV_2019_REP_CALCULO[[#This Row],[Cobertura-HIZENTRA]]&lt;Cob_Min_REP,0,IF(VIEW_IV_2019_REP_CALCULO[[#This Row],[Cobertura-HIZENTRA]]&gt;Cob_Max_REP,Vlr_Max_REP,VLOOKUP(VIEW_IV_2019_REP_CALCULO[[#This Row],[Cobertura-HIZENTRA]],Tabela_Valores_REP,2,1)))*VIEW_IV_2019_REP_CALCULO[[#This Row],[Peso-HIZENTRA]]</f>
        <v>0</v>
      </c>
      <c r="AM109" s="65">
        <f>IF(VIEW_IV_2019_REP_CALCULO[[#This Row],[Cobertura-PRIVIGEN]]&lt;Cob_Min_REP,0,IF(VIEW_IV_2019_REP_CALCULO[[#This Row],[Cobertura-PRIVIGEN]]&gt;Cob_Max_REP,Vlr_Max_REP,VLOOKUP(VIEW_IV_2019_REP_CALCULO[[#This Row],[Cobertura-PRIVIGEN]],Tabela_Valores_REP,2,1)))*VIEW_IV_2019_REP_CALCULO[[#This Row],[Peso-PRIVIGEN]]</f>
        <v>0</v>
      </c>
      <c r="AN109" s="102">
        <f>SUM(VIEW_IV_2019_REP_CALCULO[[#This Row],[Premio-BERINERT]:[Premio-PRIVIGEN]])</f>
        <v>0</v>
      </c>
      <c r="AX109" s="3"/>
      <c r="AY109" s="3"/>
      <c r="AZ109" s="3"/>
      <c r="BA109" s="3"/>
      <c r="BB109" s="3"/>
    </row>
    <row r="110" spans="1:54" x14ac:dyDescent="0.2">
      <c r="A110" s="7" t="s">
        <v>16</v>
      </c>
      <c r="B110" s="7" t="s">
        <v>814</v>
      </c>
      <c r="C110" s="7" t="s">
        <v>66</v>
      </c>
      <c r="D110" s="8" t="s">
        <v>778</v>
      </c>
      <c r="E110" s="8" t="s">
        <v>779</v>
      </c>
      <c r="F110" s="8" t="s">
        <v>730</v>
      </c>
      <c r="G110" s="8" t="s">
        <v>791</v>
      </c>
      <c r="H110" s="13" t="b">
        <v>1</v>
      </c>
      <c r="I110" s="13" t="b">
        <v>1</v>
      </c>
      <c r="J110" s="10">
        <v>50</v>
      </c>
      <c r="K110" s="10">
        <v>0</v>
      </c>
      <c r="L110" s="10">
        <v>0</v>
      </c>
      <c r="M110" s="10">
        <v>732</v>
      </c>
      <c r="N110" s="10">
        <v>5220</v>
      </c>
      <c r="O110" s="10"/>
      <c r="P110" s="10"/>
      <c r="Q110" s="10"/>
      <c r="R110" s="10"/>
      <c r="S110" s="10"/>
      <c r="T110" s="14" t="b">
        <v>0</v>
      </c>
      <c r="U110" s="14" t="b">
        <v>0</v>
      </c>
      <c r="V110" s="14" t="b">
        <v>0</v>
      </c>
      <c r="W110" s="14" t="b">
        <v>0</v>
      </c>
      <c r="X110" s="14" t="b">
        <v>0</v>
      </c>
      <c r="Y110" s="55">
        <v>0</v>
      </c>
      <c r="Z110" s="55">
        <v>0</v>
      </c>
      <c r="AA110" s="55">
        <v>0</v>
      </c>
      <c r="AB110" s="55">
        <v>0</v>
      </c>
      <c r="AC110" s="55">
        <v>0</v>
      </c>
      <c r="AD110" s="62">
        <v>0.1</v>
      </c>
      <c r="AE110" s="62">
        <v>0</v>
      </c>
      <c r="AF110" s="62">
        <v>0</v>
      </c>
      <c r="AG110" s="62">
        <v>0.4</v>
      </c>
      <c r="AH110" s="62">
        <v>0.2</v>
      </c>
      <c r="AI110" s="66">
        <f>IF(VIEW_IV_2019_REP_CALCULO[[#This Row],[Cobertura-BERINERT]]&lt;Cob_Min_REP,0,IF(VIEW_IV_2019_REP_CALCULO[[#This Row],[Cobertura-BERINERT]]&gt;Cob_Max_REP,Vlr_Max_REP,VLOOKUP(VIEW_IV_2019_REP_CALCULO[[#This Row],[Cobertura-BERINERT]],Tabela_Valores_REP,2,1)))*VIEW_IV_2019_REP_CALCULO[[#This Row],[Peso-BERINERT]]</f>
        <v>0</v>
      </c>
      <c r="AJ110" s="65">
        <f>IF(VIEW_IV_2019_REP_CALCULO[[#This Row],[Cobertura-BERIPLEX]]&lt;Cob_Min_REP,0,IF(VIEW_IV_2019_REP_CALCULO[[#This Row],[Cobertura-BERIPLEX]]&gt;Cob_Max_REP,Vlr_Max_REP,VLOOKUP(VIEW_IV_2019_REP_CALCULO[[#This Row],[Cobertura-BERIPLEX]],Tabela_Valores_REP,2,1)))*VIEW_IV_2019_REP_CALCULO[[#This Row],[Peso-BERIPLEX]]</f>
        <v>0</v>
      </c>
      <c r="AK110" s="65">
        <f>IF(VIEW_IV_2019_REP_CALCULO[[#This Row],[Cobertura-HAEMO]]&lt;Cob_Min_REP,0,IF(VIEW_IV_2019_REP_CALCULO[[#This Row],[Cobertura-HAEMO]]&gt;Cob_Max_REP,Vlr_Max_REP,VLOOKUP(VIEW_IV_2019_REP_CALCULO[[#This Row],[Cobertura-HAEMO]],Tabela_Valores_REP,2,1)))*VIEW_IV_2019_REP_CALCULO[[#This Row],[Peso-HAEMO]]</f>
        <v>0</v>
      </c>
      <c r="AL110" s="65">
        <f>IF(VIEW_IV_2019_REP_CALCULO[[#This Row],[Cobertura-HIZENTRA]]&lt;Cob_Min_REP,0,IF(VIEW_IV_2019_REP_CALCULO[[#This Row],[Cobertura-HIZENTRA]]&gt;Cob_Max_REP,Vlr_Max_REP,VLOOKUP(VIEW_IV_2019_REP_CALCULO[[#This Row],[Cobertura-HIZENTRA]],Tabela_Valores_REP,2,1)))*VIEW_IV_2019_REP_CALCULO[[#This Row],[Peso-HIZENTRA]]</f>
        <v>0</v>
      </c>
      <c r="AM110" s="65">
        <f>IF(VIEW_IV_2019_REP_CALCULO[[#This Row],[Cobertura-PRIVIGEN]]&lt;Cob_Min_REP,0,IF(VIEW_IV_2019_REP_CALCULO[[#This Row],[Cobertura-PRIVIGEN]]&gt;Cob_Max_REP,Vlr_Max_REP,VLOOKUP(VIEW_IV_2019_REP_CALCULO[[#This Row],[Cobertura-PRIVIGEN]],Tabela_Valores_REP,2,1)))*VIEW_IV_2019_REP_CALCULO[[#This Row],[Peso-PRIVIGEN]]</f>
        <v>0</v>
      </c>
      <c r="AN110" s="102">
        <f>SUM(VIEW_IV_2019_REP_CALCULO[[#This Row],[Premio-BERINERT]:[Premio-PRIVIGEN]])</f>
        <v>0</v>
      </c>
      <c r="AX110" s="3"/>
      <c r="AY110" s="3"/>
      <c r="AZ110" s="3"/>
      <c r="BA110" s="3"/>
      <c r="BB110" s="3"/>
    </row>
    <row r="111" spans="1:54" x14ac:dyDescent="0.2">
      <c r="A111" s="7" t="s">
        <v>16</v>
      </c>
      <c r="B111" s="7" t="s">
        <v>814</v>
      </c>
      <c r="C111" s="7" t="s">
        <v>66</v>
      </c>
      <c r="D111" s="8" t="s">
        <v>770</v>
      </c>
      <c r="E111" s="8" t="s">
        <v>771</v>
      </c>
      <c r="F111" s="8" t="s">
        <v>730</v>
      </c>
      <c r="G111" s="8" t="s">
        <v>787</v>
      </c>
      <c r="H111" s="13" t="b">
        <v>1</v>
      </c>
      <c r="I111" s="13" t="b">
        <v>0</v>
      </c>
      <c r="J111" s="10">
        <v>20</v>
      </c>
      <c r="K111" s="10">
        <v>0</v>
      </c>
      <c r="L111" s="10">
        <v>0</v>
      </c>
      <c r="M111" s="10">
        <v>732</v>
      </c>
      <c r="N111" s="10">
        <v>5655</v>
      </c>
      <c r="O111" s="10"/>
      <c r="P111" s="10"/>
      <c r="Q111" s="10"/>
      <c r="R111" s="10"/>
      <c r="S111" s="10"/>
      <c r="T111" s="14" t="b">
        <v>0</v>
      </c>
      <c r="U111" s="14" t="b">
        <v>0</v>
      </c>
      <c r="V111" s="14" t="b">
        <v>0</v>
      </c>
      <c r="W111" s="14" t="b">
        <v>0</v>
      </c>
      <c r="X111" s="14" t="b">
        <v>0</v>
      </c>
      <c r="Y111" s="55">
        <v>0</v>
      </c>
      <c r="Z111" s="55">
        <v>0</v>
      </c>
      <c r="AA111" s="55">
        <v>0</v>
      </c>
      <c r="AB111" s="55">
        <v>0</v>
      </c>
      <c r="AC111" s="55">
        <v>0</v>
      </c>
      <c r="AD111" s="62">
        <v>0</v>
      </c>
      <c r="AE111" s="62">
        <v>0</v>
      </c>
      <c r="AF111" s="62">
        <v>0</v>
      </c>
      <c r="AG111" s="62">
        <v>0</v>
      </c>
      <c r="AH111" s="62">
        <v>0</v>
      </c>
      <c r="AI111" s="66">
        <f>IF(VIEW_IV_2019_REP_CALCULO[[#This Row],[Cobertura-BERINERT]]&lt;Cob_Min_REP,0,IF(VIEW_IV_2019_REP_CALCULO[[#This Row],[Cobertura-BERINERT]]&gt;Cob_Max_REP,Vlr_Max_REP,VLOOKUP(VIEW_IV_2019_REP_CALCULO[[#This Row],[Cobertura-BERINERT]],Tabela_Valores_REP,2,1)))*VIEW_IV_2019_REP_CALCULO[[#This Row],[Peso-BERINERT]]</f>
        <v>0</v>
      </c>
      <c r="AJ111" s="65">
        <f>IF(VIEW_IV_2019_REP_CALCULO[[#This Row],[Cobertura-BERIPLEX]]&lt;Cob_Min_REP,0,IF(VIEW_IV_2019_REP_CALCULO[[#This Row],[Cobertura-BERIPLEX]]&gt;Cob_Max_REP,Vlr_Max_REP,VLOOKUP(VIEW_IV_2019_REP_CALCULO[[#This Row],[Cobertura-BERIPLEX]],Tabela_Valores_REP,2,1)))*VIEW_IV_2019_REP_CALCULO[[#This Row],[Peso-BERIPLEX]]</f>
        <v>0</v>
      </c>
      <c r="AK111" s="65">
        <f>IF(VIEW_IV_2019_REP_CALCULO[[#This Row],[Cobertura-HAEMO]]&lt;Cob_Min_REP,0,IF(VIEW_IV_2019_REP_CALCULO[[#This Row],[Cobertura-HAEMO]]&gt;Cob_Max_REP,Vlr_Max_REP,VLOOKUP(VIEW_IV_2019_REP_CALCULO[[#This Row],[Cobertura-HAEMO]],Tabela_Valores_REP,2,1)))*VIEW_IV_2019_REP_CALCULO[[#This Row],[Peso-HAEMO]]</f>
        <v>0</v>
      </c>
      <c r="AL111" s="65">
        <f>IF(VIEW_IV_2019_REP_CALCULO[[#This Row],[Cobertura-HIZENTRA]]&lt;Cob_Min_REP,0,IF(VIEW_IV_2019_REP_CALCULO[[#This Row],[Cobertura-HIZENTRA]]&gt;Cob_Max_REP,Vlr_Max_REP,VLOOKUP(VIEW_IV_2019_REP_CALCULO[[#This Row],[Cobertura-HIZENTRA]],Tabela_Valores_REP,2,1)))*VIEW_IV_2019_REP_CALCULO[[#This Row],[Peso-HIZENTRA]]</f>
        <v>0</v>
      </c>
      <c r="AM111" s="65">
        <f>IF(VIEW_IV_2019_REP_CALCULO[[#This Row],[Cobertura-PRIVIGEN]]&lt;Cob_Min_REP,0,IF(VIEW_IV_2019_REP_CALCULO[[#This Row],[Cobertura-PRIVIGEN]]&gt;Cob_Max_REP,Vlr_Max_REP,VLOOKUP(VIEW_IV_2019_REP_CALCULO[[#This Row],[Cobertura-PRIVIGEN]],Tabela_Valores_REP,2,1)))*VIEW_IV_2019_REP_CALCULO[[#This Row],[Peso-PRIVIGEN]]</f>
        <v>0</v>
      </c>
      <c r="AN111" s="102">
        <f>SUM(VIEW_IV_2019_REP_CALCULO[[#This Row],[Premio-BERINERT]:[Premio-PRIVIGEN]])</f>
        <v>0</v>
      </c>
      <c r="AX111" s="3"/>
      <c r="AY111" s="3"/>
      <c r="AZ111" s="3"/>
      <c r="BA111" s="3"/>
      <c r="BB111" s="3"/>
    </row>
    <row r="112" spans="1:54" x14ac:dyDescent="0.2">
      <c r="A112" s="7" t="s">
        <v>16</v>
      </c>
      <c r="B112" s="7" t="s">
        <v>814</v>
      </c>
      <c r="C112" s="7" t="s">
        <v>66</v>
      </c>
      <c r="D112" s="8" t="s">
        <v>737</v>
      </c>
      <c r="E112" s="8" t="s">
        <v>738</v>
      </c>
      <c r="F112" s="8" t="s">
        <v>739</v>
      </c>
      <c r="G112" s="8" t="s">
        <v>785</v>
      </c>
      <c r="H112" s="13" t="b">
        <v>1</v>
      </c>
      <c r="I112" s="13" t="b">
        <v>1</v>
      </c>
      <c r="J112" s="10">
        <v>6</v>
      </c>
      <c r="K112" s="10">
        <v>68</v>
      </c>
      <c r="L112" s="10">
        <v>48</v>
      </c>
      <c r="M112" s="10">
        <v>122</v>
      </c>
      <c r="N112" s="10">
        <v>2610</v>
      </c>
      <c r="O112" s="10"/>
      <c r="P112" s="10"/>
      <c r="Q112" s="10"/>
      <c r="R112" s="10"/>
      <c r="S112" s="10"/>
      <c r="T112" s="14" t="b">
        <v>0</v>
      </c>
      <c r="U112" s="14" t="b">
        <v>0</v>
      </c>
      <c r="V112" s="14" t="b">
        <v>0</v>
      </c>
      <c r="W112" s="14" t="b">
        <v>0</v>
      </c>
      <c r="X112" s="14" t="b">
        <v>0</v>
      </c>
      <c r="Y112" s="55">
        <v>0</v>
      </c>
      <c r="Z112" s="55">
        <v>0</v>
      </c>
      <c r="AA112" s="55">
        <v>0</v>
      </c>
      <c r="AB112" s="55">
        <v>0</v>
      </c>
      <c r="AC112" s="55">
        <v>0</v>
      </c>
      <c r="AD112" s="62">
        <v>0.05</v>
      </c>
      <c r="AE112" s="62">
        <v>0.15</v>
      </c>
      <c r="AF112" s="62">
        <v>0.15</v>
      </c>
      <c r="AG112" s="62">
        <v>0.2</v>
      </c>
      <c r="AH112" s="62">
        <v>0.15</v>
      </c>
      <c r="AI112" s="66">
        <f>IF(VIEW_IV_2019_REP_CALCULO[[#This Row],[Cobertura-BERINERT]]&lt;Cob_Min_REP,0,IF(VIEW_IV_2019_REP_CALCULO[[#This Row],[Cobertura-BERINERT]]&gt;Cob_Max_REP,Vlr_Max_REP,VLOOKUP(VIEW_IV_2019_REP_CALCULO[[#This Row],[Cobertura-BERINERT]],Tabela_Valores_REP,2,1)))*VIEW_IV_2019_REP_CALCULO[[#This Row],[Peso-BERINERT]]</f>
        <v>0</v>
      </c>
      <c r="AJ112" s="65">
        <f>IF(VIEW_IV_2019_REP_CALCULO[[#This Row],[Cobertura-BERIPLEX]]&lt;Cob_Min_REP,0,IF(VIEW_IV_2019_REP_CALCULO[[#This Row],[Cobertura-BERIPLEX]]&gt;Cob_Max_REP,Vlr_Max_REP,VLOOKUP(VIEW_IV_2019_REP_CALCULO[[#This Row],[Cobertura-BERIPLEX]],Tabela_Valores_REP,2,1)))*VIEW_IV_2019_REP_CALCULO[[#This Row],[Peso-BERIPLEX]]</f>
        <v>0</v>
      </c>
      <c r="AK112" s="65">
        <f>IF(VIEW_IV_2019_REP_CALCULO[[#This Row],[Cobertura-HAEMO]]&lt;Cob_Min_REP,0,IF(VIEW_IV_2019_REP_CALCULO[[#This Row],[Cobertura-HAEMO]]&gt;Cob_Max_REP,Vlr_Max_REP,VLOOKUP(VIEW_IV_2019_REP_CALCULO[[#This Row],[Cobertura-HAEMO]],Tabela_Valores_REP,2,1)))*VIEW_IV_2019_REP_CALCULO[[#This Row],[Peso-HAEMO]]</f>
        <v>0</v>
      </c>
      <c r="AL112" s="65">
        <f>IF(VIEW_IV_2019_REP_CALCULO[[#This Row],[Cobertura-HIZENTRA]]&lt;Cob_Min_REP,0,IF(VIEW_IV_2019_REP_CALCULO[[#This Row],[Cobertura-HIZENTRA]]&gt;Cob_Max_REP,Vlr_Max_REP,VLOOKUP(VIEW_IV_2019_REP_CALCULO[[#This Row],[Cobertura-HIZENTRA]],Tabela_Valores_REP,2,1)))*VIEW_IV_2019_REP_CALCULO[[#This Row],[Peso-HIZENTRA]]</f>
        <v>0</v>
      </c>
      <c r="AM112" s="65">
        <f>IF(VIEW_IV_2019_REP_CALCULO[[#This Row],[Cobertura-PRIVIGEN]]&lt;Cob_Min_REP,0,IF(VIEW_IV_2019_REP_CALCULO[[#This Row],[Cobertura-PRIVIGEN]]&gt;Cob_Max_REP,Vlr_Max_REP,VLOOKUP(VIEW_IV_2019_REP_CALCULO[[#This Row],[Cobertura-PRIVIGEN]],Tabela_Valores_REP,2,1)))*VIEW_IV_2019_REP_CALCULO[[#This Row],[Peso-PRIVIGEN]]</f>
        <v>0</v>
      </c>
      <c r="AN112" s="102">
        <f>SUM(VIEW_IV_2019_REP_CALCULO[[#This Row],[Premio-BERINERT]:[Premio-PRIVIGEN]])</f>
        <v>0</v>
      </c>
      <c r="AX112" s="3"/>
      <c r="AY112" s="3"/>
      <c r="AZ112" s="3"/>
      <c r="BA112" s="3"/>
      <c r="BB112" s="3"/>
    </row>
    <row r="113" spans="1:54" x14ac:dyDescent="0.2">
      <c r="A113" s="7" t="s">
        <v>16</v>
      </c>
      <c r="B113" s="7" t="s">
        <v>814</v>
      </c>
      <c r="C113" s="7" t="s">
        <v>66</v>
      </c>
      <c r="D113" s="8" t="s">
        <v>780</v>
      </c>
      <c r="E113" s="8" t="s">
        <v>781</v>
      </c>
      <c r="F113" s="8" t="s">
        <v>739</v>
      </c>
      <c r="G113" s="8" t="s">
        <v>791</v>
      </c>
      <c r="H113" s="13" t="b">
        <v>1</v>
      </c>
      <c r="I113" s="13" t="b">
        <v>1</v>
      </c>
      <c r="J113" s="10">
        <v>20</v>
      </c>
      <c r="K113" s="10">
        <v>34</v>
      </c>
      <c r="L113" s="10">
        <v>12</v>
      </c>
      <c r="M113" s="10">
        <v>671</v>
      </c>
      <c r="N113" s="10">
        <v>1305</v>
      </c>
      <c r="O113" s="10"/>
      <c r="P113" s="10"/>
      <c r="Q113" s="10"/>
      <c r="R113" s="10"/>
      <c r="S113" s="10"/>
      <c r="T113" s="14" t="b">
        <v>0</v>
      </c>
      <c r="U113" s="14" t="b">
        <v>0</v>
      </c>
      <c r="V113" s="14" t="b">
        <v>0</v>
      </c>
      <c r="W113" s="14" t="b">
        <v>0</v>
      </c>
      <c r="X113" s="14" t="b">
        <v>0</v>
      </c>
      <c r="Y113" s="55">
        <v>0</v>
      </c>
      <c r="Z113" s="55">
        <v>0</v>
      </c>
      <c r="AA113" s="55">
        <v>0</v>
      </c>
      <c r="AB113" s="55">
        <v>0</v>
      </c>
      <c r="AC113" s="55">
        <v>0</v>
      </c>
      <c r="AD113" s="62">
        <v>0.05</v>
      </c>
      <c r="AE113" s="62">
        <v>0.15</v>
      </c>
      <c r="AF113" s="62">
        <v>0.15</v>
      </c>
      <c r="AG113" s="62">
        <v>0.2</v>
      </c>
      <c r="AH113" s="62">
        <v>0.15</v>
      </c>
      <c r="AI113" s="66">
        <f>IF(VIEW_IV_2019_REP_CALCULO[[#This Row],[Cobertura-BERINERT]]&lt;Cob_Min_REP,0,IF(VIEW_IV_2019_REP_CALCULO[[#This Row],[Cobertura-BERINERT]]&gt;Cob_Max_REP,Vlr_Max_REP,VLOOKUP(VIEW_IV_2019_REP_CALCULO[[#This Row],[Cobertura-BERINERT]],Tabela_Valores_REP,2,1)))*VIEW_IV_2019_REP_CALCULO[[#This Row],[Peso-BERINERT]]</f>
        <v>0</v>
      </c>
      <c r="AJ113" s="65">
        <f>IF(VIEW_IV_2019_REP_CALCULO[[#This Row],[Cobertura-BERIPLEX]]&lt;Cob_Min_REP,0,IF(VIEW_IV_2019_REP_CALCULO[[#This Row],[Cobertura-BERIPLEX]]&gt;Cob_Max_REP,Vlr_Max_REP,VLOOKUP(VIEW_IV_2019_REP_CALCULO[[#This Row],[Cobertura-BERIPLEX]],Tabela_Valores_REP,2,1)))*VIEW_IV_2019_REP_CALCULO[[#This Row],[Peso-BERIPLEX]]</f>
        <v>0</v>
      </c>
      <c r="AK113" s="65">
        <f>IF(VIEW_IV_2019_REP_CALCULO[[#This Row],[Cobertura-HAEMO]]&lt;Cob_Min_REP,0,IF(VIEW_IV_2019_REP_CALCULO[[#This Row],[Cobertura-HAEMO]]&gt;Cob_Max_REP,Vlr_Max_REP,VLOOKUP(VIEW_IV_2019_REP_CALCULO[[#This Row],[Cobertura-HAEMO]],Tabela_Valores_REP,2,1)))*VIEW_IV_2019_REP_CALCULO[[#This Row],[Peso-HAEMO]]</f>
        <v>0</v>
      </c>
      <c r="AL113" s="65">
        <f>IF(VIEW_IV_2019_REP_CALCULO[[#This Row],[Cobertura-HIZENTRA]]&lt;Cob_Min_REP,0,IF(VIEW_IV_2019_REP_CALCULO[[#This Row],[Cobertura-HIZENTRA]]&gt;Cob_Max_REP,Vlr_Max_REP,VLOOKUP(VIEW_IV_2019_REP_CALCULO[[#This Row],[Cobertura-HIZENTRA]],Tabela_Valores_REP,2,1)))*VIEW_IV_2019_REP_CALCULO[[#This Row],[Peso-HIZENTRA]]</f>
        <v>0</v>
      </c>
      <c r="AM113" s="65">
        <f>IF(VIEW_IV_2019_REP_CALCULO[[#This Row],[Cobertura-PRIVIGEN]]&lt;Cob_Min_REP,0,IF(VIEW_IV_2019_REP_CALCULO[[#This Row],[Cobertura-PRIVIGEN]]&gt;Cob_Max_REP,Vlr_Max_REP,VLOOKUP(VIEW_IV_2019_REP_CALCULO[[#This Row],[Cobertura-PRIVIGEN]],Tabela_Valores_REP,2,1)))*VIEW_IV_2019_REP_CALCULO[[#This Row],[Peso-PRIVIGEN]]</f>
        <v>0</v>
      </c>
      <c r="AN113" s="102">
        <f>SUM(VIEW_IV_2019_REP_CALCULO[[#This Row],[Premio-BERINERT]:[Premio-PRIVIGEN]])</f>
        <v>0</v>
      </c>
      <c r="AX113" s="3"/>
      <c r="AY113" s="3"/>
      <c r="AZ113" s="3"/>
      <c r="BA113" s="3"/>
      <c r="BB113" s="3"/>
    </row>
    <row r="114" spans="1:54" x14ac:dyDescent="0.2">
      <c r="A114" s="7" t="s">
        <v>16</v>
      </c>
      <c r="B114" s="7" t="s">
        <v>814</v>
      </c>
      <c r="C114" s="7" t="s">
        <v>66</v>
      </c>
      <c r="D114" s="8" t="s">
        <v>720</v>
      </c>
      <c r="E114" s="8" t="s">
        <v>721</v>
      </c>
      <c r="F114" s="8" t="s">
        <v>723</v>
      </c>
      <c r="G114" s="8" t="s">
        <v>785</v>
      </c>
      <c r="H114" s="13" t="b">
        <v>1</v>
      </c>
      <c r="I114" s="13" t="b">
        <v>1</v>
      </c>
      <c r="J114" s="10">
        <v>0</v>
      </c>
      <c r="K114" s="10">
        <v>102</v>
      </c>
      <c r="L114" s="10">
        <v>120</v>
      </c>
      <c r="M114" s="10">
        <v>0</v>
      </c>
      <c r="N114" s="10">
        <v>2175</v>
      </c>
      <c r="O114" s="10"/>
      <c r="P114" s="10"/>
      <c r="Q114" s="10"/>
      <c r="R114" s="10"/>
      <c r="S114" s="10"/>
      <c r="T114" s="14" t="b">
        <v>0</v>
      </c>
      <c r="U114" s="14" t="b">
        <v>0</v>
      </c>
      <c r="V114" s="14" t="b">
        <v>0</v>
      </c>
      <c r="W114" s="14" t="b">
        <v>0</v>
      </c>
      <c r="X114" s="14" t="b">
        <v>0</v>
      </c>
      <c r="Y114" s="55">
        <v>0</v>
      </c>
      <c r="Z114" s="55">
        <v>0</v>
      </c>
      <c r="AA114" s="55">
        <v>0</v>
      </c>
      <c r="AB114" s="55">
        <v>0</v>
      </c>
      <c r="AC114" s="55">
        <v>0</v>
      </c>
      <c r="AD114" s="62">
        <v>0</v>
      </c>
      <c r="AE114" s="62">
        <v>0.25</v>
      </c>
      <c r="AF114" s="62">
        <v>0.25</v>
      </c>
      <c r="AG114" s="62">
        <v>0</v>
      </c>
      <c r="AH114" s="62">
        <v>0.2</v>
      </c>
      <c r="AI114" s="66">
        <f>IF(VIEW_IV_2019_REP_CALCULO[[#This Row],[Cobertura-BERINERT]]&lt;Cob_Min_REP,0,IF(VIEW_IV_2019_REP_CALCULO[[#This Row],[Cobertura-BERINERT]]&gt;Cob_Max_REP,Vlr_Max_REP,VLOOKUP(VIEW_IV_2019_REP_CALCULO[[#This Row],[Cobertura-BERINERT]],Tabela_Valores_REP,2,1)))*VIEW_IV_2019_REP_CALCULO[[#This Row],[Peso-BERINERT]]</f>
        <v>0</v>
      </c>
      <c r="AJ114" s="65">
        <f>IF(VIEW_IV_2019_REP_CALCULO[[#This Row],[Cobertura-BERIPLEX]]&lt;Cob_Min_REP,0,IF(VIEW_IV_2019_REP_CALCULO[[#This Row],[Cobertura-BERIPLEX]]&gt;Cob_Max_REP,Vlr_Max_REP,VLOOKUP(VIEW_IV_2019_REP_CALCULO[[#This Row],[Cobertura-BERIPLEX]],Tabela_Valores_REP,2,1)))*VIEW_IV_2019_REP_CALCULO[[#This Row],[Peso-BERIPLEX]]</f>
        <v>0</v>
      </c>
      <c r="AK114" s="65">
        <f>IF(VIEW_IV_2019_REP_CALCULO[[#This Row],[Cobertura-HAEMO]]&lt;Cob_Min_REP,0,IF(VIEW_IV_2019_REP_CALCULO[[#This Row],[Cobertura-HAEMO]]&gt;Cob_Max_REP,Vlr_Max_REP,VLOOKUP(VIEW_IV_2019_REP_CALCULO[[#This Row],[Cobertura-HAEMO]],Tabela_Valores_REP,2,1)))*VIEW_IV_2019_REP_CALCULO[[#This Row],[Peso-HAEMO]]</f>
        <v>0</v>
      </c>
      <c r="AL114" s="65">
        <f>IF(VIEW_IV_2019_REP_CALCULO[[#This Row],[Cobertura-HIZENTRA]]&lt;Cob_Min_REP,0,IF(VIEW_IV_2019_REP_CALCULO[[#This Row],[Cobertura-HIZENTRA]]&gt;Cob_Max_REP,Vlr_Max_REP,VLOOKUP(VIEW_IV_2019_REP_CALCULO[[#This Row],[Cobertura-HIZENTRA]],Tabela_Valores_REP,2,1)))*VIEW_IV_2019_REP_CALCULO[[#This Row],[Peso-HIZENTRA]]</f>
        <v>0</v>
      </c>
      <c r="AM114" s="65">
        <f>IF(VIEW_IV_2019_REP_CALCULO[[#This Row],[Cobertura-PRIVIGEN]]&lt;Cob_Min_REP,0,IF(VIEW_IV_2019_REP_CALCULO[[#This Row],[Cobertura-PRIVIGEN]]&gt;Cob_Max_REP,Vlr_Max_REP,VLOOKUP(VIEW_IV_2019_REP_CALCULO[[#This Row],[Cobertura-PRIVIGEN]],Tabela_Valores_REP,2,1)))*VIEW_IV_2019_REP_CALCULO[[#This Row],[Peso-PRIVIGEN]]</f>
        <v>0</v>
      </c>
      <c r="AN114" s="102">
        <f>SUM(VIEW_IV_2019_REP_CALCULO[[#This Row],[Premio-BERINERT]:[Premio-PRIVIGEN]])</f>
        <v>0</v>
      </c>
      <c r="AX114" s="3"/>
      <c r="AY114" s="3"/>
      <c r="AZ114" s="3"/>
      <c r="BA114" s="3"/>
      <c r="BB114" s="3"/>
    </row>
    <row r="115" spans="1:54" x14ac:dyDescent="0.2">
      <c r="A115" s="7" t="s">
        <v>16</v>
      </c>
      <c r="B115" s="7" t="s">
        <v>814</v>
      </c>
      <c r="C115" s="7" t="s">
        <v>66</v>
      </c>
      <c r="D115" s="8" t="s">
        <v>724</v>
      </c>
      <c r="E115" s="8" t="s">
        <v>725</v>
      </c>
      <c r="F115" s="8" t="s">
        <v>723</v>
      </c>
      <c r="G115" s="8" t="s">
        <v>787</v>
      </c>
      <c r="H115" s="13" t="b">
        <v>1</v>
      </c>
      <c r="I115" s="13" t="b">
        <v>1</v>
      </c>
      <c r="J115" s="10">
        <v>0</v>
      </c>
      <c r="K115" s="10">
        <v>119</v>
      </c>
      <c r="L115" s="10">
        <v>144</v>
      </c>
      <c r="M115" s="10">
        <v>0</v>
      </c>
      <c r="N115" s="10">
        <v>3915</v>
      </c>
      <c r="O115" s="10"/>
      <c r="P115" s="10"/>
      <c r="Q115" s="10"/>
      <c r="R115" s="10"/>
      <c r="S115" s="10"/>
      <c r="T115" s="14" t="b">
        <v>0</v>
      </c>
      <c r="U115" s="14" t="b">
        <v>0</v>
      </c>
      <c r="V115" s="14" t="b">
        <v>0</v>
      </c>
      <c r="W115" s="14" t="b">
        <v>0</v>
      </c>
      <c r="X115" s="14" t="b">
        <v>0</v>
      </c>
      <c r="Y115" s="55">
        <v>0</v>
      </c>
      <c r="Z115" s="55">
        <v>0</v>
      </c>
      <c r="AA115" s="55">
        <v>0</v>
      </c>
      <c r="AB115" s="55">
        <v>0</v>
      </c>
      <c r="AC115" s="55">
        <v>0</v>
      </c>
      <c r="AD115" s="62">
        <v>0</v>
      </c>
      <c r="AE115" s="62">
        <v>0.25</v>
      </c>
      <c r="AF115" s="62">
        <v>0.25</v>
      </c>
      <c r="AG115" s="62">
        <v>0</v>
      </c>
      <c r="AH115" s="62">
        <v>0.2</v>
      </c>
      <c r="AI115" s="66">
        <f>IF(VIEW_IV_2019_REP_CALCULO[[#This Row],[Cobertura-BERINERT]]&lt;Cob_Min_REP,0,IF(VIEW_IV_2019_REP_CALCULO[[#This Row],[Cobertura-BERINERT]]&gt;Cob_Max_REP,Vlr_Max_REP,VLOOKUP(VIEW_IV_2019_REP_CALCULO[[#This Row],[Cobertura-BERINERT]],Tabela_Valores_REP,2,1)))*VIEW_IV_2019_REP_CALCULO[[#This Row],[Peso-BERINERT]]</f>
        <v>0</v>
      </c>
      <c r="AJ115" s="65">
        <f>IF(VIEW_IV_2019_REP_CALCULO[[#This Row],[Cobertura-BERIPLEX]]&lt;Cob_Min_REP,0,IF(VIEW_IV_2019_REP_CALCULO[[#This Row],[Cobertura-BERIPLEX]]&gt;Cob_Max_REP,Vlr_Max_REP,VLOOKUP(VIEW_IV_2019_REP_CALCULO[[#This Row],[Cobertura-BERIPLEX]],Tabela_Valores_REP,2,1)))*VIEW_IV_2019_REP_CALCULO[[#This Row],[Peso-BERIPLEX]]</f>
        <v>0</v>
      </c>
      <c r="AK115" s="65">
        <f>IF(VIEW_IV_2019_REP_CALCULO[[#This Row],[Cobertura-HAEMO]]&lt;Cob_Min_REP,0,IF(VIEW_IV_2019_REP_CALCULO[[#This Row],[Cobertura-HAEMO]]&gt;Cob_Max_REP,Vlr_Max_REP,VLOOKUP(VIEW_IV_2019_REP_CALCULO[[#This Row],[Cobertura-HAEMO]],Tabela_Valores_REP,2,1)))*VIEW_IV_2019_REP_CALCULO[[#This Row],[Peso-HAEMO]]</f>
        <v>0</v>
      </c>
      <c r="AL115" s="65">
        <f>IF(VIEW_IV_2019_REP_CALCULO[[#This Row],[Cobertura-HIZENTRA]]&lt;Cob_Min_REP,0,IF(VIEW_IV_2019_REP_CALCULO[[#This Row],[Cobertura-HIZENTRA]]&gt;Cob_Max_REP,Vlr_Max_REP,VLOOKUP(VIEW_IV_2019_REP_CALCULO[[#This Row],[Cobertura-HIZENTRA]],Tabela_Valores_REP,2,1)))*VIEW_IV_2019_REP_CALCULO[[#This Row],[Peso-HIZENTRA]]</f>
        <v>0</v>
      </c>
      <c r="AM115" s="65">
        <f>IF(VIEW_IV_2019_REP_CALCULO[[#This Row],[Cobertura-PRIVIGEN]]&lt;Cob_Min_REP,0,IF(VIEW_IV_2019_REP_CALCULO[[#This Row],[Cobertura-PRIVIGEN]]&gt;Cob_Max_REP,Vlr_Max_REP,VLOOKUP(VIEW_IV_2019_REP_CALCULO[[#This Row],[Cobertura-PRIVIGEN]],Tabela_Valores_REP,2,1)))*VIEW_IV_2019_REP_CALCULO[[#This Row],[Peso-PRIVIGEN]]</f>
        <v>0</v>
      </c>
      <c r="AN115" s="102">
        <f>SUM(VIEW_IV_2019_REP_CALCULO[[#This Row],[Premio-BERINERT]:[Premio-PRIVIGEN]])</f>
        <v>0</v>
      </c>
      <c r="AX115" s="3"/>
      <c r="AY115" s="3"/>
      <c r="AZ115" s="3"/>
      <c r="BA115" s="3"/>
      <c r="BB115" s="3"/>
    </row>
    <row r="116" spans="1:54" x14ac:dyDescent="0.2">
      <c r="A116" s="7" t="s">
        <v>16</v>
      </c>
      <c r="B116" s="7" t="s">
        <v>814</v>
      </c>
      <c r="C116" s="7" t="s">
        <v>66</v>
      </c>
      <c r="D116" s="8" t="s">
        <v>726</v>
      </c>
      <c r="E116" s="8" t="s">
        <v>727</v>
      </c>
      <c r="F116" s="8" t="s">
        <v>723</v>
      </c>
      <c r="G116" s="8" t="s">
        <v>787</v>
      </c>
      <c r="H116" s="13" t="b">
        <v>1</v>
      </c>
      <c r="I116" s="13" t="b">
        <v>1</v>
      </c>
      <c r="J116" s="10">
        <v>0</v>
      </c>
      <c r="K116" s="10">
        <v>102</v>
      </c>
      <c r="L116" s="10">
        <v>60</v>
      </c>
      <c r="M116" s="10">
        <v>0</v>
      </c>
      <c r="N116" s="10">
        <v>5220</v>
      </c>
      <c r="O116" s="10"/>
      <c r="P116" s="10"/>
      <c r="Q116" s="10"/>
      <c r="R116" s="10"/>
      <c r="S116" s="10"/>
      <c r="T116" s="14" t="b">
        <v>0</v>
      </c>
      <c r="U116" s="14" t="b">
        <v>0</v>
      </c>
      <c r="V116" s="14" t="b">
        <v>0</v>
      </c>
      <c r="W116" s="14" t="b">
        <v>0</v>
      </c>
      <c r="X116" s="14" t="b">
        <v>0</v>
      </c>
      <c r="Y116" s="55">
        <v>0</v>
      </c>
      <c r="Z116" s="55">
        <v>0</v>
      </c>
      <c r="AA116" s="55">
        <v>0</v>
      </c>
      <c r="AB116" s="55">
        <v>0</v>
      </c>
      <c r="AC116" s="55">
        <v>0</v>
      </c>
      <c r="AD116" s="62">
        <v>0</v>
      </c>
      <c r="AE116" s="62">
        <v>0.25</v>
      </c>
      <c r="AF116" s="62">
        <v>0.25</v>
      </c>
      <c r="AG116" s="62">
        <v>0</v>
      </c>
      <c r="AH116" s="62">
        <v>0.2</v>
      </c>
      <c r="AI116" s="66">
        <f>IF(VIEW_IV_2019_REP_CALCULO[[#This Row],[Cobertura-BERINERT]]&lt;Cob_Min_REP,0,IF(VIEW_IV_2019_REP_CALCULO[[#This Row],[Cobertura-BERINERT]]&gt;Cob_Max_REP,Vlr_Max_REP,VLOOKUP(VIEW_IV_2019_REP_CALCULO[[#This Row],[Cobertura-BERINERT]],Tabela_Valores_REP,2,1)))*VIEW_IV_2019_REP_CALCULO[[#This Row],[Peso-BERINERT]]</f>
        <v>0</v>
      </c>
      <c r="AJ116" s="65">
        <f>IF(VIEW_IV_2019_REP_CALCULO[[#This Row],[Cobertura-BERIPLEX]]&lt;Cob_Min_REP,0,IF(VIEW_IV_2019_REP_CALCULO[[#This Row],[Cobertura-BERIPLEX]]&gt;Cob_Max_REP,Vlr_Max_REP,VLOOKUP(VIEW_IV_2019_REP_CALCULO[[#This Row],[Cobertura-BERIPLEX]],Tabela_Valores_REP,2,1)))*VIEW_IV_2019_REP_CALCULO[[#This Row],[Peso-BERIPLEX]]</f>
        <v>0</v>
      </c>
      <c r="AK116" s="65">
        <f>IF(VIEW_IV_2019_REP_CALCULO[[#This Row],[Cobertura-HAEMO]]&lt;Cob_Min_REP,0,IF(VIEW_IV_2019_REP_CALCULO[[#This Row],[Cobertura-HAEMO]]&gt;Cob_Max_REP,Vlr_Max_REP,VLOOKUP(VIEW_IV_2019_REP_CALCULO[[#This Row],[Cobertura-HAEMO]],Tabela_Valores_REP,2,1)))*VIEW_IV_2019_REP_CALCULO[[#This Row],[Peso-HAEMO]]</f>
        <v>0</v>
      </c>
      <c r="AL116" s="65">
        <f>IF(VIEW_IV_2019_REP_CALCULO[[#This Row],[Cobertura-HIZENTRA]]&lt;Cob_Min_REP,0,IF(VIEW_IV_2019_REP_CALCULO[[#This Row],[Cobertura-HIZENTRA]]&gt;Cob_Max_REP,Vlr_Max_REP,VLOOKUP(VIEW_IV_2019_REP_CALCULO[[#This Row],[Cobertura-HIZENTRA]],Tabela_Valores_REP,2,1)))*VIEW_IV_2019_REP_CALCULO[[#This Row],[Peso-HIZENTRA]]</f>
        <v>0</v>
      </c>
      <c r="AM116" s="65">
        <f>IF(VIEW_IV_2019_REP_CALCULO[[#This Row],[Cobertura-PRIVIGEN]]&lt;Cob_Min_REP,0,IF(VIEW_IV_2019_REP_CALCULO[[#This Row],[Cobertura-PRIVIGEN]]&gt;Cob_Max_REP,Vlr_Max_REP,VLOOKUP(VIEW_IV_2019_REP_CALCULO[[#This Row],[Cobertura-PRIVIGEN]],Tabela_Valores_REP,2,1)))*VIEW_IV_2019_REP_CALCULO[[#This Row],[Peso-PRIVIGEN]]</f>
        <v>0</v>
      </c>
      <c r="AN116" s="102">
        <f>SUM(VIEW_IV_2019_REP_CALCULO[[#This Row],[Premio-BERINERT]:[Premio-PRIVIGEN]])</f>
        <v>0</v>
      </c>
      <c r="AX116" s="3"/>
      <c r="AY116" s="3"/>
      <c r="AZ116" s="3"/>
      <c r="BA116" s="3"/>
      <c r="BB116" s="3"/>
    </row>
    <row r="117" spans="1:54" x14ac:dyDescent="0.2">
      <c r="A117" s="7" t="s">
        <v>16</v>
      </c>
      <c r="B117" s="7" t="s">
        <v>814</v>
      </c>
      <c r="C117" s="7" t="s">
        <v>66</v>
      </c>
      <c r="D117" s="8" t="s">
        <v>735</v>
      </c>
      <c r="E117" s="8" t="s">
        <v>736</v>
      </c>
      <c r="F117" s="8" t="s">
        <v>723</v>
      </c>
      <c r="G117" s="8" t="s">
        <v>785</v>
      </c>
      <c r="H117" s="13" t="b">
        <v>1</v>
      </c>
      <c r="I117" s="13" t="b">
        <v>1</v>
      </c>
      <c r="J117" s="10">
        <v>0</v>
      </c>
      <c r="K117" s="10">
        <v>68</v>
      </c>
      <c r="L117" s="10">
        <v>48</v>
      </c>
      <c r="M117" s="10">
        <v>0</v>
      </c>
      <c r="N117" s="10">
        <v>6525</v>
      </c>
      <c r="O117" s="10"/>
      <c r="P117" s="10"/>
      <c r="Q117" s="10"/>
      <c r="R117" s="10"/>
      <c r="S117" s="10"/>
      <c r="T117" s="14" t="b">
        <v>0</v>
      </c>
      <c r="U117" s="14" t="b">
        <v>0</v>
      </c>
      <c r="V117" s="14" t="b">
        <v>0</v>
      </c>
      <c r="W117" s="14" t="b">
        <v>0</v>
      </c>
      <c r="X117" s="14" t="b">
        <v>0</v>
      </c>
      <c r="Y117" s="55">
        <v>0</v>
      </c>
      <c r="Z117" s="55">
        <v>0</v>
      </c>
      <c r="AA117" s="55">
        <v>0</v>
      </c>
      <c r="AB117" s="55">
        <v>0</v>
      </c>
      <c r="AC117" s="55">
        <v>0</v>
      </c>
      <c r="AD117" s="62">
        <v>0</v>
      </c>
      <c r="AE117" s="62">
        <v>0.25</v>
      </c>
      <c r="AF117" s="62">
        <v>0.25</v>
      </c>
      <c r="AG117" s="62">
        <v>0</v>
      </c>
      <c r="AH117" s="62">
        <v>0.2</v>
      </c>
      <c r="AI117" s="66">
        <f>IF(VIEW_IV_2019_REP_CALCULO[[#This Row],[Cobertura-BERINERT]]&lt;Cob_Min_REP,0,IF(VIEW_IV_2019_REP_CALCULO[[#This Row],[Cobertura-BERINERT]]&gt;Cob_Max_REP,Vlr_Max_REP,VLOOKUP(VIEW_IV_2019_REP_CALCULO[[#This Row],[Cobertura-BERINERT]],Tabela_Valores_REP,2,1)))*VIEW_IV_2019_REP_CALCULO[[#This Row],[Peso-BERINERT]]</f>
        <v>0</v>
      </c>
      <c r="AJ117" s="65">
        <f>IF(VIEW_IV_2019_REP_CALCULO[[#This Row],[Cobertura-BERIPLEX]]&lt;Cob_Min_REP,0,IF(VIEW_IV_2019_REP_CALCULO[[#This Row],[Cobertura-BERIPLEX]]&gt;Cob_Max_REP,Vlr_Max_REP,VLOOKUP(VIEW_IV_2019_REP_CALCULO[[#This Row],[Cobertura-BERIPLEX]],Tabela_Valores_REP,2,1)))*VIEW_IV_2019_REP_CALCULO[[#This Row],[Peso-BERIPLEX]]</f>
        <v>0</v>
      </c>
      <c r="AK117" s="65">
        <f>IF(VIEW_IV_2019_REP_CALCULO[[#This Row],[Cobertura-HAEMO]]&lt;Cob_Min_REP,0,IF(VIEW_IV_2019_REP_CALCULO[[#This Row],[Cobertura-HAEMO]]&gt;Cob_Max_REP,Vlr_Max_REP,VLOOKUP(VIEW_IV_2019_REP_CALCULO[[#This Row],[Cobertura-HAEMO]],Tabela_Valores_REP,2,1)))*VIEW_IV_2019_REP_CALCULO[[#This Row],[Peso-HAEMO]]</f>
        <v>0</v>
      </c>
      <c r="AL117" s="65">
        <f>IF(VIEW_IV_2019_REP_CALCULO[[#This Row],[Cobertura-HIZENTRA]]&lt;Cob_Min_REP,0,IF(VIEW_IV_2019_REP_CALCULO[[#This Row],[Cobertura-HIZENTRA]]&gt;Cob_Max_REP,Vlr_Max_REP,VLOOKUP(VIEW_IV_2019_REP_CALCULO[[#This Row],[Cobertura-HIZENTRA]],Tabela_Valores_REP,2,1)))*VIEW_IV_2019_REP_CALCULO[[#This Row],[Peso-HIZENTRA]]</f>
        <v>0</v>
      </c>
      <c r="AM117" s="65">
        <f>IF(VIEW_IV_2019_REP_CALCULO[[#This Row],[Cobertura-PRIVIGEN]]&lt;Cob_Min_REP,0,IF(VIEW_IV_2019_REP_CALCULO[[#This Row],[Cobertura-PRIVIGEN]]&gt;Cob_Max_REP,Vlr_Max_REP,VLOOKUP(VIEW_IV_2019_REP_CALCULO[[#This Row],[Cobertura-PRIVIGEN]],Tabela_Valores_REP,2,1)))*VIEW_IV_2019_REP_CALCULO[[#This Row],[Peso-PRIVIGEN]]</f>
        <v>0</v>
      </c>
      <c r="AN117" s="102">
        <f>SUM(VIEW_IV_2019_REP_CALCULO[[#This Row],[Premio-BERINERT]:[Premio-PRIVIGEN]])</f>
        <v>0</v>
      </c>
      <c r="AX117" s="3"/>
      <c r="AY117" s="3"/>
      <c r="AZ117" s="3"/>
      <c r="BA117" s="3"/>
      <c r="BB117" s="3"/>
    </row>
    <row r="118" spans="1:54" x14ac:dyDescent="0.2">
      <c r="A118" s="7" t="s">
        <v>16</v>
      </c>
      <c r="B118" s="7" t="s">
        <v>814</v>
      </c>
      <c r="C118" s="7" t="s">
        <v>66</v>
      </c>
      <c r="D118" s="8" t="s">
        <v>742</v>
      </c>
      <c r="E118" s="8" t="s">
        <v>743</v>
      </c>
      <c r="F118" s="8" t="s">
        <v>723</v>
      </c>
      <c r="G118" s="8" t="s">
        <v>791</v>
      </c>
      <c r="H118" s="13" t="b">
        <v>1</v>
      </c>
      <c r="I118" s="13" t="b">
        <v>1</v>
      </c>
      <c r="J118" s="10">
        <v>0</v>
      </c>
      <c r="K118" s="10">
        <v>187</v>
      </c>
      <c r="L118" s="10">
        <v>84</v>
      </c>
      <c r="M118" s="10">
        <v>0</v>
      </c>
      <c r="N118" s="10">
        <v>2175</v>
      </c>
      <c r="O118" s="10"/>
      <c r="P118" s="10"/>
      <c r="Q118" s="10"/>
      <c r="R118" s="10"/>
      <c r="S118" s="10"/>
      <c r="T118" s="14" t="b">
        <v>0</v>
      </c>
      <c r="U118" s="14" t="b">
        <v>0</v>
      </c>
      <c r="V118" s="14" t="b">
        <v>0</v>
      </c>
      <c r="W118" s="14" t="b">
        <v>0</v>
      </c>
      <c r="X118" s="14" t="b">
        <v>0</v>
      </c>
      <c r="Y118" s="55">
        <v>0</v>
      </c>
      <c r="Z118" s="55">
        <v>0</v>
      </c>
      <c r="AA118" s="55">
        <v>0</v>
      </c>
      <c r="AB118" s="55">
        <v>0</v>
      </c>
      <c r="AC118" s="55">
        <v>0</v>
      </c>
      <c r="AD118" s="62">
        <v>0</v>
      </c>
      <c r="AE118" s="62">
        <v>0.25</v>
      </c>
      <c r="AF118" s="62">
        <v>0.25</v>
      </c>
      <c r="AG118" s="62">
        <v>0</v>
      </c>
      <c r="AH118" s="62">
        <v>0.2</v>
      </c>
      <c r="AI118" s="66">
        <f>IF(VIEW_IV_2019_REP_CALCULO[[#This Row],[Cobertura-BERINERT]]&lt;Cob_Min_REP,0,IF(VIEW_IV_2019_REP_CALCULO[[#This Row],[Cobertura-BERINERT]]&gt;Cob_Max_REP,Vlr_Max_REP,VLOOKUP(VIEW_IV_2019_REP_CALCULO[[#This Row],[Cobertura-BERINERT]],Tabela_Valores_REP,2,1)))*VIEW_IV_2019_REP_CALCULO[[#This Row],[Peso-BERINERT]]</f>
        <v>0</v>
      </c>
      <c r="AJ118" s="65">
        <f>IF(VIEW_IV_2019_REP_CALCULO[[#This Row],[Cobertura-BERIPLEX]]&lt;Cob_Min_REP,0,IF(VIEW_IV_2019_REP_CALCULO[[#This Row],[Cobertura-BERIPLEX]]&gt;Cob_Max_REP,Vlr_Max_REP,VLOOKUP(VIEW_IV_2019_REP_CALCULO[[#This Row],[Cobertura-BERIPLEX]],Tabela_Valores_REP,2,1)))*VIEW_IV_2019_REP_CALCULO[[#This Row],[Peso-BERIPLEX]]</f>
        <v>0</v>
      </c>
      <c r="AK118" s="65">
        <f>IF(VIEW_IV_2019_REP_CALCULO[[#This Row],[Cobertura-HAEMO]]&lt;Cob_Min_REP,0,IF(VIEW_IV_2019_REP_CALCULO[[#This Row],[Cobertura-HAEMO]]&gt;Cob_Max_REP,Vlr_Max_REP,VLOOKUP(VIEW_IV_2019_REP_CALCULO[[#This Row],[Cobertura-HAEMO]],Tabela_Valores_REP,2,1)))*VIEW_IV_2019_REP_CALCULO[[#This Row],[Peso-HAEMO]]</f>
        <v>0</v>
      </c>
      <c r="AL118" s="65">
        <f>IF(VIEW_IV_2019_REP_CALCULO[[#This Row],[Cobertura-HIZENTRA]]&lt;Cob_Min_REP,0,IF(VIEW_IV_2019_REP_CALCULO[[#This Row],[Cobertura-HIZENTRA]]&gt;Cob_Max_REP,Vlr_Max_REP,VLOOKUP(VIEW_IV_2019_REP_CALCULO[[#This Row],[Cobertura-HIZENTRA]],Tabela_Valores_REP,2,1)))*VIEW_IV_2019_REP_CALCULO[[#This Row],[Peso-HIZENTRA]]</f>
        <v>0</v>
      </c>
      <c r="AM118" s="65">
        <f>IF(VIEW_IV_2019_REP_CALCULO[[#This Row],[Cobertura-PRIVIGEN]]&lt;Cob_Min_REP,0,IF(VIEW_IV_2019_REP_CALCULO[[#This Row],[Cobertura-PRIVIGEN]]&gt;Cob_Max_REP,Vlr_Max_REP,VLOOKUP(VIEW_IV_2019_REP_CALCULO[[#This Row],[Cobertura-PRIVIGEN]],Tabela_Valores_REP,2,1)))*VIEW_IV_2019_REP_CALCULO[[#This Row],[Peso-PRIVIGEN]]</f>
        <v>0</v>
      </c>
      <c r="AN118" s="102">
        <f>SUM(VIEW_IV_2019_REP_CALCULO[[#This Row],[Premio-BERINERT]:[Premio-PRIVIGEN]])</f>
        <v>0</v>
      </c>
      <c r="AX118" s="3"/>
      <c r="AY118" s="3"/>
      <c r="AZ118" s="3"/>
      <c r="BA118" s="3"/>
      <c r="BB118" s="3"/>
    </row>
    <row r="119" spans="1:54" x14ac:dyDescent="0.2">
      <c r="A119" s="7" t="s">
        <v>16</v>
      </c>
      <c r="B119" s="7" t="s">
        <v>814</v>
      </c>
      <c r="C119" s="7" t="s">
        <v>66</v>
      </c>
      <c r="D119" s="8" t="s">
        <v>744</v>
      </c>
      <c r="E119" s="8" t="s">
        <v>745</v>
      </c>
      <c r="F119" s="8" t="s">
        <v>723</v>
      </c>
      <c r="G119" s="8" t="s">
        <v>791</v>
      </c>
      <c r="H119" s="13" t="b">
        <v>1</v>
      </c>
      <c r="I119" s="13" t="b">
        <v>1</v>
      </c>
      <c r="J119" s="10">
        <v>0</v>
      </c>
      <c r="K119" s="10">
        <v>153</v>
      </c>
      <c r="L119" s="10">
        <v>132</v>
      </c>
      <c r="M119" s="10">
        <v>0</v>
      </c>
      <c r="N119" s="10">
        <v>1305</v>
      </c>
      <c r="O119" s="10"/>
      <c r="P119" s="10"/>
      <c r="Q119" s="10"/>
      <c r="R119" s="10"/>
      <c r="S119" s="10"/>
      <c r="T119" s="14" t="b">
        <v>0</v>
      </c>
      <c r="U119" s="14" t="b">
        <v>0</v>
      </c>
      <c r="V119" s="14" t="b">
        <v>0</v>
      </c>
      <c r="W119" s="14" t="b">
        <v>0</v>
      </c>
      <c r="X119" s="14" t="b">
        <v>0</v>
      </c>
      <c r="Y119" s="55">
        <v>0</v>
      </c>
      <c r="Z119" s="55">
        <v>0</v>
      </c>
      <c r="AA119" s="55">
        <v>0</v>
      </c>
      <c r="AB119" s="55">
        <v>0</v>
      </c>
      <c r="AC119" s="55">
        <v>0</v>
      </c>
      <c r="AD119" s="62">
        <v>0</v>
      </c>
      <c r="AE119" s="62">
        <v>0.25</v>
      </c>
      <c r="AF119" s="62">
        <v>0.25</v>
      </c>
      <c r="AG119" s="62">
        <v>0</v>
      </c>
      <c r="AH119" s="62">
        <v>0.2</v>
      </c>
      <c r="AI119" s="66">
        <f>IF(VIEW_IV_2019_REP_CALCULO[[#This Row],[Cobertura-BERINERT]]&lt;Cob_Min_REP,0,IF(VIEW_IV_2019_REP_CALCULO[[#This Row],[Cobertura-BERINERT]]&gt;Cob_Max_REP,Vlr_Max_REP,VLOOKUP(VIEW_IV_2019_REP_CALCULO[[#This Row],[Cobertura-BERINERT]],Tabela_Valores_REP,2,1)))*VIEW_IV_2019_REP_CALCULO[[#This Row],[Peso-BERINERT]]</f>
        <v>0</v>
      </c>
      <c r="AJ119" s="65">
        <f>IF(VIEW_IV_2019_REP_CALCULO[[#This Row],[Cobertura-BERIPLEX]]&lt;Cob_Min_REP,0,IF(VIEW_IV_2019_REP_CALCULO[[#This Row],[Cobertura-BERIPLEX]]&gt;Cob_Max_REP,Vlr_Max_REP,VLOOKUP(VIEW_IV_2019_REP_CALCULO[[#This Row],[Cobertura-BERIPLEX]],Tabela_Valores_REP,2,1)))*VIEW_IV_2019_REP_CALCULO[[#This Row],[Peso-BERIPLEX]]</f>
        <v>0</v>
      </c>
      <c r="AK119" s="65">
        <f>IF(VIEW_IV_2019_REP_CALCULO[[#This Row],[Cobertura-HAEMO]]&lt;Cob_Min_REP,0,IF(VIEW_IV_2019_REP_CALCULO[[#This Row],[Cobertura-HAEMO]]&gt;Cob_Max_REP,Vlr_Max_REP,VLOOKUP(VIEW_IV_2019_REP_CALCULO[[#This Row],[Cobertura-HAEMO]],Tabela_Valores_REP,2,1)))*VIEW_IV_2019_REP_CALCULO[[#This Row],[Peso-HAEMO]]</f>
        <v>0</v>
      </c>
      <c r="AL119" s="65">
        <f>IF(VIEW_IV_2019_REP_CALCULO[[#This Row],[Cobertura-HIZENTRA]]&lt;Cob_Min_REP,0,IF(VIEW_IV_2019_REP_CALCULO[[#This Row],[Cobertura-HIZENTRA]]&gt;Cob_Max_REP,Vlr_Max_REP,VLOOKUP(VIEW_IV_2019_REP_CALCULO[[#This Row],[Cobertura-HIZENTRA]],Tabela_Valores_REP,2,1)))*VIEW_IV_2019_REP_CALCULO[[#This Row],[Peso-HIZENTRA]]</f>
        <v>0</v>
      </c>
      <c r="AM119" s="65">
        <f>IF(VIEW_IV_2019_REP_CALCULO[[#This Row],[Cobertura-PRIVIGEN]]&lt;Cob_Min_REP,0,IF(VIEW_IV_2019_REP_CALCULO[[#This Row],[Cobertura-PRIVIGEN]]&gt;Cob_Max_REP,Vlr_Max_REP,VLOOKUP(VIEW_IV_2019_REP_CALCULO[[#This Row],[Cobertura-PRIVIGEN]],Tabela_Valores_REP,2,1)))*VIEW_IV_2019_REP_CALCULO[[#This Row],[Peso-PRIVIGEN]]</f>
        <v>0</v>
      </c>
      <c r="AN119" s="102">
        <f>SUM(VIEW_IV_2019_REP_CALCULO[[#This Row],[Premio-BERINERT]:[Premio-PRIVIGEN]])</f>
        <v>0</v>
      </c>
      <c r="AX119" s="3"/>
      <c r="AY119" s="3"/>
      <c r="AZ119" s="3"/>
      <c r="BA119" s="3"/>
      <c r="BB119" s="3"/>
    </row>
    <row r="120" spans="1:54" x14ac:dyDescent="0.2">
      <c r="A120" s="7" t="s">
        <v>16</v>
      </c>
      <c r="B120" s="7" t="s">
        <v>814</v>
      </c>
      <c r="C120" s="7" t="s">
        <v>66</v>
      </c>
      <c r="D120" s="8" t="s">
        <v>746</v>
      </c>
      <c r="E120" s="8" t="s">
        <v>747</v>
      </c>
      <c r="F120" s="8" t="s">
        <v>723</v>
      </c>
      <c r="G120" s="8" t="s">
        <v>791</v>
      </c>
      <c r="H120" s="13" t="b">
        <v>1</v>
      </c>
      <c r="I120" s="13" t="b">
        <v>1</v>
      </c>
      <c r="J120" s="10">
        <v>0</v>
      </c>
      <c r="K120" s="10">
        <v>136</v>
      </c>
      <c r="L120" s="10">
        <v>84</v>
      </c>
      <c r="M120" s="10">
        <v>0</v>
      </c>
      <c r="N120" s="10">
        <v>2610</v>
      </c>
      <c r="O120" s="10"/>
      <c r="P120" s="10"/>
      <c r="Q120" s="10"/>
      <c r="R120" s="10"/>
      <c r="S120" s="10"/>
      <c r="T120" s="14" t="b">
        <v>0</v>
      </c>
      <c r="U120" s="14" t="b">
        <v>0</v>
      </c>
      <c r="V120" s="14" t="b">
        <v>0</v>
      </c>
      <c r="W120" s="14" t="b">
        <v>0</v>
      </c>
      <c r="X120" s="14" t="b">
        <v>0</v>
      </c>
      <c r="Y120" s="55">
        <v>0</v>
      </c>
      <c r="Z120" s="55">
        <v>0</v>
      </c>
      <c r="AA120" s="55">
        <v>0</v>
      </c>
      <c r="AB120" s="55">
        <v>0</v>
      </c>
      <c r="AC120" s="55">
        <v>0</v>
      </c>
      <c r="AD120" s="62">
        <v>0</v>
      </c>
      <c r="AE120" s="62">
        <v>0.25</v>
      </c>
      <c r="AF120" s="62">
        <v>0.25</v>
      </c>
      <c r="AG120" s="62">
        <v>0</v>
      </c>
      <c r="AH120" s="62">
        <v>0.2</v>
      </c>
      <c r="AI120" s="66">
        <f>IF(VIEW_IV_2019_REP_CALCULO[[#This Row],[Cobertura-BERINERT]]&lt;Cob_Min_REP,0,IF(VIEW_IV_2019_REP_CALCULO[[#This Row],[Cobertura-BERINERT]]&gt;Cob_Max_REP,Vlr_Max_REP,VLOOKUP(VIEW_IV_2019_REP_CALCULO[[#This Row],[Cobertura-BERINERT]],Tabela_Valores_REP,2,1)))*VIEW_IV_2019_REP_CALCULO[[#This Row],[Peso-BERINERT]]</f>
        <v>0</v>
      </c>
      <c r="AJ120" s="65">
        <f>IF(VIEW_IV_2019_REP_CALCULO[[#This Row],[Cobertura-BERIPLEX]]&lt;Cob_Min_REP,0,IF(VIEW_IV_2019_REP_CALCULO[[#This Row],[Cobertura-BERIPLEX]]&gt;Cob_Max_REP,Vlr_Max_REP,VLOOKUP(VIEW_IV_2019_REP_CALCULO[[#This Row],[Cobertura-BERIPLEX]],Tabela_Valores_REP,2,1)))*VIEW_IV_2019_REP_CALCULO[[#This Row],[Peso-BERIPLEX]]</f>
        <v>0</v>
      </c>
      <c r="AK120" s="65">
        <f>IF(VIEW_IV_2019_REP_CALCULO[[#This Row],[Cobertura-HAEMO]]&lt;Cob_Min_REP,0,IF(VIEW_IV_2019_REP_CALCULO[[#This Row],[Cobertura-HAEMO]]&gt;Cob_Max_REP,Vlr_Max_REP,VLOOKUP(VIEW_IV_2019_REP_CALCULO[[#This Row],[Cobertura-HAEMO]],Tabela_Valores_REP,2,1)))*VIEW_IV_2019_REP_CALCULO[[#This Row],[Peso-HAEMO]]</f>
        <v>0</v>
      </c>
      <c r="AL120" s="65">
        <f>IF(VIEW_IV_2019_REP_CALCULO[[#This Row],[Cobertura-HIZENTRA]]&lt;Cob_Min_REP,0,IF(VIEW_IV_2019_REP_CALCULO[[#This Row],[Cobertura-HIZENTRA]]&gt;Cob_Max_REP,Vlr_Max_REP,VLOOKUP(VIEW_IV_2019_REP_CALCULO[[#This Row],[Cobertura-HIZENTRA]],Tabela_Valores_REP,2,1)))*VIEW_IV_2019_REP_CALCULO[[#This Row],[Peso-HIZENTRA]]</f>
        <v>0</v>
      </c>
      <c r="AM120" s="65">
        <f>IF(VIEW_IV_2019_REP_CALCULO[[#This Row],[Cobertura-PRIVIGEN]]&lt;Cob_Min_REP,0,IF(VIEW_IV_2019_REP_CALCULO[[#This Row],[Cobertura-PRIVIGEN]]&gt;Cob_Max_REP,Vlr_Max_REP,VLOOKUP(VIEW_IV_2019_REP_CALCULO[[#This Row],[Cobertura-PRIVIGEN]],Tabela_Valores_REP,2,1)))*VIEW_IV_2019_REP_CALCULO[[#This Row],[Peso-PRIVIGEN]]</f>
        <v>0</v>
      </c>
      <c r="AN120" s="102">
        <f>SUM(VIEW_IV_2019_REP_CALCULO[[#This Row],[Premio-BERINERT]:[Premio-PRIVIGEN]])</f>
        <v>0</v>
      </c>
      <c r="AX120" s="3"/>
      <c r="AY120" s="3"/>
      <c r="AZ120" s="3"/>
      <c r="BA120" s="3"/>
      <c r="BB120" s="3"/>
    </row>
    <row r="121" spans="1:54" x14ac:dyDescent="0.2">
      <c r="A121" s="7" t="s">
        <v>16</v>
      </c>
      <c r="B121" s="7" t="s">
        <v>814</v>
      </c>
      <c r="C121" s="7" t="s">
        <v>66</v>
      </c>
      <c r="D121" s="8" t="s">
        <v>748</v>
      </c>
      <c r="E121" s="8" t="s">
        <v>749</v>
      </c>
      <c r="F121" s="8" t="s">
        <v>723</v>
      </c>
      <c r="G121" s="8" t="s">
        <v>791</v>
      </c>
      <c r="H121" s="13" t="b">
        <v>1</v>
      </c>
      <c r="I121" s="13" t="b">
        <v>1</v>
      </c>
      <c r="J121" s="10">
        <v>0</v>
      </c>
      <c r="K121" s="10">
        <v>170</v>
      </c>
      <c r="L121" s="10">
        <v>48</v>
      </c>
      <c r="M121" s="10">
        <v>0</v>
      </c>
      <c r="N121" s="10">
        <v>1305</v>
      </c>
      <c r="O121" s="10"/>
      <c r="P121" s="10"/>
      <c r="Q121" s="10"/>
      <c r="R121" s="10"/>
      <c r="S121" s="10"/>
      <c r="T121" s="14" t="b">
        <v>0</v>
      </c>
      <c r="U121" s="14" t="b">
        <v>0</v>
      </c>
      <c r="V121" s="14" t="b">
        <v>0</v>
      </c>
      <c r="W121" s="14" t="b">
        <v>0</v>
      </c>
      <c r="X121" s="14" t="b">
        <v>0</v>
      </c>
      <c r="Y121" s="55">
        <v>0</v>
      </c>
      <c r="Z121" s="55">
        <v>0</v>
      </c>
      <c r="AA121" s="55">
        <v>0</v>
      </c>
      <c r="AB121" s="55">
        <v>0</v>
      </c>
      <c r="AC121" s="55">
        <v>0</v>
      </c>
      <c r="AD121" s="62">
        <v>0</v>
      </c>
      <c r="AE121" s="62">
        <v>0.25</v>
      </c>
      <c r="AF121" s="62">
        <v>0.25</v>
      </c>
      <c r="AG121" s="62">
        <v>0</v>
      </c>
      <c r="AH121" s="62">
        <v>0.2</v>
      </c>
      <c r="AI121" s="66">
        <f>IF(VIEW_IV_2019_REP_CALCULO[[#This Row],[Cobertura-BERINERT]]&lt;Cob_Min_REP,0,IF(VIEW_IV_2019_REP_CALCULO[[#This Row],[Cobertura-BERINERT]]&gt;Cob_Max_REP,Vlr_Max_REP,VLOOKUP(VIEW_IV_2019_REP_CALCULO[[#This Row],[Cobertura-BERINERT]],Tabela_Valores_REP,2,1)))*VIEW_IV_2019_REP_CALCULO[[#This Row],[Peso-BERINERT]]</f>
        <v>0</v>
      </c>
      <c r="AJ121" s="65">
        <f>IF(VIEW_IV_2019_REP_CALCULO[[#This Row],[Cobertura-BERIPLEX]]&lt;Cob_Min_REP,0,IF(VIEW_IV_2019_REP_CALCULO[[#This Row],[Cobertura-BERIPLEX]]&gt;Cob_Max_REP,Vlr_Max_REP,VLOOKUP(VIEW_IV_2019_REP_CALCULO[[#This Row],[Cobertura-BERIPLEX]],Tabela_Valores_REP,2,1)))*VIEW_IV_2019_REP_CALCULO[[#This Row],[Peso-BERIPLEX]]</f>
        <v>0</v>
      </c>
      <c r="AK121" s="65">
        <f>IF(VIEW_IV_2019_REP_CALCULO[[#This Row],[Cobertura-HAEMO]]&lt;Cob_Min_REP,0,IF(VIEW_IV_2019_REP_CALCULO[[#This Row],[Cobertura-HAEMO]]&gt;Cob_Max_REP,Vlr_Max_REP,VLOOKUP(VIEW_IV_2019_REP_CALCULO[[#This Row],[Cobertura-HAEMO]],Tabela_Valores_REP,2,1)))*VIEW_IV_2019_REP_CALCULO[[#This Row],[Peso-HAEMO]]</f>
        <v>0</v>
      </c>
      <c r="AL121" s="65">
        <f>IF(VIEW_IV_2019_REP_CALCULO[[#This Row],[Cobertura-HIZENTRA]]&lt;Cob_Min_REP,0,IF(VIEW_IV_2019_REP_CALCULO[[#This Row],[Cobertura-HIZENTRA]]&gt;Cob_Max_REP,Vlr_Max_REP,VLOOKUP(VIEW_IV_2019_REP_CALCULO[[#This Row],[Cobertura-HIZENTRA]],Tabela_Valores_REP,2,1)))*VIEW_IV_2019_REP_CALCULO[[#This Row],[Peso-HIZENTRA]]</f>
        <v>0</v>
      </c>
      <c r="AM121" s="65">
        <f>IF(VIEW_IV_2019_REP_CALCULO[[#This Row],[Cobertura-PRIVIGEN]]&lt;Cob_Min_REP,0,IF(VIEW_IV_2019_REP_CALCULO[[#This Row],[Cobertura-PRIVIGEN]]&gt;Cob_Max_REP,Vlr_Max_REP,VLOOKUP(VIEW_IV_2019_REP_CALCULO[[#This Row],[Cobertura-PRIVIGEN]],Tabela_Valores_REP,2,1)))*VIEW_IV_2019_REP_CALCULO[[#This Row],[Peso-PRIVIGEN]]</f>
        <v>0</v>
      </c>
      <c r="AN121" s="102">
        <f>SUM(VIEW_IV_2019_REP_CALCULO[[#This Row],[Premio-BERINERT]:[Premio-PRIVIGEN]])</f>
        <v>0</v>
      </c>
      <c r="AX121" s="3"/>
      <c r="AY121" s="3"/>
      <c r="AZ121" s="3"/>
      <c r="BA121" s="3"/>
      <c r="BB121" s="3"/>
    </row>
    <row r="122" spans="1:54" x14ac:dyDescent="0.2">
      <c r="A122" s="7" t="s">
        <v>16</v>
      </c>
      <c r="B122" s="7" t="s">
        <v>814</v>
      </c>
      <c r="C122" s="7" t="s">
        <v>66</v>
      </c>
      <c r="D122" s="8" t="s">
        <v>752</v>
      </c>
      <c r="E122" s="8" t="s">
        <v>753</v>
      </c>
      <c r="F122" s="8" t="s">
        <v>723</v>
      </c>
      <c r="G122" s="8" t="s">
        <v>785</v>
      </c>
      <c r="H122" s="13" t="b">
        <v>1</v>
      </c>
      <c r="I122" s="13" t="b">
        <v>1</v>
      </c>
      <c r="J122" s="10">
        <v>0</v>
      </c>
      <c r="K122" s="10">
        <v>102</v>
      </c>
      <c r="L122" s="10">
        <v>72</v>
      </c>
      <c r="M122" s="10">
        <v>0</v>
      </c>
      <c r="N122" s="10">
        <v>2175</v>
      </c>
      <c r="O122" s="10"/>
      <c r="P122" s="10"/>
      <c r="Q122" s="10"/>
      <c r="R122" s="10"/>
      <c r="S122" s="10"/>
      <c r="T122" s="14" t="b">
        <v>0</v>
      </c>
      <c r="U122" s="14" t="b">
        <v>0</v>
      </c>
      <c r="V122" s="14" t="b">
        <v>0</v>
      </c>
      <c r="W122" s="14" t="b">
        <v>0</v>
      </c>
      <c r="X122" s="14" t="b">
        <v>0</v>
      </c>
      <c r="Y122" s="55">
        <v>0</v>
      </c>
      <c r="Z122" s="55">
        <v>0</v>
      </c>
      <c r="AA122" s="55">
        <v>0</v>
      </c>
      <c r="AB122" s="55">
        <v>0</v>
      </c>
      <c r="AC122" s="55">
        <v>0</v>
      </c>
      <c r="AD122" s="62">
        <v>0</v>
      </c>
      <c r="AE122" s="62">
        <v>0.25</v>
      </c>
      <c r="AF122" s="62">
        <v>0.25</v>
      </c>
      <c r="AG122" s="62">
        <v>0</v>
      </c>
      <c r="AH122" s="62">
        <v>0.2</v>
      </c>
      <c r="AI122" s="66">
        <f>IF(VIEW_IV_2019_REP_CALCULO[[#This Row],[Cobertura-BERINERT]]&lt;Cob_Min_REP,0,IF(VIEW_IV_2019_REP_CALCULO[[#This Row],[Cobertura-BERINERT]]&gt;Cob_Max_REP,Vlr_Max_REP,VLOOKUP(VIEW_IV_2019_REP_CALCULO[[#This Row],[Cobertura-BERINERT]],Tabela_Valores_REP,2,1)))*VIEW_IV_2019_REP_CALCULO[[#This Row],[Peso-BERINERT]]</f>
        <v>0</v>
      </c>
      <c r="AJ122" s="65">
        <f>IF(VIEW_IV_2019_REP_CALCULO[[#This Row],[Cobertura-BERIPLEX]]&lt;Cob_Min_REP,0,IF(VIEW_IV_2019_REP_CALCULO[[#This Row],[Cobertura-BERIPLEX]]&gt;Cob_Max_REP,Vlr_Max_REP,VLOOKUP(VIEW_IV_2019_REP_CALCULO[[#This Row],[Cobertura-BERIPLEX]],Tabela_Valores_REP,2,1)))*VIEW_IV_2019_REP_CALCULO[[#This Row],[Peso-BERIPLEX]]</f>
        <v>0</v>
      </c>
      <c r="AK122" s="65">
        <f>IF(VIEW_IV_2019_REP_CALCULO[[#This Row],[Cobertura-HAEMO]]&lt;Cob_Min_REP,0,IF(VIEW_IV_2019_REP_CALCULO[[#This Row],[Cobertura-HAEMO]]&gt;Cob_Max_REP,Vlr_Max_REP,VLOOKUP(VIEW_IV_2019_REP_CALCULO[[#This Row],[Cobertura-HAEMO]],Tabela_Valores_REP,2,1)))*VIEW_IV_2019_REP_CALCULO[[#This Row],[Peso-HAEMO]]</f>
        <v>0</v>
      </c>
      <c r="AL122" s="65">
        <f>IF(VIEW_IV_2019_REP_CALCULO[[#This Row],[Cobertura-HIZENTRA]]&lt;Cob_Min_REP,0,IF(VIEW_IV_2019_REP_CALCULO[[#This Row],[Cobertura-HIZENTRA]]&gt;Cob_Max_REP,Vlr_Max_REP,VLOOKUP(VIEW_IV_2019_REP_CALCULO[[#This Row],[Cobertura-HIZENTRA]],Tabela_Valores_REP,2,1)))*VIEW_IV_2019_REP_CALCULO[[#This Row],[Peso-HIZENTRA]]</f>
        <v>0</v>
      </c>
      <c r="AM122" s="65">
        <f>IF(VIEW_IV_2019_REP_CALCULO[[#This Row],[Cobertura-PRIVIGEN]]&lt;Cob_Min_REP,0,IF(VIEW_IV_2019_REP_CALCULO[[#This Row],[Cobertura-PRIVIGEN]]&gt;Cob_Max_REP,Vlr_Max_REP,VLOOKUP(VIEW_IV_2019_REP_CALCULO[[#This Row],[Cobertura-PRIVIGEN]],Tabela_Valores_REP,2,1)))*VIEW_IV_2019_REP_CALCULO[[#This Row],[Peso-PRIVIGEN]]</f>
        <v>0</v>
      </c>
      <c r="AN122" s="102">
        <f>SUM(VIEW_IV_2019_REP_CALCULO[[#This Row],[Premio-BERINERT]:[Premio-PRIVIGEN]])</f>
        <v>0</v>
      </c>
      <c r="AX122" s="3"/>
      <c r="AY122" s="3"/>
      <c r="AZ122" s="3"/>
      <c r="BA122" s="3"/>
      <c r="BB122" s="3"/>
    </row>
    <row r="123" spans="1:54" x14ac:dyDescent="0.2">
      <c r="A123" s="7" t="s">
        <v>16</v>
      </c>
      <c r="B123" s="7" t="s">
        <v>814</v>
      </c>
      <c r="C123" s="7" t="s">
        <v>66</v>
      </c>
      <c r="D123" s="8" t="s">
        <v>756</v>
      </c>
      <c r="E123" s="8" t="s">
        <v>757</v>
      </c>
      <c r="F123" s="8" t="s">
        <v>723</v>
      </c>
      <c r="G123" s="8" t="s">
        <v>787</v>
      </c>
      <c r="H123" s="13" t="b">
        <v>1</v>
      </c>
      <c r="I123" s="13" t="b">
        <v>1</v>
      </c>
      <c r="J123" s="10">
        <v>0</v>
      </c>
      <c r="K123" s="10">
        <v>119</v>
      </c>
      <c r="L123" s="10">
        <v>120</v>
      </c>
      <c r="M123" s="10">
        <v>0</v>
      </c>
      <c r="N123" s="10">
        <v>3915</v>
      </c>
      <c r="O123" s="10"/>
      <c r="P123" s="10"/>
      <c r="Q123" s="10"/>
      <c r="R123" s="10"/>
      <c r="S123" s="10"/>
      <c r="T123" s="14" t="b">
        <v>0</v>
      </c>
      <c r="U123" s="14" t="b">
        <v>0</v>
      </c>
      <c r="V123" s="14" t="b">
        <v>0</v>
      </c>
      <c r="W123" s="14" t="b">
        <v>0</v>
      </c>
      <c r="X123" s="14" t="b">
        <v>0</v>
      </c>
      <c r="Y123" s="55">
        <v>0</v>
      </c>
      <c r="Z123" s="55">
        <v>0</v>
      </c>
      <c r="AA123" s="55">
        <v>0</v>
      </c>
      <c r="AB123" s="55">
        <v>0</v>
      </c>
      <c r="AC123" s="55">
        <v>0</v>
      </c>
      <c r="AD123" s="62">
        <v>0</v>
      </c>
      <c r="AE123" s="62">
        <v>0.25</v>
      </c>
      <c r="AF123" s="62">
        <v>0.25</v>
      </c>
      <c r="AG123" s="62">
        <v>0</v>
      </c>
      <c r="AH123" s="62">
        <v>0.2</v>
      </c>
      <c r="AI123" s="66">
        <f>IF(VIEW_IV_2019_REP_CALCULO[[#This Row],[Cobertura-BERINERT]]&lt;Cob_Min_REP,0,IF(VIEW_IV_2019_REP_CALCULO[[#This Row],[Cobertura-BERINERT]]&gt;Cob_Max_REP,Vlr_Max_REP,VLOOKUP(VIEW_IV_2019_REP_CALCULO[[#This Row],[Cobertura-BERINERT]],Tabela_Valores_REP,2,1)))*VIEW_IV_2019_REP_CALCULO[[#This Row],[Peso-BERINERT]]</f>
        <v>0</v>
      </c>
      <c r="AJ123" s="65">
        <f>IF(VIEW_IV_2019_REP_CALCULO[[#This Row],[Cobertura-BERIPLEX]]&lt;Cob_Min_REP,0,IF(VIEW_IV_2019_REP_CALCULO[[#This Row],[Cobertura-BERIPLEX]]&gt;Cob_Max_REP,Vlr_Max_REP,VLOOKUP(VIEW_IV_2019_REP_CALCULO[[#This Row],[Cobertura-BERIPLEX]],Tabela_Valores_REP,2,1)))*VIEW_IV_2019_REP_CALCULO[[#This Row],[Peso-BERIPLEX]]</f>
        <v>0</v>
      </c>
      <c r="AK123" s="65">
        <f>IF(VIEW_IV_2019_REP_CALCULO[[#This Row],[Cobertura-HAEMO]]&lt;Cob_Min_REP,0,IF(VIEW_IV_2019_REP_CALCULO[[#This Row],[Cobertura-HAEMO]]&gt;Cob_Max_REP,Vlr_Max_REP,VLOOKUP(VIEW_IV_2019_REP_CALCULO[[#This Row],[Cobertura-HAEMO]],Tabela_Valores_REP,2,1)))*VIEW_IV_2019_REP_CALCULO[[#This Row],[Peso-HAEMO]]</f>
        <v>0</v>
      </c>
      <c r="AL123" s="65">
        <f>IF(VIEW_IV_2019_REP_CALCULO[[#This Row],[Cobertura-HIZENTRA]]&lt;Cob_Min_REP,0,IF(VIEW_IV_2019_REP_CALCULO[[#This Row],[Cobertura-HIZENTRA]]&gt;Cob_Max_REP,Vlr_Max_REP,VLOOKUP(VIEW_IV_2019_REP_CALCULO[[#This Row],[Cobertura-HIZENTRA]],Tabela_Valores_REP,2,1)))*VIEW_IV_2019_REP_CALCULO[[#This Row],[Peso-HIZENTRA]]</f>
        <v>0</v>
      </c>
      <c r="AM123" s="65">
        <f>IF(VIEW_IV_2019_REP_CALCULO[[#This Row],[Cobertura-PRIVIGEN]]&lt;Cob_Min_REP,0,IF(VIEW_IV_2019_REP_CALCULO[[#This Row],[Cobertura-PRIVIGEN]]&gt;Cob_Max_REP,Vlr_Max_REP,VLOOKUP(VIEW_IV_2019_REP_CALCULO[[#This Row],[Cobertura-PRIVIGEN]],Tabela_Valores_REP,2,1)))*VIEW_IV_2019_REP_CALCULO[[#This Row],[Peso-PRIVIGEN]]</f>
        <v>0</v>
      </c>
      <c r="AN123" s="102">
        <f>SUM(VIEW_IV_2019_REP_CALCULO[[#This Row],[Premio-BERINERT]:[Premio-PRIVIGEN]])</f>
        <v>0</v>
      </c>
      <c r="AX123" s="3"/>
      <c r="AY123" s="3"/>
      <c r="AZ123" s="3"/>
      <c r="BA123" s="3"/>
      <c r="BB123" s="3"/>
    </row>
    <row r="124" spans="1:54" x14ac:dyDescent="0.2">
      <c r="A124" s="7" t="s">
        <v>16</v>
      </c>
      <c r="B124" s="7" t="s">
        <v>814</v>
      </c>
      <c r="C124" s="7" t="s">
        <v>66</v>
      </c>
      <c r="D124" s="8" t="s">
        <v>760</v>
      </c>
      <c r="E124" s="8" t="s">
        <v>761</v>
      </c>
      <c r="F124" s="8" t="s">
        <v>723</v>
      </c>
      <c r="G124" s="8" t="s">
        <v>785</v>
      </c>
      <c r="H124" s="13" t="b">
        <v>1</v>
      </c>
      <c r="I124" s="13" t="b">
        <v>1</v>
      </c>
      <c r="J124" s="10">
        <v>0</v>
      </c>
      <c r="K124" s="10">
        <v>187</v>
      </c>
      <c r="L124" s="10">
        <v>144</v>
      </c>
      <c r="M124" s="10">
        <v>0</v>
      </c>
      <c r="N124" s="10">
        <v>3480</v>
      </c>
      <c r="O124" s="10"/>
      <c r="P124" s="10"/>
      <c r="Q124" s="10"/>
      <c r="R124" s="10"/>
      <c r="S124" s="10"/>
      <c r="T124" s="14" t="b">
        <v>0</v>
      </c>
      <c r="U124" s="14" t="b">
        <v>0</v>
      </c>
      <c r="V124" s="14" t="b">
        <v>0</v>
      </c>
      <c r="W124" s="14" t="b">
        <v>0</v>
      </c>
      <c r="X124" s="14" t="b">
        <v>0</v>
      </c>
      <c r="Y124" s="55">
        <v>0</v>
      </c>
      <c r="Z124" s="55">
        <v>0</v>
      </c>
      <c r="AA124" s="55">
        <v>0</v>
      </c>
      <c r="AB124" s="55">
        <v>0</v>
      </c>
      <c r="AC124" s="55">
        <v>0</v>
      </c>
      <c r="AD124" s="62">
        <v>0</v>
      </c>
      <c r="AE124" s="62">
        <v>0.25</v>
      </c>
      <c r="AF124" s="62">
        <v>0.25</v>
      </c>
      <c r="AG124" s="62">
        <v>0</v>
      </c>
      <c r="AH124" s="62">
        <v>0.2</v>
      </c>
      <c r="AI124" s="66">
        <f>IF(VIEW_IV_2019_REP_CALCULO[[#This Row],[Cobertura-BERINERT]]&lt;Cob_Min_REP,0,IF(VIEW_IV_2019_REP_CALCULO[[#This Row],[Cobertura-BERINERT]]&gt;Cob_Max_REP,Vlr_Max_REP,VLOOKUP(VIEW_IV_2019_REP_CALCULO[[#This Row],[Cobertura-BERINERT]],Tabela_Valores_REP,2,1)))*VIEW_IV_2019_REP_CALCULO[[#This Row],[Peso-BERINERT]]</f>
        <v>0</v>
      </c>
      <c r="AJ124" s="65">
        <f>IF(VIEW_IV_2019_REP_CALCULO[[#This Row],[Cobertura-BERIPLEX]]&lt;Cob_Min_REP,0,IF(VIEW_IV_2019_REP_CALCULO[[#This Row],[Cobertura-BERIPLEX]]&gt;Cob_Max_REP,Vlr_Max_REP,VLOOKUP(VIEW_IV_2019_REP_CALCULO[[#This Row],[Cobertura-BERIPLEX]],Tabela_Valores_REP,2,1)))*VIEW_IV_2019_REP_CALCULO[[#This Row],[Peso-BERIPLEX]]</f>
        <v>0</v>
      </c>
      <c r="AK124" s="65">
        <f>IF(VIEW_IV_2019_REP_CALCULO[[#This Row],[Cobertura-HAEMO]]&lt;Cob_Min_REP,0,IF(VIEW_IV_2019_REP_CALCULO[[#This Row],[Cobertura-HAEMO]]&gt;Cob_Max_REP,Vlr_Max_REP,VLOOKUP(VIEW_IV_2019_REP_CALCULO[[#This Row],[Cobertura-HAEMO]],Tabela_Valores_REP,2,1)))*VIEW_IV_2019_REP_CALCULO[[#This Row],[Peso-HAEMO]]</f>
        <v>0</v>
      </c>
      <c r="AL124" s="65">
        <f>IF(VIEW_IV_2019_REP_CALCULO[[#This Row],[Cobertura-HIZENTRA]]&lt;Cob_Min_REP,0,IF(VIEW_IV_2019_REP_CALCULO[[#This Row],[Cobertura-HIZENTRA]]&gt;Cob_Max_REP,Vlr_Max_REP,VLOOKUP(VIEW_IV_2019_REP_CALCULO[[#This Row],[Cobertura-HIZENTRA]],Tabela_Valores_REP,2,1)))*VIEW_IV_2019_REP_CALCULO[[#This Row],[Peso-HIZENTRA]]</f>
        <v>0</v>
      </c>
      <c r="AM124" s="65">
        <f>IF(VIEW_IV_2019_REP_CALCULO[[#This Row],[Cobertura-PRIVIGEN]]&lt;Cob_Min_REP,0,IF(VIEW_IV_2019_REP_CALCULO[[#This Row],[Cobertura-PRIVIGEN]]&gt;Cob_Max_REP,Vlr_Max_REP,VLOOKUP(VIEW_IV_2019_REP_CALCULO[[#This Row],[Cobertura-PRIVIGEN]],Tabela_Valores_REP,2,1)))*VIEW_IV_2019_REP_CALCULO[[#This Row],[Peso-PRIVIGEN]]</f>
        <v>0</v>
      </c>
      <c r="AN124" s="102">
        <f>SUM(VIEW_IV_2019_REP_CALCULO[[#This Row],[Premio-BERINERT]:[Premio-PRIVIGEN]])</f>
        <v>0</v>
      </c>
      <c r="AX124" s="3"/>
      <c r="AY124" s="3"/>
      <c r="AZ124" s="3"/>
      <c r="BA124" s="3"/>
      <c r="BB124" s="3"/>
    </row>
    <row r="125" spans="1:54" x14ac:dyDescent="0.2">
      <c r="A125" s="7" t="s">
        <v>16</v>
      </c>
      <c r="B125" s="7" t="s">
        <v>814</v>
      </c>
      <c r="C125" s="7" t="s">
        <v>66</v>
      </c>
      <c r="D125" s="8" t="s">
        <v>762</v>
      </c>
      <c r="E125" s="8" t="s">
        <v>763</v>
      </c>
      <c r="F125" s="8" t="s">
        <v>723</v>
      </c>
      <c r="G125" s="8" t="s">
        <v>787</v>
      </c>
      <c r="H125" s="13" t="b">
        <v>1</v>
      </c>
      <c r="I125" s="13" t="b">
        <v>1</v>
      </c>
      <c r="J125" s="10">
        <v>0</v>
      </c>
      <c r="K125" s="10">
        <v>153</v>
      </c>
      <c r="L125" s="10">
        <v>84</v>
      </c>
      <c r="M125" s="10">
        <v>0</v>
      </c>
      <c r="N125" s="10">
        <v>4785</v>
      </c>
      <c r="O125" s="10"/>
      <c r="P125" s="10"/>
      <c r="Q125" s="10"/>
      <c r="R125" s="10"/>
      <c r="S125" s="10"/>
      <c r="T125" s="14" t="b">
        <v>0</v>
      </c>
      <c r="U125" s="14" t="b">
        <v>0</v>
      </c>
      <c r="V125" s="14" t="b">
        <v>0</v>
      </c>
      <c r="W125" s="14" t="b">
        <v>0</v>
      </c>
      <c r="X125" s="14" t="b">
        <v>0</v>
      </c>
      <c r="Y125" s="55">
        <v>0</v>
      </c>
      <c r="Z125" s="55">
        <v>0</v>
      </c>
      <c r="AA125" s="55">
        <v>0</v>
      </c>
      <c r="AB125" s="55">
        <v>0</v>
      </c>
      <c r="AC125" s="55">
        <v>0</v>
      </c>
      <c r="AD125" s="62">
        <v>0</v>
      </c>
      <c r="AE125" s="62">
        <v>0.25</v>
      </c>
      <c r="AF125" s="62">
        <v>0.25</v>
      </c>
      <c r="AG125" s="62">
        <v>0</v>
      </c>
      <c r="AH125" s="62">
        <v>0.2</v>
      </c>
      <c r="AI125" s="66">
        <f>IF(VIEW_IV_2019_REP_CALCULO[[#This Row],[Cobertura-BERINERT]]&lt;Cob_Min_REP,0,IF(VIEW_IV_2019_REP_CALCULO[[#This Row],[Cobertura-BERINERT]]&gt;Cob_Max_REP,Vlr_Max_REP,VLOOKUP(VIEW_IV_2019_REP_CALCULO[[#This Row],[Cobertura-BERINERT]],Tabela_Valores_REP,2,1)))*VIEW_IV_2019_REP_CALCULO[[#This Row],[Peso-BERINERT]]</f>
        <v>0</v>
      </c>
      <c r="AJ125" s="65">
        <f>IF(VIEW_IV_2019_REP_CALCULO[[#This Row],[Cobertura-BERIPLEX]]&lt;Cob_Min_REP,0,IF(VIEW_IV_2019_REP_CALCULO[[#This Row],[Cobertura-BERIPLEX]]&gt;Cob_Max_REP,Vlr_Max_REP,VLOOKUP(VIEW_IV_2019_REP_CALCULO[[#This Row],[Cobertura-BERIPLEX]],Tabela_Valores_REP,2,1)))*VIEW_IV_2019_REP_CALCULO[[#This Row],[Peso-BERIPLEX]]</f>
        <v>0</v>
      </c>
      <c r="AK125" s="65">
        <f>IF(VIEW_IV_2019_REP_CALCULO[[#This Row],[Cobertura-HAEMO]]&lt;Cob_Min_REP,0,IF(VIEW_IV_2019_REP_CALCULO[[#This Row],[Cobertura-HAEMO]]&gt;Cob_Max_REP,Vlr_Max_REP,VLOOKUP(VIEW_IV_2019_REP_CALCULO[[#This Row],[Cobertura-HAEMO]],Tabela_Valores_REP,2,1)))*VIEW_IV_2019_REP_CALCULO[[#This Row],[Peso-HAEMO]]</f>
        <v>0</v>
      </c>
      <c r="AL125" s="65">
        <f>IF(VIEW_IV_2019_REP_CALCULO[[#This Row],[Cobertura-HIZENTRA]]&lt;Cob_Min_REP,0,IF(VIEW_IV_2019_REP_CALCULO[[#This Row],[Cobertura-HIZENTRA]]&gt;Cob_Max_REP,Vlr_Max_REP,VLOOKUP(VIEW_IV_2019_REP_CALCULO[[#This Row],[Cobertura-HIZENTRA]],Tabela_Valores_REP,2,1)))*VIEW_IV_2019_REP_CALCULO[[#This Row],[Peso-HIZENTRA]]</f>
        <v>0</v>
      </c>
      <c r="AM125" s="65">
        <f>IF(VIEW_IV_2019_REP_CALCULO[[#This Row],[Cobertura-PRIVIGEN]]&lt;Cob_Min_REP,0,IF(VIEW_IV_2019_REP_CALCULO[[#This Row],[Cobertura-PRIVIGEN]]&gt;Cob_Max_REP,Vlr_Max_REP,VLOOKUP(VIEW_IV_2019_REP_CALCULO[[#This Row],[Cobertura-PRIVIGEN]],Tabela_Valores_REP,2,1)))*VIEW_IV_2019_REP_CALCULO[[#This Row],[Peso-PRIVIGEN]]</f>
        <v>0</v>
      </c>
      <c r="AN125" s="102">
        <f>SUM(VIEW_IV_2019_REP_CALCULO[[#This Row],[Premio-BERINERT]:[Premio-PRIVIGEN]])</f>
        <v>0</v>
      </c>
      <c r="AX125" s="3"/>
      <c r="AY125" s="3"/>
      <c r="AZ125" s="3"/>
      <c r="BA125" s="3"/>
      <c r="BB125" s="3"/>
    </row>
  </sheetData>
  <phoneticPr fontId="5" type="noConversion"/>
  <conditionalFormatting sqref="T6:X125">
    <cfRule type="cellIs" dxfId="276" priority="3" operator="equal">
      <formula>FALSE</formula>
    </cfRule>
    <cfRule type="cellIs" dxfId="275" priority="4" operator="equal">
      <formula>TRUE</formula>
    </cfRule>
  </conditionalFormatting>
  <conditionalFormatting sqref="H6:I125">
    <cfRule type="cellIs" dxfId="274" priority="1" operator="equal">
      <formula>FALSE</formula>
    </cfRule>
    <cfRule type="cellIs" dxfId="273" priority="2" operator="equal">
      <formula>TRUE</formula>
    </cfRule>
  </conditionalFormatting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DB9BB6-A9BA-469C-8E5B-33C8F0B72D05}">
  <sheetPr>
    <tabColor theme="9" tint="0.39997558519241921"/>
  </sheetPr>
  <dimension ref="A1:AR45"/>
  <sheetViews>
    <sheetView showGridLines="0" workbookViewId="0">
      <pane xSplit="4" ySplit="5" topLeftCell="AH6" activePane="bottomRight" state="frozen"/>
      <selection pane="topRight" activeCell="E1" sqref="E1"/>
      <selection pane="bottomLeft" activeCell="A6" sqref="A6"/>
      <selection pane="bottomRight" activeCell="A25" sqref="A25:AR25"/>
    </sheetView>
  </sheetViews>
  <sheetFormatPr defaultRowHeight="12.75" x14ac:dyDescent="0.25"/>
  <cols>
    <col min="1" max="1" width="13.28515625" style="3" bestFit="1" customWidth="1"/>
    <col min="2" max="2" width="12.140625" style="3" bestFit="1" customWidth="1"/>
    <col min="3" max="3" width="32.42578125" style="3" bestFit="1" customWidth="1"/>
    <col min="4" max="4" width="46.85546875" style="3" bestFit="1" customWidth="1"/>
    <col min="5" max="5" width="12" style="3" bestFit="1" customWidth="1"/>
    <col min="6" max="6" width="24.85546875" style="3" bestFit="1" customWidth="1"/>
    <col min="7" max="7" width="12" style="3" bestFit="1" customWidth="1"/>
    <col min="8" max="8" width="10.85546875" style="3" bestFit="1" customWidth="1"/>
    <col min="9" max="9" width="17" style="74" bestFit="1" customWidth="1"/>
    <col min="10" max="10" width="16.7109375" style="74" bestFit="1" customWidth="1"/>
    <col min="11" max="11" width="15.7109375" style="74" bestFit="1" customWidth="1"/>
    <col min="12" max="12" width="17.28515625" style="74" bestFit="1" customWidth="1"/>
    <col min="13" max="13" width="17" style="74" bestFit="1" customWidth="1"/>
    <col min="14" max="14" width="21" style="74" bestFit="1" customWidth="1"/>
    <col min="15" max="15" width="20.7109375" style="74" bestFit="1" customWidth="1"/>
    <col min="16" max="16" width="19.7109375" style="74" bestFit="1" customWidth="1"/>
    <col min="17" max="17" width="21.28515625" style="74" bestFit="1" customWidth="1"/>
    <col min="18" max="18" width="21" style="74" bestFit="1" customWidth="1"/>
    <col min="19" max="19" width="17.140625" style="3" bestFit="1" customWidth="1"/>
    <col min="20" max="20" width="16.85546875" style="3" bestFit="1" customWidth="1"/>
    <col min="21" max="21" width="15.85546875" style="3" bestFit="1" customWidth="1"/>
    <col min="22" max="22" width="17.42578125" style="3" bestFit="1" customWidth="1"/>
    <col min="23" max="23" width="17.140625" style="3" bestFit="1" customWidth="1"/>
    <col min="24" max="24" width="21.5703125" style="3" bestFit="1" customWidth="1"/>
    <col min="25" max="25" width="21.28515625" style="3" bestFit="1" customWidth="1"/>
    <col min="26" max="26" width="20.28515625" style="3" bestFit="1" customWidth="1"/>
    <col min="27" max="27" width="22" style="3" bestFit="1" customWidth="1"/>
    <col min="28" max="28" width="21.5703125" style="3" bestFit="1" customWidth="1"/>
    <col min="29" max="29" width="19.28515625" style="3" bestFit="1" customWidth="1"/>
    <col min="30" max="30" width="19" style="3" bestFit="1" customWidth="1"/>
    <col min="31" max="31" width="18" style="3" bestFit="1" customWidth="1"/>
    <col min="32" max="32" width="19.5703125" style="3" bestFit="1" customWidth="1"/>
    <col min="33" max="33" width="19.28515625" style="3" bestFit="1" customWidth="1"/>
    <col min="34" max="34" width="20.7109375" style="3" bestFit="1" customWidth="1"/>
    <col min="35" max="35" width="20.42578125" style="3" bestFit="1" customWidth="1"/>
    <col min="36" max="36" width="19.42578125" style="3" bestFit="1" customWidth="1"/>
    <col min="37" max="37" width="21" style="3" bestFit="1" customWidth="1"/>
    <col min="38" max="38" width="20.7109375" style="3" bestFit="1" customWidth="1"/>
    <col min="39" max="39" width="23.28515625" style="3" bestFit="1" customWidth="1"/>
    <col min="40" max="40" width="23" style="3" bestFit="1" customWidth="1"/>
    <col min="41" max="41" width="22" style="3" bestFit="1" customWidth="1"/>
    <col min="42" max="42" width="23.5703125" style="3" bestFit="1" customWidth="1"/>
    <col min="43" max="43" width="23.28515625" style="3" bestFit="1" customWidth="1"/>
    <col min="44" max="44" width="19.7109375" style="3" bestFit="1" customWidth="1"/>
    <col min="45" max="16384" width="9.140625" style="3"/>
  </cols>
  <sheetData>
    <row r="1" spans="1:44" ht="15.75" x14ac:dyDescent="0.25">
      <c r="A1" s="49" t="s">
        <v>926</v>
      </c>
      <c r="I1" s="6" t="str">
        <f>IF(I2&lt;&gt;'IV Demanda REP Mensal'!J2,"Erro","OK")</f>
        <v>OK</v>
      </c>
      <c r="J1" s="6" t="str">
        <f>IF(J2&lt;&gt;'IV Demanda REP Mensal'!K2,"Erro","OK")</f>
        <v>OK</v>
      </c>
      <c r="K1" s="6" t="str">
        <f>IF(K2&lt;&gt;'IV Demanda REP Mensal'!L2,"Erro","OK")</f>
        <v>OK</v>
      </c>
      <c r="L1" s="6" t="str">
        <f>IF(L2&lt;&gt;'IV Demanda REP Mensal'!M2,"Erro","OK")</f>
        <v>OK</v>
      </c>
      <c r="M1" s="6" t="str">
        <f>IF(M2&lt;&gt;'IV Demanda REP Mensal'!N2,"Erro","OK")</f>
        <v>OK</v>
      </c>
      <c r="N1" s="6" t="str">
        <f>IF(N2&lt;&gt;'IV Demanda REP Mensal'!O2,"Erro","OK")</f>
        <v>OK</v>
      </c>
      <c r="O1" s="6" t="str">
        <f>IF(O2&lt;&gt;'IV Demanda REP Mensal'!P2,"Erro","OK")</f>
        <v>OK</v>
      </c>
      <c r="P1" s="6" t="str">
        <f>IF(P2&lt;&gt;'IV Demanda REP Mensal'!Q2,"Erro","OK")</f>
        <v>OK</v>
      </c>
      <c r="Q1" s="6" t="str">
        <f>IF(Q2&lt;&gt;'IV Demanda REP Mensal'!R2,"Erro","OK")</f>
        <v>OK</v>
      </c>
      <c r="R1" s="6" t="str">
        <f>IF(R2&lt;&gt;'IV Demanda REP Mensal'!S2,"Erro","OK")</f>
        <v>OK</v>
      </c>
      <c r="X1" s="6" t="str">
        <f>IF(X2&lt;&gt;'IV Demanda REP Mensal'!Y2,"Erro","OK")</f>
        <v>OK</v>
      </c>
      <c r="Y1" s="6" t="str">
        <f>IF(Y2&lt;&gt;'IV Demanda REP Mensal'!Z2,"Erro","OK")</f>
        <v>OK</v>
      </c>
      <c r="Z1" s="6" t="str">
        <f>IF(Z2&lt;&gt;'IV Demanda REP Mensal'!AA2,"Erro","OK")</f>
        <v>OK</v>
      </c>
      <c r="AA1" s="6" t="str">
        <f>IF(AA2&lt;&gt;'IV Demanda REP Mensal'!AB2,"Erro","OK")</f>
        <v>OK</v>
      </c>
      <c r="AB1" s="6" t="str">
        <f>IF(AB2&lt;&gt;'IV Demanda REP Mensal'!AC2,"Erro","OK")</f>
        <v>OK</v>
      </c>
      <c r="AH1" s="6" t="str">
        <f>IF(AH2&lt;&gt;'IV Demanda REP Mensal'!AI2,"Erro","OK")</f>
        <v>OK</v>
      </c>
      <c r="AI1" s="6" t="str">
        <f>IF(AI2&lt;&gt;'IV Demanda REP Mensal'!AJ2,"Erro","OK")</f>
        <v>OK</v>
      </c>
      <c r="AJ1" s="6" t="str">
        <f>IF(AJ2&lt;&gt;'IV Demanda REP Mensal'!AK2,"Erro","OK")</f>
        <v>OK</v>
      </c>
      <c r="AK1" s="6" t="str">
        <f>IF(AK2&lt;&gt;'IV Demanda REP Mensal'!AL2,"Erro","OK")</f>
        <v>OK</v>
      </c>
      <c r="AL1" s="6" t="str">
        <f>IF(AL2&lt;&gt;'IV Demanda REP Mensal'!AM2,"Erro","OK")</f>
        <v>OK</v>
      </c>
    </row>
    <row r="2" spans="1:44" x14ac:dyDescent="0.25">
      <c r="A2" s="63" t="s">
        <v>901</v>
      </c>
      <c r="I2" s="50">
        <f>SUM(VIEW_IV_2019_REP_CALCULO_TRI[Cota-BERINERT])</f>
        <v>1840</v>
      </c>
      <c r="J2" s="50">
        <f>SUM(VIEW_IV_2019_REP_CALCULO_TRI[Cota-BERIPLEX])</f>
        <v>11100</v>
      </c>
      <c r="K2" s="50">
        <f>SUM(VIEW_IV_2019_REP_CALCULO_TRI[Cota-HAEMO])</f>
        <v>8200</v>
      </c>
      <c r="L2" s="50">
        <f>SUM(VIEW_IV_2019_REP_CALCULO_TRI[Cota-HIZENTRA])</f>
        <v>40440</v>
      </c>
      <c r="M2" s="50">
        <f>SUM(VIEW_IV_2019_REP_CALCULO_TRI[Cota-PRIVIGEN])</f>
        <v>541260</v>
      </c>
      <c r="N2" s="50">
        <f>SUM(VIEW_IV_2019_REP_CALCULO_TRI[Demanda-BERINERT])</f>
        <v>903</v>
      </c>
      <c r="O2" s="50">
        <f>SUM(VIEW_IV_2019_REP_CALCULO_TRI[Demanda-BERIPLEX])</f>
        <v>6302</v>
      </c>
      <c r="P2" s="50">
        <f>SUM(VIEW_IV_2019_REP_CALCULO_TRI[Demanda-HAEMO])</f>
        <v>4297</v>
      </c>
      <c r="Q2" s="50">
        <f>SUM(VIEW_IV_2019_REP_CALCULO_TRI[Demanda-HIZENTRA])</f>
        <v>13331</v>
      </c>
      <c r="R2" s="50">
        <f>SUM(VIEW_IV_2019_REP_CALCULO_TRI[Demanda-PRIVIGEN])</f>
        <v>458849</v>
      </c>
      <c r="X2" s="76">
        <f>IFERROR(N2/I2,0)</f>
        <v>0.49076086956521742</v>
      </c>
      <c r="Y2" s="76">
        <f t="shared" ref="Y2:AB3" si="0">IFERROR(O2/J2,0)</f>
        <v>0.56774774774774772</v>
      </c>
      <c r="Z2" s="76">
        <f t="shared" si="0"/>
        <v>0.52402439024390246</v>
      </c>
      <c r="AA2" s="76">
        <f t="shared" si="0"/>
        <v>0.32964886251236397</v>
      </c>
      <c r="AB2" s="76">
        <f t="shared" si="0"/>
        <v>0.84774230499205561</v>
      </c>
      <c r="AC2" s="59">
        <f>SUM(VIEW_IV_2019_REP_CALCULO_TRI[Premio-BERINERT])</f>
        <v>6111.8052519973589</v>
      </c>
      <c r="AD2" s="59">
        <f>SUM(VIEW_IV_2019_REP_CALCULO_TRI[Premio-BERIPLEX])</f>
        <v>37488.953436074713</v>
      </c>
      <c r="AE2" s="59">
        <f>SUM(VIEW_IV_2019_REP_CALCULO_TRI[Premio-HAEMO])</f>
        <v>21585.343859694185</v>
      </c>
      <c r="AF2" s="59">
        <f>SUM(VIEW_IV_2019_REP_CALCULO_TRI[Premio-HIZENTRA])</f>
        <v>7900.9956744404735</v>
      </c>
      <c r="AG2" s="59">
        <f>SUM(VIEW_IV_2019_REP_CALCULO_TRI[Premio-PRIVIGEN])</f>
        <v>71552.945860781387</v>
      </c>
      <c r="AH2" s="59">
        <f>SUM(VIEW_IV_2019_REP_CALCULO_TRI[Recebido-BERINERT])</f>
        <v>5658.2047345396804</v>
      </c>
      <c r="AI2" s="59">
        <f>SUM(VIEW_IV_2019_REP_CALCULO_TRI[Recebido-BERIPLEX])</f>
        <v>32515.92173391685</v>
      </c>
      <c r="AJ2" s="59">
        <f>SUM(VIEW_IV_2019_REP_CALCULO_TRI[Recebido-HAEMO])</f>
        <v>19986.720967322271</v>
      </c>
      <c r="AK2" s="59">
        <f>SUM(VIEW_IV_2019_REP_CALCULO_TRI[Recebido-HIZENTRA])</f>
        <v>10270.717451203105</v>
      </c>
      <c r="AL2" s="59">
        <f>SUM(VIEW_IV_2019_REP_CALCULO_TRI[Recebido-PRIVIGEN])</f>
        <v>67266.826080729705</v>
      </c>
      <c r="AM2" s="59">
        <f>SUM(VIEW_IV_2019_REP_CALCULO_TRI[Recuperavel-BERINERT])</f>
        <v>1268.5078843906601</v>
      </c>
      <c r="AN2" s="59">
        <f>SUM(VIEW_IV_2019_REP_CALCULO_TRI[Recuperavel-BERIPLEX])</f>
        <v>6150.3114279773454</v>
      </c>
      <c r="AO2" s="59">
        <f>SUM(VIEW_IV_2019_REP_CALCULO_TRI[Recuperavel-HAEMO])</f>
        <v>3794.0951182184558</v>
      </c>
      <c r="AP2" s="59">
        <f>SUM(VIEW_IV_2019_REP_CALCULO_TRI[Recuperavel-HIZENTRA])</f>
        <v>224.56827793179491</v>
      </c>
      <c r="AQ2" s="59">
        <f>SUM(VIEW_IV_2019_REP_CALCULO_TRI[Recuperavel-PRIVIGEN])</f>
        <v>7173.8125446901067</v>
      </c>
      <c r="AR2" s="59">
        <f>SUM(VIEW_IV_2019_REP_CALCULO_TRI[Recuperavel-Total])</f>
        <v>18611.295253208362</v>
      </c>
    </row>
    <row r="3" spans="1:44" x14ac:dyDescent="0.25">
      <c r="I3" s="58">
        <f>SUBTOTAL(9,VIEW_IV_2019_REP_CALCULO_TRI[Cota-BERINERT])</f>
        <v>1840</v>
      </c>
      <c r="J3" s="58">
        <f>SUBTOTAL(9,VIEW_IV_2019_REP_CALCULO_TRI[Cota-BERIPLEX])</f>
        <v>11100</v>
      </c>
      <c r="K3" s="58">
        <f>SUBTOTAL(9,VIEW_IV_2019_REP_CALCULO_TRI[Cota-HAEMO])</f>
        <v>8200</v>
      </c>
      <c r="L3" s="58">
        <f>SUBTOTAL(9,VIEW_IV_2019_REP_CALCULO_TRI[Cota-HIZENTRA])</f>
        <v>40440</v>
      </c>
      <c r="M3" s="58">
        <f>SUBTOTAL(9,VIEW_IV_2019_REP_CALCULO_TRI[Cota-PRIVIGEN])</f>
        <v>541260</v>
      </c>
      <c r="N3" s="58">
        <f>SUBTOTAL(9,VIEW_IV_2019_REP_CALCULO_TRI[Demanda-BERINERT])</f>
        <v>903</v>
      </c>
      <c r="O3" s="58">
        <f>SUBTOTAL(9,VIEW_IV_2019_REP_CALCULO_TRI[Demanda-BERIPLEX])</f>
        <v>6302</v>
      </c>
      <c r="P3" s="58">
        <f>SUBTOTAL(9,VIEW_IV_2019_REP_CALCULO_TRI[Demanda-HAEMO])</f>
        <v>4297</v>
      </c>
      <c r="Q3" s="58">
        <f>SUBTOTAL(9,VIEW_IV_2019_REP_CALCULO_TRI[Demanda-HIZENTRA])</f>
        <v>13331</v>
      </c>
      <c r="R3" s="58">
        <f>SUBTOTAL(9,VIEW_IV_2019_REP_CALCULO_TRI[Demanda-PRIVIGEN])</f>
        <v>458849</v>
      </c>
      <c r="X3" s="77">
        <f>IFERROR(N3/I3,0)</f>
        <v>0.49076086956521742</v>
      </c>
      <c r="Y3" s="77">
        <f t="shared" si="0"/>
        <v>0.56774774774774772</v>
      </c>
      <c r="Z3" s="77">
        <f t="shared" si="0"/>
        <v>0.52402439024390246</v>
      </c>
      <c r="AA3" s="77">
        <f t="shared" si="0"/>
        <v>0.32964886251236397</v>
      </c>
      <c r="AB3" s="77">
        <f t="shared" si="0"/>
        <v>0.84774230499205561</v>
      </c>
      <c r="AC3" s="60">
        <f>SUBTOTAL(9,VIEW_IV_2019_REP_CALCULO_TRI[Premio-BERINERT])</f>
        <v>6111.8052519973589</v>
      </c>
      <c r="AD3" s="60">
        <f>SUBTOTAL(9,VIEW_IV_2019_REP_CALCULO_TRI[Premio-BERIPLEX])</f>
        <v>37488.953436074713</v>
      </c>
      <c r="AE3" s="60">
        <f>SUBTOTAL(9,VIEW_IV_2019_REP_CALCULO_TRI[Premio-HAEMO])</f>
        <v>21585.343859694185</v>
      </c>
      <c r="AF3" s="60">
        <f>SUBTOTAL(9,VIEW_IV_2019_REP_CALCULO_TRI[Premio-HIZENTRA])</f>
        <v>7900.9956744404735</v>
      </c>
      <c r="AG3" s="60">
        <f>SUBTOTAL(9,VIEW_IV_2019_REP_CALCULO_TRI[Premio-PRIVIGEN])</f>
        <v>71552.945860781387</v>
      </c>
      <c r="AH3" s="60">
        <f>SUBTOTAL(9,VIEW_IV_2019_REP_CALCULO_TRI[Recebido-BERINERT])</f>
        <v>5658.2047345396804</v>
      </c>
      <c r="AI3" s="60">
        <f>SUBTOTAL(9,VIEW_IV_2019_REP_CALCULO_TRI[Recebido-BERIPLEX])</f>
        <v>32515.92173391685</v>
      </c>
      <c r="AJ3" s="60">
        <f>SUBTOTAL(9,VIEW_IV_2019_REP_CALCULO_TRI[Recebido-HAEMO])</f>
        <v>19986.720967322271</v>
      </c>
      <c r="AK3" s="60">
        <f>SUBTOTAL(9,VIEW_IV_2019_REP_CALCULO_TRI[Recebido-HIZENTRA])</f>
        <v>10270.717451203105</v>
      </c>
      <c r="AL3" s="60">
        <f>SUBTOTAL(9,VIEW_IV_2019_REP_CALCULO_TRI[Recebido-PRIVIGEN])</f>
        <v>67266.826080729705</v>
      </c>
      <c r="AM3" s="60">
        <f>SUBTOTAL(9,VIEW_IV_2019_REP_CALCULO_TRI[Recuperavel-BERINERT])</f>
        <v>1268.5078843906601</v>
      </c>
      <c r="AN3" s="60">
        <f>SUBTOTAL(9,VIEW_IV_2019_REP_CALCULO_TRI[Recuperavel-BERIPLEX])</f>
        <v>6150.3114279773454</v>
      </c>
      <c r="AO3" s="60">
        <f>SUBTOTAL(9,VIEW_IV_2019_REP_CALCULO_TRI[Recuperavel-HAEMO])</f>
        <v>3794.0951182184558</v>
      </c>
      <c r="AP3" s="60">
        <f>SUBTOTAL(9,VIEW_IV_2019_REP_CALCULO_TRI[Recuperavel-HIZENTRA])</f>
        <v>224.56827793179491</v>
      </c>
      <c r="AQ3" s="60">
        <f>SUBTOTAL(9,VIEW_IV_2019_REP_CALCULO_TRI[Recuperavel-PRIVIGEN])</f>
        <v>7173.8125446901067</v>
      </c>
      <c r="AR3" s="60">
        <f>SUBTOTAL(9,VIEW_IV_2019_REP_CALCULO_TRI[Recuperavel-Total])</f>
        <v>18611.295253208362</v>
      </c>
    </row>
    <row r="5" spans="1:44" x14ac:dyDescent="0.25">
      <c r="A5" s="6" t="s">
        <v>2</v>
      </c>
      <c r="B5" s="6" t="s">
        <v>4</v>
      </c>
      <c r="C5" s="6" t="s">
        <v>708</v>
      </c>
      <c r="D5" s="6" t="s">
        <v>709</v>
      </c>
      <c r="E5" s="6" t="s">
        <v>712</v>
      </c>
      <c r="F5" s="6" t="s">
        <v>783</v>
      </c>
      <c r="G5" s="6" t="s">
        <v>713</v>
      </c>
      <c r="H5" s="6" t="s">
        <v>714</v>
      </c>
      <c r="I5" s="10" t="s">
        <v>815</v>
      </c>
      <c r="J5" s="10" t="s">
        <v>818</v>
      </c>
      <c r="K5" s="10" t="s">
        <v>821</v>
      </c>
      <c r="L5" s="10" t="s">
        <v>824</v>
      </c>
      <c r="M5" s="10" t="s">
        <v>827</v>
      </c>
      <c r="N5" s="10" t="s">
        <v>816</v>
      </c>
      <c r="O5" s="10" t="s">
        <v>819</v>
      </c>
      <c r="P5" s="10" t="s">
        <v>822</v>
      </c>
      <c r="Q5" s="10" t="s">
        <v>825</v>
      </c>
      <c r="R5" s="10" t="s">
        <v>828</v>
      </c>
      <c r="S5" s="6" t="s">
        <v>896</v>
      </c>
      <c r="T5" s="6" t="s">
        <v>897</v>
      </c>
      <c r="U5" s="6" t="s">
        <v>898</v>
      </c>
      <c r="V5" s="6" t="s">
        <v>899</v>
      </c>
      <c r="W5" s="6" t="s">
        <v>900</v>
      </c>
      <c r="X5" s="6" t="s">
        <v>817</v>
      </c>
      <c r="Y5" s="6" t="s">
        <v>820</v>
      </c>
      <c r="Z5" s="6" t="s">
        <v>823</v>
      </c>
      <c r="AA5" s="6" t="s">
        <v>826</v>
      </c>
      <c r="AB5" s="6" t="s">
        <v>829</v>
      </c>
      <c r="AC5" s="36" t="s">
        <v>927</v>
      </c>
      <c r="AD5" s="36" t="s">
        <v>928</v>
      </c>
      <c r="AE5" s="36" t="s">
        <v>929</v>
      </c>
      <c r="AF5" s="36" t="s">
        <v>930</v>
      </c>
      <c r="AG5" s="36" t="s">
        <v>931</v>
      </c>
      <c r="AH5" s="6" t="s">
        <v>932</v>
      </c>
      <c r="AI5" s="6" t="s">
        <v>933</v>
      </c>
      <c r="AJ5" s="6" t="s">
        <v>934</v>
      </c>
      <c r="AK5" s="6" t="s">
        <v>935</v>
      </c>
      <c r="AL5" s="6" t="s">
        <v>936</v>
      </c>
      <c r="AM5" s="36" t="s">
        <v>938</v>
      </c>
      <c r="AN5" s="36" t="s">
        <v>937</v>
      </c>
      <c r="AO5" s="36" t="s">
        <v>939</v>
      </c>
      <c r="AP5" s="36" t="s">
        <v>940</v>
      </c>
      <c r="AQ5" s="36" t="s">
        <v>941</v>
      </c>
      <c r="AR5" s="36" t="s">
        <v>975</v>
      </c>
    </row>
    <row r="6" spans="1:44" x14ac:dyDescent="0.25">
      <c r="A6" s="7" t="s">
        <v>16</v>
      </c>
      <c r="B6" s="7" t="s">
        <v>18</v>
      </c>
      <c r="C6" s="8" t="s">
        <v>728</v>
      </c>
      <c r="D6" s="8" t="s">
        <v>729</v>
      </c>
      <c r="E6" s="8" t="s">
        <v>730</v>
      </c>
      <c r="F6" s="8" t="s">
        <v>787</v>
      </c>
      <c r="G6" s="3" t="b">
        <v>1</v>
      </c>
      <c r="H6" s="3" t="b">
        <v>1</v>
      </c>
      <c r="I6" s="10">
        <v>68</v>
      </c>
      <c r="J6" s="10">
        <v>0</v>
      </c>
      <c r="K6" s="10">
        <v>0</v>
      </c>
      <c r="L6" s="10">
        <v>3186</v>
      </c>
      <c r="M6" s="10">
        <v>19670</v>
      </c>
      <c r="N6" s="10">
        <v>29</v>
      </c>
      <c r="O6" s="10">
        <v>0</v>
      </c>
      <c r="P6" s="10">
        <v>0</v>
      </c>
      <c r="Q6" s="10">
        <v>2221</v>
      </c>
      <c r="R6" s="10">
        <v>22305</v>
      </c>
      <c r="S6" s="75">
        <v>0.1</v>
      </c>
      <c r="T6" s="75">
        <v>0</v>
      </c>
      <c r="U6" s="75">
        <v>0</v>
      </c>
      <c r="V6" s="75">
        <v>0.4</v>
      </c>
      <c r="W6" s="75">
        <v>0.2</v>
      </c>
      <c r="X6" s="75">
        <f>IFERROR(VIEW_IV_2019_REP_CALCULO_TRI[[#This Row],[Demanda-BERINERT]]/VIEW_IV_2019_REP_CALCULO_TRI[[#This Row],[Cota-BERINERT]],0)</f>
        <v>0.4264705882352941</v>
      </c>
      <c r="Y6" s="75">
        <f>IFERROR(VIEW_IV_2019_REP_CALCULO_TRI[[#This Row],[Demanda-BERIPLEX]]/VIEW_IV_2019_REP_CALCULO_TRI[[#This Row],[Cota-BERIPLEX]],0)</f>
        <v>0</v>
      </c>
      <c r="Z6" s="75">
        <f>IFERROR(VIEW_IV_2019_REP_CALCULO_TRI[[#This Row],[Demanda-HAEMO]]/VIEW_IV_2019_REP_CALCULO_TRI[[#This Row],[Cota-HAEMO]],0)</f>
        <v>0</v>
      </c>
      <c r="AA6" s="75">
        <f>IFERROR(VIEW_IV_2019_REP_CALCULO_TRI[[#This Row],[Demanda-HIZENTRA]]/VIEW_IV_2019_REP_CALCULO_TRI[[#This Row],[Cota-HIZENTRA]],0)</f>
        <v>0.69711236660389198</v>
      </c>
      <c r="AB6" s="75">
        <f>IFERROR(VIEW_IV_2019_REP_CALCULO_TRI[[#This Row],[Demanda-PRIVIGEN]]/VIEW_IV_2019_REP_CALCULO_TRI[[#This Row],[Cota-PRIVIGEN]],0)</f>
        <v>1.1339603457041179</v>
      </c>
      <c r="AC6" s="65">
        <f>(IF(VIEW_IV_2019_REP_CALCULO_TRI[[#This Row],[Cobertura-BERINERT]]&lt;Cob_Min_REP,0,IF(VIEW_IV_2019_REP_CALCULO_TRI[[#This Row],[Cobertura-BERINERT]]&gt;Cob_Max_REP,Vlr_Max_REP,VLOOKUP(VIEW_IV_2019_REP_CALCULO_TRI[[#This Row],[Cobertura-BERINERT]],Tabela_Valores_REP,2,1)))*VIEW_IV_2019_REP_CALCULO_TRI[[#This Row],[Peso-BERINERT]])*3</f>
        <v>0</v>
      </c>
      <c r="AD6" s="65">
        <f>(IF(VIEW_IV_2019_REP_CALCULO_TRI[[#This Row],[Cobertura-BERIPLEX]]&lt;Cob_Min_REP,0,IF(VIEW_IV_2019_REP_CALCULO_TRI[[#This Row],[Cobertura-BERIPLEX]]&gt;Cob_Max_REP,Vlr_Max_REP,VLOOKUP(VIEW_IV_2019_REP_CALCULO_TRI[[#This Row],[Cobertura-BERIPLEX]],Tabela_Valores_REP,2,1)))*VIEW_IV_2019_REP_CALCULO_TRI[[#This Row],[Peso-BERIPLEX]])*3</f>
        <v>0</v>
      </c>
      <c r="AE6" s="65">
        <f>(IF(VIEW_IV_2019_REP_CALCULO_TRI[[#This Row],[Cobertura-HAEMO]]&lt;Cob_Min_REP,0,IF(VIEW_IV_2019_REP_CALCULO_TRI[[#This Row],[Cobertura-HAEMO]]&gt;Cob_Max_REP,Vlr_Max_REP,VLOOKUP(VIEW_IV_2019_REP_CALCULO_TRI[[#This Row],[Cobertura-HAEMO]],Tabela_Valores_REP,2,1)))*VIEW_IV_2019_REP_CALCULO_TRI[[#This Row],[Peso-HAEMO]])*3</f>
        <v>0</v>
      </c>
      <c r="AF6" s="65">
        <f>(IF(VIEW_IV_2019_REP_CALCULO_TRI[[#This Row],[Cobertura-HIZENTRA]]&lt;Cob_Min_REP,0,IF(VIEW_IV_2019_REP_CALCULO_TRI[[#This Row],[Cobertura-HIZENTRA]]&gt;Cob_Max_REP,Vlr_Max_REP,VLOOKUP(VIEW_IV_2019_REP_CALCULO_TRI[[#This Row],[Cobertura-HIZENTRA]],Tabela_Valores_REP,2,1)))*VIEW_IV_2019_REP_CALCULO_TRI[[#This Row],[Peso-HIZENTRA]])*3</f>
        <v>0</v>
      </c>
      <c r="AG6" s="65">
        <f>(IF(VIEW_IV_2019_REP_CALCULO_TRI[[#This Row],[Cobertura-PRIVIGEN]]&lt;Cob_Min_REP,0,IF(VIEW_IV_2019_REP_CALCULO_TRI[[#This Row],[Cobertura-PRIVIGEN]]&gt;Cob_Max_REP,Vlr_Max_REP,VLOOKUP(VIEW_IV_2019_REP_CALCULO_TRI[[#This Row],[Cobertura-PRIVIGEN]],Tabela_Valores_REP,2,1)))*VIEW_IV_2019_REP_CALCULO_TRI[[#This Row],[Peso-PRIVIGEN]])*3</f>
        <v>3084.2657293097154</v>
      </c>
      <c r="AH6" s="65">
        <f>SUMIFS(VIEW_IV_2019_REP_CALCULO[Premio-BERINERT],VIEW_IV_2019_REP_CALCULO[Ano-Fiscal],VIEW_IV_2019_REP_CALCULO_TRI[[#This Row],[Ano-Fiscal]],VIEW_IV_2019_REP_CALCULO[Tri-Fiscal],VIEW_IV_2019_REP_CALCULO_TRI[[#This Row],[Tri-Fiscal]],VIEW_IV_2019_REP_CALCULO['#PK-Email],VIEW_IV_2019_REP_CALCULO_TRI[[#This Row],['#PK-Email]])</f>
        <v>814.90736693298118</v>
      </c>
      <c r="AI6" s="65">
        <f>SUMIFS(VIEW_IV_2019_REP_CALCULO[Premio-BERIPLEX],VIEW_IV_2019_REP_CALCULO[Ano-Fiscal],VIEW_IV_2019_REP_CALCULO_TRI[[#This Row],[Ano-Fiscal]],VIEW_IV_2019_REP_CALCULO[Tri-Fiscal],VIEW_IV_2019_REP_CALCULO_TRI[[#This Row],[Tri-Fiscal]],VIEW_IV_2019_REP_CALCULO['#PK-Email],VIEW_IV_2019_REP_CALCULO_TRI[[#This Row],['#PK-Email]])</f>
        <v>0</v>
      </c>
      <c r="AJ6" s="65">
        <f>SUMIFS(VIEW_IV_2019_REP_CALCULO[Premio-HAEMO],VIEW_IV_2019_REP_CALCULO[Ano-Fiscal],VIEW_IV_2019_REP_CALCULO_TRI[[#This Row],[Ano-Fiscal]],VIEW_IV_2019_REP_CALCULO[Tri-Fiscal],VIEW_IV_2019_REP_CALCULO_TRI[[#This Row],[Tri-Fiscal]],VIEW_IV_2019_REP_CALCULO['#PK-Email],VIEW_IV_2019_REP_CALCULO_TRI[[#This Row],['#PK-Email]])</f>
        <v>0</v>
      </c>
      <c r="AK6" s="65">
        <f>SUMIFS(VIEW_IV_2019_REP_CALCULO[Premio-HIZENTRA],VIEW_IV_2019_REP_CALCULO[Ano-Fiscal],VIEW_IV_2019_REP_CALCULO_TRI[[#This Row],[Ano-Fiscal]],VIEW_IV_2019_REP_CALCULO[Tri-Fiscal],VIEW_IV_2019_REP_CALCULO_TRI[[#This Row],[Tri-Fiscal]],VIEW_IV_2019_REP_CALCULO['#PK-Email],VIEW_IV_2019_REP_CALCULO_TRI[[#This Row],['#PK-Email]])</f>
        <v>2017.3644851843526</v>
      </c>
      <c r="AL6" s="65">
        <f>SUMIFS(VIEW_IV_2019_REP_CALCULO[Premio-PRIVIGEN],VIEW_IV_2019_REP_CALCULO[Ano-Fiscal],VIEW_IV_2019_REP_CALCULO_TRI[[#This Row],[Ano-Fiscal]],VIEW_IV_2019_REP_CALCULO[Tri-Fiscal],VIEW_IV_2019_REP_CALCULO_TRI[[#This Row],[Tri-Fiscal]],VIEW_IV_2019_REP_CALCULO['#PK-Email],VIEW_IV_2019_REP_CALCULO_TRI[[#This Row],['#PK-Email]])</f>
        <v>2944.7795497414154</v>
      </c>
      <c r="AM6" s="65">
        <f>IF((VIEW_IV_2019_REP_CALCULO_TRI[[#This Row],[Premio-BERINERT]]-VIEW_IV_2019_REP_CALCULO_TRI[[#This Row],[Recebido-BERINERT]])&lt;=0,0,VIEW_IV_2019_REP_CALCULO_TRI[[#This Row],[Premio-BERINERT]]-VIEW_IV_2019_REP_CALCULO_TRI[[#This Row],[Recebido-BERINERT]])</f>
        <v>0</v>
      </c>
      <c r="AN6" s="65">
        <f>IF((VIEW_IV_2019_REP_CALCULO_TRI[[#This Row],[Premio-BERIPLEX]]-VIEW_IV_2019_REP_CALCULO_TRI[[#This Row],[Recebido-BERIPLEX]])&lt;=0,0,VIEW_IV_2019_REP_CALCULO_TRI[[#This Row],[Premio-BERIPLEX]]-VIEW_IV_2019_REP_CALCULO_TRI[[#This Row],[Recebido-BERIPLEX]])</f>
        <v>0</v>
      </c>
      <c r="AO6" s="65">
        <f>IF((VIEW_IV_2019_REP_CALCULO_TRI[[#This Row],[Premio-HAEMO]]-VIEW_IV_2019_REP_CALCULO_TRI[[#This Row],[Recebido-HAEMO]])&lt;=0,0,VIEW_IV_2019_REP_CALCULO_TRI[[#This Row],[Premio-HAEMO]]-VIEW_IV_2019_REP_CALCULO_TRI[[#This Row],[Recebido-HAEMO]])</f>
        <v>0</v>
      </c>
      <c r="AP6" s="65">
        <f>IF((VIEW_IV_2019_REP_CALCULO_TRI[[#This Row],[Premio-HIZENTRA]]-VIEW_IV_2019_REP_CALCULO_TRI[[#This Row],[Recebido-HIZENTRA]])&lt;=0,0,VIEW_IV_2019_REP_CALCULO_TRI[[#This Row],[Premio-HIZENTRA]]-VIEW_IV_2019_REP_CALCULO_TRI[[#This Row],[Recebido-HIZENTRA]])</f>
        <v>0</v>
      </c>
      <c r="AQ6" s="65">
        <f>IF((VIEW_IV_2019_REP_CALCULO_TRI[[#This Row],[Premio-PRIVIGEN]]-VIEW_IV_2019_REP_CALCULO_TRI[[#This Row],[Recebido-PRIVIGEN]])&lt;=0,0,VIEW_IV_2019_REP_CALCULO_TRI[[#This Row],[Premio-PRIVIGEN]]-VIEW_IV_2019_REP_CALCULO_TRI[[#This Row],[Recebido-PRIVIGEN]])</f>
        <v>139.48617956830003</v>
      </c>
      <c r="AR6" s="102">
        <f>SUM(VIEW_IV_2019_REP_CALCULO_TRI[[#This Row],[Recuperavel-BERINERT]:[Recuperavel-PRIVIGEN]])</f>
        <v>139.48617956830003</v>
      </c>
    </row>
    <row r="7" spans="1:44" x14ac:dyDescent="0.25">
      <c r="A7" s="7" t="s">
        <v>16</v>
      </c>
      <c r="B7" s="7" t="s">
        <v>18</v>
      </c>
      <c r="C7" s="8" t="s">
        <v>733</v>
      </c>
      <c r="D7" s="8" t="s">
        <v>734</v>
      </c>
      <c r="E7" s="8" t="s">
        <v>730</v>
      </c>
      <c r="F7" s="8" t="s">
        <v>785</v>
      </c>
      <c r="G7" s="3" t="b">
        <v>1</v>
      </c>
      <c r="H7" s="3" t="b">
        <v>1</v>
      </c>
      <c r="I7" s="10">
        <v>47</v>
      </c>
      <c r="J7" s="10">
        <v>0</v>
      </c>
      <c r="K7" s="10">
        <v>0</v>
      </c>
      <c r="L7" s="10">
        <v>3935</v>
      </c>
      <c r="M7" s="10">
        <v>18265</v>
      </c>
      <c r="N7" s="10">
        <v>6</v>
      </c>
      <c r="O7" s="10">
        <v>0</v>
      </c>
      <c r="P7" s="10">
        <v>0</v>
      </c>
      <c r="Q7" s="10">
        <v>3652</v>
      </c>
      <c r="R7" s="10">
        <v>26752</v>
      </c>
      <c r="S7" s="75">
        <v>0.1</v>
      </c>
      <c r="T7" s="75">
        <v>0</v>
      </c>
      <c r="U7" s="75">
        <v>0</v>
      </c>
      <c r="V7" s="75">
        <v>0.4</v>
      </c>
      <c r="W7" s="75">
        <v>0.2</v>
      </c>
      <c r="X7" s="75">
        <f>IFERROR(VIEW_IV_2019_REP_CALCULO_TRI[[#This Row],[Demanda-BERINERT]]/VIEW_IV_2019_REP_CALCULO_TRI[[#This Row],[Cota-BERINERT]],0)</f>
        <v>0.1276595744680851</v>
      </c>
      <c r="Y7" s="75">
        <f>IFERROR(VIEW_IV_2019_REP_CALCULO_TRI[[#This Row],[Demanda-BERIPLEX]]/VIEW_IV_2019_REP_CALCULO_TRI[[#This Row],[Cota-BERIPLEX]],0)</f>
        <v>0</v>
      </c>
      <c r="Z7" s="75">
        <f>IFERROR(VIEW_IV_2019_REP_CALCULO_TRI[[#This Row],[Demanda-HAEMO]]/VIEW_IV_2019_REP_CALCULO_TRI[[#This Row],[Cota-HAEMO]],0)</f>
        <v>0</v>
      </c>
      <c r="AA7" s="75">
        <f>IFERROR(VIEW_IV_2019_REP_CALCULO_TRI[[#This Row],[Demanda-HIZENTRA]]/VIEW_IV_2019_REP_CALCULO_TRI[[#This Row],[Cota-HIZENTRA]],0)</f>
        <v>0.92808132147395173</v>
      </c>
      <c r="AB7" s="75">
        <f>IFERROR(VIEW_IV_2019_REP_CALCULO_TRI[[#This Row],[Demanda-PRIVIGEN]]/VIEW_IV_2019_REP_CALCULO_TRI[[#This Row],[Cota-PRIVIGEN]],0)</f>
        <v>1.4646591842321379</v>
      </c>
      <c r="AC7" s="65">
        <f>(IF(VIEW_IV_2019_REP_CALCULO_TRI[[#This Row],[Cobertura-BERINERT]]&lt;Cob_Min_REP,0,IF(VIEW_IV_2019_REP_CALCULO_TRI[[#This Row],[Cobertura-BERINERT]]&gt;Cob_Max_REP,Vlr_Max_REP,VLOOKUP(VIEW_IV_2019_REP_CALCULO_TRI[[#This Row],[Cobertura-BERINERT]],Tabela_Valores_REP,2,1)))*VIEW_IV_2019_REP_CALCULO_TRI[[#This Row],[Peso-BERINERT]])*3</f>
        <v>0</v>
      </c>
      <c r="AD7" s="65">
        <f>(IF(VIEW_IV_2019_REP_CALCULO_TRI[[#This Row],[Cobertura-BERIPLEX]]&lt;Cob_Min_REP,0,IF(VIEW_IV_2019_REP_CALCULO_TRI[[#This Row],[Cobertura-BERIPLEX]]&gt;Cob_Max_REP,Vlr_Max_REP,VLOOKUP(VIEW_IV_2019_REP_CALCULO_TRI[[#This Row],[Cobertura-BERIPLEX]],Tabela_Valores_REP,2,1)))*VIEW_IV_2019_REP_CALCULO_TRI[[#This Row],[Peso-BERIPLEX]])*3</f>
        <v>0</v>
      </c>
      <c r="AE7" s="65">
        <f>(IF(VIEW_IV_2019_REP_CALCULO_TRI[[#This Row],[Cobertura-HAEMO]]&lt;Cob_Min_REP,0,IF(VIEW_IV_2019_REP_CALCULO_TRI[[#This Row],[Cobertura-HAEMO]]&gt;Cob_Max_REP,Vlr_Max_REP,VLOOKUP(VIEW_IV_2019_REP_CALCULO_TRI[[#This Row],[Cobertura-HAEMO]],Tabela_Valores_REP,2,1)))*VIEW_IV_2019_REP_CALCULO_TRI[[#This Row],[Peso-HAEMO]])*3</f>
        <v>0</v>
      </c>
      <c r="AF7" s="65">
        <f>(IF(VIEW_IV_2019_REP_CALCULO_TRI[[#This Row],[Cobertura-HIZENTRA]]&lt;Cob_Min_REP,0,IF(VIEW_IV_2019_REP_CALCULO_TRI[[#This Row],[Cobertura-HIZENTRA]]&gt;Cob_Max_REP,Vlr_Max_REP,VLOOKUP(VIEW_IV_2019_REP_CALCULO_TRI[[#This Row],[Cobertura-HIZENTRA]],Tabela_Valores_REP,2,1)))*VIEW_IV_2019_REP_CALCULO_TRI[[#This Row],[Peso-HIZENTRA]])*3</f>
        <v>3011.551472842586</v>
      </c>
      <c r="AG7" s="65">
        <f>(IF(VIEW_IV_2019_REP_CALCULO_TRI[[#This Row],[Cobertura-PRIVIGEN]]&lt;Cob_Min_REP,0,IF(VIEW_IV_2019_REP_CALCULO_TRI[[#This Row],[Cobertura-PRIVIGEN]]&gt;Cob_Max_REP,Vlr_Max_REP,VLOOKUP(VIEW_IV_2019_REP_CALCULO_TRI[[#This Row],[Cobertura-PRIVIGEN]],Tabela_Valores_REP,2,1)))*VIEW_IV_2019_REP_CALCULO_TRI[[#This Row],[Peso-PRIVIGEN]])*3</f>
        <v>4748.7839784956341</v>
      </c>
      <c r="AH7" s="65">
        <f>SUMIFS(VIEW_IV_2019_REP_CALCULO[Premio-BERINERT],VIEW_IV_2019_REP_CALCULO[Ano-Fiscal],VIEW_IV_2019_REP_CALCULO_TRI[[#This Row],[Ano-Fiscal]],VIEW_IV_2019_REP_CALCULO[Tri-Fiscal],VIEW_IV_2019_REP_CALCULO_TRI[[#This Row],[Tri-Fiscal]],VIEW_IV_2019_REP_CALCULO['#PK-Email],VIEW_IV_2019_REP_CALCULO_TRI[[#This Row],['#PK-Email]])</f>
        <v>0</v>
      </c>
      <c r="AI7" s="65">
        <f>SUMIFS(VIEW_IV_2019_REP_CALCULO[Premio-BERIPLEX],VIEW_IV_2019_REP_CALCULO[Ano-Fiscal],VIEW_IV_2019_REP_CALCULO_TRI[[#This Row],[Ano-Fiscal]],VIEW_IV_2019_REP_CALCULO[Tri-Fiscal],VIEW_IV_2019_REP_CALCULO_TRI[[#This Row],[Tri-Fiscal]],VIEW_IV_2019_REP_CALCULO['#PK-Email],VIEW_IV_2019_REP_CALCULO_TRI[[#This Row],['#PK-Email]])</f>
        <v>0</v>
      </c>
      <c r="AJ7" s="65">
        <f>SUMIFS(VIEW_IV_2019_REP_CALCULO[Premio-HAEMO],VIEW_IV_2019_REP_CALCULO[Ano-Fiscal],VIEW_IV_2019_REP_CALCULO_TRI[[#This Row],[Ano-Fiscal]],VIEW_IV_2019_REP_CALCULO[Tri-Fiscal],VIEW_IV_2019_REP_CALCULO_TRI[[#This Row],[Tri-Fiscal]],VIEW_IV_2019_REP_CALCULO['#PK-Email],VIEW_IV_2019_REP_CALCULO_TRI[[#This Row],['#PK-Email]])</f>
        <v>0</v>
      </c>
      <c r="AK7" s="65">
        <f>SUMIFS(VIEW_IV_2019_REP_CALCULO[Premio-HIZENTRA],VIEW_IV_2019_REP_CALCULO[Ano-Fiscal],VIEW_IV_2019_REP_CALCULO_TRI[[#This Row],[Ano-Fiscal]],VIEW_IV_2019_REP_CALCULO[Tri-Fiscal],VIEW_IV_2019_REP_CALCULO_TRI[[#This Row],[Tri-Fiscal]],VIEW_IV_2019_REP_CALCULO['#PK-Email],VIEW_IV_2019_REP_CALCULO_TRI[[#This Row],['#PK-Email]])</f>
        <v>2786.9831949107911</v>
      </c>
      <c r="AL7" s="65">
        <f>SUMIFS(VIEW_IV_2019_REP_CALCULO[Premio-PRIVIGEN],VIEW_IV_2019_REP_CALCULO[Ano-Fiscal],VIEW_IV_2019_REP_CALCULO_TRI[[#This Row],[Ano-Fiscal]],VIEW_IV_2019_REP_CALCULO[Tri-Fiscal],VIEW_IV_2019_REP_CALCULO_TRI[[#This Row],[Tri-Fiscal]],VIEW_IV_2019_REP_CALCULO['#PK-Email],VIEW_IV_2019_REP_CALCULO_TRI[[#This Row],['#PK-Email]])</f>
        <v>4675.5202004235525</v>
      </c>
      <c r="AM7" s="65">
        <f>IF((VIEW_IV_2019_REP_CALCULO_TRI[[#This Row],[Premio-BERINERT]]-VIEW_IV_2019_REP_CALCULO_TRI[[#This Row],[Recebido-BERINERT]])&lt;=0,0,VIEW_IV_2019_REP_CALCULO_TRI[[#This Row],[Premio-BERINERT]]-VIEW_IV_2019_REP_CALCULO_TRI[[#This Row],[Recebido-BERINERT]])</f>
        <v>0</v>
      </c>
      <c r="AN7" s="65">
        <f>IF((VIEW_IV_2019_REP_CALCULO_TRI[[#This Row],[Premio-BERIPLEX]]-VIEW_IV_2019_REP_CALCULO_TRI[[#This Row],[Recebido-BERIPLEX]])&lt;=0,0,VIEW_IV_2019_REP_CALCULO_TRI[[#This Row],[Premio-BERIPLEX]]-VIEW_IV_2019_REP_CALCULO_TRI[[#This Row],[Recebido-BERIPLEX]])</f>
        <v>0</v>
      </c>
      <c r="AO7" s="65">
        <f>IF((VIEW_IV_2019_REP_CALCULO_TRI[[#This Row],[Premio-HAEMO]]-VIEW_IV_2019_REP_CALCULO_TRI[[#This Row],[Recebido-HAEMO]])&lt;=0,0,VIEW_IV_2019_REP_CALCULO_TRI[[#This Row],[Premio-HAEMO]]-VIEW_IV_2019_REP_CALCULO_TRI[[#This Row],[Recebido-HAEMO]])</f>
        <v>0</v>
      </c>
      <c r="AP7" s="65">
        <f>IF((VIEW_IV_2019_REP_CALCULO_TRI[[#This Row],[Premio-HIZENTRA]]-VIEW_IV_2019_REP_CALCULO_TRI[[#This Row],[Recebido-HIZENTRA]])&lt;=0,0,VIEW_IV_2019_REP_CALCULO_TRI[[#This Row],[Premio-HIZENTRA]]-VIEW_IV_2019_REP_CALCULO_TRI[[#This Row],[Recebido-HIZENTRA]])</f>
        <v>224.56827793179491</v>
      </c>
      <c r="AQ7" s="65">
        <f>IF((VIEW_IV_2019_REP_CALCULO_TRI[[#This Row],[Premio-PRIVIGEN]]-VIEW_IV_2019_REP_CALCULO_TRI[[#This Row],[Recebido-PRIVIGEN]])&lt;=0,0,VIEW_IV_2019_REP_CALCULO_TRI[[#This Row],[Premio-PRIVIGEN]]-VIEW_IV_2019_REP_CALCULO_TRI[[#This Row],[Recebido-PRIVIGEN]])</f>
        <v>73.26377807208155</v>
      </c>
      <c r="AR7" s="102">
        <f>SUM(VIEW_IV_2019_REP_CALCULO_TRI[[#This Row],[Recuperavel-BERINERT]:[Recuperavel-PRIVIGEN]])</f>
        <v>297.83205600387646</v>
      </c>
    </row>
    <row r="8" spans="1:44" x14ac:dyDescent="0.25">
      <c r="A8" s="7" t="s">
        <v>16</v>
      </c>
      <c r="B8" s="7" t="s">
        <v>18</v>
      </c>
      <c r="C8" s="8" t="s">
        <v>740</v>
      </c>
      <c r="D8" s="8" t="s">
        <v>741</v>
      </c>
      <c r="E8" s="8" t="s">
        <v>730</v>
      </c>
      <c r="F8" s="8" t="s">
        <v>787</v>
      </c>
      <c r="G8" s="3" t="b">
        <v>1</v>
      </c>
      <c r="H8" s="3" t="b">
        <v>1</v>
      </c>
      <c r="I8" s="10">
        <v>68</v>
      </c>
      <c r="J8" s="10">
        <v>0</v>
      </c>
      <c r="K8" s="10">
        <v>0</v>
      </c>
      <c r="L8" s="10">
        <v>2249</v>
      </c>
      <c r="M8" s="10">
        <v>19670</v>
      </c>
      <c r="N8" s="10">
        <v>13</v>
      </c>
      <c r="O8" s="10">
        <v>0</v>
      </c>
      <c r="P8" s="10">
        <v>0</v>
      </c>
      <c r="Q8" s="10">
        <v>1379</v>
      </c>
      <c r="R8" s="10">
        <v>36540</v>
      </c>
      <c r="S8" s="75">
        <v>0.1</v>
      </c>
      <c r="T8" s="75">
        <v>0</v>
      </c>
      <c r="U8" s="75">
        <v>0</v>
      </c>
      <c r="V8" s="75">
        <v>0.4</v>
      </c>
      <c r="W8" s="75">
        <v>0.2</v>
      </c>
      <c r="X8" s="75">
        <f>IFERROR(VIEW_IV_2019_REP_CALCULO_TRI[[#This Row],[Demanda-BERINERT]]/VIEW_IV_2019_REP_CALCULO_TRI[[#This Row],[Cota-BERINERT]],0)</f>
        <v>0.19117647058823528</v>
      </c>
      <c r="Y8" s="75">
        <f>IFERROR(VIEW_IV_2019_REP_CALCULO_TRI[[#This Row],[Demanda-BERIPLEX]]/VIEW_IV_2019_REP_CALCULO_TRI[[#This Row],[Cota-BERIPLEX]],0)</f>
        <v>0</v>
      </c>
      <c r="Z8" s="75">
        <f>IFERROR(VIEW_IV_2019_REP_CALCULO_TRI[[#This Row],[Demanda-HAEMO]]/VIEW_IV_2019_REP_CALCULO_TRI[[#This Row],[Cota-HAEMO]],0)</f>
        <v>0</v>
      </c>
      <c r="AA8" s="75">
        <f>IFERROR(VIEW_IV_2019_REP_CALCULO_TRI[[#This Row],[Demanda-HIZENTRA]]/VIEW_IV_2019_REP_CALCULO_TRI[[#This Row],[Cota-HIZENTRA]],0)</f>
        <v>0.61316140506891947</v>
      </c>
      <c r="AB8" s="75">
        <f>IFERROR(VIEW_IV_2019_REP_CALCULO_TRI[[#This Row],[Demanda-PRIVIGEN]]/VIEW_IV_2019_REP_CALCULO_TRI[[#This Row],[Cota-PRIVIGEN]],0)</f>
        <v>1.8576512455516014</v>
      </c>
      <c r="AC8" s="65">
        <f>(IF(VIEW_IV_2019_REP_CALCULO_TRI[[#This Row],[Cobertura-BERINERT]]&lt;Cob_Min_REP,0,IF(VIEW_IV_2019_REP_CALCULO_TRI[[#This Row],[Cobertura-BERINERT]]&gt;Cob_Max_REP,Vlr_Max_REP,VLOOKUP(VIEW_IV_2019_REP_CALCULO_TRI[[#This Row],[Cobertura-BERINERT]],Tabela_Valores_REP,2,1)))*VIEW_IV_2019_REP_CALCULO_TRI[[#This Row],[Peso-BERINERT]])*3</f>
        <v>0</v>
      </c>
      <c r="AD8" s="65">
        <f>(IF(VIEW_IV_2019_REP_CALCULO_TRI[[#This Row],[Cobertura-BERIPLEX]]&lt;Cob_Min_REP,0,IF(VIEW_IV_2019_REP_CALCULO_TRI[[#This Row],[Cobertura-BERIPLEX]]&gt;Cob_Max_REP,Vlr_Max_REP,VLOOKUP(VIEW_IV_2019_REP_CALCULO_TRI[[#This Row],[Cobertura-BERIPLEX]],Tabela_Valores_REP,2,1)))*VIEW_IV_2019_REP_CALCULO_TRI[[#This Row],[Peso-BERIPLEX]])*3</f>
        <v>0</v>
      </c>
      <c r="AE8" s="65">
        <f>(IF(VIEW_IV_2019_REP_CALCULO_TRI[[#This Row],[Cobertura-HAEMO]]&lt;Cob_Min_REP,0,IF(VIEW_IV_2019_REP_CALCULO_TRI[[#This Row],[Cobertura-HAEMO]]&gt;Cob_Max_REP,Vlr_Max_REP,VLOOKUP(VIEW_IV_2019_REP_CALCULO_TRI[[#This Row],[Cobertura-HAEMO]],Tabela_Valores_REP,2,1)))*VIEW_IV_2019_REP_CALCULO_TRI[[#This Row],[Peso-HAEMO]])*3</f>
        <v>0</v>
      </c>
      <c r="AF8" s="65">
        <f>(IF(VIEW_IV_2019_REP_CALCULO_TRI[[#This Row],[Cobertura-HIZENTRA]]&lt;Cob_Min_REP,0,IF(VIEW_IV_2019_REP_CALCULO_TRI[[#This Row],[Cobertura-HIZENTRA]]&gt;Cob_Max_REP,Vlr_Max_REP,VLOOKUP(VIEW_IV_2019_REP_CALCULO_TRI[[#This Row],[Cobertura-HIZENTRA]],Tabela_Valores_REP,2,1)))*VIEW_IV_2019_REP_CALCULO_TRI[[#This Row],[Peso-HIZENTRA]])*3</f>
        <v>0</v>
      </c>
      <c r="AG8" s="65">
        <f>(IF(VIEW_IV_2019_REP_CALCULO_TRI[[#This Row],[Cobertura-PRIVIGEN]]&lt;Cob_Min_REP,0,IF(VIEW_IV_2019_REP_CALCULO_TRI[[#This Row],[Cobertura-PRIVIGEN]]&gt;Cob_Max_REP,Vlr_Max_REP,VLOOKUP(VIEW_IV_2019_REP_CALCULO_TRI[[#This Row],[Cobertura-PRIVIGEN]],Tabela_Valores_REP,2,1)))*VIEW_IV_2019_REP_CALCULO_TRI[[#This Row],[Peso-PRIVIGEN]])*3</f>
        <v>4889.4442015978875</v>
      </c>
      <c r="AH8" s="65">
        <f>SUMIFS(VIEW_IV_2019_REP_CALCULO[Premio-BERINERT],VIEW_IV_2019_REP_CALCULO[Ano-Fiscal],VIEW_IV_2019_REP_CALCULO_TRI[[#This Row],[Ano-Fiscal]],VIEW_IV_2019_REP_CALCULO[Tri-Fiscal],VIEW_IV_2019_REP_CALCULO_TRI[[#This Row],[Tri-Fiscal]],VIEW_IV_2019_REP_CALCULO['#PK-Email],VIEW_IV_2019_REP_CALCULO_TRI[[#This Row],['#PK-Email]])</f>
        <v>0</v>
      </c>
      <c r="AI8" s="65">
        <f>SUMIFS(VIEW_IV_2019_REP_CALCULO[Premio-BERIPLEX],VIEW_IV_2019_REP_CALCULO[Ano-Fiscal],VIEW_IV_2019_REP_CALCULO_TRI[[#This Row],[Ano-Fiscal]],VIEW_IV_2019_REP_CALCULO[Tri-Fiscal],VIEW_IV_2019_REP_CALCULO_TRI[[#This Row],[Tri-Fiscal]],VIEW_IV_2019_REP_CALCULO['#PK-Email],VIEW_IV_2019_REP_CALCULO_TRI[[#This Row],['#PK-Email]])</f>
        <v>0</v>
      </c>
      <c r="AJ8" s="65">
        <f>SUMIFS(VIEW_IV_2019_REP_CALCULO[Premio-HAEMO],VIEW_IV_2019_REP_CALCULO[Ano-Fiscal],VIEW_IV_2019_REP_CALCULO_TRI[[#This Row],[Ano-Fiscal]],VIEW_IV_2019_REP_CALCULO[Tri-Fiscal],VIEW_IV_2019_REP_CALCULO_TRI[[#This Row],[Tri-Fiscal]],VIEW_IV_2019_REP_CALCULO['#PK-Email],VIEW_IV_2019_REP_CALCULO_TRI[[#This Row],['#PK-Email]])</f>
        <v>0</v>
      </c>
      <c r="AK8" s="65">
        <f>SUMIFS(VIEW_IV_2019_REP_CALCULO[Premio-HIZENTRA],VIEW_IV_2019_REP_CALCULO[Ano-Fiscal],VIEW_IV_2019_REP_CALCULO_TRI[[#This Row],[Ano-Fiscal]],VIEW_IV_2019_REP_CALCULO[Tri-Fiscal],VIEW_IV_2019_REP_CALCULO_TRI[[#This Row],[Tri-Fiscal]],VIEW_IV_2019_REP_CALCULO['#PK-Email],VIEW_IV_2019_REP_CALCULO_TRI[[#This Row],['#PK-Email]])</f>
        <v>0</v>
      </c>
      <c r="AL8" s="65">
        <f>SUMIFS(VIEW_IV_2019_REP_CALCULO[Premio-PRIVIGEN],VIEW_IV_2019_REP_CALCULO[Ano-Fiscal],VIEW_IV_2019_REP_CALCULO_TRI[[#This Row],[Ano-Fiscal]],VIEW_IV_2019_REP_CALCULO[Tri-Fiscal],VIEW_IV_2019_REP_CALCULO_TRI[[#This Row],[Tri-Fiscal]],VIEW_IV_2019_REP_CALCULO['#PK-Email],VIEW_IV_2019_REP_CALCULO_TRI[[#This Row],['#PK-Email]])</f>
        <v>4889.4442015978875</v>
      </c>
      <c r="AM8" s="65">
        <f>IF((VIEW_IV_2019_REP_CALCULO_TRI[[#This Row],[Premio-BERINERT]]-VIEW_IV_2019_REP_CALCULO_TRI[[#This Row],[Recebido-BERINERT]])&lt;=0,0,VIEW_IV_2019_REP_CALCULO_TRI[[#This Row],[Premio-BERINERT]]-VIEW_IV_2019_REP_CALCULO_TRI[[#This Row],[Recebido-BERINERT]])</f>
        <v>0</v>
      </c>
      <c r="AN8" s="65">
        <f>IF((VIEW_IV_2019_REP_CALCULO_TRI[[#This Row],[Premio-BERIPLEX]]-VIEW_IV_2019_REP_CALCULO_TRI[[#This Row],[Recebido-BERIPLEX]])&lt;=0,0,VIEW_IV_2019_REP_CALCULO_TRI[[#This Row],[Premio-BERIPLEX]]-VIEW_IV_2019_REP_CALCULO_TRI[[#This Row],[Recebido-BERIPLEX]])</f>
        <v>0</v>
      </c>
      <c r="AO8" s="65">
        <f>IF((VIEW_IV_2019_REP_CALCULO_TRI[[#This Row],[Premio-HAEMO]]-VIEW_IV_2019_REP_CALCULO_TRI[[#This Row],[Recebido-HAEMO]])&lt;=0,0,VIEW_IV_2019_REP_CALCULO_TRI[[#This Row],[Premio-HAEMO]]-VIEW_IV_2019_REP_CALCULO_TRI[[#This Row],[Recebido-HAEMO]])</f>
        <v>0</v>
      </c>
      <c r="AP8" s="65">
        <f>IF((VIEW_IV_2019_REP_CALCULO_TRI[[#This Row],[Premio-HIZENTRA]]-VIEW_IV_2019_REP_CALCULO_TRI[[#This Row],[Recebido-HIZENTRA]])&lt;=0,0,VIEW_IV_2019_REP_CALCULO_TRI[[#This Row],[Premio-HIZENTRA]]-VIEW_IV_2019_REP_CALCULO_TRI[[#This Row],[Recebido-HIZENTRA]])</f>
        <v>0</v>
      </c>
      <c r="AQ8" s="65">
        <f>IF((VIEW_IV_2019_REP_CALCULO_TRI[[#This Row],[Premio-PRIVIGEN]]-VIEW_IV_2019_REP_CALCULO_TRI[[#This Row],[Recebido-PRIVIGEN]])&lt;=0,0,VIEW_IV_2019_REP_CALCULO_TRI[[#This Row],[Premio-PRIVIGEN]]-VIEW_IV_2019_REP_CALCULO_TRI[[#This Row],[Recebido-PRIVIGEN]])</f>
        <v>0</v>
      </c>
      <c r="AR8" s="102">
        <f>SUM(VIEW_IV_2019_REP_CALCULO_TRI[[#This Row],[Recuperavel-BERINERT]:[Recuperavel-PRIVIGEN]])</f>
        <v>0</v>
      </c>
    </row>
    <row r="9" spans="1:44" x14ac:dyDescent="0.25">
      <c r="A9" s="7" t="s">
        <v>16</v>
      </c>
      <c r="B9" s="7" t="s">
        <v>18</v>
      </c>
      <c r="C9" s="8" t="s">
        <v>754</v>
      </c>
      <c r="D9" s="8" t="s">
        <v>755</v>
      </c>
      <c r="E9" s="8" t="s">
        <v>730</v>
      </c>
      <c r="F9" s="8" t="s">
        <v>785</v>
      </c>
      <c r="G9" s="3" t="b">
        <v>1</v>
      </c>
      <c r="H9" s="3" t="b">
        <v>1</v>
      </c>
      <c r="I9" s="10">
        <v>171</v>
      </c>
      <c r="J9" s="10">
        <v>0</v>
      </c>
      <c r="K9" s="10">
        <v>0</v>
      </c>
      <c r="L9" s="10">
        <v>2436</v>
      </c>
      <c r="M9" s="10">
        <v>28100</v>
      </c>
      <c r="N9" s="10">
        <v>305</v>
      </c>
      <c r="O9" s="10">
        <v>0</v>
      </c>
      <c r="P9" s="10">
        <v>0</v>
      </c>
      <c r="Q9" s="10">
        <v>1432</v>
      </c>
      <c r="R9" s="10">
        <v>55407</v>
      </c>
      <c r="S9" s="75">
        <v>0.1</v>
      </c>
      <c r="T9" s="75">
        <v>0</v>
      </c>
      <c r="U9" s="75">
        <v>0</v>
      </c>
      <c r="V9" s="75">
        <v>0.4</v>
      </c>
      <c r="W9" s="75">
        <v>0.2</v>
      </c>
      <c r="X9" s="75">
        <f>IFERROR(VIEW_IV_2019_REP_CALCULO_TRI[[#This Row],[Demanda-BERINERT]]/VIEW_IV_2019_REP_CALCULO_TRI[[#This Row],[Cota-BERINERT]],0)</f>
        <v>1.7836257309941521</v>
      </c>
      <c r="Y9" s="75">
        <f>IFERROR(VIEW_IV_2019_REP_CALCULO_TRI[[#This Row],[Demanda-BERIPLEX]]/VIEW_IV_2019_REP_CALCULO_TRI[[#This Row],[Cota-BERIPLEX]],0)</f>
        <v>0</v>
      </c>
      <c r="Z9" s="75">
        <f>IFERROR(VIEW_IV_2019_REP_CALCULO_TRI[[#This Row],[Demanda-HAEMO]]/VIEW_IV_2019_REP_CALCULO_TRI[[#This Row],[Cota-HAEMO]],0)</f>
        <v>0</v>
      </c>
      <c r="AA9" s="75">
        <f>IFERROR(VIEW_IV_2019_REP_CALCULO_TRI[[#This Row],[Demanda-HIZENTRA]]/VIEW_IV_2019_REP_CALCULO_TRI[[#This Row],[Cota-HIZENTRA]],0)</f>
        <v>0.58784893267651883</v>
      </c>
      <c r="AB9" s="75">
        <f>IFERROR(VIEW_IV_2019_REP_CALCULO_TRI[[#This Row],[Demanda-PRIVIGEN]]/VIEW_IV_2019_REP_CALCULO_TRI[[#This Row],[Cota-PRIVIGEN]],0)</f>
        <v>1.971779359430605</v>
      </c>
      <c r="AC9" s="65">
        <f>(IF(VIEW_IV_2019_REP_CALCULO_TRI[[#This Row],[Cobertura-BERINERT]]&lt;Cob_Min_REP,0,IF(VIEW_IV_2019_REP_CALCULO_TRI[[#This Row],[Cobertura-BERINERT]]&gt;Cob_Max_REP,Vlr_Max_REP,VLOOKUP(VIEW_IV_2019_REP_CALCULO_TRI[[#This Row],[Cobertura-BERINERT]],Tabela_Valores_REP,2,1)))*VIEW_IV_2019_REP_CALCULO_TRI[[#This Row],[Peso-BERINERT]])*3</f>
        <v>2444.7221007989438</v>
      </c>
      <c r="AD9" s="65">
        <f>(IF(VIEW_IV_2019_REP_CALCULO_TRI[[#This Row],[Cobertura-BERIPLEX]]&lt;Cob_Min_REP,0,IF(VIEW_IV_2019_REP_CALCULO_TRI[[#This Row],[Cobertura-BERIPLEX]]&gt;Cob_Max_REP,Vlr_Max_REP,VLOOKUP(VIEW_IV_2019_REP_CALCULO_TRI[[#This Row],[Cobertura-BERIPLEX]],Tabela_Valores_REP,2,1)))*VIEW_IV_2019_REP_CALCULO_TRI[[#This Row],[Peso-BERIPLEX]])*3</f>
        <v>0</v>
      </c>
      <c r="AE9" s="65">
        <f>(IF(VIEW_IV_2019_REP_CALCULO_TRI[[#This Row],[Cobertura-HAEMO]]&lt;Cob_Min_REP,0,IF(VIEW_IV_2019_REP_CALCULO_TRI[[#This Row],[Cobertura-HAEMO]]&gt;Cob_Max_REP,Vlr_Max_REP,VLOOKUP(VIEW_IV_2019_REP_CALCULO_TRI[[#This Row],[Cobertura-HAEMO]],Tabela_Valores_REP,2,1)))*VIEW_IV_2019_REP_CALCULO_TRI[[#This Row],[Peso-HAEMO]])*3</f>
        <v>0</v>
      </c>
      <c r="AF9" s="65">
        <f>(IF(VIEW_IV_2019_REP_CALCULO_TRI[[#This Row],[Cobertura-HIZENTRA]]&lt;Cob_Min_REP,0,IF(VIEW_IV_2019_REP_CALCULO_TRI[[#This Row],[Cobertura-HIZENTRA]]&gt;Cob_Max_REP,Vlr_Max_REP,VLOOKUP(VIEW_IV_2019_REP_CALCULO_TRI[[#This Row],[Cobertura-HIZENTRA]],Tabela_Valores_REP,2,1)))*VIEW_IV_2019_REP_CALCULO_TRI[[#This Row],[Peso-HIZENTRA]])*3</f>
        <v>0</v>
      </c>
      <c r="AG9" s="65">
        <f>(IF(VIEW_IV_2019_REP_CALCULO_TRI[[#This Row],[Cobertura-PRIVIGEN]]&lt;Cob_Min_REP,0,IF(VIEW_IV_2019_REP_CALCULO_TRI[[#This Row],[Cobertura-PRIVIGEN]]&gt;Cob_Max_REP,Vlr_Max_REP,VLOOKUP(VIEW_IV_2019_REP_CALCULO_TRI[[#This Row],[Cobertura-PRIVIGEN]],Tabela_Valores_REP,2,1)))*VIEW_IV_2019_REP_CALCULO_TRI[[#This Row],[Peso-PRIVIGEN]])*3</f>
        <v>4889.4442015978875</v>
      </c>
      <c r="AH9" s="65">
        <f>SUMIFS(VIEW_IV_2019_REP_CALCULO[Premio-BERINERT],VIEW_IV_2019_REP_CALCULO[Ano-Fiscal],VIEW_IV_2019_REP_CALCULO_TRI[[#This Row],[Ano-Fiscal]],VIEW_IV_2019_REP_CALCULO[Tri-Fiscal],VIEW_IV_2019_REP_CALCULO_TRI[[#This Row],[Tri-Fiscal]],VIEW_IV_2019_REP_CALCULO['#PK-Email],VIEW_IV_2019_REP_CALCULO_TRI[[#This Row],['#PK-Email]])</f>
        <v>2398.5752668077557</v>
      </c>
      <c r="AI9" s="65">
        <f>SUMIFS(VIEW_IV_2019_REP_CALCULO[Premio-BERIPLEX],VIEW_IV_2019_REP_CALCULO[Ano-Fiscal],VIEW_IV_2019_REP_CALCULO_TRI[[#This Row],[Ano-Fiscal]],VIEW_IV_2019_REP_CALCULO[Tri-Fiscal],VIEW_IV_2019_REP_CALCULO_TRI[[#This Row],[Tri-Fiscal]],VIEW_IV_2019_REP_CALCULO['#PK-Email],VIEW_IV_2019_REP_CALCULO_TRI[[#This Row],['#PK-Email]])</f>
        <v>0</v>
      </c>
      <c r="AJ9" s="65">
        <f>SUMIFS(VIEW_IV_2019_REP_CALCULO[Premio-HAEMO],VIEW_IV_2019_REP_CALCULO[Ano-Fiscal],VIEW_IV_2019_REP_CALCULO_TRI[[#This Row],[Ano-Fiscal]],VIEW_IV_2019_REP_CALCULO[Tri-Fiscal],VIEW_IV_2019_REP_CALCULO_TRI[[#This Row],[Tri-Fiscal]],VIEW_IV_2019_REP_CALCULO['#PK-Email],VIEW_IV_2019_REP_CALCULO_TRI[[#This Row],['#PK-Email]])</f>
        <v>0</v>
      </c>
      <c r="AK9" s="65">
        <f>SUMIFS(VIEW_IV_2019_REP_CALCULO[Premio-HIZENTRA],VIEW_IV_2019_REP_CALCULO[Ano-Fiscal],VIEW_IV_2019_REP_CALCULO_TRI[[#This Row],[Ano-Fiscal]],VIEW_IV_2019_REP_CALCULO[Tri-Fiscal],VIEW_IV_2019_REP_CALCULO_TRI[[#This Row],[Tri-Fiscal]],VIEW_IV_2019_REP_CALCULO['#PK-Email],VIEW_IV_2019_REP_CALCULO_TRI[[#This Row],['#PK-Email]])</f>
        <v>576.9255695100735</v>
      </c>
      <c r="AL9" s="65">
        <f>SUMIFS(VIEW_IV_2019_REP_CALCULO[Premio-PRIVIGEN],VIEW_IV_2019_REP_CALCULO[Ano-Fiscal],VIEW_IV_2019_REP_CALCULO_TRI[[#This Row],[Ano-Fiscal]],VIEW_IV_2019_REP_CALCULO[Tri-Fiscal],VIEW_IV_2019_REP_CALCULO_TRI[[#This Row],[Tri-Fiscal]],VIEW_IV_2019_REP_CALCULO['#PK-Email],VIEW_IV_2019_REP_CALCULO_TRI[[#This Row],['#PK-Email]])</f>
        <v>4736.6598876523813</v>
      </c>
      <c r="AM9" s="65">
        <f>IF((VIEW_IV_2019_REP_CALCULO_TRI[[#This Row],[Premio-BERINERT]]-VIEW_IV_2019_REP_CALCULO_TRI[[#This Row],[Recebido-BERINERT]])&lt;=0,0,VIEW_IV_2019_REP_CALCULO_TRI[[#This Row],[Premio-BERINERT]]-VIEW_IV_2019_REP_CALCULO_TRI[[#This Row],[Recebido-BERINERT]])</f>
        <v>46.146833991188032</v>
      </c>
      <c r="AN9" s="65">
        <f>IF((VIEW_IV_2019_REP_CALCULO_TRI[[#This Row],[Premio-BERIPLEX]]-VIEW_IV_2019_REP_CALCULO_TRI[[#This Row],[Recebido-BERIPLEX]])&lt;=0,0,VIEW_IV_2019_REP_CALCULO_TRI[[#This Row],[Premio-BERIPLEX]]-VIEW_IV_2019_REP_CALCULO_TRI[[#This Row],[Recebido-BERIPLEX]])</f>
        <v>0</v>
      </c>
      <c r="AO9" s="65">
        <f>IF((VIEW_IV_2019_REP_CALCULO_TRI[[#This Row],[Premio-HAEMO]]-VIEW_IV_2019_REP_CALCULO_TRI[[#This Row],[Recebido-HAEMO]])&lt;=0,0,VIEW_IV_2019_REP_CALCULO_TRI[[#This Row],[Premio-HAEMO]]-VIEW_IV_2019_REP_CALCULO_TRI[[#This Row],[Recebido-HAEMO]])</f>
        <v>0</v>
      </c>
      <c r="AP9" s="65">
        <f>IF((VIEW_IV_2019_REP_CALCULO_TRI[[#This Row],[Premio-HIZENTRA]]-VIEW_IV_2019_REP_CALCULO_TRI[[#This Row],[Recebido-HIZENTRA]])&lt;=0,0,VIEW_IV_2019_REP_CALCULO_TRI[[#This Row],[Premio-HIZENTRA]]-VIEW_IV_2019_REP_CALCULO_TRI[[#This Row],[Recebido-HIZENTRA]])</f>
        <v>0</v>
      </c>
      <c r="AQ9" s="65">
        <f>IF((VIEW_IV_2019_REP_CALCULO_TRI[[#This Row],[Premio-PRIVIGEN]]-VIEW_IV_2019_REP_CALCULO_TRI[[#This Row],[Recebido-PRIVIGEN]])&lt;=0,0,VIEW_IV_2019_REP_CALCULO_TRI[[#This Row],[Premio-PRIVIGEN]]-VIEW_IV_2019_REP_CALCULO_TRI[[#This Row],[Recebido-PRIVIGEN]])</f>
        <v>152.78431394550626</v>
      </c>
      <c r="AR9" s="102">
        <f>SUM(VIEW_IV_2019_REP_CALCULO_TRI[[#This Row],[Recuperavel-BERINERT]:[Recuperavel-PRIVIGEN]])</f>
        <v>198.93114793669429</v>
      </c>
    </row>
    <row r="10" spans="1:44" x14ac:dyDescent="0.25">
      <c r="A10" s="7" t="s">
        <v>16</v>
      </c>
      <c r="B10" s="7" t="s">
        <v>18</v>
      </c>
      <c r="C10" s="8" t="s">
        <v>778</v>
      </c>
      <c r="D10" s="8" t="s">
        <v>779</v>
      </c>
      <c r="E10" s="8" t="s">
        <v>730</v>
      </c>
      <c r="F10" s="8" t="s">
        <v>791</v>
      </c>
      <c r="G10" s="3" t="b">
        <v>1</v>
      </c>
      <c r="H10" s="3" t="b">
        <v>1</v>
      </c>
      <c r="I10" s="10">
        <v>171</v>
      </c>
      <c r="J10" s="10">
        <v>0</v>
      </c>
      <c r="K10" s="10">
        <v>0</v>
      </c>
      <c r="L10" s="10">
        <v>2249</v>
      </c>
      <c r="M10" s="10">
        <v>16860</v>
      </c>
      <c r="N10" s="10">
        <v>420</v>
      </c>
      <c r="O10" s="10">
        <v>0</v>
      </c>
      <c r="P10" s="10">
        <v>0</v>
      </c>
      <c r="Q10" s="10">
        <v>930</v>
      </c>
      <c r="R10" s="10">
        <v>20698</v>
      </c>
      <c r="S10" s="75">
        <v>0.1</v>
      </c>
      <c r="T10" s="75">
        <v>0</v>
      </c>
      <c r="U10" s="75">
        <v>0</v>
      </c>
      <c r="V10" s="75">
        <v>0.4</v>
      </c>
      <c r="W10" s="75">
        <v>0.2</v>
      </c>
      <c r="X10" s="75">
        <f>IFERROR(VIEW_IV_2019_REP_CALCULO_TRI[[#This Row],[Demanda-BERINERT]]/VIEW_IV_2019_REP_CALCULO_TRI[[#This Row],[Cota-BERINERT]],0)</f>
        <v>2.4561403508771931</v>
      </c>
      <c r="Y10" s="75">
        <f>IFERROR(VIEW_IV_2019_REP_CALCULO_TRI[[#This Row],[Demanda-BERIPLEX]]/VIEW_IV_2019_REP_CALCULO_TRI[[#This Row],[Cota-BERIPLEX]],0)</f>
        <v>0</v>
      </c>
      <c r="Z10" s="75">
        <f>IFERROR(VIEW_IV_2019_REP_CALCULO_TRI[[#This Row],[Demanda-HAEMO]]/VIEW_IV_2019_REP_CALCULO_TRI[[#This Row],[Cota-HAEMO]],0)</f>
        <v>0</v>
      </c>
      <c r="AA10" s="75">
        <f>IFERROR(VIEW_IV_2019_REP_CALCULO_TRI[[#This Row],[Demanda-HIZENTRA]]/VIEW_IV_2019_REP_CALCULO_TRI[[#This Row],[Cota-HIZENTRA]],0)</f>
        <v>0.41351711871943087</v>
      </c>
      <c r="AB10" s="75">
        <f>IFERROR(VIEW_IV_2019_REP_CALCULO_TRI[[#This Row],[Demanda-PRIVIGEN]]/VIEW_IV_2019_REP_CALCULO_TRI[[#This Row],[Cota-PRIVIGEN]],0)</f>
        <v>1.2276393831553973</v>
      </c>
      <c r="AC10" s="65">
        <f>(IF(VIEW_IV_2019_REP_CALCULO_TRI[[#This Row],[Cobertura-BERINERT]]&lt;Cob_Min_REP,0,IF(VIEW_IV_2019_REP_CALCULO_TRI[[#This Row],[Cobertura-BERINERT]]&gt;Cob_Max_REP,Vlr_Max_REP,VLOOKUP(VIEW_IV_2019_REP_CALCULO_TRI[[#This Row],[Cobertura-BERINERT]],Tabela_Valores_REP,2,1)))*VIEW_IV_2019_REP_CALCULO_TRI[[#This Row],[Peso-BERINERT]])*3</f>
        <v>2444.7221007989438</v>
      </c>
      <c r="AD10" s="65">
        <f>(IF(VIEW_IV_2019_REP_CALCULO_TRI[[#This Row],[Cobertura-BERIPLEX]]&lt;Cob_Min_REP,0,IF(VIEW_IV_2019_REP_CALCULO_TRI[[#This Row],[Cobertura-BERIPLEX]]&gt;Cob_Max_REP,Vlr_Max_REP,VLOOKUP(VIEW_IV_2019_REP_CALCULO_TRI[[#This Row],[Cobertura-BERIPLEX]],Tabela_Valores_REP,2,1)))*VIEW_IV_2019_REP_CALCULO_TRI[[#This Row],[Peso-BERIPLEX]])*3</f>
        <v>0</v>
      </c>
      <c r="AE10" s="65">
        <f>(IF(VIEW_IV_2019_REP_CALCULO_TRI[[#This Row],[Cobertura-HAEMO]]&lt;Cob_Min_REP,0,IF(VIEW_IV_2019_REP_CALCULO_TRI[[#This Row],[Cobertura-HAEMO]]&gt;Cob_Max_REP,Vlr_Max_REP,VLOOKUP(VIEW_IV_2019_REP_CALCULO_TRI[[#This Row],[Cobertura-HAEMO]],Tabela_Valores_REP,2,1)))*VIEW_IV_2019_REP_CALCULO_TRI[[#This Row],[Peso-HAEMO]])*3</f>
        <v>0</v>
      </c>
      <c r="AF10" s="65">
        <f>(IF(VIEW_IV_2019_REP_CALCULO_TRI[[#This Row],[Cobertura-HIZENTRA]]&lt;Cob_Min_REP,0,IF(VIEW_IV_2019_REP_CALCULO_TRI[[#This Row],[Cobertura-HIZENTRA]]&gt;Cob_Max_REP,Vlr_Max_REP,VLOOKUP(VIEW_IV_2019_REP_CALCULO_TRI[[#This Row],[Cobertura-HIZENTRA]],Tabela_Valores_REP,2,1)))*VIEW_IV_2019_REP_CALCULO_TRI[[#This Row],[Peso-HIZENTRA]])*3</f>
        <v>0</v>
      </c>
      <c r="AG10" s="65">
        <f>(IF(VIEW_IV_2019_REP_CALCULO_TRI[[#This Row],[Cobertura-PRIVIGEN]]&lt;Cob_Min_REP,0,IF(VIEW_IV_2019_REP_CALCULO_TRI[[#This Row],[Cobertura-PRIVIGEN]]&gt;Cob_Max_REP,Vlr_Max_REP,VLOOKUP(VIEW_IV_2019_REP_CALCULO_TRI[[#This Row],[Cobertura-PRIVIGEN]],Tabela_Valores_REP,2,1)))*VIEW_IV_2019_REP_CALCULO_TRI[[#This Row],[Peso-PRIVIGEN]])*3</f>
        <v>3967.2669000550095</v>
      </c>
      <c r="AH10" s="65">
        <f>SUMIFS(VIEW_IV_2019_REP_CALCULO[Premio-BERINERT],VIEW_IV_2019_REP_CALCULO[Ano-Fiscal],VIEW_IV_2019_REP_CALCULO_TRI[[#This Row],[Ano-Fiscal]],VIEW_IV_2019_REP_CALCULO[Tri-Fiscal],VIEW_IV_2019_REP_CALCULO_TRI[[#This Row],[Tri-Fiscal]],VIEW_IV_2019_REP_CALCULO['#PK-Email],VIEW_IV_2019_REP_CALCULO_TRI[[#This Row],['#PK-Email]])</f>
        <v>1629.8147338659624</v>
      </c>
      <c r="AI10" s="65">
        <f>SUMIFS(VIEW_IV_2019_REP_CALCULO[Premio-BERIPLEX],VIEW_IV_2019_REP_CALCULO[Ano-Fiscal],VIEW_IV_2019_REP_CALCULO_TRI[[#This Row],[Ano-Fiscal]],VIEW_IV_2019_REP_CALCULO[Tri-Fiscal],VIEW_IV_2019_REP_CALCULO_TRI[[#This Row],[Tri-Fiscal]],VIEW_IV_2019_REP_CALCULO['#PK-Email],VIEW_IV_2019_REP_CALCULO_TRI[[#This Row],['#PK-Email]])</f>
        <v>0</v>
      </c>
      <c r="AJ10" s="65">
        <f>SUMIFS(VIEW_IV_2019_REP_CALCULO[Premio-HAEMO],VIEW_IV_2019_REP_CALCULO[Ano-Fiscal],VIEW_IV_2019_REP_CALCULO_TRI[[#This Row],[Ano-Fiscal]],VIEW_IV_2019_REP_CALCULO[Tri-Fiscal],VIEW_IV_2019_REP_CALCULO_TRI[[#This Row],[Tri-Fiscal]],VIEW_IV_2019_REP_CALCULO['#PK-Email],VIEW_IV_2019_REP_CALCULO_TRI[[#This Row],['#PK-Email]])</f>
        <v>0</v>
      </c>
      <c r="AK10" s="65">
        <f>SUMIFS(VIEW_IV_2019_REP_CALCULO[Premio-HIZENTRA],VIEW_IV_2019_REP_CALCULO[Ano-Fiscal],VIEW_IV_2019_REP_CALCULO_TRI[[#This Row],[Ano-Fiscal]],VIEW_IV_2019_REP_CALCULO[Tri-Fiscal],VIEW_IV_2019_REP_CALCULO_TRI[[#This Row],[Tri-Fiscal]],VIEW_IV_2019_REP_CALCULO['#PK-Email],VIEW_IV_2019_REP_CALCULO_TRI[[#This Row],['#PK-Email]])</f>
        <v>0</v>
      </c>
      <c r="AL10" s="65">
        <f>SUMIFS(VIEW_IV_2019_REP_CALCULO[Premio-PRIVIGEN],VIEW_IV_2019_REP_CALCULO[Ano-Fiscal],VIEW_IV_2019_REP_CALCULO_TRI[[#This Row],[Ano-Fiscal]],VIEW_IV_2019_REP_CALCULO[Tri-Fiscal],VIEW_IV_2019_REP_CALCULO_TRI[[#This Row],[Tri-Fiscal]],VIEW_IV_2019_REP_CALCULO['#PK-Email],VIEW_IV_2019_REP_CALCULO_TRI[[#This Row],['#PK-Email]])</f>
        <v>2630.0594400040536</v>
      </c>
      <c r="AM10" s="65">
        <f>IF((VIEW_IV_2019_REP_CALCULO_TRI[[#This Row],[Premio-BERINERT]]-VIEW_IV_2019_REP_CALCULO_TRI[[#This Row],[Recebido-BERINERT]])&lt;=0,0,VIEW_IV_2019_REP_CALCULO_TRI[[#This Row],[Premio-BERINERT]]-VIEW_IV_2019_REP_CALCULO_TRI[[#This Row],[Recebido-BERINERT]])</f>
        <v>814.9073669329814</v>
      </c>
      <c r="AN10" s="65">
        <f>IF((VIEW_IV_2019_REP_CALCULO_TRI[[#This Row],[Premio-BERIPLEX]]-VIEW_IV_2019_REP_CALCULO_TRI[[#This Row],[Recebido-BERIPLEX]])&lt;=0,0,VIEW_IV_2019_REP_CALCULO_TRI[[#This Row],[Premio-BERIPLEX]]-VIEW_IV_2019_REP_CALCULO_TRI[[#This Row],[Recebido-BERIPLEX]])</f>
        <v>0</v>
      </c>
      <c r="AO10" s="65">
        <f>IF((VIEW_IV_2019_REP_CALCULO_TRI[[#This Row],[Premio-HAEMO]]-VIEW_IV_2019_REP_CALCULO_TRI[[#This Row],[Recebido-HAEMO]])&lt;=0,0,VIEW_IV_2019_REP_CALCULO_TRI[[#This Row],[Premio-HAEMO]]-VIEW_IV_2019_REP_CALCULO_TRI[[#This Row],[Recebido-HAEMO]])</f>
        <v>0</v>
      </c>
      <c r="AP10" s="65">
        <f>IF((VIEW_IV_2019_REP_CALCULO_TRI[[#This Row],[Premio-HIZENTRA]]-VIEW_IV_2019_REP_CALCULO_TRI[[#This Row],[Recebido-HIZENTRA]])&lt;=0,0,VIEW_IV_2019_REP_CALCULO_TRI[[#This Row],[Premio-HIZENTRA]]-VIEW_IV_2019_REP_CALCULO_TRI[[#This Row],[Recebido-HIZENTRA]])</f>
        <v>0</v>
      </c>
      <c r="AQ10" s="65">
        <f>IF((VIEW_IV_2019_REP_CALCULO_TRI[[#This Row],[Premio-PRIVIGEN]]-VIEW_IV_2019_REP_CALCULO_TRI[[#This Row],[Recebido-PRIVIGEN]])&lt;=0,0,VIEW_IV_2019_REP_CALCULO_TRI[[#This Row],[Premio-PRIVIGEN]]-VIEW_IV_2019_REP_CALCULO_TRI[[#This Row],[Recebido-PRIVIGEN]])</f>
        <v>1337.2074600509559</v>
      </c>
      <c r="AR10" s="102">
        <f>SUM(VIEW_IV_2019_REP_CALCULO_TRI[[#This Row],[Recuperavel-BERINERT]:[Recuperavel-PRIVIGEN]])</f>
        <v>2152.1148269839373</v>
      </c>
    </row>
    <row r="11" spans="1:44" x14ac:dyDescent="0.25">
      <c r="A11" s="7" t="s">
        <v>16</v>
      </c>
      <c r="B11" s="7" t="s">
        <v>18</v>
      </c>
      <c r="C11" s="8" t="s">
        <v>770</v>
      </c>
      <c r="D11" s="8" t="s">
        <v>771</v>
      </c>
      <c r="E11" s="8" t="s">
        <v>730</v>
      </c>
      <c r="F11" s="8" t="s">
        <v>787</v>
      </c>
      <c r="G11" s="3" t="b">
        <v>1</v>
      </c>
      <c r="H11" s="3" t="b">
        <v>0</v>
      </c>
      <c r="I11" s="10">
        <v>68</v>
      </c>
      <c r="J11" s="10">
        <v>0</v>
      </c>
      <c r="K11" s="10">
        <v>0</v>
      </c>
      <c r="L11" s="10">
        <v>2249</v>
      </c>
      <c r="M11" s="10">
        <v>18265</v>
      </c>
      <c r="N11" s="10">
        <v>28</v>
      </c>
      <c r="O11" s="10">
        <v>0</v>
      </c>
      <c r="P11" s="10">
        <v>0</v>
      </c>
      <c r="Q11" s="10">
        <v>1024</v>
      </c>
      <c r="R11" s="10">
        <v>36457</v>
      </c>
      <c r="S11" s="75">
        <v>0</v>
      </c>
      <c r="T11" s="75">
        <v>0</v>
      </c>
      <c r="U11" s="75">
        <v>0</v>
      </c>
      <c r="V11" s="75">
        <v>0</v>
      </c>
      <c r="W11" s="75">
        <v>0</v>
      </c>
      <c r="X11" s="75">
        <f>IFERROR(VIEW_IV_2019_REP_CALCULO_TRI[[#This Row],[Demanda-BERINERT]]/VIEW_IV_2019_REP_CALCULO_TRI[[#This Row],[Cota-BERINERT]],0)</f>
        <v>0.41176470588235292</v>
      </c>
      <c r="Y11" s="75">
        <f>IFERROR(VIEW_IV_2019_REP_CALCULO_TRI[[#This Row],[Demanda-BERIPLEX]]/VIEW_IV_2019_REP_CALCULO_TRI[[#This Row],[Cota-BERIPLEX]],0)</f>
        <v>0</v>
      </c>
      <c r="Z11" s="75">
        <f>IFERROR(VIEW_IV_2019_REP_CALCULO_TRI[[#This Row],[Demanda-HAEMO]]/VIEW_IV_2019_REP_CALCULO_TRI[[#This Row],[Cota-HAEMO]],0)</f>
        <v>0</v>
      </c>
      <c r="AA11" s="75">
        <f>IFERROR(VIEW_IV_2019_REP_CALCULO_TRI[[#This Row],[Demanda-HIZENTRA]]/VIEW_IV_2019_REP_CALCULO_TRI[[#This Row],[Cota-HIZENTRA]],0)</f>
        <v>0.45531347265451311</v>
      </c>
      <c r="AB11" s="75">
        <f>IFERROR(VIEW_IV_2019_REP_CALCULO_TRI[[#This Row],[Demanda-PRIVIGEN]]/VIEW_IV_2019_REP_CALCULO_TRI[[#This Row],[Cota-PRIVIGEN]],0)</f>
        <v>1.9960032849712566</v>
      </c>
      <c r="AC11" s="65">
        <f>(IF(VIEW_IV_2019_REP_CALCULO_TRI[[#This Row],[Cobertura-BERINERT]]&lt;Cob_Min_REP,0,IF(VIEW_IV_2019_REP_CALCULO_TRI[[#This Row],[Cobertura-BERINERT]]&gt;Cob_Max_REP,Vlr_Max_REP,VLOOKUP(VIEW_IV_2019_REP_CALCULO_TRI[[#This Row],[Cobertura-BERINERT]],Tabela_Valores_REP,2,1)))*VIEW_IV_2019_REP_CALCULO_TRI[[#This Row],[Peso-BERINERT]])*3</f>
        <v>0</v>
      </c>
      <c r="AD11" s="65">
        <f>(IF(VIEW_IV_2019_REP_CALCULO_TRI[[#This Row],[Cobertura-BERIPLEX]]&lt;Cob_Min_REP,0,IF(VIEW_IV_2019_REP_CALCULO_TRI[[#This Row],[Cobertura-BERIPLEX]]&gt;Cob_Max_REP,Vlr_Max_REP,VLOOKUP(VIEW_IV_2019_REP_CALCULO_TRI[[#This Row],[Cobertura-BERIPLEX]],Tabela_Valores_REP,2,1)))*VIEW_IV_2019_REP_CALCULO_TRI[[#This Row],[Peso-BERIPLEX]])*3</f>
        <v>0</v>
      </c>
      <c r="AE11" s="65">
        <f>(IF(VIEW_IV_2019_REP_CALCULO_TRI[[#This Row],[Cobertura-HAEMO]]&lt;Cob_Min_REP,0,IF(VIEW_IV_2019_REP_CALCULO_TRI[[#This Row],[Cobertura-HAEMO]]&gt;Cob_Max_REP,Vlr_Max_REP,VLOOKUP(VIEW_IV_2019_REP_CALCULO_TRI[[#This Row],[Cobertura-HAEMO]],Tabela_Valores_REP,2,1)))*VIEW_IV_2019_REP_CALCULO_TRI[[#This Row],[Peso-HAEMO]])*3</f>
        <v>0</v>
      </c>
      <c r="AF11" s="65">
        <f>(IF(VIEW_IV_2019_REP_CALCULO_TRI[[#This Row],[Cobertura-HIZENTRA]]&lt;Cob_Min_REP,0,IF(VIEW_IV_2019_REP_CALCULO_TRI[[#This Row],[Cobertura-HIZENTRA]]&gt;Cob_Max_REP,Vlr_Max_REP,VLOOKUP(VIEW_IV_2019_REP_CALCULO_TRI[[#This Row],[Cobertura-HIZENTRA]],Tabela_Valores_REP,2,1)))*VIEW_IV_2019_REP_CALCULO_TRI[[#This Row],[Peso-HIZENTRA]])*3</f>
        <v>0</v>
      </c>
      <c r="AG11" s="65">
        <f>(IF(VIEW_IV_2019_REP_CALCULO_TRI[[#This Row],[Cobertura-PRIVIGEN]]&lt;Cob_Min_REP,0,IF(VIEW_IV_2019_REP_CALCULO_TRI[[#This Row],[Cobertura-PRIVIGEN]]&gt;Cob_Max_REP,Vlr_Max_REP,VLOOKUP(VIEW_IV_2019_REP_CALCULO_TRI[[#This Row],[Cobertura-PRIVIGEN]],Tabela_Valores_REP,2,1)))*VIEW_IV_2019_REP_CALCULO_TRI[[#This Row],[Peso-PRIVIGEN]])*3</f>
        <v>0</v>
      </c>
      <c r="AH11" s="65">
        <f>SUMIFS(VIEW_IV_2019_REP_CALCULO[Premio-BERINERT],VIEW_IV_2019_REP_CALCULO[Ano-Fiscal],VIEW_IV_2019_REP_CALCULO_TRI[[#This Row],[Ano-Fiscal]],VIEW_IV_2019_REP_CALCULO[Tri-Fiscal],VIEW_IV_2019_REP_CALCULO_TRI[[#This Row],[Tri-Fiscal]],VIEW_IV_2019_REP_CALCULO['#PK-Email],VIEW_IV_2019_REP_CALCULO_TRI[[#This Row],['#PK-Email]])</f>
        <v>0</v>
      </c>
      <c r="AI11" s="65">
        <f>SUMIFS(VIEW_IV_2019_REP_CALCULO[Premio-BERIPLEX],VIEW_IV_2019_REP_CALCULO[Ano-Fiscal],VIEW_IV_2019_REP_CALCULO_TRI[[#This Row],[Ano-Fiscal]],VIEW_IV_2019_REP_CALCULO[Tri-Fiscal],VIEW_IV_2019_REP_CALCULO_TRI[[#This Row],[Tri-Fiscal]],VIEW_IV_2019_REP_CALCULO['#PK-Email],VIEW_IV_2019_REP_CALCULO_TRI[[#This Row],['#PK-Email]])</f>
        <v>0</v>
      </c>
      <c r="AJ11" s="65">
        <f>SUMIFS(VIEW_IV_2019_REP_CALCULO[Premio-HAEMO],VIEW_IV_2019_REP_CALCULO[Ano-Fiscal],VIEW_IV_2019_REP_CALCULO_TRI[[#This Row],[Ano-Fiscal]],VIEW_IV_2019_REP_CALCULO[Tri-Fiscal],VIEW_IV_2019_REP_CALCULO_TRI[[#This Row],[Tri-Fiscal]],VIEW_IV_2019_REP_CALCULO['#PK-Email],VIEW_IV_2019_REP_CALCULO_TRI[[#This Row],['#PK-Email]])</f>
        <v>0</v>
      </c>
      <c r="AK11" s="65">
        <f>SUMIFS(VIEW_IV_2019_REP_CALCULO[Premio-HIZENTRA],VIEW_IV_2019_REP_CALCULO[Ano-Fiscal],VIEW_IV_2019_REP_CALCULO_TRI[[#This Row],[Ano-Fiscal]],VIEW_IV_2019_REP_CALCULO[Tri-Fiscal],VIEW_IV_2019_REP_CALCULO_TRI[[#This Row],[Tri-Fiscal]],VIEW_IV_2019_REP_CALCULO['#PK-Email],VIEW_IV_2019_REP_CALCULO_TRI[[#This Row],['#PK-Email]])</f>
        <v>0</v>
      </c>
      <c r="AL11" s="65">
        <f>SUMIFS(VIEW_IV_2019_REP_CALCULO[Premio-PRIVIGEN],VIEW_IV_2019_REP_CALCULO[Ano-Fiscal],VIEW_IV_2019_REP_CALCULO_TRI[[#This Row],[Ano-Fiscal]],VIEW_IV_2019_REP_CALCULO[Tri-Fiscal],VIEW_IV_2019_REP_CALCULO_TRI[[#This Row],[Tri-Fiscal]],VIEW_IV_2019_REP_CALCULO['#PK-Email],VIEW_IV_2019_REP_CALCULO_TRI[[#This Row],['#PK-Email]])</f>
        <v>0</v>
      </c>
      <c r="AM11" s="65">
        <f>IF((VIEW_IV_2019_REP_CALCULO_TRI[[#This Row],[Premio-BERINERT]]-VIEW_IV_2019_REP_CALCULO_TRI[[#This Row],[Recebido-BERINERT]])&lt;=0,0,VIEW_IV_2019_REP_CALCULO_TRI[[#This Row],[Premio-BERINERT]]-VIEW_IV_2019_REP_CALCULO_TRI[[#This Row],[Recebido-BERINERT]])</f>
        <v>0</v>
      </c>
      <c r="AN11" s="65">
        <f>IF((VIEW_IV_2019_REP_CALCULO_TRI[[#This Row],[Premio-BERIPLEX]]-VIEW_IV_2019_REP_CALCULO_TRI[[#This Row],[Recebido-BERIPLEX]])&lt;=0,0,VIEW_IV_2019_REP_CALCULO_TRI[[#This Row],[Premio-BERIPLEX]]-VIEW_IV_2019_REP_CALCULO_TRI[[#This Row],[Recebido-BERIPLEX]])</f>
        <v>0</v>
      </c>
      <c r="AO11" s="65">
        <f>IF((VIEW_IV_2019_REP_CALCULO_TRI[[#This Row],[Premio-HAEMO]]-VIEW_IV_2019_REP_CALCULO_TRI[[#This Row],[Recebido-HAEMO]])&lt;=0,0,VIEW_IV_2019_REP_CALCULO_TRI[[#This Row],[Premio-HAEMO]]-VIEW_IV_2019_REP_CALCULO_TRI[[#This Row],[Recebido-HAEMO]])</f>
        <v>0</v>
      </c>
      <c r="AP11" s="65">
        <f>IF((VIEW_IV_2019_REP_CALCULO_TRI[[#This Row],[Premio-HIZENTRA]]-VIEW_IV_2019_REP_CALCULO_TRI[[#This Row],[Recebido-HIZENTRA]])&lt;=0,0,VIEW_IV_2019_REP_CALCULO_TRI[[#This Row],[Premio-HIZENTRA]]-VIEW_IV_2019_REP_CALCULO_TRI[[#This Row],[Recebido-HIZENTRA]])</f>
        <v>0</v>
      </c>
      <c r="AQ11" s="65">
        <f>IF((VIEW_IV_2019_REP_CALCULO_TRI[[#This Row],[Premio-PRIVIGEN]]-VIEW_IV_2019_REP_CALCULO_TRI[[#This Row],[Recebido-PRIVIGEN]])&lt;=0,0,VIEW_IV_2019_REP_CALCULO_TRI[[#This Row],[Premio-PRIVIGEN]]-VIEW_IV_2019_REP_CALCULO_TRI[[#This Row],[Recebido-PRIVIGEN]])</f>
        <v>0</v>
      </c>
      <c r="AR11" s="102">
        <f>SUM(VIEW_IV_2019_REP_CALCULO_TRI[[#This Row],[Recuperavel-BERINERT]:[Recuperavel-PRIVIGEN]])</f>
        <v>0</v>
      </c>
    </row>
    <row r="12" spans="1:44" x14ac:dyDescent="0.25">
      <c r="A12" s="7" t="s">
        <v>16</v>
      </c>
      <c r="B12" s="7" t="s">
        <v>18</v>
      </c>
      <c r="C12" s="8" t="s">
        <v>737</v>
      </c>
      <c r="D12" s="8" t="s">
        <v>738</v>
      </c>
      <c r="E12" s="8" t="s">
        <v>739</v>
      </c>
      <c r="F12" s="8" t="s">
        <v>785</v>
      </c>
      <c r="G12" s="3" t="b">
        <v>1</v>
      </c>
      <c r="H12" s="3" t="b">
        <v>1</v>
      </c>
      <c r="I12" s="10">
        <v>19</v>
      </c>
      <c r="J12" s="10">
        <v>200</v>
      </c>
      <c r="K12" s="10">
        <v>160</v>
      </c>
      <c r="L12" s="10">
        <v>375</v>
      </c>
      <c r="M12" s="10">
        <v>8430</v>
      </c>
      <c r="N12" s="10">
        <v>62</v>
      </c>
      <c r="O12" s="10">
        <v>29</v>
      </c>
      <c r="P12" s="10">
        <v>76</v>
      </c>
      <c r="Q12" s="10">
        <v>725</v>
      </c>
      <c r="R12" s="10">
        <v>10671</v>
      </c>
      <c r="S12" s="75">
        <v>0.05</v>
      </c>
      <c r="T12" s="75">
        <v>0.15</v>
      </c>
      <c r="U12" s="75">
        <v>0.15</v>
      </c>
      <c r="V12" s="75">
        <v>0.2</v>
      </c>
      <c r="W12" s="75">
        <v>0.15</v>
      </c>
      <c r="X12" s="75">
        <f>IFERROR(VIEW_IV_2019_REP_CALCULO_TRI[[#This Row],[Demanda-BERINERT]]/VIEW_IV_2019_REP_CALCULO_TRI[[#This Row],[Cota-BERINERT]],0)</f>
        <v>3.263157894736842</v>
      </c>
      <c r="Y12" s="75">
        <f>IFERROR(VIEW_IV_2019_REP_CALCULO_TRI[[#This Row],[Demanda-BERIPLEX]]/VIEW_IV_2019_REP_CALCULO_TRI[[#This Row],[Cota-BERIPLEX]],0)</f>
        <v>0.14499999999999999</v>
      </c>
      <c r="Z12" s="75">
        <f>IFERROR(VIEW_IV_2019_REP_CALCULO_TRI[[#This Row],[Demanda-HAEMO]]/VIEW_IV_2019_REP_CALCULO_TRI[[#This Row],[Cota-HAEMO]],0)</f>
        <v>0.47499999999999998</v>
      </c>
      <c r="AA12" s="75">
        <f>IFERROR(VIEW_IV_2019_REP_CALCULO_TRI[[#This Row],[Demanda-HIZENTRA]]/VIEW_IV_2019_REP_CALCULO_TRI[[#This Row],[Cota-HIZENTRA]],0)</f>
        <v>1.9333333333333333</v>
      </c>
      <c r="AB12" s="75">
        <f>IFERROR(VIEW_IV_2019_REP_CALCULO_TRI[[#This Row],[Demanda-PRIVIGEN]]/VIEW_IV_2019_REP_CALCULO_TRI[[#This Row],[Cota-PRIVIGEN]],0)</f>
        <v>1.2658362989323844</v>
      </c>
      <c r="AC12" s="65">
        <f>(IF(VIEW_IV_2019_REP_CALCULO_TRI[[#This Row],[Cobertura-BERINERT]]&lt;Cob_Min_REP,0,IF(VIEW_IV_2019_REP_CALCULO_TRI[[#This Row],[Cobertura-BERINERT]]&gt;Cob_Max_REP,Vlr_Max_REP,VLOOKUP(VIEW_IV_2019_REP_CALCULO_TRI[[#This Row],[Cobertura-BERINERT]],Tabela_Valores_REP,2,1)))*VIEW_IV_2019_REP_CALCULO_TRI[[#This Row],[Peso-BERINERT]])*3</f>
        <v>1222.3610503994719</v>
      </c>
      <c r="AD12" s="65">
        <f>(IF(VIEW_IV_2019_REP_CALCULO_TRI[[#This Row],[Cobertura-BERIPLEX]]&lt;Cob_Min_REP,0,IF(VIEW_IV_2019_REP_CALCULO_TRI[[#This Row],[Cobertura-BERIPLEX]]&gt;Cob_Max_REP,Vlr_Max_REP,VLOOKUP(VIEW_IV_2019_REP_CALCULO_TRI[[#This Row],[Cobertura-BERIPLEX]],Tabela_Valores_REP,2,1)))*VIEW_IV_2019_REP_CALCULO_TRI[[#This Row],[Peso-BERIPLEX]])*3</f>
        <v>0</v>
      </c>
      <c r="AE12" s="65">
        <f>(IF(VIEW_IV_2019_REP_CALCULO_TRI[[#This Row],[Cobertura-HAEMO]]&lt;Cob_Min_REP,0,IF(VIEW_IV_2019_REP_CALCULO_TRI[[#This Row],[Cobertura-HAEMO]]&gt;Cob_Max_REP,Vlr_Max_REP,VLOOKUP(VIEW_IV_2019_REP_CALCULO_TRI[[#This Row],[Cobertura-HAEMO]],Tabela_Valores_REP,2,1)))*VIEW_IV_2019_REP_CALCULO_TRI[[#This Row],[Peso-HAEMO]])*3</f>
        <v>0</v>
      </c>
      <c r="AF12" s="65">
        <f>(IF(VIEW_IV_2019_REP_CALCULO_TRI[[#This Row],[Cobertura-HIZENTRA]]&lt;Cob_Min_REP,0,IF(VIEW_IV_2019_REP_CALCULO_TRI[[#This Row],[Cobertura-HIZENTRA]]&gt;Cob_Max_REP,Vlr_Max_REP,VLOOKUP(VIEW_IV_2019_REP_CALCULO_TRI[[#This Row],[Cobertura-HIZENTRA]],Tabela_Valores_REP,2,1)))*VIEW_IV_2019_REP_CALCULO_TRI[[#This Row],[Peso-HIZENTRA]])*3</f>
        <v>4889.4442015978875</v>
      </c>
      <c r="AG12" s="65">
        <f>(IF(VIEW_IV_2019_REP_CALCULO_TRI[[#This Row],[Cobertura-PRIVIGEN]]&lt;Cob_Min_REP,0,IF(VIEW_IV_2019_REP_CALCULO_TRI[[#This Row],[Cobertura-PRIVIGEN]]&gt;Cob_Max_REP,Vlr_Max_REP,VLOOKUP(VIEW_IV_2019_REP_CALCULO_TRI[[#This Row],[Cobertura-PRIVIGEN]],Tabela_Valores_REP,2,1)))*VIEW_IV_2019_REP_CALCULO_TRI[[#This Row],[Peso-PRIVIGEN]])*3</f>
        <v>3062.5742293423373</v>
      </c>
      <c r="AH12" s="65">
        <f>SUMIFS(VIEW_IV_2019_REP_CALCULO[Premio-BERINERT],VIEW_IV_2019_REP_CALCULO[Ano-Fiscal],VIEW_IV_2019_REP_CALCULO_TRI[[#This Row],[Ano-Fiscal]],VIEW_IV_2019_REP_CALCULO[Tri-Fiscal],VIEW_IV_2019_REP_CALCULO_TRI[[#This Row],[Tri-Fiscal]],VIEW_IV_2019_REP_CALCULO['#PK-Email],VIEW_IV_2019_REP_CALCULO_TRI[[#This Row],['#PK-Email]])</f>
        <v>814.90736693298118</v>
      </c>
      <c r="AI12" s="65">
        <f>SUMIFS(VIEW_IV_2019_REP_CALCULO[Premio-BERIPLEX],VIEW_IV_2019_REP_CALCULO[Ano-Fiscal],VIEW_IV_2019_REP_CALCULO_TRI[[#This Row],[Ano-Fiscal]],VIEW_IV_2019_REP_CALCULO[Tri-Fiscal],VIEW_IV_2019_REP_CALCULO_TRI[[#This Row],[Tri-Fiscal]],VIEW_IV_2019_REP_CALCULO['#PK-Email],VIEW_IV_2019_REP_CALCULO_TRI[[#This Row],['#PK-Email]])</f>
        <v>0</v>
      </c>
      <c r="AJ12" s="65">
        <f>SUMIFS(VIEW_IV_2019_REP_CALCULO[Premio-HAEMO],VIEW_IV_2019_REP_CALCULO[Ano-Fiscal],VIEW_IV_2019_REP_CALCULO_TRI[[#This Row],[Ano-Fiscal]],VIEW_IV_2019_REP_CALCULO[Tri-Fiscal],VIEW_IV_2019_REP_CALCULO_TRI[[#This Row],[Tri-Fiscal]],VIEW_IV_2019_REP_CALCULO['#PK-Email],VIEW_IV_2019_REP_CALCULO_TRI[[#This Row],['#PK-Email]])</f>
        <v>0</v>
      </c>
      <c r="AK12" s="65">
        <f>SUMIFS(VIEW_IV_2019_REP_CALCULO[Premio-HIZENTRA],VIEW_IV_2019_REP_CALCULO[Ano-Fiscal],VIEW_IV_2019_REP_CALCULO_TRI[[#This Row],[Ano-Fiscal]],VIEW_IV_2019_REP_CALCULO[Tri-Fiscal],VIEW_IV_2019_REP_CALCULO_TRI[[#This Row],[Tri-Fiscal]],VIEW_IV_2019_REP_CALCULO['#PK-Email],VIEW_IV_2019_REP_CALCULO_TRI[[#This Row],['#PK-Email]])</f>
        <v>4889.4442015978875</v>
      </c>
      <c r="AL12" s="65">
        <f>SUMIFS(VIEW_IV_2019_REP_CALCULO[Premio-PRIVIGEN],VIEW_IV_2019_REP_CALCULO[Ano-Fiscal],VIEW_IV_2019_REP_CALCULO_TRI[[#This Row],[Ano-Fiscal]],VIEW_IV_2019_REP_CALCULO[Tri-Fiscal],VIEW_IV_2019_REP_CALCULO_TRI[[#This Row],[Tri-Fiscal]],VIEW_IV_2019_REP_CALCULO['#PK-Email],VIEW_IV_2019_REP_CALCULO_TRI[[#This Row],['#PK-Email]])</f>
        <v>3058.7529988905358</v>
      </c>
      <c r="AM12" s="65">
        <f>IF((VIEW_IV_2019_REP_CALCULO_TRI[[#This Row],[Premio-BERINERT]]-VIEW_IV_2019_REP_CALCULO_TRI[[#This Row],[Recebido-BERINERT]])&lt;=0,0,VIEW_IV_2019_REP_CALCULO_TRI[[#This Row],[Premio-BERINERT]]-VIEW_IV_2019_REP_CALCULO_TRI[[#This Row],[Recebido-BERINERT]])</f>
        <v>407.4536834664907</v>
      </c>
      <c r="AN12" s="65">
        <f>IF((VIEW_IV_2019_REP_CALCULO_TRI[[#This Row],[Premio-BERIPLEX]]-VIEW_IV_2019_REP_CALCULO_TRI[[#This Row],[Recebido-BERIPLEX]])&lt;=0,0,VIEW_IV_2019_REP_CALCULO_TRI[[#This Row],[Premio-BERIPLEX]]-VIEW_IV_2019_REP_CALCULO_TRI[[#This Row],[Recebido-BERIPLEX]])</f>
        <v>0</v>
      </c>
      <c r="AO12" s="65">
        <f>IF((VIEW_IV_2019_REP_CALCULO_TRI[[#This Row],[Premio-HAEMO]]-VIEW_IV_2019_REP_CALCULO_TRI[[#This Row],[Recebido-HAEMO]])&lt;=0,0,VIEW_IV_2019_REP_CALCULO_TRI[[#This Row],[Premio-HAEMO]]-VIEW_IV_2019_REP_CALCULO_TRI[[#This Row],[Recebido-HAEMO]])</f>
        <v>0</v>
      </c>
      <c r="AP12" s="65">
        <f>IF((VIEW_IV_2019_REP_CALCULO_TRI[[#This Row],[Premio-HIZENTRA]]-VIEW_IV_2019_REP_CALCULO_TRI[[#This Row],[Recebido-HIZENTRA]])&lt;=0,0,VIEW_IV_2019_REP_CALCULO_TRI[[#This Row],[Premio-HIZENTRA]]-VIEW_IV_2019_REP_CALCULO_TRI[[#This Row],[Recebido-HIZENTRA]])</f>
        <v>0</v>
      </c>
      <c r="AQ12" s="65">
        <f>IF((VIEW_IV_2019_REP_CALCULO_TRI[[#This Row],[Premio-PRIVIGEN]]-VIEW_IV_2019_REP_CALCULO_TRI[[#This Row],[Recebido-PRIVIGEN]])&lt;=0,0,VIEW_IV_2019_REP_CALCULO_TRI[[#This Row],[Premio-PRIVIGEN]]-VIEW_IV_2019_REP_CALCULO_TRI[[#This Row],[Recebido-PRIVIGEN]])</f>
        <v>3.8212304518015117</v>
      </c>
      <c r="AR12" s="102">
        <f>SUM(VIEW_IV_2019_REP_CALCULO_TRI[[#This Row],[Recuperavel-BERINERT]:[Recuperavel-PRIVIGEN]])</f>
        <v>411.27491391829221</v>
      </c>
    </row>
    <row r="13" spans="1:44" x14ac:dyDescent="0.25">
      <c r="A13" s="7" t="s">
        <v>16</v>
      </c>
      <c r="B13" s="7" t="s">
        <v>18</v>
      </c>
      <c r="C13" s="8" t="s">
        <v>780</v>
      </c>
      <c r="D13" s="8" t="s">
        <v>781</v>
      </c>
      <c r="E13" s="8" t="s">
        <v>739</v>
      </c>
      <c r="F13" s="8" t="s">
        <v>791</v>
      </c>
      <c r="G13" s="3" t="b">
        <v>1</v>
      </c>
      <c r="H13" s="3" t="b">
        <v>1</v>
      </c>
      <c r="I13" s="10">
        <v>68</v>
      </c>
      <c r="J13" s="10">
        <v>100</v>
      </c>
      <c r="K13" s="10">
        <v>40</v>
      </c>
      <c r="L13" s="10">
        <v>2061</v>
      </c>
      <c r="M13" s="10">
        <v>4215</v>
      </c>
      <c r="N13" s="10">
        <v>3</v>
      </c>
      <c r="O13" s="10">
        <v>11</v>
      </c>
      <c r="P13" s="10">
        <v>7</v>
      </c>
      <c r="Q13" s="10">
        <v>1284</v>
      </c>
      <c r="R13" s="10">
        <v>12242</v>
      </c>
      <c r="S13" s="75">
        <v>0.05</v>
      </c>
      <c r="T13" s="75">
        <v>0.15</v>
      </c>
      <c r="U13" s="75">
        <v>0.15</v>
      </c>
      <c r="V13" s="75">
        <v>0.2</v>
      </c>
      <c r="W13" s="75">
        <v>0.15</v>
      </c>
      <c r="X13" s="75">
        <f>IFERROR(VIEW_IV_2019_REP_CALCULO_TRI[[#This Row],[Demanda-BERINERT]]/VIEW_IV_2019_REP_CALCULO_TRI[[#This Row],[Cota-BERINERT]],0)</f>
        <v>4.4117647058823532E-2</v>
      </c>
      <c r="Y13" s="75">
        <f>IFERROR(VIEW_IV_2019_REP_CALCULO_TRI[[#This Row],[Demanda-BERIPLEX]]/VIEW_IV_2019_REP_CALCULO_TRI[[#This Row],[Cota-BERIPLEX]],0)</f>
        <v>0.11</v>
      </c>
      <c r="Z13" s="75">
        <f>IFERROR(VIEW_IV_2019_REP_CALCULO_TRI[[#This Row],[Demanda-HAEMO]]/VIEW_IV_2019_REP_CALCULO_TRI[[#This Row],[Cota-HAEMO]],0)</f>
        <v>0.17499999999999999</v>
      </c>
      <c r="AA13" s="75">
        <f>IFERROR(VIEW_IV_2019_REP_CALCULO_TRI[[#This Row],[Demanda-HIZENTRA]]/VIEW_IV_2019_REP_CALCULO_TRI[[#This Row],[Cota-HIZENTRA]],0)</f>
        <v>0.62299854439592428</v>
      </c>
      <c r="AB13" s="75">
        <f>IFERROR(VIEW_IV_2019_REP_CALCULO_TRI[[#This Row],[Demanda-PRIVIGEN]]/VIEW_IV_2019_REP_CALCULO_TRI[[#This Row],[Cota-PRIVIGEN]],0)</f>
        <v>2.9043890865954922</v>
      </c>
      <c r="AC13" s="65">
        <f>(IF(VIEW_IV_2019_REP_CALCULO_TRI[[#This Row],[Cobertura-BERINERT]]&lt;Cob_Min_REP,0,IF(VIEW_IV_2019_REP_CALCULO_TRI[[#This Row],[Cobertura-BERINERT]]&gt;Cob_Max_REP,Vlr_Max_REP,VLOOKUP(VIEW_IV_2019_REP_CALCULO_TRI[[#This Row],[Cobertura-BERINERT]],Tabela_Valores_REP,2,1)))*VIEW_IV_2019_REP_CALCULO_TRI[[#This Row],[Peso-BERINERT]])*3</f>
        <v>0</v>
      </c>
      <c r="AD13" s="65">
        <f>(IF(VIEW_IV_2019_REP_CALCULO_TRI[[#This Row],[Cobertura-BERIPLEX]]&lt;Cob_Min_REP,0,IF(VIEW_IV_2019_REP_CALCULO_TRI[[#This Row],[Cobertura-BERIPLEX]]&gt;Cob_Max_REP,Vlr_Max_REP,VLOOKUP(VIEW_IV_2019_REP_CALCULO_TRI[[#This Row],[Cobertura-BERIPLEX]],Tabela_Valores_REP,2,1)))*VIEW_IV_2019_REP_CALCULO_TRI[[#This Row],[Peso-BERIPLEX]])*3</f>
        <v>0</v>
      </c>
      <c r="AE13" s="65">
        <f>(IF(VIEW_IV_2019_REP_CALCULO_TRI[[#This Row],[Cobertura-HAEMO]]&lt;Cob_Min_REP,0,IF(VIEW_IV_2019_REP_CALCULO_TRI[[#This Row],[Cobertura-HAEMO]]&gt;Cob_Max_REP,Vlr_Max_REP,VLOOKUP(VIEW_IV_2019_REP_CALCULO_TRI[[#This Row],[Cobertura-HAEMO]],Tabela_Valores_REP,2,1)))*VIEW_IV_2019_REP_CALCULO_TRI[[#This Row],[Peso-HAEMO]])*3</f>
        <v>0</v>
      </c>
      <c r="AF13" s="65">
        <f>(IF(VIEW_IV_2019_REP_CALCULO_TRI[[#This Row],[Cobertura-HIZENTRA]]&lt;Cob_Min_REP,0,IF(VIEW_IV_2019_REP_CALCULO_TRI[[#This Row],[Cobertura-HIZENTRA]]&gt;Cob_Max_REP,Vlr_Max_REP,VLOOKUP(VIEW_IV_2019_REP_CALCULO_TRI[[#This Row],[Cobertura-HIZENTRA]],Tabela_Valores_REP,2,1)))*VIEW_IV_2019_REP_CALCULO_TRI[[#This Row],[Peso-HIZENTRA]])*3</f>
        <v>0</v>
      </c>
      <c r="AG13" s="65">
        <f>(IF(VIEW_IV_2019_REP_CALCULO_TRI[[#This Row],[Cobertura-PRIVIGEN]]&lt;Cob_Min_REP,0,IF(VIEW_IV_2019_REP_CALCULO_TRI[[#This Row],[Cobertura-PRIVIGEN]]&gt;Cob_Max_REP,Vlr_Max_REP,VLOOKUP(VIEW_IV_2019_REP_CALCULO_TRI[[#This Row],[Cobertura-PRIVIGEN]],Tabela_Valores_REP,2,1)))*VIEW_IV_2019_REP_CALCULO_TRI[[#This Row],[Peso-PRIVIGEN]])*3</f>
        <v>3667.0831511984152</v>
      </c>
      <c r="AH13" s="65">
        <f>SUMIFS(VIEW_IV_2019_REP_CALCULO[Premio-BERINERT],VIEW_IV_2019_REP_CALCULO[Ano-Fiscal],VIEW_IV_2019_REP_CALCULO_TRI[[#This Row],[Ano-Fiscal]],VIEW_IV_2019_REP_CALCULO[Tri-Fiscal],VIEW_IV_2019_REP_CALCULO_TRI[[#This Row],[Tri-Fiscal]],VIEW_IV_2019_REP_CALCULO['#PK-Email],VIEW_IV_2019_REP_CALCULO_TRI[[#This Row],['#PK-Email]])</f>
        <v>0</v>
      </c>
      <c r="AI13" s="65">
        <f>SUMIFS(VIEW_IV_2019_REP_CALCULO[Premio-BERIPLEX],VIEW_IV_2019_REP_CALCULO[Ano-Fiscal],VIEW_IV_2019_REP_CALCULO_TRI[[#This Row],[Ano-Fiscal]],VIEW_IV_2019_REP_CALCULO[Tri-Fiscal],VIEW_IV_2019_REP_CALCULO_TRI[[#This Row],[Tri-Fiscal]],VIEW_IV_2019_REP_CALCULO['#PK-Email],VIEW_IV_2019_REP_CALCULO_TRI[[#This Row],['#PK-Email]])</f>
        <v>0</v>
      </c>
      <c r="AJ13" s="65">
        <f>SUMIFS(VIEW_IV_2019_REP_CALCULO[Premio-HAEMO],VIEW_IV_2019_REP_CALCULO[Ano-Fiscal],VIEW_IV_2019_REP_CALCULO_TRI[[#This Row],[Ano-Fiscal]],VIEW_IV_2019_REP_CALCULO[Tri-Fiscal],VIEW_IV_2019_REP_CALCULO_TRI[[#This Row],[Tri-Fiscal]],VIEW_IV_2019_REP_CALCULO['#PK-Email],VIEW_IV_2019_REP_CALCULO_TRI[[#This Row],['#PK-Email]])</f>
        <v>0</v>
      </c>
      <c r="AK13" s="65">
        <f>SUMIFS(VIEW_IV_2019_REP_CALCULO[Premio-HIZENTRA],VIEW_IV_2019_REP_CALCULO[Ano-Fiscal],VIEW_IV_2019_REP_CALCULO_TRI[[#This Row],[Ano-Fiscal]],VIEW_IV_2019_REP_CALCULO[Tri-Fiscal],VIEW_IV_2019_REP_CALCULO_TRI[[#This Row],[Tri-Fiscal]],VIEW_IV_2019_REP_CALCULO['#PK-Email],VIEW_IV_2019_REP_CALCULO_TRI[[#This Row],['#PK-Email]])</f>
        <v>0</v>
      </c>
      <c r="AL13" s="65">
        <f>SUMIFS(VIEW_IV_2019_REP_CALCULO[Premio-PRIVIGEN],VIEW_IV_2019_REP_CALCULO[Ano-Fiscal],VIEW_IV_2019_REP_CALCULO_TRI[[#This Row],[Ano-Fiscal]],VIEW_IV_2019_REP_CALCULO[Tri-Fiscal],VIEW_IV_2019_REP_CALCULO_TRI[[#This Row],[Tri-Fiscal]],VIEW_IV_2019_REP_CALCULO['#PK-Email],VIEW_IV_2019_REP_CALCULO_TRI[[#This Row],['#PK-Email]])</f>
        <v>3667.0831511984152</v>
      </c>
      <c r="AM13" s="65">
        <f>IF((VIEW_IV_2019_REP_CALCULO_TRI[[#This Row],[Premio-BERINERT]]-VIEW_IV_2019_REP_CALCULO_TRI[[#This Row],[Recebido-BERINERT]])&lt;=0,0,VIEW_IV_2019_REP_CALCULO_TRI[[#This Row],[Premio-BERINERT]]-VIEW_IV_2019_REP_CALCULO_TRI[[#This Row],[Recebido-BERINERT]])</f>
        <v>0</v>
      </c>
      <c r="AN13" s="65">
        <f>IF((VIEW_IV_2019_REP_CALCULO_TRI[[#This Row],[Premio-BERIPLEX]]-VIEW_IV_2019_REP_CALCULO_TRI[[#This Row],[Recebido-BERIPLEX]])&lt;=0,0,VIEW_IV_2019_REP_CALCULO_TRI[[#This Row],[Premio-BERIPLEX]]-VIEW_IV_2019_REP_CALCULO_TRI[[#This Row],[Recebido-BERIPLEX]])</f>
        <v>0</v>
      </c>
      <c r="AO13" s="65">
        <f>IF((VIEW_IV_2019_REP_CALCULO_TRI[[#This Row],[Premio-HAEMO]]-VIEW_IV_2019_REP_CALCULO_TRI[[#This Row],[Recebido-HAEMO]])&lt;=0,0,VIEW_IV_2019_REP_CALCULO_TRI[[#This Row],[Premio-HAEMO]]-VIEW_IV_2019_REP_CALCULO_TRI[[#This Row],[Recebido-HAEMO]])</f>
        <v>0</v>
      </c>
      <c r="AP13" s="65">
        <f>IF((VIEW_IV_2019_REP_CALCULO_TRI[[#This Row],[Premio-HIZENTRA]]-VIEW_IV_2019_REP_CALCULO_TRI[[#This Row],[Recebido-HIZENTRA]])&lt;=0,0,VIEW_IV_2019_REP_CALCULO_TRI[[#This Row],[Premio-HIZENTRA]]-VIEW_IV_2019_REP_CALCULO_TRI[[#This Row],[Recebido-HIZENTRA]])</f>
        <v>0</v>
      </c>
      <c r="AQ13" s="65">
        <f>IF((VIEW_IV_2019_REP_CALCULO_TRI[[#This Row],[Premio-PRIVIGEN]]-VIEW_IV_2019_REP_CALCULO_TRI[[#This Row],[Recebido-PRIVIGEN]])&lt;=0,0,VIEW_IV_2019_REP_CALCULO_TRI[[#This Row],[Premio-PRIVIGEN]]-VIEW_IV_2019_REP_CALCULO_TRI[[#This Row],[Recebido-PRIVIGEN]])</f>
        <v>0</v>
      </c>
      <c r="AR13" s="102">
        <f>SUM(VIEW_IV_2019_REP_CALCULO_TRI[[#This Row],[Recuperavel-BERINERT]:[Recuperavel-PRIVIGEN]])</f>
        <v>0</v>
      </c>
    </row>
    <row r="14" spans="1:44" x14ac:dyDescent="0.25">
      <c r="A14" s="7" t="s">
        <v>16</v>
      </c>
      <c r="B14" s="7" t="s">
        <v>18</v>
      </c>
      <c r="C14" s="8" t="s">
        <v>720</v>
      </c>
      <c r="D14" s="8" t="s">
        <v>721</v>
      </c>
      <c r="E14" s="8" t="s">
        <v>723</v>
      </c>
      <c r="F14" s="8" t="s">
        <v>785</v>
      </c>
      <c r="G14" s="3" t="b">
        <v>1</v>
      </c>
      <c r="H14" s="3" t="b">
        <v>1</v>
      </c>
      <c r="I14" s="10">
        <v>0</v>
      </c>
      <c r="J14" s="10">
        <v>300</v>
      </c>
      <c r="K14" s="10">
        <v>400</v>
      </c>
      <c r="L14" s="10">
        <v>0</v>
      </c>
      <c r="M14" s="10">
        <v>7025</v>
      </c>
      <c r="N14" s="10">
        <v>0</v>
      </c>
      <c r="O14" s="10">
        <v>307</v>
      </c>
      <c r="P14" s="10">
        <v>376</v>
      </c>
      <c r="Q14" s="10">
        <v>0</v>
      </c>
      <c r="R14" s="10">
        <v>5100</v>
      </c>
      <c r="S14" s="75">
        <v>0</v>
      </c>
      <c r="T14" s="75">
        <v>0.25</v>
      </c>
      <c r="U14" s="75">
        <v>0.25</v>
      </c>
      <c r="V14" s="75">
        <v>0</v>
      </c>
      <c r="W14" s="75">
        <v>0.2</v>
      </c>
      <c r="X14" s="75">
        <f>IFERROR(VIEW_IV_2019_REP_CALCULO_TRI[[#This Row],[Demanda-BERINERT]]/VIEW_IV_2019_REP_CALCULO_TRI[[#This Row],[Cota-BERINERT]],0)</f>
        <v>0</v>
      </c>
      <c r="Y14" s="75">
        <f>IFERROR(VIEW_IV_2019_REP_CALCULO_TRI[[#This Row],[Demanda-BERIPLEX]]/VIEW_IV_2019_REP_CALCULO_TRI[[#This Row],[Cota-BERIPLEX]],0)</f>
        <v>1.0233333333333334</v>
      </c>
      <c r="Z14" s="75">
        <f>IFERROR(VIEW_IV_2019_REP_CALCULO_TRI[[#This Row],[Demanda-HAEMO]]/VIEW_IV_2019_REP_CALCULO_TRI[[#This Row],[Cota-HAEMO]],0)</f>
        <v>0.94</v>
      </c>
      <c r="AA14" s="75">
        <f>IFERROR(VIEW_IV_2019_REP_CALCULO_TRI[[#This Row],[Demanda-HIZENTRA]]/VIEW_IV_2019_REP_CALCULO_TRI[[#This Row],[Cota-HIZENTRA]],0)</f>
        <v>0</v>
      </c>
      <c r="AB14" s="75">
        <f>IFERROR(VIEW_IV_2019_REP_CALCULO_TRI[[#This Row],[Demanda-PRIVIGEN]]/VIEW_IV_2019_REP_CALCULO_TRI[[#This Row],[Cota-PRIVIGEN]],0)</f>
        <v>0.72597864768683273</v>
      </c>
      <c r="AC14" s="65">
        <f>(IF(VIEW_IV_2019_REP_CALCULO_TRI[[#This Row],[Cobertura-BERINERT]]&lt;Cob_Min_REP,0,IF(VIEW_IV_2019_REP_CALCULO_TRI[[#This Row],[Cobertura-BERINERT]]&gt;Cob_Max_REP,Vlr_Max_REP,VLOOKUP(VIEW_IV_2019_REP_CALCULO_TRI[[#This Row],[Cobertura-BERINERT]],Tabela_Valores_REP,2,1)))*VIEW_IV_2019_REP_CALCULO_TRI[[#This Row],[Peso-BERINERT]])*3</f>
        <v>0</v>
      </c>
      <c r="AD14" s="65">
        <f>(IF(VIEW_IV_2019_REP_CALCULO_TRI[[#This Row],[Cobertura-BERIPLEX]]&lt;Cob_Min_REP,0,IF(VIEW_IV_2019_REP_CALCULO_TRI[[#This Row],[Cobertura-BERIPLEX]]&gt;Cob_Max_REP,Vlr_Max_REP,VLOOKUP(VIEW_IV_2019_REP_CALCULO_TRI[[#This Row],[Cobertura-BERIPLEX]],Tabela_Valores_REP,2,1)))*VIEW_IV_2019_REP_CALCULO_TRI[[#This Row],[Peso-BERIPLEX]])*3</f>
        <v>2760.3184162449948</v>
      </c>
      <c r="AE14" s="65">
        <f>(IF(VIEW_IV_2019_REP_CALCULO_TRI[[#This Row],[Cobertura-HAEMO]]&lt;Cob_Min_REP,0,IF(VIEW_IV_2019_REP_CALCULO_TRI[[#This Row],[Cobertura-HAEMO]]&gt;Cob_Max_REP,Vlr_Max_REP,VLOOKUP(VIEW_IV_2019_REP_CALCULO_TRI[[#This Row],[Cobertura-HAEMO]],Tabela_Valores_REP,2,1)))*VIEW_IV_2019_REP_CALCULO_TRI[[#This Row],[Peso-HAEMO]])*3</f>
        <v>1906.5587179903218</v>
      </c>
      <c r="AF14" s="65">
        <f>(IF(VIEW_IV_2019_REP_CALCULO_TRI[[#This Row],[Cobertura-HIZENTRA]]&lt;Cob_Min_REP,0,IF(VIEW_IV_2019_REP_CALCULO_TRI[[#This Row],[Cobertura-HIZENTRA]]&gt;Cob_Max_REP,Vlr_Max_REP,VLOOKUP(VIEW_IV_2019_REP_CALCULO_TRI[[#This Row],[Cobertura-HIZENTRA]],Tabela_Valores_REP,2,1)))*VIEW_IV_2019_REP_CALCULO_TRI[[#This Row],[Peso-HIZENTRA]])*3</f>
        <v>0</v>
      </c>
      <c r="AG14" s="65">
        <f>(IF(VIEW_IV_2019_REP_CALCULO_TRI[[#This Row],[Cobertura-PRIVIGEN]]&lt;Cob_Min_REP,0,IF(VIEW_IV_2019_REP_CALCULO_TRI[[#This Row],[Cobertura-PRIVIGEN]]&gt;Cob_Max_REP,Vlr_Max_REP,VLOOKUP(VIEW_IV_2019_REP_CALCULO_TRI[[#This Row],[Cobertura-PRIVIGEN]],Tabela_Valores_REP,2,1)))*VIEW_IV_2019_REP_CALCULO_TRI[[#This Row],[Peso-PRIVIGEN]])*3</f>
        <v>0</v>
      </c>
      <c r="AH14" s="65">
        <f>SUMIFS(VIEW_IV_2019_REP_CALCULO[Premio-BERINERT],VIEW_IV_2019_REP_CALCULO[Ano-Fiscal],VIEW_IV_2019_REP_CALCULO_TRI[[#This Row],[Ano-Fiscal]],VIEW_IV_2019_REP_CALCULO[Tri-Fiscal],VIEW_IV_2019_REP_CALCULO_TRI[[#This Row],[Tri-Fiscal]],VIEW_IV_2019_REP_CALCULO['#PK-Email],VIEW_IV_2019_REP_CALCULO_TRI[[#This Row],['#PK-Email]])</f>
        <v>0</v>
      </c>
      <c r="AI14" s="65">
        <f>SUMIFS(VIEW_IV_2019_REP_CALCULO[Premio-BERIPLEX],VIEW_IV_2019_REP_CALCULO[Ano-Fiscal],VIEW_IV_2019_REP_CALCULO_TRI[[#This Row],[Ano-Fiscal]],VIEW_IV_2019_REP_CALCULO[Tri-Fiscal],VIEW_IV_2019_REP_CALCULO_TRI[[#This Row],[Tri-Fiscal]],VIEW_IV_2019_REP_CALCULO['#PK-Email],VIEW_IV_2019_REP_CALCULO_TRI[[#This Row],['#PK-Email]])</f>
        <v>2753.2510780185007</v>
      </c>
      <c r="AJ14" s="65">
        <f>SUMIFS(VIEW_IV_2019_REP_CALCULO[Premio-HAEMO],VIEW_IV_2019_REP_CALCULO[Ano-Fiscal],VIEW_IV_2019_REP_CALCULO_TRI[[#This Row],[Ano-Fiscal]],VIEW_IV_2019_REP_CALCULO[Tri-Fiscal],VIEW_IV_2019_REP_CALCULO_TRI[[#This Row],[Tri-Fiscal]],VIEW_IV_2019_REP_CALCULO['#PK-Email],VIEW_IV_2019_REP_CALCULO_TRI[[#This Row],['#PK-Email]])</f>
        <v>2121.6437818732993</v>
      </c>
      <c r="AK14" s="65">
        <f>SUMIFS(VIEW_IV_2019_REP_CALCULO[Premio-HIZENTRA],VIEW_IV_2019_REP_CALCULO[Ano-Fiscal],VIEW_IV_2019_REP_CALCULO_TRI[[#This Row],[Ano-Fiscal]],VIEW_IV_2019_REP_CALCULO[Tri-Fiscal],VIEW_IV_2019_REP_CALCULO_TRI[[#This Row],[Tri-Fiscal]],VIEW_IV_2019_REP_CALCULO['#PK-Email],VIEW_IV_2019_REP_CALCULO_TRI[[#This Row],['#PK-Email]])</f>
        <v>0</v>
      </c>
      <c r="AL14" s="65">
        <f>SUMIFS(VIEW_IV_2019_REP_CALCULO[Premio-PRIVIGEN],VIEW_IV_2019_REP_CALCULO[Ano-Fiscal],VIEW_IV_2019_REP_CALCULO_TRI[[#This Row],[Ano-Fiscal]],VIEW_IV_2019_REP_CALCULO[Tri-Fiscal],VIEW_IV_2019_REP_CALCULO_TRI[[#This Row],[Tri-Fiscal]],VIEW_IV_2019_REP_CALCULO['#PK-Email],VIEW_IV_2019_REP_CALCULO_TRI[[#This Row],['#PK-Email]])</f>
        <v>1516.8815536343645</v>
      </c>
      <c r="AM14" s="65">
        <f>IF((VIEW_IV_2019_REP_CALCULO_TRI[[#This Row],[Premio-BERINERT]]-VIEW_IV_2019_REP_CALCULO_TRI[[#This Row],[Recebido-BERINERT]])&lt;=0,0,VIEW_IV_2019_REP_CALCULO_TRI[[#This Row],[Premio-BERINERT]]-VIEW_IV_2019_REP_CALCULO_TRI[[#This Row],[Recebido-BERINERT]])</f>
        <v>0</v>
      </c>
      <c r="AN14" s="65">
        <f>IF((VIEW_IV_2019_REP_CALCULO_TRI[[#This Row],[Premio-BERIPLEX]]-VIEW_IV_2019_REP_CALCULO_TRI[[#This Row],[Recebido-BERIPLEX]])&lt;=0,0,VIEW_IV_2019_REP_CALCULO_TRI[[#This Row],[Premio-BERIPLEX]]-VIEW_IV_2019_REP_CALCULO_TRI[[#This Row],[Recebido-BERIPLEX]])</f>
        <v>7.0673382264940301</v>
      </c>
      <c r="AO14" s="65">
        <f>IF((VIEW_IV_2019_REP_CALCULO_TRI[[#This Row],[Premio-HAEMO]]-VIEW_IV_2019_REP_CALCULO_TRI[[#This Row],[Recebido-HAEMO]])&lt;=0,0,VIEW_IV_2019_REP_CALCULO_TRI[[#This Row],[Premio-HAEMO]]-VIEW_IV_2019_REP_CALCULO_TRI[[#This Row],[Recebido-HAEMO]])</f>
        <v>0</v>
      </c>
      <c r="AP14" s="65">
        <f>IF((VIEW_IV_2019_REP_CALCULO_TRI[[#This Row],[Premio-HIZENTRA]]-VIEW_IV_2019_REP_CALCULO_TRI[[#This Row],[Recebido-HIZENTRA]])&lt;=0,0,VIEW_IV_2019_REP_CALCULO_TRI[[#This Row],[Premio-HIZENTRA]]-VIEW_IV_2019_REP_CALCULO_TRI[[#This Row],[Recebido-HIZENTRA]])</f>
        <v>0</v>
      </c>
      <c r="AQ14" s="65">
        <f>IF((VIEW_IV_2019_REP_CALCULO_TRI[[#This Row],[Premio-PRIVIGEN]]-VIEW_IV_2019_REP_CALCULO_TRI[[#This Row],[Recebido-PRIVIGEN]])&lt;=0,0,VIEW_IV_2019_REP_CALCULO_TRI[[#This Row],[Premio-PRIVIGEN]]-VIEW_IV_2019_REP_CALCULO_TRI[[#This Row],[Recebido-PRIVIGEN]])</f>
        <v>0</v>
      </c>
      <c r="AR14" s="102">
        <f>SUM(VIEW_IV_2019_REP_CALCULO_TRI[[#This Row],[Recuperavel-BERINERT]:[Recuperavel-PRIVIGEN]])</f>
        <v>7.0673382264940301</v>
      </c>
    </row>
    <row r="15" spans="1:44" x14ac:dyDescent="0.25">
      <c r="A15" s="7" t="s">
        <v>16</v>
      </c>
      <c r="B15" s="7" t="s">
        <v>18</v>
      </c>
      <c r="C15" s="8" t="s">
        <v>724</v>
      </c>
      <c r="D15" s="8" t="s">
        <v>725</v>
      </c>
      <c r="E15" s="8" t="s">
        <v>723</v>
      </c>
      <c r="F15" s="8" t="s">
        <v>787</v>
      </c>
      <c r="G15" s="3" t="b">
        <v>1</v>
      </c>
      <c r="H15" s="3" t="b">
        <v>1</v>
      </c>
      <c r="I15" s="10">
        <v>0</v>
      </c>
      <c r="J15" s="10">
        <v>350</v>
      </c>
      <c r="K15" s="10">
        <v>480</v>
      </c>
      <c r="L15" s="10">
        <v>0</v>
      </c>
      <c r="M15" s="10">
        <v>12645</v>
      </c>
      <c r="N15" s="10">
        <v>0</v>
      </c>
      <c r="O15" s="10">
        <v>251</v>
      </c>
      <c r="P15" s="10">
        <v>471</v>
      </c>
      <c r="Q15" s="10">
        <v>0</v>
      </c>
      <c r="R15" s="10">
        <v>9275</v>
      </c>
      <c r="S15" s="75">
        <v>0</v>
      </c>
      <c r="T15" s="75">
        <v>0.25</v>
      </c>
      <c r="U15" s="75">
        <v>0.25</v>
      </c>
      <c r="V15" s="75">
        <v>0</v>
      </c>
      <c r="W15" s="75">
        <v>0.2</v>
      </c>
      <c r="X15" s="75">
        <f>IFERROR(VIEW_IV_2019_REP_CALCULO_TRI[[#This Row],[Demanda-BERINERT]]/VIEW_IV_2019_REP_CALCULO_TRI[[#This Row],[Cota-BERINERT]],0)</f>
        <v>0</v>
      </c>
      <c r="Y15" s="75">
        <f>IFERROR(VIEW_IV_2019_REP_CALCULO_TRI[[#This Row],[Demanda-BERIPLEX]]/VIEW_IV_2019_REP_CALCULO_TRI[[#This Row],[Cota-BERIPLEX]],0)</f>
        <v>0.71714285714285719</v>
      </c>
      <c r="Z15" s="75">
        <f>IFERROR(VIEW_IV_2019_REP_CALCULO_TRI[[#This Row],[Demanda-HAEMO]]/VIEW_IV_2019_REP_CALCULO_TRI[[#This Row],[Cota-HAEMO]],0)</f>
        <v>0.98124999999999996</v>
      </c>
      <c r="AA15" s="75">
        <f>IFERROR(VIEW_IV_2019_REP_CALCULO_TRI[[#This Row],[Demanda-HIZENTRA]]/VIEW_IV_2019_REP_CALCULO_TRI[[#This Row],[Cota-HIZENTRA]],0)</f>
        <v>0</v>
      </c>
      <c r="AB15" s="75">
        <f>IFERROR(VIEW_IV_2019_REP_CALCULO_TRI[[#This Row],[Demanda-PRIVIGEN]]/VIEW_IV_2019_REP_CALCULO_TRI[[#This Row],[Cota-PRIVIGEN]],0)</f>
        <v>0.73349149861605378</v>
      </c>
      <c r="AC15" s="65">
        <f>(IF(VIEW_IV_2019_REP_CALCULO_TRI[[#This Row],[Cobertura-BERINERT]]&lt;Cob_Min_REP,0,IF(VIEW_IV_2019_REP_CALCULO_TRI[[#This Row],[Cobertura-BERINERT]]&gt;Cob_Max_REP,Vlr_Max_REP,VLOOKUP(VIEW_IV_2019_REP_CALCULO_TRI[[#This Row],[Cobertura-BERINERT]],Tabela_Valores_REP,2,1)))*VIEW_IV_2019_REP_CALCULO_TRI[[#This Row],[Peso-BERINERT]])*3</f>
        <v>0</v>
      </c>
      <c r="AD15" s="65">
        <f>(IF(VIEW_IV_2019_REP_CALCULO_TRI[[#This Row],[Cobertura-BERIPLEX]]&lt;Cob_Min_REP,0,IF(VIEW_IV_2019_REP_CALCULO_TRI[[#This Row],[Cobertura-BERIPLEX]]&gt;Cob_Max_REP,Vlr_Max_REP,VLOOKUP(VIEW_IV_2019_REP_CALCULO_TRI[[#This Row],[Cobertura-BERIPLEX]],Tabela_Valores_REP,2,1)))*VIEW_IV_2019_REP_CALCULO_TRI[[#This Row],[Peso-BERIPLEX]])*3</f>
        <v>0</v>
      </c>
      <c r="AE15" s="65">
        <f>(IF(VIEW_IV_2019_REP_CALCULO_TRI[[#This Row],[Cobertura-HAEMO]]&lt;Cob_Min_REP,0,IF(VIEW_IV_2019_REP_CALCULO_TRI[[#This Row],[Cobertura-HAEMO]]&gt;Cob_Max_REP,Vlr_Max_REP,VLOOKUP(VIEW_IV_2019_REP_CALCULO_TRI[[#This Row],[Cobertura-HAEMO]],Tabela_Valores_REP,2,1)))*VIEW_IV_2019_REP_CALCULO_TRI[[#This Row],[Peso-HAEMO]])*3</f>
        <v>1989.7171301579856</v>
      </c>
      <c r="AF15" s="65">
        <f>(IF(VIEW_IV_2019_REP_CALCULO_TRI[[#This Row],[Cobertura-HIZENTRA]]&lt;Cob_Min_REP,0,IF(VIEW_IV_2019_REP_CALCULO_TRI[[#This Row],[Cobertura-HIZENTRA]]&gt;Cob_Max_REP,Vlr_Max_REP,VLOOKUP(VIEW_IV_2019_REP_CALCULO_TRI[[#This Row],[Cobertura-HIZENTRA]],Tabela_Valores_REP,2,1)))*VIEW_IV_2019_REP_CALCULO_TRI[[#This Row],[Peso-HIZENTRA]])*3</f>
        <v>0</v>
      </c>
      <c r="AG15" s="65">
        <f>(IF(VIEW_IV_2019_REP_CALCULO_TRI[[#This Row],[Cobertura-PRIVIGEN]]&lt;Cob_Min_REP,0,IF(VIEW_IV_2019_REP_CALCULO_TRI[[#This Row],[Cobertura-PRIVIGEN]]&gt;Cob_Max_REP,Vlr_Max_REP,VLOOKUP(VIEW_IV_2019_REP_CALCULO_TRI[[#This Row],[Cobertura-PRIVIGEN]],Tabela_Valores_REP,2,1)))*VIEW_IV_2019_REP_CALCULO_TRI[[#This Row],[Peso-PRIVIGEN]])*3</f>
        <v>0</v>
      </c>
      <c r="AH15" s="65">
        <f>SUMIFS(VIEW_IV_2019_REP_CALCULO[Premio-BERINERT],VIEW_IV_2019_REP_CALCULO[Ano-Fiscal],VIEW_IV_2019_REP_CALCULO_TRI[[#This Row],[Ano-Fiscal]],VIEW_IV_2019_REP_CALCULO[Tri-Fiscal],VIEW_IV_2019_REP_CALCULO_TRI[[#This Row],[Tri-Fiscal]],VIEW_IV_2019_REP_CALCULO['#PK-Email],VIEW_IV_2019_REP_CALCULO_TRI[[#This Row],['#PK-Email]])</f>
        <v>0</v>
      </c>
      <c r="AI15" s="65">
        <f>SUMIFS(VIEW_IV_2019_REP_CALCULO[Premio-BERIPLEX],VIEW_IV_2019_REP_CALCULO[Ano-Fiscal],VIEW_IV_2019_REP_CALCULO_TRI[[#This Row],[Ano-Fiscal]],VIEW_IV_2019_REP_CALCULO[Tri-Fiscal],VIEW_IV_2019_REP_CALCULO_TRI[[#This Row],[Tri-Fiscal]],VIEW_IV_2019_REP_CALCULO['#PK-Email],VIEW_IV_2019_REP_CALCULO_TRI[[#This Row],['#PK-Email]])</f>
        <v>378.60740499098563</v>
      </c>
      <c r="AJ15" s="65">
        <f>SUMIFS(VIEW_IV_2019_REP_CALCULO[Premio-HAEMO],VIEW_IV_2019_REP_CALCULO[Ano-Fiscal],VIEW_IV_2019_REP_CALCULO_TRI[[#This Row],[Ano-Fiscal]],VIEW_IV_2019_REP_CALCULO[Tri-Fiscal],VIEW_IV_2019_REP_CALCULO_TRI[[#This Row],[Tri-Fiscal]],VIEW_IV_2019_REP_CALCULO['#PK-Email],VIEW_IV_2019_REP_CALCULO_TRI[[#This Row],['#PK-Email]])</f>
        <v>2310.3164720271388</v>
      </c>
      <c r="AK15" s="65">
        <f>SUMIFS(VIEW_IV_2019_REP_CALCULO[Premio-HIZENTRA],VIEW_IV_2019_REP_CALCULO[Ano-Fiscal],VIEW_IV_2019_REP_CALCULO_TRI[[#This Row],[Ano-Fiscal]],VIEW_IV_2019_REP_CALCULO[Tri-Fiscal],VIEW_IV_2019_REP_CALCULO_TRI[[#This Row],[Tri-Fiscal]],VIEW_IV_2019_REP_CALCULO['#PK-Email],VIEW_IV_2019_REP_CALCULO_TRI[[#This Row],['#PK-Email]])</f>
        <v>0</v>
      </c>
      <c r="AL15" s="65">
        <f>SUMIFS(VIEW_IV_2019_REP_CALCULO[Premio-PRIVIGEN],VIEW_IV_2019_REP_CALCULO[Ano-Fiscal],VIEW_IV_2019_REP_CALCULO_TRI[[#This Row],[Ano-Fiscal]],VIEW_IV_2019_REP_CALCULO[Tri-Fiscal],VIEW_IV_2019_REP_CALCULO_TRI[[#This Row],[Tri-Fiscal]],VIEW_IV_2019_REP_CALCULO['#PK-Email],VIEW_IV_2019_REP_CALCULO_TRI[[#This Row],['#PK-Email]])</f>
        <v>524.64168977322345</v>
      </c>
      <c r="AM15" s="65">
        <f>IF((VIEW_IV_2019_REP_CALCULO_TRI[[#This Row],[Premio-BERINERT]]-VIEW_IV_2019_REP_CALCULO_TRI[[#This Row],[Recebido-BERINERT]])&lt;=0,0,VIEW_IV_2019_REP_CALCULO_TRI[[#This Row],[Premio-BERINERT]]-VIEW_IV_2019_REP_CALCULO_TRI[[#This Row],[Recebido-BERINERT]])</f>
        <v>0</v>
      </c>
      <c r="AN15" s="65">
        <f>IF((VIEW_IV_2019_REP_CALCULO_TRI[[#This Row],[Premio-BERIPLEX]]-VIEW_IV_2019_REP_CALCULO_TRI[[#This Row],[Recebido-BERIPLEX]])&lt;=0,0,VIEW_IV_2019_REP_CALCULO_TRI[[#This Row],[Premio-BERIPLEX]]-VIEW_IV_2019_REP_CALCULO_TRI[[#This Row],[Recebido-BERIPLEX]])</f>
        <v>0</v>
      </c>
      <c r="AO15" s="65">
        <f>IF((VIEW_IV_2019_REP_CALCULO_TRI[[#This Row],[Premio-HAEMO]]-VIEW_IV_2019_REP_CALCULO_TRI[[#This Row],[Recebido-HAEMO]])&lt;=0,0,VIEW_IV_2019_REP_CALCULO_TRI[[#This Row],[Premio-HAEMO]]-VIEW_IV_2019_REP_CALCULO_TRI[[#This Row],[Recebido-HAEMO]])</f>
        <v>0</v>
      </c>
      <c r="AP15" s="65">
        <f>IF((VIEW_IV_2019_REP_CALCULO_TRI[[#This Row],[Premio-HIZENTRA]]-VIEW_IV_2019_REP_CALCULO_TRI[[#This Row],[Recebido-HIZENTRA]])&lt;=0,0,VIEW_IV_2019_REP_CALCULO_TRI[[#This Row],[Premio-HIZENTRA]]-VIEW_IV_2019_REP_CALCULO_TRI[[#This Row],[Recebido-HIZENTRA]])</f>
        <v>0</v>
      </c>
      <c r="AQ15" s="65">
        <f>IF((VIEW_IV_2019_REP_CALCULO_TRI[[#This Row],[Premio-PRIVIGEN]]-VIEW_IV_2019_REP_CALCULO_TRI[[#This Row],[Recebido-PRIVIGEN]])&lt;=0,0,VIEW_IV_2019_REP_CALCULO_TRI[[#This Row],[Premio-PRIVIGEN]]-VIEW_IV_2019_REP_CALCULO_TRI[[#This Row],[Recebido-PRIVIGEN]])</f>
        <v>0</v>
      </c>
      <c r="AR15" s="102">
        <f>SUM(VIEW_IV_2019_REP_CALCULO_TRI[[#This Row],[Recuperavel-BERINERT]:[Recuperavel-PRIVIGEN]])</f>
        <v>0</v>
      </c>
    </row>
    <row r="16" spans="1:44" x14ac:dyDescent="0.25">
      <c r="A16" s="7" t="s">
        <v>16</v>
      </c>
      <c r="B16" s="7" t="s">
        <v>18</v>
      </c>
      <c r="C16" s="8" t="s">
        <v>726</v>
      </c>
      <c r="D16" s="8" t="s">
        <v>727</v>
      </c>
      <c r="E16" s="8" t="s">
        <v>723</v>
      </c>
      <c r="F16" s="8" t="s">
        <v>787</v>
      </c>
      <c r="G16" s="3" t="b">
        <v>1</v>
      </c>
      <c r="H16" s="3" t="b">
        <v>1</v>
      </c>
      <c r="I16" s="10">
        <v>0</v>
      </c>
      <c r="J16" s="10">
        <v>300</v>
      </c>
      <c r="K16" s="10">
        <v>200</v>
      </c>
      <c r="L16" s="10">
        <v>0</v>
      </c>
      <c r="M16" s="10">
        <v>16860</v>
      </c>
      <c r="N16" s="10">
        <v>0</v>
      </c>
      <c r="O16" s="10">
        <v>79</v>
      </c>
      <c r="P16" s="10">
        <v>59</v>
      </c>
      <c r="Q16" s="10">
        <v>0</v>
      </c>
      <c r="R16" s="10">
        <v>22305</v>
      </c>
      <c r="S16" s="75">
        <v>0</v>
      </c>
      <c r="T16" s="75">
        <v>0.25</v>
      </c>
      <c r="U16" s="75">
        <v>0.25</v>
      </c>
      <c r="V16" s="75">
        <v>0</v>
      </c>
      <c r="W16" s="75">
        <v>0.2</v>
      </c>
      <c r="X16" s="75">
        <f>IFERROR(VIEW_IV_2019_REP_CALCULO_TRI[[#This Row],[Demanda-BERINERT]]/VIEW_IV_2019_REP_CALCULO_TRI[[#This Row],[Cota-BERINERT]],0)</f>
        <v>0</v>
      </c>
      <c r="Y16" s="75">
        <f>IFERROR(VIEW_IV_2019_REP_CALCULO_TRI[[#This Row],[Demanda-BERIPLEX]]/VIEW_IV_2019_REP_CALCULO_TRI[[#This Row],[Cota-BERIPLEX]],0)</f>
        <v>0.26333333333333331</v>
      </c>
      <c r="Z16" s="75">
        <f>IFERROR(VIEW_IV_2019_REP_CALCULO_TRI[[#This Row],[Demanda-HAEMO]]/VIEW_IV_2019_REP_CALCULO_TRI[[#This Row],[Cota-HAEMO]],0)</f>
        <v>0.29499999999999998</v>
      </c>
      <c r="AA16" s="75">
        <f>IFERROR(VIEW_IV_2019_REP_CALCULO_TRI[[#This Row],[Demanda-HIZENTRA]]/VIEW_IV_2019_REP_CALCULO_TRI[[#This Row],[Cota-HIZENTRA]],0)</f>
        <v>0</v>
      </c>
      <c r="AB16" s="75">
        <f>IFERROR(VIEW_IV_2019_REP_CALCULO_TRI[[#This Row],[Demanda-PRIVIGEN]]/VIEW_IV_2019_REP_CALCULO_TRI[[#This Row],[Cota-PRIVIGEN]],0)</f>
        <v>1.3229537366548043</v>
      </c>
      <c r="AC16" s="65">
        <f>(IF(VIEW_IV_2019_REP_CALCULO_TRI[[#This Row],[Cobertura-BERINERT]]&lt;Cob_Min_REP,0,IF(VIEW_IV_2019_REP_CALCULO_TRI[[#This Row],[Cobertura-BERINERT]]&gt;Cob_Max_REP,Vlr_Max_REP,VLOOKUP(VIEW_IV_2019_REP_CALCULO_TRI[[#This Row],[Cobertura-BERINERT]],Tabela_Valores_REP,2,1)))*VIEW_IV_2019_REP_CALCULO_TRI[[#This Row],[Peso-BERINERT]])*3</f>
        <v>0</v>
      </c>
      <c r="AD16" s="65">
        <f>(IF(VIEW_IV_2019_REP_CALCULO_TRI[[#This Row],[Cobertura-BERIPLEX]]&lt;Cob_Min_REP,0,IF(VIEW_IV_2019_REP_CALCULO_TRI[[#This Row],[Cobertura-BERIPLEX]]&gt;Cob_Max_REP,Vlr_Max_REP,VLOOKUP(VIEW_IV_2019_REP_CALCULO_TRI[[#This Row],[Cobertura-BERIPLEX]],Tabela_Valores_REP,2,1)))*VIEW_IV_2019_REP_CALCULO_TRI[[#This Row],[Peso-BERIPLEX]])*3</f>
        <v>0</v>
      </c>
      <c r="AE16" s="65">
        <f>(IF(VIEW_IV_2019_REP_CALCULO_TRI[[#This Row],[Cobertura-HAEMO]]&lt;Cob_Min_REP,0,IF(VIEW_IV_2019_REP_CALCULO_TRI[[#This Row],[Cobertura-HAEMO]]&gt;Cob_Max_REP,Vlr_Max_REP,VLOOKUP(VIEW_IV_2019_REP_CALCULO_TRI[[#This Row],[Cobertura-HAEMO]],Tabela_Valores_REP,2,1)))*VIEW_IV_2019_REP_CALCULO_TRI[[#This Row],[Peso-HAEMO]])*3</f>
        <v>0</v>
      </c>
      <c r="AF16" s="65">
        <f>(IF(VIEW_IV_2019_REP_CALCULO_TRI[[#This Row],[Cobertura-HIZENTRA]]&lt;Cob_Min_REP,0,IF(VIEW_IV_2019_REP_CALCULO_TRI[[#This Row],[Cobertura-HIZENTRA]]&gt;Cob_Max_REP,Vlr_Max_REP,VLOOKUP(VIEW_IV_2019_REP_CALCULO_TRI[[#This Row],[Cobertura-HIZENTRA]],Tabela_Valores_REP,2,1)))*VIEW_IV_2019_REP_CALCULO_TRI[[#This Row],[Peso-HIZENTRA]])*3</f>
        <v>0</v>
      </c>
      <c r="AG16" s="65">
        <f>(IF(VIEW_IV_2019_REP_CALCULO_TRI[[#This Row],[Cobertura-PRIVIGEN]]&lt;Cob_Min_REP,0,IF(VIEW_IV_2019_REP_CALCULO_TRI[[#This Row],[Cobertura-PRIVIGEN]]&gt;Cob_Max_REP,Vlr_Max_REP,VLOOKUP(VIEW_IV_2019_REP_CALCULO_TRI[[#This Row],[Cobertura-PRIVIGEN]],Tabela_Valores_REP,2,1)))*VIEW_IV_2019_REP_CALCULO_TRI[[#This Row],[Peso-PRIVIGEN]])*3</f>
        <v>4283.4213909895698</v>
      </c>
      <c r="AH16" s="65">
        <f>SUMIFS(VIEW_IV_2019_REP_CALCULO[Premio-BERINERT],VIEW_IV_2019_REP_CALCULO[Ano-Fiscal],VIEW_IV_2019_REP_CALCULO_TRI[[#This Row],[Ano-Fiscal]],VIEW_IV_2019_REP_CALCULO[Tri-Fiscal],VIEW_IV_2019_REP_CALCULO_TRI[[#This Row],[Tri-Fiscal]],VIEW_IV_2019_REP_CALCULO['#PK-Email],VIEW_IV_2019_REP_CALCULO_TRI[[#This Row],['#PK-Email]])</f>
        <v>0</v>
      </c>
      <c r="AI16" s="65">
        <f>SUMIFS(VIEW_IV_2019_REP_CALCULO[Premio-BERIPLEX],VIEW_IV_2019_REP_CALCULO[Ano-Fiscal],VIEW_IV_2019_REP_CALCULO_TRI[[#This Row],[Ano-Fiscal]],VIEW_IV_2019_REP_CALCULO[Tri-Fiscal],VIEW_IV_2019_REP_CALCULO_TRI[[#This Row],[Tri-Fiscal]],VIEW_IV_2019_REP_CALCULO['#PK-Email],VIEW_IV_2019_REP_CALCULO_TRI[[#This Row],['#PK-Email]])</f>
        <v>0</v>
      </c>
      <c r="AJ16" s="65">
        <f>SUMIFS(VIEW_IV_2019_REP_CALCULO[Premio-HAEMO],VIEW_IV_2019_REP_CALCULO[Ano-Fiscal],VIEW_IV_2019_REP_CALCULO_TRI[[#This Row],[Ano-Fiscal]],VIEW_IV_2019_REP_CALCULO[Tri-Fiscal],VIEW_IV_2019_REP_CALCULO_TRI[[#This Row],[Tri-Fiscal]],VIEW_IV_2019_REP_CALCULO['#PK-Email],VIEW_IV_2019_REP_CALCULO_TRI[[#This Row],['#PK-Email]])</f>
        <v>0</v>
      </c>
      <c r="AK16" s="65">
        <f>SUMIFS(VIEW_IV_2019_REP_CALCULO[Premio-HIZENTRA],VIEW_IV_2019_REP_CALCULO[Ano-Fiscal],VIEW_IV_2019_REP_CALCULO_TRI[[#This Row],[Ano-Fiscal]],VIEW_IV_2019_REP_CALCULO[Tri-Fiscal],VIEW_IV_2019_REP_CALCULO_TRI[[#This Row],[Tri-Fiscal]],VIEW_IV_2019_REP_CALCULO['#PK-Email],VIEW_IV_2019_REP_CALCULO_TRI[[#This Row],['#PK-Email]])</f>
        <v>0</v>
      </c>
      <c r="AL16" s="65">
        <f>SUMIFS(VIEW_IV_2019_REP_CALCULO[Premio-PRIVIGEN],VIEW_IV_2019_REP_CALCULO[Ano-Fiscal],VIEW_IV_2019_REP_CALCULO_TRI[[#This Row],[Ano-Fiscal]],VIEW_IV_2019_REP_CALCULO[Tri-Fiscal],VIEW_IV_2019_REP_CALCULO_TRI[[#This Row],[Tri-Fiscal]],VIEW_IV_2019_REP_CALCULO['#PK-Email],VIEW_IV_2019_REP_CALCULO_TRI[[#This Row],['#PK-Email]])</f>
        <v>4083.3349495999346</v>
      </c>
      <c r="AM16" s="65">
        <f>IF((VIEW_IV_2019_REP_CALCULO_TRI[[#This Row],[Premio-BERINERT]]-VIEW_IV_2019_REP_CALCULO_TRI[[#This Row],[Recebido-BERINERT]])&lt;=0,0,VIEW_IV_2019_REP_CALCULO_TRI[[#This Row],[Premio-BERINERT]]-VIEW_IV_2019_REP_CALCULO_TRI[[#This Row],[Recebido-BERINERT]])</f>
        <v>0</v>
      </c>
      <c r="AN16" s="65">
        <f>IF((VIEW_IV_2019_REP_CALCULO_TRI[[#This Row],[Premio-BERIPLEX]]-VIEW_IV_2019_REP_CALCULO_TRI[[#This Row],[Recebido-BERIPLEX]])&lt;=0,0,VIEW_IV_2019_REP_CALCULO_TRI[[#This Row],[Premio-BERIPLEX]]-VIEW_IV_2019_REP_CALCULO_TRI[[#This Row],[Recebido-BERIPLEX]])</f>
        <v>0</v>
      </c>
      <c r="AO16" s="65">
        <f>IF((VIEW_IV_2019_REP_CALCULO_TRI[[#This Row],[Premio-HAEMO]]-VIEW_IV_2019_REP_CALCULO_TRI[[#This Row],[Recebido-HAEMO]])&lt;=0,0,VIEW_IV_2019_REP_CALCULO_TRI[[#This Row],[Premio-HAEMO]]-VIEW_IV_2019_REP_CALCULO_TRI[[#This Row],[Recebido-HAEMO]])</f>
        <v>0</v>
      </c>
      <c r="AP16" s="65">
        <f>IF((VIEW_IV_2019_REP_CALCULO_TRI[[#This Row],[Premio-HIZENTRA]]-VIEW_IV_2019_REP_CALCULO_TRI[[#This Row],[Recebido-HIZENTRA]])&lt;=0,0,VIEW_IV_2019_REP_CALCULO_TRI[[#This Row],[Premio-HIZENTRA]]-VIEW_IV_2019_REP_CALCULO_TRI[[#This Row],[Recebido-HIZENTRA]])</f>
        <v>0</v>
      </c>
      <c r="AQ16" s="65">
        <f>IF((VIEW_IV_2019_REP_CALCULO_TRI[[#This Row],[Premio-PRIVIGEN]]-VIEW_IV_2019_REP_CALCULO_TRI[[#This Row],[Recebido-PRIVIGEN]])&lt;=0,0,VIEW_IV_2019_REP_CALCULO_TRI[[#This Row],[Premio-PRIVIGEN]]-VIEW_IV_2019_REP_CALCULO_TRI[[#This Row],[Recebido-PRIVIGEN]])</f>
        <v>200.08644138963518</v>
      </c>
      <c r="AR16" s="102">
        <f>SUM(VIEW_IV_2019_REP_CALCULO_TRI[[#This Row],[Recuperavel-BERINERT]:[Recuperavel-PRIVIGEN]])</f>
        <v>200.08644138963518</v>
      </c>
    </row>
    <row r="17" spans="1:44" x14ac:dyDescent="0.25">
      <c r="A17" s="7" t="s">
        <v>16</v>
      </c>
      <c r="B17" s="7" t="s">
        <v>18</v>
      </c>
      <c r="C17" s="8" t="s">
        <v>735</v>
      </c>
      <c r="D17" s="8" t="s">
        <v>736</v>
      </c>
      <c r="E17" s="8" t="s">
        <v>723</v>
      </c>
      <c r="F17" s="8" t="s">
        <v>785</v>
      </c>
      <c r="G17" s="3" t="b">
        <v>1</v>
      </c>
      <c r="H17" s="3" t="b">
        <v>1</v>
      </c>
      <c r="I17" s="10">
        <v>0</v>
      </c>
      <c r="J17" s="10">
        <v>200</v>
      </c>
      <c r="K17" s="10">
        <v>160</v>
      </c>
      <c r="L17" s="10">
        <v>0</v>
      </c>
      <c r="M17" s="10">
        <v>21075</v>
      </c>
      <c r="N17" s="10">
        <v>0</v>
      </c>
      <c r="O17" s="10">
        <v>14</v>
      </c>
      <c r="P17" s="10">
        <v>40</v>
      </c>
      <c r="Q17" s="10">
        <v>0</v>
      </c>
      <c r="R17" s="10">
        <v>50307</v>
      </c>
      <c r="S17" s="75">
        <v>0</v>
      </c>
      <c r="T17" s="75">
        <v>0.25</v>
      </c>
      <c r="U17" s="75">
        <v>0.25</v>
      </c>
      <c r="V17" s="75">
        <v>0</v>
      </c>
      <c r="W17" s="75">
        <v>0.2</v>
      </c>
      <c r="X17" s="75">
        <f>IFERROR(VIEW_IV_2019_REP_CALCULO_TRI[[#This Row],[Demanda-BERINERT]]/VIEW_IV_2019_REP_CALCULO_TRI[[#This Row],[Cota-BERINERT]],0)</f>
        <v>0</v>
      </c>
      <c r="Y17" s="75">
        <f>IFERROR(VIEW_IV_2019_REP_CALCULO_TRI[[#This Row],[Demanda-BERIPLEX]]/VIEW_IV_2019_REP_CALCULO_TRI[[#This Row],[Cota-BERIPLEX]],0)</f>
        <v>7.0000000000000007E-2</v>
      </c>
      <c r="Z17" s="75">
        <f>IFERROR(VIEW_IV_2019_REP_CALCULO_TRI[[#This Row],[Demanda-HAEMO]]/VIEW_IV_2019_REP_CALCULO_TRI[[#This Row],[Cota-HAEMO]],0)</f>
        <v>0.25</v>
      </c>
      <c r="AA17" s="75">
        <f>IFERROR(VIEW_IV_2019_REP_CALCULO_TRI[[#This Row],[Demanda-HIZENTRA]]/VIEW_IV_2019_REP_CALCULO_TRI[[#This Row],[Cota-HIZENTRA]],0)</f>
        <v>0</v>
      </c>
      <c r="AB17" s="75">
        <f>IFERROR(VIEW_IV_2019_REP_CALCULO_TRI[[#This Row],[Demanda-PRIVIGEN]]/VIEW_IV_2019_REP_CALCULO_TRI[[#This Row],[Cota-PRIVIGEN]],0)</f>
        <v>2.3870462633451957</v>
      </c>
      <c r="AC17" s="65">
        <f>(IF(VIEW_IV_2019_REP_CALCULO_TRI[[#This Row],[Cobertura-BERINERT]]&lt;Cob_Min_REP,0,IF(VIEW_IV_2019_REP_CALCULO_TRI[[#This Row],[Cobertura-BERINERT]]&gt;Cob_Max_REP,Vlr_Max_REP,VLOOKUP(VIEW_IV_2019_REP_CALCULO_TRI[[#This Row],[Cobertura-BERINERT]],Tabela_Valores_REP,2,1)))*VIEW_IV_2019_REP_CALCULO_TRI[[#This Row],[Peso-BERINERT]])*3</f>
        <v>0</v>
      </c>
      <c r="AD17" s="65">
        <f>(IF(VIEW_IV_2019_REP_CALCULO_TRI[[#This Row],[Cobertura-BERIPLEX]]&lt;Cob_Min_REP,0,IF(VIEW_IV_2019_REP_CALCULO_TRI[[#This Row],[Cobertura-BERIPLEX]]&gt;Cob_Max_REP,Vlr_Max_REP,VLOOKUP(VIEW_IV_2019_REP_CALCULO_TRI[[#This Row],[Cobertura-BERIPLEX]],Tabela_Valores_REP,2,1)))*VIEW_IV_2019_REP_CALCULO_TRI[[#This Row],[Peso-BERIPLEX]])*3</f>
        <v>0</v>
      </c>
      <c r="AE17" s="65">
        <f>(IF(VIEW_IV_2019_REP_CALCULO_TRI[[#This Row],[Cobertura-HAEMO]]&lt;Cob_Min_REP,0,IF(VIEW_IV_2019_REP_CALCULO_TRI[[#This Row],[Cobertura-HAEMO]]&gt;Cob_Max_REP,Vlr_Max_REP,VLOOKUP(VIEW_IV_2019_REP_CALCULO_TRI[[#This Row],[Cobertura-HAEMO]],Tabela_Valores_REP,2,1)))*VIEW_IV_2019_REP_CALCULO_TRI[[#This Row],[Peso-HAEMO]])*3</f>
        <v>0</v>
      </c>
      <c r="AF17" s="65">
        <f>(IF(VIEW_IV_2019_REP_CALCULO_TRI[[#This Row],[Cobertura-HIZENTRA]]&lt;Cob_Min_REP,0,IF(VIEW_IV_2019_REP_CALCULO_TRI[[#This Row],[Cobertura-HIZENTRA]]&gt;Cob_Max_REP,Vlr_Max_REP,VLOOKUP(VIEW_IV_2019_REP_CALCULO_TRI[[#This Row],[Cobertura-HIZENTRA]],Tabela_Valores_REP,2,1)))*VIEW_IV_2019_REP_CALCULO_TRI[[#This Row],[Peso-HIZENTRA]])*3</f>
        <v>0</v>
      </c>
      <c r="AG17" s="65">
        <f>(IF(VIEW_IV_2019_REP_CALCULO_TRI[[#This Row],[Cobertura-PRIVIGEN]]&lt;Cob_Min_REP,0,IF(VIEW_IV_2019_REP_CALCULO_TRI[[#This Row],[Cobertura-PRIVIGEN]]&gt;Cob_Max_REP,Vlr_Max_REP,VLOOKUP(VIEW_IV_2019_REP_CALCULO_TRI[[#This Row],[Cobertura-PRIVIGEN]],Tabela_Valores_REP,2,1)))*VIEW_IV_2019_REP_CALCULO_TRI[[#This Row],[Peso-PRIVIGEN]])*3</f>
        <v>4889.4442015978875</v>
      </c>
      <c r="AH17" s="65">
        <f>SUMIFS(VIEW_IV_2019_REP_CALCULO[Premio-BERINERT],VIEW_IV_2019_REP_CALCULO[Ano-Fiscal],VIEW_IV_2019_REP_CALCULO_TRI[[#This Row],[Ano-Fiscal]],VIEW_IV_2019_REP_CALCULO[Tri-Fiscal],VIEW_IV_2019_REP_CALCULO_TRI[[#This Row],[Tri-Fiscal]],VIEW_IV_2019_REP_CALCULO['#PK-Email],VIEW_IV_2019_REP_CALCULO_TRI[[#This Row],['#PK-Email]])</f>
        <v>0</v>
      </c>
      <c r="AI17" s="65">
        <f>SUMIFS(VIEW_IV_2019_REP_CALCULO[Premio-BERIPLEX],VIEW_IV_2019_REP_CALCULO[Ano-Fiscal],VIEW_IV_2019_REP_CALCULO_TRI[[#This Row],[Ano-Fiscal]],VIEW_IV_2019_REP_CALCULO[Tri-Fiscal],VIEW_IV_2019_REP_CALCULO_TRI[[#This Row],[Tri-Fiscal]],VIEW_IV_2019_REP_CALCULO['#PK-Email],VIEW_IV_2019_REP_CALCULO_TRI[[#This Row],['#PK-Email]])</f>
        <v>0</v>
      </c>
      <c r="AJ17" s="65">
        <f>SUMIFS(VIEW_IV_2019_REP_CALCULO[Premio-HAEMO],VIEW_IV_2019_REP_CALCULO[Ano-Fiscal],VIEW_IV_2019_REP_CALCULO_TRI[[#This Row],[Ano-Fiscal]],VIEW_IV_2019_REP_CALCULO[Tri-Fiscal],VIEW_IV_2019_REP_CALCULO_TRI[[#This Row],[Tri-Fiscal]],VIEW_IV_2019_REP_CALCULO['#PK-Email],VIEW_IV_2019_REP_CALCULO_TRI[[#This Row],['#PK-Email]])</f>
        <v>0</v>
      </c>
      <c r="AK17" s="65">
        <f>SUMIFS(VIEW_IV_2019_REP_CALCULO[Premio-HIZENTRA],VIEW_IV_2019_REP_CALCULO[Ano-Fiscal],VIEW_IV_2019_REP_CALCULO_TRI[[#This Row],[Ano-Fiscal]],VIEW_IV_2019_REP_CALCULO[Tri-Fiscal],VIEW_IV_2019_REP_CALCULO_TRI[[#This Row],[Tri-Fiscal]],VIEW_IV_2019_REP_CALCULO['#PK-Email],VIEW_IV_2019_REP_CALCULO_TRI[[#This Row],['#PK-Email]])</f>
        <v>0</v>
      </c>
      <c r="AL17" s="65">
        <f>SUMIFS(VIEW_IV_2019_REP_CALCULO[Premio-PRIVIGEN],VIEW_IV_2019_REP_CALCULO[Ano-Fiscal],VIEW_IV_2019_REP_CALCULO_TRI[[#This Row],[Ano-Fiscal]],VIEW_IV_2019_REP_CALCULO[Tri-Fiscal],VIEW_IV_2019_REP_CALCULO_TRI[[#This Row],[Tri-Fiscal]],VIEW_IV_2019_REP_CALCULO['#PK-Email],VIEW_IV_2019_REP_CALCULO_TRI[[#This Row],['#PK-Email]])</f>
        <v>4889.4442015978875</v>
      </c>
      <c r="AM17" s="65">
        <f>IF((VIEW_IV_2019_REP_CALCULO_TRI[[#This Row],[Premio-BERINERT]]-VIEW_IV_2019_REP_CALCULO_TRI[[#This Row],[Recebido-BERINERT]])&lt;=0,0,VIEW_IV_2019_REP_CALCULO_TRI[[#This Row],[Premio-BERINERT]]-VIEW_IV_2019_REP_CALCULO_TRI[[#This Row],[Recebido-BERINERT]])</f>
        <v>0</v>
      </c>
      <c r="AN17" s="65">
        <f>IF((VIEW_IV_2019_REP_CALCULO_TRI[[#This Row],[Premio-BERIPLEX]]-VIEW_IV_2019_REP_CALCULO_TRI[[#This Row],[Recebido-BERIPLEX]])&lt;=0,0,VIEW_IV_2019_REP_CALCULO_TRI[[#This Row],[Premio-BERIPLEX]]-VIEW_IV_2019_REP_CALCULO_TRI[[#This Row],[Recebido-BERIPLEX]])</f>
        <v>0</v>
      </c>
      <c r="AO17" s="65">
        <f>IF((VIEW_IV_2019_REP_CALCULO_TRI[[#This Row],[Premio-HAEMO]]-VIEW_IV_2019_REP_CALCULO_TRI[[#This Row],[Recebido-HAEMO]])&lt;=0,0,VIEW_IV_2019_REP_CALCULO_TRI[[#This Row],[Premio-HAEMO]]-VIEW_IV_2019_REP_CALCULO_TRI[[#This Row],[Recebido-HAEMO]])</f>
        <v>0</v>
      </c>
      <c r="AP17" s="65">
        <f>IF((VIEW_IV_2019_REP_CALCULO_TRI[[#This Row],[Premio-HIZENTRA]]-VIEW_IV_2019_REP_CALCULO_TRI[[#This Row],[Recebido-HIZENTRA]])&lt;=0,0,VIEW_IV_2019_REP_CALCULO_TRI[[#This Row],[Premio-HIZENTRA]]-VIEW_IV_2019_REP_CALCULO_TRI[[#This Row],[Recebido-HIZENTRA]])</f>
        <v>0</v>
      </c>
      <c r="AQ17" s="65">
        <f>IF((VIEW_IV_2019_REP_CALCULO_TRI[[#This Row],[Premio-PRIVIGEN]]-VIEW_IV_2019_REP_CALCULO_TRI[[#This Row],[Recebido-PRIVIGEN]])&lt;=0,0,VIEW_IV_2019_REP_CALCULO_TRI[[#This Row],[Premio-PRIVIGEN]]-VIEW_IV_2019_REP_CALCULO_TRI[[#This Row],[Recebido-PRIVIGEN]])</f>
        <v>0</v>
      </c>
      <c r="AR17" s="102">
        <f>SUM(VIEW_IV_2019_REP_CALCULO_TRI[[#This Row],[Recuperavel-BERINERT]:[Recuperavel-PRIVIGEN]])</f>
        <v>0</v>
      </c>
    </row>
    <row r="18" spans="1:44" x14ac:dyDescent="0.25">
      <c r="A18" s="7" t="s">
        <v>16</v>
      </c>
      <c r="B18" s="7" t="s">
        <v>18</v>
      </c>
      <c r="C18" s="8" t="s">
        <v>742</v>
      </c>
      <c r="D18" s="8" t="s">
        <v>743</v>
      </c>
      <c r="E18" s="8" t="s">
        <v>723</v>
      </c>
      <c r="F18" s="8" t="s">
        <v>791</v>
      </c>
      <c r="G18" s="3" t="b">
        <v>1</v>
      </c>
      <c r="H18" s="3" t="b">
        <v>1</v>
      </c>
      <c r="I18" s="10">
        <v>0</v>
      </c>
      <c r="J18" s="10">
        <v>550</v>
      </c>
      <c r="K18" s="10">
        <v>280</v>
      </c>
      <c r="L18" s="10">
        <v>0</v>
      </c>
      <c r="M18" s="10">
        <v>7025</v>
      </c>
      <c r="N18" s="10">
        <v>0</v>
      </c>
      <c r="O18" s="10">
        <v>768</v>
      </c>
      <c r="P18" s="10">
        <v>141</v>
      </c>
      <c r="Q18" s="10">
        <v>0</v>
      </c>
      <c r="R18" s="10">
        <v>15067</v>
      </c>
      <c r="S18" s="75">
        <v>0</v>
      </c>
      <c r="T18" s="75">
        <v>0.25</v>
      </c>
      <c r="U18" s="75">
        <v>0.25</v>
      </c>
      <c r="V18" s="75">
        <v>0</v>
      </c>
      <c r="W18" s="75">
        <v>0.2</v>
      </c>
      <c r="X18" s="75">
        <f>IFERROR(VIEW_IV_2019_REP_CALCULO_TRI[[#This Row],[Demanda-BERINERT]]/VIEW_IV_2019_REP_CALCULO_TRI[[#This Row],[Cota-BERINERT]],0)</f>
        <v>0</v>
      </c>
      <c r="Y18" s="75">
        <f>IFERROR(VIEW_IV_2019_REP_CALCULO_TRI[[#This Row],[Demanda-BERIPLEX]]/VIEW_IV_2019_REP_CALCULO_TRI[[#This Row],[Cota-BERIPLEX]],0)</f>
        <v>1.3963636363636365</v>
      </c>
      <c r="Z18" s="75">
        <f>IFERROR(VIEW_IV_2019_REP_CALCULO_TRI[[#This Row],[Demanda-HAEMO]]/VIEW_IV_2019_REP_CALCULO_TRI[[#This Row],[Cota-HAEMO]],0)</f>
        <v>0.50357142857142856</v>
      </c>
      <c r="AA18" s="75">
        <f>IFERROR(VIEW_IV_2019_REP_CALCULO_TRI[[#This Row],[Demanda-HIZENTRA]]/VIEW_IV_2019_REP_CALCULO_TRI[[#This Row],[Cota-HIZENTRA]],0)</f>
        <v>0</v>
      </c>
      <c r="AB18" s="75">
        <f>IFERROR(VIEW_IV_2019_REP_CALCULO_TRI[[#This Row],[Demanda-PRIVIGEN]]/VIEW_IV_2019_REP_CALCULO_TRI[[#This Row],[Cota-PRIVIGEN]],0)</f>
        <v>2.1447686832740214</v>
      </c>
      <c r="AC18" s="65">
        <f>(IF(VIEW_IV_2019_REP_CALCULO_TRI[[#This Row],[Cobertura-BERINERT]]&lt;Cob_Min_REP,0,IF(VIEW_IV_2019_REP_CALCULO_TRI[[#This Row],[Cobertura-BERINERT]]&gt;Cob_Max_REP,Vlr_Max_REP,VLOOKUP(VIEW_IV_2019_REP_CALCULO_TRI[[#This Row],[Cobertura-BERINERT]],Tabela_Valores_REP,2,1)))*VIEW_IV_2019_REP_CALCULO_TRI[[#This Row],[Peso-BERINERT]])*3</f>
        <v>0</v>
      </c>
      <c r="AD18" s="65">
        <f>(IF(VIEW_IV_2019_REP_CALCULO_TRI[[#This Row],[Cobertura-BERIPLEX]]&lt;Cob_Min_REP,0,IF(VIEW_IV_2019_REP_CALCULO_TRI[[#This Row],[Cobertura-BERIPLEX]]&gt;Cob_Max_REP,Vlr_Max_REP,VLOOKUP(VIEW_IV_2019_REP_CALCULO_TRI[[#This Row],[Cobertura-BERIPLEX]],Tabela_Valores_REP,2,1)))*VIEW_IV_2019_REP_CALCULO_TRI[[#This Row],[Peso-BERIPLEX]])*3</f>
        <v>5638.8488816826175</v>
      </c>
      <c r="AE18" s="65">
        <f>(IF(VIEW_IV_2019_REP_CALCULO_TRI[[#This Row],[Cobertura-HAEMO]]&lt;Cob_Min_REP,0,IF(VIEW_IV_2019_REP_CALCULO_TRI[[#This Row],[Cobertura-HAEMO]]&gt;Cob_Max_REP,Vlr_Max_REP,VLOOKUP(VIEW_IV_2019_REP_CALCULO_TRI[[#This Row],[Cobertura-HAEMO]],Tabela_Valores_REP,2,1)))*VIEW_IV_2019_REP_CALCULO_TRI[[#This Row],[Peso-HAEMO]])*3</f>
        <v>0</v>
      </c>
      <c r="AF18" s="65">
        <f>(IF(VIEW_IV_2019_REP_CALCULO_TRI[[#This Row],[Cobertura-HIZENTRA]]&lt;Cob_Min_REP,0,IF(VIEW_IV_2019_REP_CALCULO_TRI[[#This Row],[Cobertura-HIZENTRA]]&gt;Cob_Max_REP,Vlr_Max_REP,VLOOKUP(VIEW_IV_2019_REP_CALCULO_TRI[[#This Row],[Cobertura-HIZENTRA]],Tabela_Valores_REP,2,1)))*VIEW_IV_2019_REP_CALCULO_TRI[[#This Row],[Peso-HIZENTRA]])*3</f>
        <v>0</v>
      </c>
      <c r="AG18" s="65">
        <f>(IF(VIEW_IV_2019_REP_CALCULO_TRI[[#This Row],[Cobertura-PRIVIGEN]]&lt;Cob_Min_REP,0,IF(VIEW_IV_2019_REP_CALCULO_TRI[[#This Row],[Cobertura-PRIVIGEN]]&gt;Cob_Max_REP,Vlr_Max_REP,VLOOKUP(VIEW_IV_2019_REP_CALCULO_TRI[[#This Row],[Cobertura-PRIVIGEN]],Tabela_Valores_REP,2,1)))*VIEW_IV_2019_REP_CALCULO_TRI[[#This Row],[Peso-PRIVIGEN]])*3</f>
        <v>4889.4442015978875</v>
      </c>
      <c r="AH18" s="65">
        <f>SUMIFS(VIEW_IV_2019_REP_CALCULO[Premio-BERINERT],VIEW_IV_2019_REP_CALCULO[Ano-Fiscal],VIEW_IV_2019_REP_CALCULO_TRI[[#This Row],[Ano-Fiscal]],VIEW_IV_2019_REP_CALCULO[Tri-Fiscal],VIEW_IV_2019_REP_CALCULO_TRI[[#This Row],[Tri-Fiscal]],VIEW_IV_2019_REP_CALCULO['#PK-Email],VIEW_IV_2019_REP_CALCULO_TRI[[#This Row],['#PK-Email]])</f>
        <v>0</v>
      </c>
      <c r="AI18" s="65">
        <f>SUMIFS(VIEW_IV_2019_REP_CALCULO[Premio-BERIPLEX],VIEW_IV_2019_REP_CALCULO[Ano-Fiscal],VIEW_IV_2019_REP_CALCULO_TRI[[#This Row],[Ano-Fiscal]],VIEW_IV_2019_REP_CALCULO[Tri-Fiscal],VIEW_IV_2019_REP_CALCULO_TRI[[#This Row],[Tri-Fiscal]],VIEW_IV_2019_REP_CALCULO['#PK-Email],VIEW_IV_2019_REP_CALCULO_TRI[[#This Row],['#PK-Email]])</f>
        <v>2693.070529548982</v>
      </c>
      <c r="AJ18" s="65">
        <f>SUMIFS(VIEW_IV_2019_REP_CALCULO[Premio-HAEMO],VIEW_IV_2019_REP_CALCULO[Ano-Fiscal],VIEW_IV_2019_REP_CALCULO_TRI[[#This Row],[Ano-Fiscal]],VIEW_IV_2019_REP_CALCULO[Tri-Fiscal],VIEW_IV_2019_REP_CALCULO_TRI[[#This Row],[Tri-Fiscal]],VIEW_IV_2019_REP_CALCULO['#PK-Email],VIEW_IV_2019_REP_CALCULO_TRI[[#This Row],['#PK-Email]])</f>
        <v>642.28041918113706</v>
      </c>
      <c r="AK18" s="65">
        <f>SUMIFS(VIEW_IV_2019_REP_CALCULO[Premio-HIZENTRA],VIEW_IV_2019_REP_CALCULO[Ano-Fiscal],VIEW_IV_2019_REP_CALCULO_TRI[[#This Row],[Ano-Fiscal]],VIEW_IV_2019_REP_CALCULO[Tri-Fiscal],VIEW_IV_2019_REP_CALCULO_TRI[[#This Row],[Tri-Fiscal]],VIEW_IV_2019_REP_CALCULO['#PK-Email],VIEW_IV_2019_REP_CALCULO_TRI[[#This Row],['#PK-Email]])</f>
        <v>0</v>
      </c>
      <c r="AL18" s="65">
        <f>SUMIFS(VIEW_IV_2019_REP_CALCULO[Premio-PRIVIGEN],VIEW_IV_2019_REP_CALCULO[Ano-Fiscal],VIEW_IV_2019_REP_CALCULO_TRI[[#This Row],[Ano-Fiscal]],VIEW_IV_2019_REP_CALCULO[Tri-Fiscal],VIEW_IV_2019_REP_CALCULO_TRI[[#This Row],[Tri-Fiscal]],VIEW_IV_2019_REP_CALCULO['#PK-Email],VIEW_IV_2019_REP_CALCULO_TRI[[#This Row],['#PK-Email]])</f>
        <v>4646.2484393405321</v>
      </c>
      <c r="AM18" s="65">
        <f>IF((VIEW_IV_2019_REP_CALCULO_TRI[[#This Row],[Premio-BERINERT]]-VIEW_IV_2019_REP_CALCULO_TRI[[#This Row],[Recebido-BERINERT]])&lt;=0,0,VIEW_IV_2019_REP_CALCULO_TRI[[#This Row],[Premio-BERINERT]]-VIEW_IV_2019_REP_CALCULO_TRI[[#This Row],[Recebido-BERINERT]])</f>
        <v>0</v>
      </c>
      <c r="AN18" s="65">
        <f>IF((VIEW_IV_2019_REP_CALCULO_TRI[[#This Row],[Premio-BERIPLEX]]-VIEW_IV_2019_REP_CALCULO_TRI[[#This Row],[Recebido-BERIPLEX]])&lt;=0,0,VIEW_IV_2019_REP_CALCULO_TRI[[#This Row],[Premio-BERIPLEX]]-VIEW_IV_2019_REP_CALCULO_TRI[[#This Row],[Recebido-BERIPLEX]])</f>
        <v>2945.7783521336355</v>
      </c>
      <c r="AO18" s="65">
        <f>IF((VIEW_IV_2019_REP_CALCULO_TRI[[#This Row],[Premio-HAEMO]]-VIEW_IV_2019_REP_CALCULO_TRI[[#This Row],[Recebido-HAEMO]])&lt;=0,0,VIEW_IV_2019_REP_CALCULO_TRI[[#This Row],[Premio-HAEMO]]-VIEW_IV_2019_REP_CALCULO_TRI[[#This Row],[Recebido-HAEMO]])</f>
        <v>0</v>
      </c>
      <c r="AP18" s="65">
        <f>IF((VIEW_IV_2019_REP_CALCULO_TRI[[#This Row],[Premio-HIZENTRA]]-VIEW_IV_2019_REP_CALCULO_TRI[[#This Row],[Recebido-HIZENTRA]])&lt;=0,0,VIEW_IV_2019_REP_CALCULO_TRI[[#This Row],[Premio-HIZENTRA]]-VIEW_IV_2019_REP_CALCULO_TRI[[#This Row],[Recebido-HIZENTRA]])</f>
        <v>0</v>
      </c>
      <c r="AQ18" s="65">
        <f>IF((VIEW_IV_2019_REP_CALCULO_TRI[[#This Row],[Premio-PRIVIGEN]]-VIEW_IV_2019_REP_CALCULO_TRI[[#This Row],[Recebido-PRIVIGEN]])&lt;=0,0,VIEW_IV_2019_REP_CALCULO_TRI[[#This Row],[Premio-PRIVIGEN]]-VIEW_IV_2019_REP_CALCULO_TRI[[#This Row],[Recebido-PRIVIGEN]])</f>
        <v>243.19576225735545</v>
      </c>
      <c r="AR18" s="102">
        <f>SUM(VIEW_IV_2019_REP_CALCULO_TRI[[#This Row],[Recuperavel-BERINERT]:[Recuperavel-PRIVIGEN]])</f>
        <v>3188.974114390991</v>
      </c>
    </row>
    <row r="19" spans="1:44" x14ac:dyDescent="0.25">
      <c r="A19" s="7" t="s">
        <v>16</v>
      </c>
      <c r="B19" s="7" t="s">
        <v>18</v>
      </c>
      <c r="C19" s="8" t="s">
        <v>744</v>
      </c>
      <c r="D19" s="8" t="s">
        <v>745</v>
      </c>
      <c r="E19" s="8" t="s">
        <v>723</v>
      </c>
      <c r="F19" s="8" t="s">
        <v>791</v>
      </c>
      <c r="G19" s="3" t="b">
        <v>1</v>
      </c>
      <c r="H19" s="3" t="b">
        <v>1</v>
      </c>
      <c r="I19" s="10">
        <v>0</v>
      </c>
      <c r="J19" s="10">
        <v>450</v>
      </c>
      <c r="K19" s="10">
        <v>440</v>
      </c>
      <c r="L19" s="10">
        <v>0</v>
      </c>
      <c r="M19" s="10">
        <v>4215</v>
      </c>
      <c r="N19" s="10">
        <v>0</v>
      </c>
      <c r="O19" s="10">
        <v>1133</v>
      </c>
      <c r="P19" s="10">
        <v>613</v>
      </c>
      <c r="Q19" s="10">
        <v>0</v>
      </c>
      <c r="R19" s="10">
        <v>4903</v>
      </c>
      <c r="S19" s="75">
        <v>0</v>
      </c>
      <c r="T19" s="75">
        <v>0.25</v>
      </c>
      <c r="U19" s="75">
        <v>0.25</v>
      </c>
      <c r="V19" s="75">
        <v>0</v>
      </c>
      <c r="W19" s="75">
        <v>0.2</v>
      </c>
      <c r="X19" s="75">
        <f>IFERROR(VIEW_IV_2019_REP_CALCULO_TRI[[#This Row],[Demanda-BERINERT]]/VIEW_IV_2019_REP_CALCULO_TRI[[#This Row],[Cota-BERINERT]],0)</f>
        <v>0</v>
      </c>
      <c r="Y19" s="75">
        <f>IFERROR(VIEW_IV_2019_REP_CALCULO_TRI[[#This Row],[Demanda-BERIPLEX]]/VIEW_IV_2019_REP_CALCULO_TRI[[#This Row],[Cota-BERIPLEX]],0)</f>
        <v>2.5177777777777779</v>
      </c>
      <c r="Z19" s="75">
        <f>IFERROR(VIEW_IV_2019_REP_CALCULO_TRI[[#This Row],[Demanda-HAEMO]]/VIEW_IV_2019_REP_CALCULO_TRI[[#This Row],[Cota-HAEMO]],0)</f>
        <v>1.3931818181818181</v>
      </c>
      <c r="AA19" s="75">
        <f>IFERROR(VIEW_IV_2019_REP_CALCULO_TRI[[#This Row],[Demanda-HIZENTRA]]/VIEW_IV_2019_REP_CALCULO_TRI[[#This Row],[Cota-HIZENTRA]],0)</f>
        <v>0</v>
      </c>
      <c r="AB19" s="75">
        <f>IFERROR(VIEW_IV_2019_REP_CALCULO_TRI[[#This Row],[Demanda-PRIVIGEN]]/VIEW_IV_2019_REP_CALCULO_TRI[[#This Row],[Cota-PRIVIGEN]],0)</f>
        <v>1.163226571767497</v>
      </c>
      <c r="AC19" s="65">
        <f>(IF(VIEW_IV_2019_REP_CALCULO_TRI[[#This Row],[Cobertura-BERINERT]]&lt;Cob_Min_REP,0,IF(VIEW_IV_2019_REP_CALCULO_TRI[[#This Row],[Cobertura-BERINERT]]&gt;Cob_Max_REP,Vlr_Max_REP,VLOOKUP(VIEW_IV_2019_REP_CALCULO_TRI[[#This Row],[Cobertura-BERINERT]],Tabela_Valores_REP,2,1)))*VIEW_IV_2019_REP_CALCULO_TRI[[#This Row],[Peso-BERINERT]])*3</f>
        <v>0</v>
      </c>
      <c r="AD19" s="65">
        <f>(IF(VIEW_IV_2019_REP_CALCULO_TRI[[#This Row],[Cobertura-BERIPLEX]]&lt;Cob_Min_REP,0,IF(VIEW_IV_2019_REP_CALCULO_TRI[[#This Row],[Cobertura-BERIPLEX]]&gt;Cob_Max_REP,Vlr_Max_REP,VLOOKUP(VIEW_IV_2019_REP_CALCULO_TRI[[#This Row],[Cobertura-BERIPLEX]],Tabela_Valores_REP,2,1)))*VIEW_IV_2019_REP_CALCULO_TRI[[#This Row],[Peso-BERIPLEX]])*3</f>
        <v>6111.8052519973589</v>
      </c>
      <c r="AE19" s="65">
        <f>(IF(VIEW_IV_2019_REP_CALCULO_TRI[[#This Row],[Cobertura-HAEMO]]&lt;Cob_Min_REP,0,IF(VIEW_IV_2019_REP_CALCULO_TRI[[#This Row],[Cobertura-HAEMO]]&gt;Cob_Max_REP,Vlr_Max_REP,VLOOKUP(VIEW_IV_2019_REP_CALCULO_TRI[[#This Row],[Cobertura-HAEMO]],Tabela_Valores_REP,2,1)))*VIEW_IV_2019_REP_CALCULO_TRI[[#This Row],[Peso-HAEMO]])*3</f>
        <v>5627.3121731848187</v>
      </c>
      <c r="AF19" s="65">
        <f>(IF(VIEW_IV_2019_REP_CALCULO_TRI[[#This Row],[Cobertura-HIZENTRA]]&lt;Cob_Min_REP,0,IF(VIEW_IV_2019_REP_CALCULO_TRI[[#This Row],[Cobertura-HIZENTRA]]&gt;Cob_Max_REP,Vlr_Max_REP,VLOOKUP(VIEW_IV_2019_REP_CALCULO_TRI[[#This Row],[Cobertura-HIZENTRA]],Tabela_Valores_REP,2,1)))*VIEW_IV_2019_REP_CALCULO_TRI[[#This Row],[Peso-HIZENTRA]])*3</f>
        <v>0</v>
      </c>
      <c r="AG19" s="65">
        <f>(IF(VIEW_IV_2019_REP_CALCULO_TRI[[#This Row],[Cobertura-PRIVIGEN]]&lt;Cob_Min_REP,0,IF(VIEW_IV_2019_REP_CALCULO_TRI[[#This Row],[Cobertura-PRIVIGEN]]&gt;Cob_Max_REP,Vlr_Max_REP,VLOOKUP(VIEW_IV_2019_REP_CALCULO_TRI[[#This Row],[Cobertura-PRIVIGEN]],Tabela_Valores_REP,2,1)))*VIEW_IV_2019_REP_CALCULO_TRI[[#This Row],[Peso-PRIVIGEN]])*3</f>
        <v>3160.2035573964772</v>
      </c>
      <c r="AH19" s="65">
        <f>SUMIFS(VIEW_IV_2019_REP_CALCULO[Premio-BERINERT],VIEW_IV_2019_REP_CALCULO[Ano-Fiscal],VIEW_IV_2019_REP_CALCULO_TRI[[#This Row],[Ano-Fiscal]],VIEW_IV_2019_REP_CALCULO[Tri-Fiscal],VIEW_IV_2019_REP_CALCULO_TRI[[#This Row],[Tri-Fiscal]],VIEW_IV_2019_REP_CALCULO['#PK-Email],VIEW_IV_2019_REP_CALCULO_TRI[[#This Row],['#PK-Email]])</f>
        <v>0</v>
      </c>
      <c r="AI19" s="65">
        <f>SUMIFS(VIEW_IV_2019_REP_CALCULO[Premio-BERIPLEX],VIEW_IV_2019_REP_CALCULO[Ano-Fiscal],VIEW_IV_2019_REP_CALCULO_TRI[[#This Row],[Ano-Fiscal]],VIEW_IV_2019_REP_CALCULO[Tri-Fiscal],VIEW_IV_2019_REP_CALCULO_TRI[[#This Row],[Tri-Fiscal]],VIEW_IV_2019_REP_CALCULO['#PK-Email],VIEW_IV_2019_REP_CALCULO_TRI[[#This Row],['#PK-Email]])</f>
        <v>3870.7378772354718</v>
      </c>
      <c r="AJ19" s="65">
        <f>SUMIFS(VIEW_IV_2019_REP_CALCULO[Premio-HAEMO],VIEW_IV_2019_REP_CALCULO[Ano-Fiscal],VIEW_IV_2019_REP_CALCULO_TRI[[#This Row],[Ano-Fiscal]],VIEW_IV_2019_REP_CALCULO[Tri-Fiscal],VIEW_IV_2019_REP_CALCULO_TRI[[#This Row],[Tri-Fiscal]],VIEW_IV_2019_REP_CALCULO['#PK-Email],VIEW_IV_2019_REP_CALCULO_TRI[[#This Row],['#PK-Email]])</f>
        <v>2037.2684173324528</v>
      </c>
      <c r="AK19" s="65">
        <f>SUMIFS(VIEW_IV_2019_REP_CALCULO[Premio-HIZENTRA],VIEW_IV_2019_REP_CALCULO[Ano-Fiscal],VIEW_IV_2019_REP_CALCULO_TRI[[#This Row],[Ano-Fiscal]],VIEW_IV_2019_REP_CALCULO[Tri-Fiscal],VIEW_IV_2019_REP_CALCULO_TRI[[#This Row],[Tri-Fiscal]],VIEW_IV_2019_REP_CALCULO['#PK-Email],VIEW_IV_2019_REP_CALCULO_TRI[[#This Row],['#PK-Email]])</f>
        <v>0</v>
      </c>
      <c r="AL19" s="65">
        <f>SUMIFS(VIEW_IV_2019_REP_CALCULO[Premio-PRIVIGEN],VIEW_IV_2019_REP_CALCULO[Ano-Fiscal],VIEW_IV_2019_REP_CALCULO_TRI[[#This Row],[Ano-Fiscal]],VIEW_IV_2019_REP_CALCULO[Tri-Fiscal],VIEW_IV_2019_REP_CALCULO_TRI[[#This Row],[Tri-Fiscal]],VIEW_IV_2019_REP_CALCULO['#PK-Email],VIEW_IV_2019_REP_CALCULO_TRI[[#This Row],['#PK-Email]])</f>
        <v>3014.4865816774736</v>
      </c>
      <c r="AM19" s="65">
        <f>IF((VIEW_IV_2019_REP_CALCULO_TRI[[#This Row],[Premio-BERINERT]]-VIEW_IV_2019_REP_CALCULO_TRI[[#This Row],[Recebido-BERINERT]])&lt;=0,0,VIEW_IV_2019_REP_CALCULO_TRI[[#This Row],[Premio-BERINERT]]-VIEW_IV_2019_REP_CALCULO_TRI[[#This Row],[Recebido-BERINERT]])</f>
        <v>0</v>
      </c>
      <c r="AN19" s="65">
        <f>IF((VIEW_IV_2019_REP_CALCULO_TRI[[#This Row],[Premio-BERIPLEX]]-VIEW_IV_2019_REP_CALCULO_TRI[[#This Row],[Recebido-BERIPLEX]])&lt;=0,0,VIEW_IV_2019_REP_CALCULO_TRI[[#This Row],[Premio-BERIPLEX]]-VIEW_IV_2019_REP_CALCULO_TRI[[#This Row],[Recebido-BERIPLEX]])</f>
        <v>2241.0673747618871</v>
      </c>
      <c r="AO19" s="65">
        <f>IF((VIEW_IV_2019_REP_CALCULO_TRI[[#This Row],[Premio-HAEMO]]-VIEW_IV_2019_REP_CALCULO_TRI[[#This Row],[Recebido-HAEMO]])&lt;=0,0,VIEW_IV_2019_REP_CALCULO_TRI[[#This Row],[Premio-HAEMO]]-VIEW_IV_2019_REP_CALCULO_TRI[[#This Row],[Recebido-HAEMO]])</f>
        <v>3590.0437558523658</v>
      </c>
      <c r="AP19" s="65">
        <f>IF((VIEW_IV_2019_REP_CALCULO_TRI[[#This Row],[Premio-HIZENTRA]]-VIEW_IV_2019_REP_CALCULO_TRI[[#This Row],[Recebido-HIZENTRA]])&lt;=0,0,VIEW_IV_2019_REP_CALCULO_TRI[[#This Row],[Premio-HIZENTRA]]-VIEW_IV_2019_REP_CALCULO_TRI[[#This Row],[Recebido-HIZENTRA]])</f>
        <v>0</v>
      </c>
      <c r="AQ19" s="65">
        <f>IF((VIEW_IV_2019_REP_CALCULO_TRI[[#This Row],[Premio-PRIVIGEN]]-VIEW_IV_2019_REP_CALCULO_TRI[[#This Row],[Recebido-PRIVIGEN]])&lt;=0,0,VIEW_IV_2019_REP_CALCULO_TRI[[#This Row],[Premio-PRIVIGEN]]-VIEW_IV_2019_REP_CALCULO_TRI[[#This Row],[Recebido-PRIVIGEN]])</f>
        <v>145.71697571900359</v>
      </c>
      <c r="AR19" s="102">
        <f>SUM(VIEW_IV_2019_REP_CALCULO_TRI[[#This Row],[Recuperavel-BERINERT]:[Recuperavel-PRIVIGEN]])</f>
        <v>5976.8281063332561</v>
      </c>
    </row>
    <row r="20" spans="1:44" x14ac:dyDescent="0.25">
      <c r="A20" s="7" t="s">
        <v>16</v>
      </c>
      <c r="B20" s="7" t="s">
        <v>18</v>
      </c>
      <c r="C20" s="8" t="s">
        <v>746</v>
      </c>
      <c r="D20" s="8" t="s">
        <v>747</v>
      </c>
      <c r="E20" s="8" t="s">
        <v>723</v>
      </c>
      <c r="F20" s="8" t="s">
        <v>791</v>
      </c>
      <c r="G20" s="3" t="b">
        <v>1</v>
      </c>
      <c r="H20" s="3" t="b">
        <v>1</v>
      </c>
      <c r="I20" s="10">
        <v>0</v>
      </c>
      <c r="J20" s="10">
        <v>400</v>
      </c>
      <c r="K20" s="10">
        <v>280</v>
      </c>
      <c r="L20" s="10">
        <v>0</v>
      </c>
      <c r="M20" s="10">
        <v>8430</v>
      </c>
      <c r="N20" s="10">
        <v>0</v>
      </c>
      <c r="O20" s="10">
        <v>341</v>
      </c>
      <c r="P20" s="10">
        <v>150</v>
      </c>
      <c r="Q20" s="10">
        <v>0</v>
      </c>
      <c r="R20" s="10">
        <v>11140</v>
      </c>
      <c r="S20" s="75">
        <v>0</v>
      </c>
      <c r="T20" s="75">
        <v>0.25</v>
      </c>
      <c r="U20" s="75">
        <v>0.25</v>
      </c>
      <c r="V20" s="75">
        <v>0</v>
      </c>
      <c r="W20" s="75">
        <v>0.2</v>
      </c>
      <c r="X20" s="75">
        <f>IFERROR(VIEW_IV_2019_REP_CALCULO_TRI[[#This Row],[Demanda-BERINERT]]/VIEW_IV_2019_REP_CALCULO_TRI[[#This Row],[Cota-BERINERT]],0)</f>
        <v>0</v>
      </c>
      <c r="Y20" s="75">
        <f>IFERROR(VIEW_IV_2019_REP_CALCULO_TRI[[#This Row],[Demanda-BERIPLEX]]/VIEW_IV_2019_REP_CALCULO_TRI[[#This Row],[Cota-BERIPLEX]],0)</f>
        <v>0.85250000000000004</v>
      </c>
      <c r="Z20" s="75">
        <f>IFERROR(VIEW_IV_2019_REP_CALCULO_TRI[[#This Row],[Demanda-HAEMO]]/VIEW_IV_2019_REP_CALCULO_TRI[[#This Row],[Cota-HAEMO]],0)</f>
        <v>0.5357142857142857</v>
      </c>
      <c r="AA20" s="75">
        <f>IFERROR(VIEW_IV_2019_REP_CALCULO_TRI[[#This Row],[Demanda-HIZENTRA]]/VIEW_IV_2019_REP_CALCULO_TRI[[#This Row],[Cota-HIZENTRA]],0)</f>
        <v>0</v>
      </c>
      <c r="AB20" s="75">
        <f>IFERROR(VIEW_IV_2019_REP_CALCULO_TRI[[#This Row],[Demanda-PRIVIGEN]]/VIEW_IV_2019_REP_CALCULO_TRI[[#This Row],[Cota-PRIVIGEN]],0)</f>
        <v>1.3214709371293001</v>
      </c>
      <c r="AC20" s="65">
        <f>(IF(VIEW_IV_2019_REP_CALCULO_TRI[[#This Row],[Cobertura-BERINERT]]&lt;Cob_Min_REP,0,IF(VIEW_IV_2019_REP_CALCULO_TRI[[#This Row],[Cobertura-BERINERT]]&gt;Cob_Max_REP,Vlr_Max_REP,VLOOKUP(VIEW_IV_2019_REP_CALCULO_TRI[[#This Row],[Cobertura-BERINERT]],Tabela_Valores_REP,2,1)))*VIEW_IV_2019_REP_CALCULO_TRI[[#This Row],[Peso-BERINERT]])*3</f>
        <v>0</v>
      </c>
      <c r="AD20" s="65">
        <f>(IF(VIEW_IV_2019_REP_CALCULO_TRI[[#This Row],[Cobertura-BERIPLEX]]&lt;Cob_Min_REP,0,IF(VIEW_IV_2019_REP_CALCULO_TRI[[#This Row],[Cobertura-BERIPLEX]]&gt;Cob_Max_REP,Vlr_Max_REP,VLOOKUP(VIEW_IV_2019_REP_CALCULO_TRI[[#This Row],[Cobertura-BERIPLEX]],Tabela_Valores_REP,2,1)))*VIEW_IV_2019_REP_CALCULO_TRI[[#This Row],[Peso-BERIPLEX]])*3</f>
        <v>1152.0482466154267</v>
      </c>
      <c r="AE20" s="65">
        <f>(IF(VIEW_IV_2019_REP_CALCULO_TRI[[#This Row],[Cobertura-HAEMO]]&lt;Cob_Min_REP,0,IF(VIEW_IV_2019_REP_CALCULO_TRI[[#This Row],[Cobertura-HAEMO]]&gt;Cob_Max_REP,Vlr_Max_REP,VLOOKUP(VIEW_IV_2019_REP_CALCULO_TRI[[#This Row],[Cobertura-HAEMO]],Tabela_Valores_REP,2,1)))*VIEW_IV_2019_REP_CALCULO_TRI[[#This Row],[Peso-HAEMO]])*3</f>
        <v>0</v>
      </c>
      <c r="AF20" s="65">
        <f>(IF(VIEW_IV_2019_REP_CALCULO_TRI[[#This Row],[Cobertura-HIZENTRA]]&lt;Cob_Min_REP,0,IF(VIEW_IV_2019_REP_CALCULO_TRI[[#This Row],[Cobertura-HIZENTRA]]&gt;Cob_Max_REP,Vlr_Max_REP,VLOOKUP(VIEW_IV_2019_REP_CALCULO_TRI[[#This Row],[Cobertura-HIZENTRA]],Tabela_Valores_REP,2,1)))*VIEW_IV_2019_REP_CALCULO_TRI[[#This Row],[Peso-HIZENTRA]])*3</f>
        <v>0</v>
      </c>
      <c r="AG20" s="65">
        <f>(IF(VIEW_IV_2019_REP_CALCULO_TRI[[#This Row],[Cobertura-PRIVIGEN]]&lt;Cob_Min_REP,0,IF(VIEW_IV_2019_REP_CALCULO_TRI[[#This Row],[Cobertura-PRIVIGEN]]&gt;Cob_Max_REP,Vlr_Max_REP,VLOOKUP(VIEW_IV_2019_REP_CALCULO_TRI[[#This Row],[Cobertura-PRIVIGEN]],Tabela_Valores_REP,2,1)))*VIEW_IV_2019_REP_CALCULO_TRI[[#This Row],[Peso-PRIVIGEN]])*3</f>
        <v>4280.3449353901569</v>
      </c>
      <c r="AH20" s="65">
        <f>SUMIFS(VIEW_IV_2019_REP_CALCULO[Premio-BERINERT],VIEW_IV_2019_REP_CALCULO[Ano-Fiscal],VIEW_IV_2019_REP_CALCULO_TRI[[#This Row],[Ano-Fiscal]],VIEW_IV_2019_REP_CALCULO[Tri-Fiscal],VIEW_IV_2019_REP_CALCULO_TRI[[#This Row],[Tri-Fiscal]],VIEW_IV_2019_REP_CALCULO['#PK-Email],VIEW_IV_2019_REP_CALCULO_TRI[[#This Row],['#PK-Email]])</f>
        <v>0</v>
      </c>
      <c r="AI20" s="65">
        <f>SUMIFS(VIEW_IV_2019_REP_CALCULO[Premio-BERIPLEX],VIEW_IV_2019_REP_CALCULO[Ano-Fiscal],VIEW_IV_2019_REP_CALCULO_TRI[[#This Row],[Ano-Fiscal]],VIEW_IV_2019_REP_CALCULO[Tri-Fiscal],VIEW_IV_2019_REP_CALCULO_TRI[[#This Row],[Tri-Fiscal]],VIEW_IV_2019_REP_CALCULO['#PK-Email],VIEW_IV_2019_REP_CALCULO_TRI[[#This Row],['#PK-Email]])</f>
        <v>1541.022282933548</v>
      </c>
      <c r="AJ20" s="65">
        <f>SUMIFS(VIEW_IV_2019_REP_CALCULO[Premio-HAEMO],VIEW_IV_2019_REP_CALCULO[Ano-Fiscal],VIEW_IV_2019_REP_CALCULO_TRI[[#This Row],[Ano-Fiscal]],VIEW_IV_2019_REP_CALCULO[Tri-Fiscal],VIEW_IV_2019_REP_CALCULO_TRI[[#This Row],[Tri-Fiscal]],VIEW_IV_2019_REP_CALCULO['#PK-Email],VIEW_IV_2019_REP_CALCULO_TRI[[#This Row],['#PK-Email]])</f>
        <v>392.1290980263779</v>
      </c>
      <c r="AK20" s="65">
        <f>SUMIFS(VIEW_IV_2019_REP_CALCULO[Premio-HIZENTRA],VIEW_IV_2019_REP_CALCULO[Ano-Fiscal],VIEW_IV_2019_REP_CALCULO_TRI[[#This Row],[Ano-Fiscal]],VIEW_IV_2019_REP_CALCULO[Tri-Fiscal],VIEW_IV_2019_REP_CALCULO_TRI[[#This Row],[Tri-Fiscal]],VIEW_IV_2019_REP_CALCULO['#PK-Email],VIEW_IV_2019_REP_CALCULO_TRI[[#This Row],['#PK-Email]])</f>
        <v>0</v>
      </c>
      <c r="AL20" s="65">
        <f>SUMIFS(VIEW_IV_2019_REP_CALCULO[Premio-PRIVIGEN],VIEW_IV_2019_REP_CALCULO[Ano-Fiscal],VIEW_IV_2019_REP_CALCULO_TRI[[#This Row],[Ano-Fiscal]],VIEW_IV_2019_REP_CALCULO[Tri-Fiscal],VIEW_IV_2019_REP_CALCULO_TRI[[#This Row],[Tri-Fiscal]],VIEW_IV_2019_REP_CALCULO['#PK-Email],VIEW_IV_2019_REP_CALCULO_TRI[[#This Row],['#PK-Email]])</f>
        <v>2127.4130375684008</v>
      </c>
      <c r="AM20" s="65">
        <f>IF((VIEW_IV_2019_REP_CALCULO_TRI[[#This Row],[Premio-BERINERT]]-VIEW_IV_2019_REP_CALCULO_TRI[[#This Row],[Recebido-BERINERT]])&lt;=0,0,VIEW_IV_2019_REP_CALCULO_TRI[[#This Row],[Premio-BERINERT]]-VIEW_IV_2019_REP_CALCULO_TRI[[#This Row],[Recebido-BERINERT]])</f>
        <v>0</v>
      </c>
      <c r="AN20" s="65">
        <f>IF((VIEW_IV_2019_REP_CALCULO_TRI[[#This Row],[Premio-BERIPLEX]]-VIEW_IV_2019_REP_CALCULO_TRI[[#This Row],[Recebido-BERIPLEX]])&lt;=0,0,VIEW_IV_2019_REP_CALCULO_TRI[[#This Row],[Premio-BERIPLEX]]-VIEW_IV_2019_REP_CALCULO_TRI[[#This Row],[Recebido-BERIPLEX]])</f>
        <v>0</v>
      </c>
      <c r="AO20" s="65">
        <f>IF((VIEW_IV_2019_REP_CALCULO_TRI[[#This Row],[Premio-HAEMO]]-VIEW_IV_2019_REP_CALCULO_TRI[[#This Row],[Recebido-HAEMO]])&lt;=0,0,VIEW_IV_2019_REP_CALCULO_TRI[[#This Row],[Premio-HAEMO]]-VIEW_IV_2019_REP_CALCULO_TRI[[#This Row],[Recebido-HAEMO]])</f>
        <v>0</v>
      </c>
      <c r="AP20" s="65">
        <f>IF((VIEW_IV_2019_REP_CALCULO_TRI[[#This Row],[Premio-HIZENTRA]]-VIEW_IV_2019_REP_CALCULO_TRI[[#This Row],[Recebido-HIZENTRA]])&lt;=0,0,VIEW_IV_2019_REP_CALCULO_TRI[[#This Row],[Premio-HIZENTRA]]-VIEW_IV_2019_REP_CALCULO_TRI[[#This Row],[Recebido-HIZENTRA]])</f>
        <v>0</v>
      </c>
      <c r="AQ20" s="65">
        <f>IF((VIEW_IV_2019_REP_CALCULO_TRI[[#This Row],[Premio-PRIVIGEN]]-VIEW_IV_2019_REP_CALCULO_TRI[[#This Row],[Recebido-PRIVIGEN]])&lt;=0,0,VIEW_IV_2019_REP_CALCULO_TRI[[#This Row],[Premio-PRIVIGEN]]-VIEW_IV_2019_REP_CALCULO_TRI[[#This Row],[Recebido-PRIVIGEN]])</f>
        <v>2152.9318978217561</v>
      </c>
      <c r="AR20" s="102">
        <f>SUM(VIEW_IV_2019_REP_CALCULO_TRI[[#This Row],[Recuperavel-BERINERT]:[Recuperavel-PRIVIGEN]])</f>
        <v>2152.9318978217561</v>
      </c>
    </row>
    <row r="21" spans="1:44" x14ac:dyDescent="0.25">
      <c r="A21" s="7" t="s">
        <v>16</v>
      </c>
      <c r="B21" s="7" t="s">
        <v>18</v>
      </c>
      <c r="C21" s="8" t="s">
        <v>748</v>
      </c>
      <c r="D21" s="8" t="s">
        <v>749</v>
      </c>
      <c r="E21" s="8" t="s">
        <v>723</v>
      </c>
      <c r="F21" s="8" t="s">
        <v>791</v>
      </c>
      <c r="G21" s="3" t="b">
        <v>1</v>
      </c>
      <c r="H21" s="3" t="b">
        <v>1</v>
      </c>
      <c r="I21" s="10">
        <v>0</v>
      </c>
      <c r="J21" s="10">
        <v>500</v>
      </c>
      <c r="K21" s="10">
        <v>160</v>
      </c>
      <c r="L21" s="10">
        <v>0</v>
      </c>
      <c r="M21" s="10">
        <v>4215</v>
      </c>
      <c r="N21" s="10">
        <v>0</v>
      </c>
      <c r="O21" s="10">
        <v>904</v>
      </c>
      <c r="P21" s="10">
        <v>70</v>
      </c>
      <c r="Q21" s="10">
        <v>0</v>
      </c>
      <c r="R21" s="10">
        <v>4655</v>
      </c>
      <c r="S21" s="75">
        <v>0</v>
      </c>
      <c r="T21" s="75">
        <v>0.25</v>
      </c>
      <c r="U21" s="75">
        <v>0.25</v>
      </c>
      <c r="V21" s="75">
        <v>0</v>
      </c>
      <c r="W21" s="75">
        <v>0.2</v>
      </c>
      <c r="X21" s="75">
        <f>IFERROR(VIEW_IV_2019_REP_CALCULO_TRI[[#This Row],[Demanda-BERINERT]]/VIEW_IV_2019_REP_CALCULO_TRI[[#This Row],[Cota-BERINERT]],0)</f>
        <v>0</v>
      </c>
      <c r="Y21" s="75">
        <f>IFERROR(VIEW_IV_2019_REP_CALCULO_TRI[[#This Row],[Demanda-BERIPLEX]]/VIEW_IV_2019_REP_CALCULO_TRI[[#This Row],[Cota-BERIPLEX]],0)</f>
        <v>1.8080000000000001</v>
      </c>
      <c r="Z21" s="75">
        <f>IFERROR(VIEW_IV_2019_REP_CALCULO_TRI[[#This Row],[Demanda-HAEMO]]/VIEW_IV_2019_REP_CALCULO_TRI[[#This Row],[Cota-HAEMO]],0)</f>
        <v>0.4375</v>
      </c>
      <c r="AA21" s="75">
        <f>IFERROR(VIEW_IV_2019_REP_CALCULO_TRI[[#This Row],[Demanda-HIZENTRA]]/VIEW_IV_2019_REP_CALCULO_TRI[[#This Row],[Cota-HIZENTRA]],0)</f>
        <v>0</v>
      </c>
      <c r="AB21" s="75">
        <f>IFERROR(VIEW_IV_2019_REP_CALCULO_TRI[[#This Row],[Demanda-PRIVIGEN]]/VIEW_IV_2019_REP_CALCULO_TRI[[#This Row],[Cota-PRIVIGEN]],0)</f>
        <v>1.1043890865954924</v>
      </c>
      <c r="AC21" s="65">
        <f>(IF(VIEW_IV_2019_REP_CALCULO_TRI[[#This Row],[Cobertura-BERINERT]]&lt;Cob_Min_REP,0,IF(VIEW_IV_2019_REP_CALCULO_TRI[[#This Row],[Cobertura-BERINERT]]&gt;Cob_Max_REP,Vlr_Max_REP,VLOOKUP(VIEW_IV_2019_REP_CALCULO_TRI[[#This Row],[Cobertura-BERINERT]],Tabela_Valores_REP,2,1)))*VIEW_IV_2019_REP_CALCULO_TRI[[#This Row],[Peso-BERINERT]])*3</f>
        <v>0</v>
      </c>
      <c r="AD21" s="65">
        <f>(IF(VIEW_IV_2019_REP_CALCULO_TRI[[#This Row],[Cobertura-BERIPLEX]]&lt;Cob_Min_REP,0,IF(VIEW_IV_2019_REP_CALCULO_TRI[[#This Row],[Cobertura-BERIPLEX]]&gt;Cob_Max_REP,Vlr_Max_REP,VLOOKUP(VIEW_IV_2019_REP_CALCULO_TRI[[#This Row],[Cobertura-BERIPLEX]],Tabela_Valores_REP,2,1)))*VIEW_IV_2019_REP_CALCULO_TRI[[#This Row],[Peso-BERIPLEX]])*3</f>
        <v>6111.8052519973589</v>
      </c>
      <c r="AE21" s="65">
        <f>(IF(VIEW_IV_2019_REP_CALCULO_TRI[[#This Row],[Cobertura-HAEMO]]&lt;Cob_Min_REP,0,IF(VIEW_IV_2019_REP_CALCULO_TRI[[#This Row],[Cobertura-HAEMO]]&gt;Cob_Max_REP,Vlr_Max_REP,VLOOKUP(VIEW_IV_2019_REP_CALCULO_TRI[[#This Row],[Cobertura-HAEMO]],Tabela_Valores_REP,2,1)))*VIEW_IV_2019_REP_CALCULO_TRI[[#This Row],[Peso-HAEMO]])*3</f>
        <v>0</v>
      </c>
      <c r="AF21" s="65">
        <f>(IF(VIEW_IV_2019_REP_CALCULO_TRI[[#This Row],[Cobertura-HIZENTRA]]&lt;Cob_Min_REP,0,IF(VIEW_IV_2019_REP_CALCULO_TRI[[#This Row],[Cobertura-HIZENTRA]]&gt;Cob_Max_REP,Vlr_Max_REP,VLOOKUP(VIEW_IV_2019_REP_CALCULO_TRI[[#This Row],[Cobertura-HIZENTRA]],Tabela_Valores_REP,2,1)))*VIEW_IV_2019_REP_CALCULO_TRI[[#This Row],[Peso-HIZENTRA]])*3</f>
        <v>0</v>
      </c>
      <c r="AG21" s="65">
        <f>(IF(VIEW_IV_2019_REP_CALCULO_TRI[[#This Row],[Cobertura-PRIVIGEN]]&lt;Cob_Min_REP,0,IF(VIEW_IV_2019_REP_CALCULO_TRI[[#This Row],[Cobertura-PRIVIGEN]]&gt;Cob_Max_REP,Vlr_Max_REP,VLOOKUP(VIEW_IV_2019_REP_CALCULO_TRI[[#This Row],[Cobertura-PRIVIGEN]],Tabela_Valores_REP,2,1)))*VIEW_IV_2019_REP_CALCULO_TRI[[#This Row],[Peso-PRIVIGEN]])*3</f>
        <v>3010.8591621591759</v>
      </c>
      <c r="AH21" s="65">
        <f>SUMIFS(VIEW_IV_2019_REP_CALCULO[Premio-BERINERT],VIEW_IV_2019_REP_CALCULO[Ano-Fiscal],VIEW_IV_2019_REP_CALCULO_TRI[[#This Row],[Ano-Fiscal]],VIEW_IV_2019_REP_CALCULO[Tri-Fiscal],VIEW_IV_2019_REP_CALCULO_TRI[[#This Row],[Tri-Fiscal]],VIEW_IV_2019_REP_CALCULO['#PK-Email],VIEW_IV_2019_REP_CALCULO_TRI[[#This Row],['#PK-Email]])</f>
        <v>0</v>
      </c>
      <c r="AI21" s="65">
        <f>SUMIFS(VIEW_IV_2019_REP_CALCULO[Premio-BERIPLEX],VIEW_IV_2019_REP_CALCULO[Ano-Fiscal],VIEW_IV_2019_REP_CALCULO_TRI[[#This Row],[Ano-Fiscal]],VIEW_IV_2019_REP_CALCULO[Tri-Fiscal],VIEW_IV_2019_REP_CALCULO_TRI[[#This Row],[Tri-Fiscal]],VIEW_IV_2019_REP_CALCULO['#PK-Email],VIEW_IV_2019_REP_CALCULO_TRI[[#This Row],['#PK-Email]])</f>
        <v>6022.2375573309182</v>
      </c>
      <c r="AJ21" s="65">
        <f>SUMIFS(VIEW_IV_2019_REP_CALCULO[Premio-HAEMO],VIEW_IV_2019_REP_CALCULO[Ano-Fiscal],VIEW_IV_2019_REP_CALCULO_TRI[[#This Row],[Ano-Fiscal]],VIEW_IV_2019_REP_CALCULO[Tri-Fiscal],VIEW_IV_2019_REP_CALCULO_TRI[[#This Row],[Tri-Fiscal]],VIEW_IV_2019_REP_CALCULO['#PK-Email],VIEW_IV_2019_REP_CALCULO_TRI[[#This Row],['#PK-Email]])</f>
        <v>0</v>
      </c>
      <c r="AK21" s="65">
        <f>SUMIFS(VIEW_IV_2019_REP_CALCULO[Premio-HIZENTRA],VIEW_IV_2019_REP_CALCULO[Ano-Fiscal],VIEW_IV_2019_REP_CALCULO_TRI[[#This Row],[Ano-Fiscal]],VIEW_IV_2019_REP_CALCULO[Tri-Fiscal],VIEW_IV_2019_REP_CALCULO_TRI[[#This Row],[Tri-Fiscal]],VIEW_IV_2019_REP_CALCULO['#PK-Email],VIEW_IV_2019_REP_CALCULO_TRI[[#This Row],['#PK-Email]])</f>
        <v>0</v>
      </c>
      <c r="AL21" s="65">
        <f>SUMIFS(VIEW_IV_2019_REP_CALCULO[Premio-PRIVIGEN],VIEW_IV_2019_REP_CALCULO[Ano-Fiscal],VIEW_IV_2019_REP_CALCULO_TRI[[#This Row],[Ano-Fiscal]],VIEW_IV_2019_REP_CALCULO[Tri-Fiscal],VIEW_IV_2019_REP_CALCULO_TRI[[#This Row],[Tri-Fiscal]],VIEW_IV_2019_REP_CALCULO['#PK-Email],VIEW_IV_2019_REP_CALCULO_TRI[[#This Row],['#PK-Email]])</f>
        <v>3106.8451537864189</v>
      </c>
      <c r="AM21" s="65">
        <f>IF((VIEW_IV_2019_REP_CALCULO_TRI[[#This Row],[Premio-BERINERT]]-VIEW_IV_2019_REP_CALCULO_TRI[[#This Row],[Recebido-BERINERT]])&lt;=0,0,VIEW_IV_2019_REP_CALCULO_TRI[[#This Row],[Premio-BERINERT]]-VIEW_IV_2019_REP_CALCULO_TRI[[#This Row],[Recebido-BERINERT]])</f>
        <v>0</v>
      </c>
      <c r="AN21" s="65">
        <f>IF((VIEW_IV_2019_REP_CALCULO_TRI[[#This Row],[Premio-BERIPLEX]]-VIEW_IV_2019_REP_CALCULO_TRI[[#This Row],[Recebido-BERIPLEX]])&lt;=0,0,VIEW_IV_2019_REP_CALCULO_TRI[[#This Row],[Premio-BERIPLEX]]-VIEW_IV_2019_REP_CALCULO_TRI[[#This Row],[Recebido-BERIPLEX]])</f>
        <v>89.56769466644073</v>
      </c>
      <c r="AO21" s="65">
        <f>IF((VIEW_IV_2019_REP_CALCULO_TRI[[#This Row],[Premio-HAEMO]]-VIEW_IV_2019_REP_CALCULO_TRI[[#This Row],[Recebido-HAEMO]])&lt;=0,0,VIEW_IV_2019_REP_CALCULO_TRI[[#This Row],[Premio-HAEMO]]-VIEW_IV_2019_REP_CALCULO_TRI[[#This Row],[Recebido-HAEMO]])</f>
        <v>0</v>
      </c>
      <c r="AP21" s="65">
        <f>IF((VIEW_IV_2019_REP_CALCULO_TRI[[#This Row],[Premio-HIZENTRA]]-VIEW_IV_2019_REP_CALCULO_TRI[[#This Row],[Recebido-HIZENTRA]])&lt;=0,0,VIEW_IV_2019_REP_CALCULO_TRI[[#This Row],[Premio-HIZENTRA]]-VIEW_IV_2019_REP_CALCULO_TRI[[#This Row],[Recebido-HIZENTRA]])</f>
        <v>0</v>
      </c>
      <c r="AQ21" s="65">
        <f>IF((VIEW_IV_2019_REP_CALCULO_TRI[[#This Row],[Premio-PRIVIGEN]]-VIEW_IV_2019_REP_CALCULO_TRI[[#This Row],[Recebido-PRIVIGEN]])&lt;=0,0,VIEW_IV_2019_REP_CALCULO_TRI[[#This Row],[Premio-PRIVIGEN]]-VIEW_IV_2019_REP_CALCULO_TRI[[#This Row],[Recebido-PRIVIGEN]])</f>
        <v>0</v>
      </c>
      <c r="AR21" s="102">
        <f>SUM(VIEW_IV_2019_REP_CALCULO_TRI[[#This Row],[Recuperavel-BERINERT]:[Recuperavel-PRIVIGEN]])</f>
        <v>89.56769466644073</v>
      </c>
    </row>
    <row r="22" spans="1:44" x14ac:dyDescent="0.25">
      <c r="A22" s="7" t="s">
        <v>16</v>
      </c>
      <c r="B22" s="7" t="s">
        <v>18</v>
      </c>
      <c r="C22" s="8" t="s">
        <v>752</v>
      </c>
      <c r="D22" s="8" t="s">
        <v>753</v>
      </c>
      <c r="E22" s="8" t="s">
        <v>723</v>
      </c>
      <c r="F22" s="8" t="s">
        <v>785</v>
      </c>
      <c r="G22" s="3" t="b">
        <v>1</v>
      </c>
      <c r="H22" s="3" t="b">
        <v>1</v>
      </c>
      <c r="I22" s="10">
        <v>0</v>
      </c>
      <c r="J22" s="10">
        <v>300</v>
      </c>
      <c r="K22" s="10">
        <v>240</v>
      </c>
      <c r="L22" s="10">
        <v>0</v>
      </c>
      <c r="M22" s="10">
        <v>7025</v>
      </c>
      <c r="N22" s="10">
        <v>0</v>
      </c>
      <c r="O22" s="10">
        <v>310</v>
      </c>
      <c r="P22" s="10">
        <v>113</v>
      </c>
      <c r="Q22" s="10">
        <v>0</v>
      </c>
      <c r="R22" s="10">
        <v>12602</v>
      </c>
      <c r="S22" s="75">
        <v>0</v>
      </c>
      <c r="T22" s="75">
        <v>0.25</v>
      </c>
      <c r="U22" s="75">
        <v>0.25</v>
      </c>
      <c r="V22" s="75">
        <v>0</v>
      </c>
      <c r="W22" s="75">
        <v>0.2</v>
      </c>
      <c r="X22" s="75">
        <f>IFERROR(VIEW_IV_2019_REP_CALCULO_TRI[[#This Row],[Demanda-BERINERT]]/VIEW_IV_2019_REP_CALCULO_TRI[[#This Row],[Cota-BERINERT]],0)</f>
        <v>0</v>
      </c>
      <c r="Y22" s="75">
        <f>IFERROR(VIEW_IV_2019_REP_CALCULO_TRI[[#This Row],[Demanda-BERIPLEX]]/VIEW_IV_2019_REP_CALCULO_TRI[[#This Row],[Cota-BERIPLEX]],0)</f>
        <v>1.0333333333333334</v>
      </c>
      <c r="Z22" s="75">
        <f>IFERROR(VIEW_IV_2019_REP_CALCULO_TRI[[#This Row],[Demanda-HAEMO]]/VIEW_IV_2019_REP_CALCULO_TRI[[#This Row],[Cota-HAEMO]],0)</f>
        <v>0.47083333333333333</v>
      </c>
      <c r="AA22" s="75">
        <f>IFERROR(VIEW_IV_2019_REP_CALCULO_TRI[[#This Row],[Demanda-HIZENTRA]]/VIEW_IV_2019_REP_CALCULO_TRI[[#This Row],[Cota-HIZENTRA]],0)</f>
        <v>0</v>
      </c>
      <c r="AB22" s="75">
        <f>IFERROR(VIEW_IV_2019_REP_CALCULO_TRI[[#This Row],[Demanda-PRIVIGEN]]/VIEW_IV_2019_REP_CALCULO_TRI[[#This Row],[Cota-PRIVIGEN]],0)</f>
        <v>1.7938790035587189</v>
      </c>
      <c r="AC22" s="65">
        <f>(IF(VIEW_IV_2019_REP_CALCULO_TRI[[#This Row],[Cobertura-BERINERT]]&lt;Cob_Min_REP,0,IF(VIEW_IV_2019_REP_CALCULO_TRI[[#This Row],[Cobertura-BERINERT]]&gt;Cob_Max_REP,Vlr_Max_REP,VLOOKUP(VIEW_IV_2019_REP_CALCULO_TRI[[#This Row],[Cobertura-BERINERT]],Tabela_Valores_REP,2,1)))*VIEW_IV_2019_REP_CALCULO_TRI[[#This Row],[Peso-BERINERT]])*3</f>
        <v>0</v>
      </c>
      <c r="AD22" s="65">
        <f>(IF(VIEW_IV_2019_REP_CALCULO_TRI[[#This Row],[Cobertura-BERIPLEX]]&lt;Cob_Min_REP,0,IF(VIEW_IV_2019_REP_CALCULO_TRI[[#This Row],[Cobertura-BERIPLEX]]&gt;Cob_Max_REP,Vlr_Max_REP,VLOOKUP(VIEW_IV_2019_REP_CALCULO_TRI[[#This Row],[Cobertura-BERIPLEX]],Tabela_Valores_REP,2,1)))*VIEW_IV_2019_REP_CALCULO_TRI[[#This Row],[Peso-BERIPLEX]])*3</f>
        <v>2784.657463708701</v>
      </c>
      <c r="AE22" s="65">
        <f>(IF(VIEW_IV_2019_REP_CALCULO_TRI[[#This Row],[Cobertura-HAEMO]]&lt;Cob_Min_REP,0,IF(VIEW_IV_2019_REP_CALCULO_TRI[[#This Row],[Cobertura-HAEMO]]&gt;Cob_Max_REP,Vlr_Max_REP,VLOOKUP(VIEW_IV_2019_REP_CALCULO_TRI[[#This Row],[Cobertura-HAEMO]],Tabela_Valores_REP,2,1)))*VIEW_IV_2019_REP_CALCULO_TRI[[#This Row],[Peso-HAEMO]])*3</f>
        <v>0</v>
      </c>
      <c r="AF22" s="65">
        <f>(IF(VIEW_IV_2019_REP_CALCULO_TRI[[#This Row],[Cobertura-HIZENTRA]]&lt;Cob_Min_REP,0,IF(VIEW_IV_2019_REP_CALCULO_TRI[[#This Row],[Cobertura-HIZENTRA]]&gt;Cob_Max_REP,Vlr_Max_REP,VLOOKUP(VIEW_IV_2019_REP_CALCULO_TRI[[#This Row],[Cobertura-HIZENTRA]],Tabela_Valores_REP,2,1)))*VIEW_IV_2019_REP_CALCULO_TRI[[#This Row],[Peso-HIZENTRA]])*3</f>
        <v>0</v>
      </c>
      <c r="AG22" s="65">
        <f>(IF(VIEW_IV_2019_REP_CALCULO_TRI[[#This Row],[Cobertura-PRIVIGEN]]&lt;Cob_Min_REP,0,IF(VIEW_IV_2019_REP_CALCULO_TRI[[#This Row],[Cobertura-PRIVIGEN]]&gt;Cob_Max_REP,Vlr_Max_REP,VLOOKUP(VIEW_IV_2019_REP_CALCULO_TRI[[#This Row],[Cobertura-PRIVIGEN]],Tabela_Valores_REP,2,1)))*VIEW_IV_2019_REP_CALCULO_TRI[[#This Row],[Peso-PRIVIGEN]])*3</f>
        <v>4889.4442015978875</v>
      </c>
      <c r="AH22" s="65">
        <f>SUMIFS(VIEW_IV_2019_REP_CALCULO[Premio-BERINERT],VIEW_IV_2019_REP_CALCULO[Ano-Fiscal],VIEW_IV_2019_REP_CALCULO_TRI[[#This Row],[Ano-Fiscal]],VIEW_IV_2019_REP_CALCULO[Tri-Fiscal],VIEW_IV_2019_REP_CALCULO_TRI[[#This Row],[Tri-Fiscal]],VIEW_IV_2019_REP_CALCULO['#PK-Email],VIEW_IV_2019_REP_CALCULO_TRI[[#This Row],['#PK-Email]])</f>
        <v>0</v>
      </c>
      <c r="AI22" s="65">
        <f>SUMIFS(VIEW_IV_2019_REP_CALCULO[Premio-BERIPLEX],VIEW_IV_2019_REP_CALCULO[Ano-Fiscal],VIEW_IV_2019_REP_CALCULO_TRI[[#This Row],[Ano-Fiscal]],VIEW_IV_2019_REP_CALCULO[Tri-Fiscal],VIEW_IV_2019_REP_CALCULO_TRI[[#This Row],[Tri-Fiscal]],VIEW_IV_2019_REP_CALCULO['#PK-Email],VIEW_IV_2019_REP_CALCULO_TRI[[#This Row],['#PK-Email]])</f>
        <v>2885.1687152717859</v>
      </c>
      <c r="AJ22" s="65">
        <f>SUMIFS(VIEW_IV_2019_REP_CALCULO[Premio-HAEMO],VIEW_IV_2019_REP_CALCULO[Ano-Fiscal],VIEW_IV_2019_REP_CALCULO_TRI[[#This Row],[Ano-Fiscal]],VIEW_IV_2019_REP_CALCULO[Tri-Fiscal],VIEW_IV_2019_REP_CALCULO_TRI[[#This Row],[Tri-Fiscal]],VIEW_IV_2019_REP_CALCULO['#PK-Email],VIEW_IV_2019_REP_CALCULO_TRI[[#This Row],['#PK-Email]])</f>
        <v>0</v>
      </c>
      <c r="AK22" s="65">
        <f>SUMIFS(VIEW_IV_2019_REP_CALCULO[Premio-HIZENTRA],VIEW_IV_2019_REP_CALCULO[Ano-Fiscal],VIEW_IV_2019_REP_CALCULO_TRI[[#This Row],[Ano-Fiscal]],VIEW_IV_2019_REP_CALCULO[Tri-Fiscal],VIEW_IV_2019_REP_CALCULO_TRI[[#This Row],[Tri-Fiscal]],VIEW_IV_2019_REP_CALCULO['#PK-Email],VIEW_IV_2019_REP_CALCULO_TRI[[#This Row],['#PK-Email]])</f>
        <v>0</v>
      </c>
      <c r="AL22" s="65">
        <f>SUMIFS(VIEW_IV_2019_REP_CALCULO[Premio-PRIVIGEN],VIEW_IV_2019_REP_CALCULO[Ano-Fiscal],VIEW_IV_2019_REP_CALCULO_TRI[[#This Row],[Ano-Fiscal]],VIEW_IV_2019_REP_CALCULO[Tri-Fiscal],VIEW_IV_2019_REP_CALCULO_TRI[[#This Row],[Tri-Fiscal]],VIEW_IV_2019_REP_CALCULO['#PK-Email],VIEW_IV_2019_REP_CALCULO_TRI[[#This Row],['#PK-Email]])</f>
        <v>4786.8307774909008</v>
      </c>
      <c r="AM22" s="65">
        <f>IF((VIEW_IV_2019_REP_CALCULO_TRI[[#This Row],[Premio-BERINERT]]-VIEW_IV_2019_REP_CALCULO_TRI[[#This Row],[Recebido-BERINERT]])&lt;=0,0,VIEW_IV_2019_REP_CALCULO_TRI[[#This Row],[Premio-BERINERT]]-VIEW_IV_2019_REP_CALCULO_TRI[[#This Row],[Recebido-BERINERT]])</f>
        <v>0</v>
      </c>
      <c r="AN22" s="65">
        <f>IF((VIEW_IV_2019_REP_CALCULO_TRI[[#This Row],[Premio-BERIPLEX]]-VIEW_IV_2019_REP_CALCULO_TRI[[#This Row],[Recebido-BERIPLEX]])&lt;=0,0,VIEW_IV_2019_REP_CALCULO_TRI[[#This Row],[Premio-BERIPLEX]]-VIEW_IV_2019_REP_CALCULO_TRI[[#This Row],[Recebido-BERIPLEX]])</f>
        <v>0</v>
      </c>
      <c r="AO22" s="65">
        <f>IF((VIEW_IV_2019_REP_CALCULO_TRI[[#This Row],[Premio-HAEMO]]-VIEW_IV_2019_REP_CALCULO_TRI[[#This Row],[Recebido-HAEMO]])&lt;=0,0,VIEW_IV_2019_REP_CALCULO_TRI[[#This Row],[Premio-HAEMO]]-VIEW_IV_2019_REP_CALCULO_TRI[[#This Row],[Recebido-HAEMO]])</f>
        <v>0</v>
      </c>
      <c r="AP22" s="65">
        <f>IF((VIEW_IV_2019_REP_CALCULO_TRI[[#This Row],[Premio-HIZENTRA]]-VIEW_IV_2019_REP_CALCULO_TRI[[#This Row],[Recebido-HIZENTRA]])&lt;=0,0,VIEW_IV_2019_REP_CALCULO_TRI[[#This Row],[Premio-HIZENTRA]]-VIEW_IV_2019_REP_CALCULO_TRI[[#This Row],[Recebido-HIZENTRA]])</f>
        <v>0</v>
      </c>
      <c r="AQ22" s="65">
        <f>IF((VIEW_IV_2019_REP_CALCULO_TRI[[#This Row],[Premio-PRIVIGEN]]-VIEW_IV_2019_REP_CALCULO_TRI[[#This Row],[Recebido-PRIVIGEN]])&lt;=0,0,VIEW_IV_2019_REP_CALCULO_TRI[[#This Row],[Premio-PRIVIGEN]]-VIEW_IV_2019_REP_CALCULO_TRI[[#This Row],[Recebido-PRIVIGEN]])</f>
        <v>102.61342410698671</v>
      </c>
      <c r="AR22" s="102">
        <f>SUM(VIEW_IV_2019_REP_CALCULO_TRI[[#This Row],[Recuperavel-BERINERT]:[Recuperavel-PRIVIGEN]])</f>
        <v>102.61342410698671</v>
      </c>
    </row>
    <row r="23" spans="1:44" x14ac:dyDescent="0.25">
      <c r="A23" s="7" t="s">
        <v>16</v>
      </c>
      <c r="B23" s="7" t="s">
        <v>18</v>
      </c>
      <c r="C23" s="8" t="s">
        <v>756</v>
      </c>
      <c r="D23" s="8" t="s">
        <v>757</v>
      </c>
      <c r="E23" s="8" t="s">
        <v>723</v>
      </c>
      <c r="F23" s="8" t="s">
        <v>787</v>
      </c>
      <c r="G23" s="3" t="b">
        <v>1</v>
      </c>
      <c r="H23" s="3" t="b">
        <v>1</v>
      </c>
      <c r="I23" s="10">
        <v>0</v>
      </c>
      <c r="J23" s="10">
        <v>350</v>
      </c>
      <c r="K23" s="10">
        <v>400</v>
      </c>
      <c r="L23" s="10">
        <v>0</v>
      </c>
      <c r="M23" s="10">
        <v>12645</v>
      </c>
      <c r="N23" s="10">
        <v>0</v>
      </c>
      <c r="O23" s="10">
        <v>360</v>
      </c>
      <c r="P23" s="10">
        <v>468</v>
      </c>
      <c r="Q23" s="10">
        <v>0</v>
      </c>
      <c r="R23" s="10">
        <v>31383</v>
      </c>
      <c r="S23" s="75">
        <v>0</v>
      </c>
      <c r="T23" s="75">
        <v>0.25</v>
      </c>
      <c r="U23" s="75">
        <v>0.25</v>
      </c>
      <c r="V23" s="75">
        <v>0</v>
      </c>
      <c r="W23" s="75">
        <v>0.2</v>
      </c>
      <c r="X23" s="75">
        <f>IFERROR(VIEW_IV_2019_REP_CALCULO_TRI[[#This Row],[Demanda-BERINERT]]/VIEW_IV_2019_REP_CALCULO_TRI[[#This Row],[Cota-BERINERT]],0)</f>
        <v>0</v>
      </c>
      <c r="Y23" s="75">
        <f>IFERROR(VIEW_IV_2019_REP_CALCULO_TRI[[#This Row],[Demanda-BERIPLEX]]/VIEW_IV_2019_REP_CALCULO_TRI[[#This Row],[Cota-BERIPLEX]],0)</f>
        <v>1.0285714285714285</v>
      </c>
      <c r="Z23" s="75">
        <f>IFERROR(VIEW_IV_2019_REP_CALCULO_TRI[[#This Row],[Demanda-HAEMO]]/VIEW_IV_2019_REP_CALCULO_TRI[[#This Row],[Cota-HAEMO]],0)</f>
        <v>1.17</v>
      </c>
      <c r="AA23" s="75">
        <f>IFERROR(VIEW_IV_2019_REP_CALCULO_TRI[[#This Row],[Demanda-HIZENTRA]]/VIEW_IV_2019_REP_CALCULO_TRI[[#This Row],[Cota-HIZENTRA]],0)</f>
        <v>0</v>
      </c>
      <c r="AB23" s="75">
        <f>IFERROR(VIEW_IV_2019_REP_CALCULO_TRI[[#This Row],[Demanda-PRIVIGEN]]/VIEW_IV_2019_REP_CALCULO_TRI[[#This Row],[Cota-PRIVIGEN]],0)</f>
        <v>2.4818505338078292</v>
      </c>
      <c r="AC23" s="65">
        <f>(IF(VIEW_IV_2019_REP_CALCULO_TRI[[#This Row],[Cobertura-BERINERT]]&lt;Cob_Min_REP,0,IF(VIEW_IV_2019_REP_CALCULO_TRI[[#This Row],[Cobertura-BERINERT]]&gt;Cob_Max_REP,Vlr_Max_REP,VLOOKUP(VIEW_IV_2019_REP_CALCULO_TRI[[#This Row],[Cobertura-BERINERT]],Tabela_Valores_REP,2,1)))*VIEW_IV_2019_REP_CALCULO_TRI[[#This Row],[Peso-BERINERT]])*3</f>
        <v>0</v>
      </c>
      <c r="AD23" s="65">
        <f>(IF(VIEW_IV_2019_REP_CALCULO_TRI[[#This Row],[Cobertura-BERIPLEX]]&lt;Cob_Min_REP,0,IF(VIEW_IV_2019_REP_CALCULO_TRI[[#This Row],[Cobertura-BERIPLEX]]&gt;Cob_Max_REP,Vlr_Max_REP,VLOOKUP(VIEW_IV_2019_REP_CALCULO_TRI[[#This Row],[Cobertura-BERIPLEX]],Tabela_Valores_REP,2,1)))*VIEW_IV_2019_REP_CALCULO_TRI[[#This Row],[Peso-BERIPLEX]])*3</f>
        <v>2772.4879399768483</v>
      </c>
      <c r="AE23" s="65">
        <f>(IF(VIEW_IV_2019_REP_CALCULO_TRI[[#This Row],[Cobertura-HAEMO]]&lt;Cob_Min_REP,0,IF(VIEW_IV_2019_REP_CALCULO_TRI[[#This Row],[Cobertura-HAEMO]]&gt;Cob_Max_REP,Vlr_Max_REP,VLOOKUP(VIEW_IV_2019_REP_CALCULO_TRI[[#This Row],[Cobertura-HAEMO]],Tabela_Valores_REP,2,1)))*VIEW_IV_2019_REP_CALCULO_TRI[[#This Row],[Peso-HAEMO]])*3</f>
        <v>3972.4029799375694</v>
      </c>
      <c r="AF23" s="65">
        <f>(IF(VIEW_IV_2019_REP_CALCULO_TRI[[#This Row],[Cobertura-HIZENTRA]]&lt;Cob_Min_REP,0,IF(VIEW_IV_2019_REP_CALCULO_TRI[[#This Row],[Cobertura-HIZENTRA]]&gt;Cob_Max_REP,Vlr_Max_REP,VLOOKUP(VIEW_IV_2019_REP_CALCULO_TRI[[#This Row],[Cobertura-HIZENTRA]],Tabela_Valores_REP,2,1)))*VIEW_IV_2019_REP_CALCULO_TRI[[#This Row],[Peso-HIZENTRA]])*3</f>
        <v>0</v>
      </c>
      <c r="AG23" s="65">
        <f>(IF(VIEW_IV_2019_REP_CALCULO_TRI[[#This Row],[Cobertura-PRIVIGEN]]&lt;Cob_Min_REP,0,IF(VIEW_IV_2019_REP_CALCULO_TRI[[#This Row],[Cobertura-PRIVIGEN]]&gt;Cob_Max_REP,Vlr_Max_REP,VLOOKUP(VIEW_IV_2019_REP_CALCULO_TRI[[#This Row],[Cobertura-PRIVIGEN]],Tabela_Valores_REP,2,1)))*VIEW_IV_2019_REP_CALCULO_TRI[[#This Row],[Peso-PRIVIGEN]])*3</f>
        <v>4889.4442015978875</v>
      </c>
      <c r="AH23" s="65">
        <f>SUMIFS(VIEW_IV_2019_REP_CALCULO[Premio-BERINERT],VIEW_IV_2019_REP_CALCULO[Ano-Fiscal],VIEW_IV_2019_REP_CALCULO_TRI[[#This Row],[Ano-Fiscal]],VIEW_IV_2019_REP_CALCULO[Tri-Fiscal],VIEW_IV_2019_REP_CALCULO_TRI[[#This Row],[Tri-Fiscal]],VIEW_IV_2019_REP_CALCULO['#PK-Email],VIEW_IV_2019_REP_CALCULO_TRI[[#This Row],['#PK-Email]])</f>
        <v>0</v>
      </c>
      <c r="AI23" s="65">
        <f>SUMIFS(VIEW_IV_2019_REP_CALCULO[Premio-BERIPLEX],VIEW_IV_2019_REP_CALCULO[Ano-Fiscal],VIEW_IV_2019_REP_CALCULO_TRI[[#This Row],[Ano-Fiscal]],VIEW_IV_2019_REP_CALCULO[Tri-Fiscal],VIEW_IV_2019_REP_CALCULO_TRI[[#This Row],[Tri-Fiscal]],VIEW_IV_2019_REP_CALCULO['#PK-Email],VIEW_IV_2019_REP_CALCULO_TRI[[#This Row],['#PK-Email]])</f>
        <v>2639.8852036097687</v>
      </c>
      <c r="AJ23" s="65">
        <f>SUMIFS(VIEW_IV_2019_REP_CALCULO[Premio-HAEMO],VIEW_IV_2019_REP_CALCULO[Ano-Fiscal],VIEW_IV_2019_REP_CALCULO_TRI[[#This Row],[Ano-Fiscal]],VIEW_IV_2019_REP_CALCULO[Tri-Fiscal],VIEW_IV_2019_REP_CALCULO_TRI[[#This Row],[Tri-Fiscal]],VIEW_IV_2019_REP_CALCULO['#PK-Email],VIEW_IV_2019_REP_CALCULO_TRI[[#This Row],['#PK-Email]])</f>
        <v>3857.9193122379202</v>
      </c>
      <c r="AK23" s="65">
        <f>SUMIFS(VIEW_IV_2019_REP_CALCULO[Premio-HIZENTRA],VIEW_IV_2019_REP_CALCULO[Ano-Fiscal],VIEW_IV_2019_REP_CALCULO_TRI[[#This Row],[Ano-Fiscal]],VIEW_IV_2019_REP_CALCULO[Tri-Fiscal],VIEW_IV_2019_REP_CALCULO_TRI[[#This Row],[Tri-Fiscal]],VIEW_IV_2019_REP_CALCULO['#PK-Email],VIEW_IV_2019_REP_CALCULO_TRI[[#This Row],['#PK-Email]])</f>
        <v>0</v>
      </c>
      <c r="AL23" s="65">
        <f>SUMIFS(VIEW_IV_2019_REP_CALCULO[Premio-PRIVIGEN],VIEW_IV_2019_REP_CALCULO[Ano-Fiscal],VIEW_IV_2019_REP_CALCULO_TRI[[#This Row],[Ano-Fiscal]],VIEW_IV_2019_REP_CALCULO[Tri-Fiscal],VIEW_IV_2019_REP_CALCULO_TRI[[#This Row],[Tri-Fiscal]],VIEW_IV_2019_REP_CALCULO['#PK-Email],VIEW_IV_2019_REP_CALCULO_TRI[[#This Row],['#PK-Email]])</f>
        <v>2630.0594400040536</v>
      </c>
      <c r="AM23" s="65">
        <f>IF((VIEW_IV_2019_REP_CALCULO_TRI[[#This Row],[Premio-BERINERT]]-VIEW_IV_2019_REP_CALCULO_TRI[[#This Row],[Recebido-BERINERT]])&lt;=0,0,VIEW_IV_2019_REP_CALCULO_TRI[[#This Row],[Premio-BERINERT]]-VIEW_IV_2019_REP_CALCULO_TRI[[#This Row],[Recebido-BERINERT]])</f>
        <v>0</v>
      </c>
      <c r="AN23" s="65">
        <f>IF((VIEW_IV_2019_REP_CALCULO_TRI[[#This Row],[Premio-BERIPLEX]]-VIEW_IV_2019_REP_CALCULO_TRI[[#This Row],[Recebido-BERIPLEX]])&lt;=0,0,VIEW_IV_2019_REP_CALCULO_TRI[[#This Row],[Premio-BERIPLEX]]-VIEW_IV_2019_REP_CALCULO_TRI[[#This Row],[Recebido-BERIPLEX]])</f>
        <v>132.60273636707961</v>
      </c>
      <c r="AO23" s="65">
        <f>IF((VIEW_IV_2019_REP_CALCULO_TRI[[#This Row],[Premio-HAEMO]]-VIEW_IV_2019_REP_CALCULO_TRI[[#This Row],[Recebido-HAEMO]])&lt;=0,0,VIEW_IV_2019_REP_CALCULO_TRI[[#This Row],[Premio-HAEMO]]-VIEW_IV_2019_REP_CALCULO_TRI[[#This Row],[Recebido-HAEMO]])</f>
        <v>114.48366769964923</v>
      </c>
      <c r="AP23" s="65">
        <f>IF((VIEW_IV_2019_REP_CALCULO_TRI[[#This Row],[Premio-HIZENTRA]]-VIEW_IV_2019_REP_CALCULO_TRI[[#This Row],[Recebido-HIZENTRA]])&lt;=0,0,VIEW_IV_2019_REP_CALCULO_TRI[[#This Row],[Premio-HIZENTRA]]-VIEW_IV_2019_REP_CALCULO_TRI[[#This Row],[Recebido-HIZENTRA]])</f>
        <v>0</v>
      </c>
      <c r="AQ23" s="65">
        <f>IF((VIEW_IV_2019_REP_CALCULO_TRI[[#This Row],[Premio-PRIVIGEN]]-VIEW_IV_2019_REP_CALCULO_TRI[[#This Row],[Recebido-PRIVIGEN]])&lt;=0,0,VIEW_IV_2019_REP_CALCULO_TRI[[#This Row],[Premio-PRIVIGEN]]-VIEW_IV_2019_REP_CALCULO_TRI[[#This Row],[Recebido-PRIVIGEN]])</f>
        <v>2259.3847615938339</v>
      </c>
      <c r="AR23" s="102">
        <f>SUM(VIEW_IV_2019_REP_CALCULO_TRI[[#This Row],[Recuperavel-BERINERT]:[Recuperavel-PRIVIGEN]])</f>
        <v>2506.4711656605627</v>
      </c>
    </row>
    <row r="24" spans="1:44" x14ac:dyDescent="0.25">
      <c r="A24" s="7" t="s">
        <v>16</v>
      </c>
      <c r="B24" s="7" t="s">
        <v>18</v>
      </c>
      <c r="C24" s="8" t="s">
        <v>760</v>
      </c>
      <c r="D24" s="8" t="s">
        <v>761</v>
      </c>
      <c r="E24" s="8" t="s">
        <v>723</v>
      </c>
      <c r="F24" s="8" t="s">
        <v>785</v>
      </c>
      <c r="G24" s="3" t="b">
        <v>1</v>
      </c>
      <c r="H24" s="3" t="b">
        <v>1</v>
      </c>
      <c r="I24" s="10">
        <v>0</v>
      </c>
      <c r="J24" s="10">
        <v>550</v>
      </c>
      <c r="K24" s="10">
        <v>480</v>
      </c>
      <c r="L24" s="10">
        <v>0</v>
      </c>
      <c r="M24" s="10">
        <v>11240</v>
      </c>
      <c r="N24" s="10">
        <v>0</v>
      </c>
      <c r="O24" s="10">
        <v>890</v>
      </c>
      <c r="P24" s="10">
        <v>1102</v>
      </c>
      <c r="Q24" s="10">
        <v>0</v>
      </c>
      <c r="R24" s="10">
        <v>14150</v>
      </c>
      <c r="S24" s="75">
        <v>0</v>
      </c>
      <c r="T24" s="75">
        <v>0.25</v>
      </c>
      <c r="U24" s="75">
        <v>0.25</v>
      </c>
      <c r="V24" s="75">
        <v>0</v>
      </c>
      <c r="W24" s="75">
        <v>0.2</v>
      </c>
      <c r="X24" s="75">
        <f>IFERROR(VIEW_IV_2019_REP_CALCULO_TRI[[#This Row],[Demanda-BERINERT]]/VIEW_IV_2019_REP_CALCULO_TRI[[#This Row],[Cota-BERINERT]],0)</f>
        <v>0</v>
      </c>
      <c r="Y24" s="75">
        <f>IFERROR(VIEW_IV_2019_REP_CALCULO_TRI[[#This Row],[Demanda-BERIPLEX]]/VIEW_IV_2019_REP_CALCULO_TRI[[#This Row],[Cota-BERIPLEX]],0)</f>
        <v>1.6181818181818182</v>
      </c>
      <c r="Z24" s="75">
        <f>IFERROR(VIEW_IV_2019_REP_CALCULO_TRI[[#This Row],[Demanda-HAEMO]]/VIEW_IV_2019_REP_CALCULO_TRI[[#This Row],[Cota-HAEMO]],0)</f>
        <v>2.2958333333333334</v>
      </c>
      <c r="AA24" s="75">
        <f>IFERROR(VIEW_IV_2019_REP_CALCULO_TRI[[#This Row],[Demanda-HIZENTRA]]/VIEW_IV_2019_REP_CALCULO_TRI[[#This Row],[Cota-HIZENTRA]],0)</f>
        <v>0</v>
      </c>
      <c r="AB24" s="75">
        <f>IFERROR(VIEW_IV_2019_REP_CALCULO_TRI[[#This Row],[Demanda-PRIVIGEN]]/VIEW_IV_2019_REP_CALCULO_TRI[[#This Row],[Cota-PRIVIGEN]],0)</f>
        <v>1.2588967971530249</v>
      </c>
      <c r="AC24" s="65">
        <f>(IF(VIEW_IV_2019_REP_CALCULO_TRI[[#This Row],[Cobertura-BERINERT]]&lt;Cob_Min_REP,0,IF(VIEW_IV_2019_REP_CALCULO_TRI[[#This Row],[Cobertura-BERINERT]]&gt;Cob_Max_REP,Vlr_Max_REP,VLOOKUP(VIEW_IV_2019_REP_CALCULO_TRI[[#This Row],[Cobertura-BERINERT]],Tabela_Valores_REP,2,1)))*VIEW_IV_2019_REP_CALCULO_TRI[[#This Row],[Peso-BERINERT]])*3</f>
        <v>0</v>
      </c>
      <c r="AD24" s="65">
        <f>(IF(VIEW_IV_2019_REP_CALCULO_TRI[[#This Row],[Cobertura-BERIPLEX]]&lt;Cob_Min_REP,0,IF(VIEW_IV_2019_REP_CALCULO_TRI[[#This Row],[Cobertura-BERIPLEX]]&gt;Cob_Max_REP,Vlr_Max_REP,VLOOKUP(VIEW_IV_2019_REP_CALCULO_TRI[[#This Row],[Cobertura-BERIPLEX]],Tabela_Valores_REP,2,1)))*VIEW_IV_2019_REP_CALCULO_TRI[[#This Row],[Peso-BERIPLEX]])*3</f>
        <v>6111.8052519973589</v>
      </c>
      <c r="AE24" s="65">
        <f>(IF(VIEW_IV_2019_REP_CALCULO_TRI[[#This Row],[Cobertura-HAEMO]]&lt;Cob_Min_REP,0,IF(VIEW_IV_2019_REP_CALCULO_TRI[[#This Row],[Cobertura-HAEMO]]&gt;Cob_Max_REP,Vlr_Max_REP,VLOOKUP(VIEW_IV_2019_REP_CALCULO_TRI[[#This Row],[Cobertura-HAEMO]],Tabela_Valores_REP,2,1)))*VIEW_IV_2019_REP_CALCULO_TRI[[#This Row],[Peso-HAEMO]])*3</f>
        <v>6111.8052519973589</v>
      </c>
      <c r="AF24" s="65">
        <f>(IF(VIEW_IV_2019_REP_CALCULO_TRI[[#This Row],[Cobertura-HIZENTRA]]&lt;Cob_Min_REP,0,IF(VIEW_IV_2019_REP_CALCULO_TRI[[#This Row],[Cobertura-HIZENTRA]]&gt;Cob_Max_REP,Vlr_Max_REP,VLOOKUP(VIEW_IV_2019_REP_CALCULO_TRI[[#This Row],[Cobertura-HIZENTRA]],Tabela_Valores_REP,2,1)))*VIEW_IV_2019_REP_CALCULO_TRI[[#This Row],[Peso-HIZENTRA]])*3</f>
        <v>0</v>
      </c>
      <c r="AG24" s="65">
        <f>(IF(VIEW_IV_2019_REP_CALCULO_TRI[[#This Row],[Cobertura-PRIVIGEN]]&lt;Cob_Min_REP,0,IF(VIEW_IV_2019_REP_CALCULO_TRI[[#This Row],[Cobertura-PRIVIGEN]]&gt;Cob_Max_REP,Vlr_Max_REP,VLOOKUP(VIEW_IV_2019_REP_CALCULO_TRI[[#This Row],[Cobertura-PRIVIGEN]],Tabela_Valores_REP,2,1)))*VIEW_IV_2019_REP_CALCULO_TRI[[#This Row],[Peso-PRIVIGEN]])*3</f>
        <v>4062.0334152596934</v>
      </c>
      <c r="AH24" s="65">
        <f>SUMIFS(VIEW_IV_2019_REP_CALCULO[Premio-BERINERT],VIEW_IV_2019_REP_CALCULO[Ano-Fiscal],VIEW_IV_2019_REP_CALCULO_TRI[[#This Row],[Ano-Fiscal]],VIEW_IV_2019_REP_CALCULO[Tri-Fiscal],VIEW_IV_2019_REP_CALCULO_TRI[[#This Row],[Tri-Fiscal]],VIEW_IV_2019_REP_CALCULO['#PK-Email],VIEW_IV_2019_REP_CALCULO_TRI[[#This Row],['#PK-Email]])</f>
        <v>0</v>
      </c>
      <c r="AI24" s="65">
        <f>SUMIFS(VIEW_IV_2019_REP_CALCULO[Premio-BERIPLEX],VIEW_IV_2019_REP_CALCULO[Ano-Fiscal],VIEW_IV_2019_REP_CALCULO_TRI[[#This Row],[Ano-Fiscal]],VIEW_IV_2019_REP_CALCULO[Tri-Fiscal],VIEW_IV_2019_REP_CALCULO_TRI[[#This Row],[Tri-Fiscal]],VIEW_IV_2019_REP_CALCULO['#PK-Email],VIEW_IV_2019_REP_CALCULO_TRI[[#This Row],['#PK-Email]])</f>
        <v>5377.577320175551</v>
      </c>
      <c r="AJ24" s="65">
        <f>SUMIFS(VIEW_IV_2019_REP_CALCULO[Premio-HAEMO],VIEW_IV_2019_REP_CALCULO[Ano-Fiscal],VIEW_IV_2019_REP_CALCULO_TRI[[#This Row],[Ano-Fiscal]],VIEW_IV_2019_REP_CALCULO[Tri-Fiscal],VIEW_IV_2019_REP_CALCULO_TRI[[#This Row],[Tri-Fiscal]],VIEW_IV_2019_REP_CALCULO['#PK-Email],VIEW_IV_2019_REP_CALCULO_TRI[[#This Row],['#PK-Email]])</f>
        <v>6022.2375573309182</v>
      </c>
      <c r="AK24" s="65">
        <f>SUMIFS(VIEW_IV_2019_REP_CALCULO[Premio-HIZENTRA],VIEW_IV_2019_REP_CALCULO[Ano-Fiscal],VIEW_IV_2019_REP_CALCULO_TRI[[#This Row],[Ano-Fiscal]],VIEW_IV_2019_REP_CALCULO[Tri-Fiscal],VIEW_IV_2019_REP_CALCULO_TRI[[#This Row],[Tri-Fiscal]],VIEW_IV_2019_REP_CALCULO['#PK-Email],VIEW_IV_2019_REP_CALCULO_TRI[[#This Row],['#PK-Email]])</f>
        <v>0</v>
      </c>
      <c r="AL24" s="65">
        <f>SUMIFS(VIEW_IV_2019_REP_CALCULO[Premio-PRIVIGEN],VIEW_IV_2019_REP_CALCULO[Ano-Fiscal],VIEW_IV_2019_REP_CALCULO_TRI[[#This Row],[Ano-Fiscal]],VIEW_IV_2019_REP_CALCULO[Tri-Fiscal],VIEW_IV_2019_REP_CALCULO_TRI[[#This Row],[Tri-Fiscal]],VIEW_IV_2019_REP_CALCULO['#PK-Email],VIEW_IV_2019_REP_CALCULO_TRI[[#This Row],['#PK-Email]])</f>
        <v>3698.7130955468024</v>
      </c>
      <c r="AM24" s="65">
        <f>IF((VIEW_IV_2019_REP_CALCULO_TRI[[#This Row],[Premio-BERINERT]]-VIEW_IV_2019_REP_CALCULO_TRI[[#This Row],[Recebido-BERINERT]])&lt;=0,0,VIEW_IV_2019_REP_CALCULO_TRI[[#This Row],[Premio-BERINERT]]-VIEW_IV_2019_REP_CALCULO_TRI[[#This Row],[Recebido-BERINERT]])</f>
        <v>0</v>
      </c>
      <c r="AN24" s="65">
        <f>IF((VIEW_IV_2019_REP_CALCULO_TRI[[#This Row],[Premio-BERIPLEX]]-VIEW_IV_2019_REP_CALCULO_TRI[[#This Row],[Recebido-BERIPLEX]])&lt;=0,0,VIEW_IV_2019_REP_CALCULO_TRI[[#This Row],[Premio-BERIPLEX]]-VIEW_IV_2019_REP_CALCULO_TRI[[#This Row],[Recebido-BERIPLEX]])</f>
        <v>734.22793182180794</v>
      </c>
      <c r="AO24" s="65">
        <f>IF((VIEW_IV_2019_REP_CALCULO_TRI[[#This Row],[Premio-HAEMO]]-VIEW_IV_2019_REP_CALCULO_TRI[[#This Row],[Recebido-HAEMO]])&lt;=0,0,VIEW_IV_2019_REP_CALCULO_TRI[[#This Row],[Premio-HAEMO]]-VIEW_IV_2019_REP_CALCULO_TRI[[#This Row],[Recebido-HAEMO]])</f>
        <v>89.56769466644073</v>
      </c>
      <c r="AP24" s="65">
        <f>IF((VIEW_IV_2019_REP_CALCULO_TRI[[#This Row],[Premio-HIZENTRA]]-VIEW_IV_2019_REP_CALCULO_TRI[[#This Row],[Recebido-HIZENTRA]])&lt;=0,0,VIEW_IV_2019_REP_CALCULO_TRI[[#This Row],[Premio-HIZENTRA]]-VIEW_IV_2019_REP_CALCULO_TRI[[#This Row],[Recebido-HIZENTRA]])</f>
        <v>0</v>
      </c>
      <c r="AQ24" s="65">
        <f>IF((VIEW_IV_2019_REP_CALCULO_TRI[[#This Row],[Premio-PRIVIGEN]]-VIEW_IV_2019_REP_CALCULO_TRI[[#This Row],[Recebido-PRIVIGEN]])&lt;=0,0,VIEW_IV_2019_REP_CALCULO_TRI[[#This Row],[Premio-PRIVIGEN]]-VIEW_IV_2019_REP_CALCULO_TRI[[#This Row],[Recebido-PRIVIGEN]])</f>
        <v>363.32031971289098</v>
      </c>
      <c r="AR24" s="102">
        <f>SUM(VIEW_IV_2019_REP_CALCULO_TRI[[#This Row],[Recuperavel-BERINERT]:[Recuperavel-PRIVIGEN]])</f>
        <v>1187.1159462011396</v>
      </c>
    </row>
    <row r="25" spans="1:44" x14ac:dyDescent="0.25">
      <c r="A25" s="7" t="s">
        <v>16</v>
      </c>
      <c r="B25" s="7" t="s">
        <v>18</v>
      </c>
      <c r="C25" s="8" t="s">
        <v>762</v>
      </c>
      <c r="D25" s="8" t="s">
        <v>763</v>
      </c>
      <c r="E25" s="8" t="s">
        <v>723</v>
      </c>
      <c r="F25" s="8" t="s">
        <v>787</v>
      </c>
      <c r="G25" s="3" t="b">
        <v>1</v>
      </c>
      <c r="H25" s="3" t="b">
        <v>1</v>
      </c>
      <c r="I25" s="10">
        <v>0</v>
      </c>
      <c r="J25" s="10">
        <v>450</v>
      </c>
      <c r="K25" s="10">
        <v>280</v>
      </c>
      <c r="L25" s="10">
        <v>0</v>
      </c>
      <c r="M25" s="10">
        <v>15455</v>
      </c>
      <c r="N25" s="10">
        <v>0</v>
      </c>
      <c r="O25" s="10">
        <v>537</v>
      </c>
      <c r="P25" s="10">
        <v>273</v>
      </c>
      <c r="Q25" s="10">
        <v>0</v>
      </c>
      <c r="R25" s="10">
        <v>32340</v>
      </c>
      <c r="S25" s="75">
        <v>0</v>
      </c>
      <c r="T25" s="75">
        <v>0.25</v>
      </c>
      <c r="U25" s="75">
        <v>0.25</v>
      </c>
      <c r="V25" s="75">
        <v>0</v>
      </c>
      <c r="W25" s="75">
        <v>0.2</v>
      </c>
      <c r="X25" s="75">
        <f>IFERROR(VIEW_IV_2019_REP_CALCULO_TRI[[#This Row],[Demanda-BERINERT]]/VIEW_IV_2019_REP_CALCULO_TRI[[#This Row],[Cota-BERINERT]],0)</f>
        <v>0</v>
      </c>
      <c r="Y25" s="75">
        <f>IFERROR(VIEW_IV_2019_REP_CALCULO_TRI[[#This Row],[Demanda-BERIPLEX]]/VIEW_IV_2019_REP_CALCULO_TRI[[#This Row],[Cota-BERIPLEX]],0)</f>
        <v>1.1933333333333334</v>
      </c>
      <c r="Z25" s="75">
        <f>IFERROR(VIEW_IV_2019_REP_CALCULO_TRI[[#This Row],[Demanda-HAEMO]]/VIEW_IV_2019_REP_CALCULO_TRI[[#This Row],[Cota-HAEMO]],0)</f>
        <v>0.97499999999999998</v>
      </c>
      <c r="AA25" s="75">
        <f>IFERROR(VIEW_IV_2019_REP_CALCULO_TRI[[#This Row],[Demanda-HIZENTRA]]/VIEW_IV_2019_REP_CALCULO_TRI[[#This Row],[Cota-HIZENTRA]],0)</f>
        <v>0</v>
      </c>
      <c r="AB25" s="75">
        <f>IFERROR(VIEW_IV_2019_REP_CALCULO_TRI[[#This Row],[Demanda-PRIVIGEN]]/VIEW_IV_2019_REP_CALCULO_TRI[[#This Row],[Cota-PRIVIGEN]],0)</f>
        <v>2.092526690391459</v>
      </c>
      <c r="AC25" s="65">
        <f>(IF(VIEW_IV_2019_REP_CALCULO_TRI[[#This Row],[Cobertura-BERINERT]]&lt;Cob_Min_REP,0,IF(VIEW_IV_2019_REP_CALCULO_TRI[[#This Row],[Cobertura-BERINERT]]&gt;Cob_Max_REP,Vlr_Max_REP,VLOOKUP(VIEW_IV_2019_REP_CALCULO_TRI[[#This Row],[Cobertura-BERINERT]],Tabela_Valores_REP,2,1)))*VIEW_IV_2019_REP_CALCULO_TRI[[#This Row],[Peso-BERINERT]])*3</f>
        <v>0</v>
      </c>
      <c r="AD25" s="65">
        <f>(IF(VIEW_IV_2019_REP_CALCULO_TRI[[#This Row],[Cobertura-BERIPLEX]]&lt;Cob_Min_REP,0,IF(VIEW_IV_2019_REP_CALCULO_TRI[[#This Row],[Cobertura-BERIPLEX]]&gt;Cob_Max_REP,Vlr_Max_REP,VLOOKUP(VIEW_IV_2019_REP_CALCULO_TRI[[#This Row],[Cobertura-BERIPLEX]],Tabela_Valores_REP,2,1)))*VIEW_IV_2019_REP_CALCULO_TRI[[#This Row],[Peso-BERIPLEX]])*3</f>
        <v>4045.1767318540515</v>
      </c>
      <c r="AE25" s="65">
        <f>(IF(VIEW_IV_2019_REP_CALCULO_TRI[[#This Row],[Cobertura-HAEMO]]&lt;Cob_Min_REP,0,IF(VIEW_IV_2019_REP_CALCULO_TRI[[#This Row],[Cobertura-HAEMO]]&gt;Cob_Max_REP,Vlr_Max_REP,VLOOKUP(VIEW_IV_2019_REP_CALCULO_TRI[[#This Row],[Cobertura-HAEMO]],Tabela_Valores_REP,2,1)))*VIEW_IV_2019_REP_CALCULO_TRI[[#This Row],[Peso-HAEMO]])*3</f>
        <v>1977.5476064261325</v>
      </c>
      <c r="AF25" s="65">
        <f>(IF(VIEW_IV_2019_REP_CALCULO_TRI[[#This Row],[Cobertura-HIZENTRA]]&lt;Cob_Min_REP,0,IF(VIEW_IV_2019_REP_CALCULO_TRI[[#This Row],[Cobertura-HIZENTRA]]&gt;Cob_Max_REP,Vlr_Max_REP,VLOOKUP(VIEW_IV_2019_REP_CALCULO_TRI[[#This Row],[Cobertura-HIZENTRA]],Tabela_Valores_REP,2,1)))*VIEW_IV_2019_REP_CALCULO_TRI[[#This Row],[Peso-HIZENTRA]])*3</f>
        <v>0</v>
      </c>
      <c r="AG25" s="65">
        <f>(IF(VIEW_IV_2019_REP_CALCULO_TRI[[#This Row],[Cobertura-PRIVIGEN]]&lt;Cob_Min_REP,0,IF(VIEW_IV_2019_REP_CALCULO_TRI[[#This Row],[Cobertura-PRIVIGEN]]&gt;Cob_Max_REP,Vlr_Max_REP,VLOOKUP(VIEW_IV_2019_REP_CALCULO_TRI[[#This Row],[Cobertura-PRIVIGEN]],Tabela_Valores_REP,2,1)))*VIEW_IV_2019_REP_CALCULO_TRI[[#This Row],[Peso-PRIVIGEN]])*3</f>
        <v>4889.4442015978875</v>
      </c>
      <c r="AH25" s="65">
        <f>SUMIFS(VIEW_IV_2019_REP_CALCULO[Premio-BERINERT],VIEW_IV_2019_REP_CALCULO[Ano-Fiscal],VIEW_IV_2019_REP_CALCULO_TRI[[#This Row],[Ano-Fiscal]],VIEW_IV_2019_REP_CALCULO[Tri-Fiscal],VIEW_IV_2019_REP_CALCULO_TRI[[#This Row],[Tri-Fiscal]],VIEW_IV_2019_REP_CALCULO['#PK-Email],VIEW_IV_2019_REP_CALCULO_TRI[[#This Row],['#PK-Email]])</f>
        <v>0</v>
      </c>
      <c r="AI25" s="65">
        <f>SUMIFS(VIEW_IV_2019_REP_CALCULO[Premio-BERIPLEX],VIEW_IV_2019_REP_CALCULO[Ano-Fiscal],VIEW_IV_2019_REP_CALCULO_TRI[[#This Row],[Ano-Fiscal]],VIEW_IV_2019_REP_CALCULO[Tri-Fiscal],VIEW_IV_2019_REP_CALCULO_TRI[[#This Row],[Tri-Fiscal]],VIEW_IV_2019_REP_CALCULO['#PK-Email],VIEW_IV_2019_REP_CALCULO_TRI[[#This Row],['#PK-Email]])</f>
        <v>4354.3637648013355</v>
      </c>
      <c r="AJ25" s="65">
        <f>SUMIFS(VIEW_IV_2019_REP_CALCULO[Premio-HAEMO],VIEW_IV_2019_REP_CALCULO[Ano-Fiscal],VIEW_IV_2019_REP_CALCULO_TRI[[#This Row],[Ano-Fiscal]],VIEW_IV_2019_REP_CALCULO[Tri-Fiscal],VIEW_IV_2019_REP_CALCULO_TRI[[#This Row],[Tri-Fiscal]],VIEW_IV_2019_REP_CALCULO['#PK-Email],VIEW_IV_2019_REP_CALCULO_TRI[[#This Row],['#PK-Email]])</f>
        <v>2219.8112733102453</v>
      </c>
      <c r="AK25" s="65">
        <f>SUMIFS(VIEW_IV_2019_REP_CALCULO[Premio-HIZENTRA],VIEW_IV_2019_REP_CALCULO[Ano-Fiscal],VIEW_IV_2019_REP_CALCULO_TRI[[#This Row],[Ano-Fiscal]],VIEW_IV_2019_REP_CALCULO[Tri-Fiscal],VIEW_IV_2019_REP_CALCULO_TRI[[#This Row],[Tri-Fiscal]],VIEW_IV_2019_REP_CALCULO['#PK-Email],VIEW_IV_2019_REP_CALCULO_TRI[[#This Row],['#PK-Email]])</f>
        <v>0</v>
      </c>
      <c r="AL25" s="65">
        <f>SUMIFS(VIEW_IV_2019_REP_CALCULO[Premio-PRIVIGEN],VIEW_IV_2019_REP_CALCULO[Ano-Fiscal],VIEW_IV_2019_REP_CALCULO_TRI[[#This Row],[Ano-Fiscal]],VIEW_IV_2019_REP_CALCULO[Tri-Fiscal],VIEW_IV_2019_REP_CALCULO_TRI[[#This Row],[Tri-Fiscal]],VIEW_IV_2019_REP_CALCULO['#PK-Email],VIEW_IV_2019_REP_CALCULO_TRI[[#This Row],['#PK-Email]])</f>
        <v>4889.4442015978875</v>
      </c>
      <c r="AM25" s="65">
        <f>IF((VIEW_IV_2019_REP_CALCULO_TRI[[#This Row],[Premio-BERINERT]]-VIEW_IV_2019_REP_CALCULO_TRI[[#This Row],[Recebido-BERINERT]])&lt;=0,0,VIEW_IV_2019_REP_CALCULO_TRI[[#This Row],[Premio-BERINERT]]-VIEW_IV_2019_REP_CALCULO_TRI[[#This Row],[Recebido-BERINERT]])</f>
        <v>0</v>
      </c>
      <c r="AN25" s="65">
        <f>IF((VIEW_IV_2019_REP_CALCULO_TRI[[#This Row],[Premio-BERIPLEX]]-VIEW_IV_2019_REP_CALCULO_TRI[[#This Row],[Recebido-BERIPLEX]])&lt;=0,0,VIEW_IV_2019_REP_CALCULO_TRI[[#This Row],[Premio-BERIPLEX]]-VIEW_IV_2019_REP_CALCULO_TRI[[#This Row],[Recebido-BERIPLEX]])</f>
        <v>0</v>
      </c>
      <c r="AO25" s="65">
        <f>IF((VIEW_IV_2019_REP_CALCULO_TRI[[#This Row],[Premio-HAEMO]]-VIEW_IV_2019_REP_CALCULO_TRI[[#This Row],[Recebido-HAEMO]])&lt;=0,0,VIEW_IV_2019_REP_CALCULO_TRI[[#This Row],[Premio-HAEMO]]-VIEW_IV_2019_REP_CALCULO_TRI[[#This Row],[Recebido-HAEMO]])</f>
        <v>0</v>
      </c>
      <c r="AP25" s="65">
        <f>IF((VIEW_IV_2019_REP_CALCULO_TRI[[#This Row],[Premio-HIZENTRA]]-VIEW_IV_2019_REP_CALCULO_TRI[[#This Row],[Recebido-HIZENTRA]])&lt;=0,0,VIEW_IV_2019_REP_CALCULO_TRI[[#This Row],[Premio-HIZENTRA]]-VIEW_IV_2019_REP_CALCULO_TRI[[#This Row],[Recebido-HIZENTRA]])</f>
        <v>0</v>
      </c>
      <c r="AQ25" s="65">
        <f>IF((VIEW_IV_2019_REP_CALCULO_TRI[[#This Row],[Premio-PRIVIGEN]]-VIEW_IV_2019_REP_CALCULO_TRI[[#This Row],[Recebido-PRIVIGEN]])&lt;=0,0,VIEW_IV_2019_REP_CALCULO_TRI[[#This Row],[Premio-PRIVIGEN]]-VIEW_IV_2019_REP_CALCULO_TRI[[#This Row],[Recebido-PRIVIGEN]])</f>
        <v>0</v>
      </c>
      <c r="AR25" s="102">
        <f>SUM(VIEW_IV_2019_REP_CALCULO_TRI[[#This Row],[Recuperavel-BERINERT]:[Recuperavel-PRIVIGEN]])</f>
        <v>0</v>
      </c>
    </row>
    <row r="26" spans="1:44" x14ac:dyDescent="0.25">
      <c r="A26" s="7" t="s">
        <v>16</v>
      </c>
      <c r="B26" s="7" t="s">
        <v>66</v>
      </c>
      <c r="C26" s="8" t="s">
        <v>728</v>
      </c>
      <c r="D26" s="8" t="s">
        <v>729</v>
      </c>
      <c r="E26" s="8" t="s">
        <v>730</v>
      </c>
      <c r="F26" s="8" t="s">
        <v>787</v>
      </c>
      <c r="G26" s="3" t="b">
        <v>1</v>
      </c>
      <c r="H26" s="3" t="b">
        <v>1</v>
      </c>
      <c r="I26" s="10">
        <v>116</v>
      </c>
      <c r="J26" s="10">
        <v>0</v>
      </c>
      <c r="K26" s="10">
        <v>0</v>
      </c>
      <c r="L26" s="10">
        <v>3689</v>
      </c>
      <c r="M26" s="10">
        <v>21070</v>
      </c>
      <c r="N26" s="10">
        <v>0</v>
      </c>
      <c r="O26" s="10">
        <v>0</v>
      </c>
      <c r="P26" s="10">
        <v>0</v>
      </c>
      <c r="Q26" s="10">
        <v>210</v>
      </c>
      <c r="R26" s="10">
        <v>600</v>
      </c>
      <c r="S26" s="75">
        <v>0.1</v>
      </c>
      <c r="T26" s="75">
        <v>0</v>
      </c>
      <c r="U26" s="75">
        <v>0</v>
      </c>
      <c r="V26" s="75">
        <v>0.4</v>
      </c>
      <c r="W26" s="75">
        <v>0.2</v>
      </c>
      <c r="X26" s="75">
        <f>IFERROR(VIEW_IV_2019_REP_CALCULO_TRI[[#This Row],[Demanda-BERINERT]]/VIEW_IV_2019_REP_CALCULO_TRI[[#This Row],[Cota-BERINERT]],0)</f>
        <v>0</v>
      </c>
      <c r="Y26" s="75">
        <f>IFERROR(VIEW_IV_2019_REP_CALCULO_TRI[[#This Row],[Demanda-BERIPLEX]]/VIEW_IV_2019_REP_CALCULO_TRI[[#This Row],[Cota-BERIPLEX]],0)</f>
        <v>0</v>
      </c>
      <c r="Z26" s="75">
        <f>IFERROR(VIEW_IV_2019_REP_CALCULO_TRI[[#This Row],[Demanda-HAEMO]]/VIEW_IV_2019_REP_CALCULO_TRI[[#This Row],[Cota-HAEMO]],0)</f>
        <v>0</v>
      </c>
      <c r="AA26" s="75">
        <f>IFERROR(VIEW_IV_2019_REP_CALCULO_TRI[[#This Row],[Demanda-HIZENTRA]]/VIEW_IV_2019_REP_CALCULO_TRI[[#This Row],[Cota-HIZENTRA]],0)</f>
        <v>5.6925996204933584E-2</v>
      </c>
      <c r="AB26" s="75">
        <f>IFERROR(VIEW_IV_2019_REP_CALCULO_TRI[[#This Row],[Demanda-PRIVIGEN]]/VIEW_IV_2019_REP_CALCULO_TRI[[#This Row],[Cota-PRIVIGEN]],0)</f>
        <v>2.8476506881822496E-2</v>
      </c>
      <c r="AC26" s="65">
        <f>(IF(VIEW_IV_2019_REP_CALCULO_TRI[[#This Row],[Cobertura-BERINERT]]&lt;Cob_Min_REP,0,IF(VIEW_IV_2019_REP_CALCULO_TRI[[#This Row],[Cobertura-BERINERT]]&gt;Cob_Max_REP,Vlr_Max_REP,VLOOKUP(VIEW_IV_2019_REP_CALCULO_TRI[[#This Row],[Cobertura-BERINERT]],Tabela_Valores_REP,2,1)))*VIEW_IV_2019_REP_CALCULO_TRI[[#This Row],[Peso-BERINERT]])*3</f>
        <v>0</v>
      </c>
      <c r="AD26" s="65">
        <f>(IF(VIEW_IV_2019_REP_CALCULO_TRI[[#This Row],[Cobertura-BERIPLEX]]&lt;Cob_Min_REP,0,IF(VIEW_IV_2019_REP_CALCULO_TRI[[#This Row],[Cobertura-BERIPLEX]]&gt;Cob_Max_REP,Vlr_Max_REP,VLOOKUP(VIEW_IV_2019_REP_CALCULO_TRI[[#This Row],[Cobertura-BERIPLEX]],Tabela_Valores_REP,2,1)))*VIEW_IV_2019_REP_CALCULO_TRI[[#This Row],[Peso-BERIPLEX]])*3</f>
        <v>0</v>
      </c>
      <c r="AE26" s="65">
        <f>(IF(VIEW_IV_2019_REP_CALCULO_TRI[[#This Row],[Cobertura-HAEMO]]&lt;Cob_Min_REP,0,IF(VIEW_IV_2019_REP_CALCULO_TRI[[#This Row],[Cobertura-HAEMO]]&gt;Cob_Max_REP,Vlr_Max_REP,VLOOKUP(VIEW_IV_2019_REP_CALCULO_TRI[[#This Row],[Cobertura-HAEMO]],Tabela_Valores_REP,2,1)))*VIEW_IV_2019_REP_CALCULO_TRI[[#This Row],[Peso-HAEMO]])*3</f>
        <v>0</v>
      </c>
      <c r="AF26" s="65">
        <f>(IF(VIEW_IV_2019_REP_CALCULO_TRI[[#This Row],[Cobertura-HIZENTRA]]&lt;Cob_Min_REP,0,IF(VIEW_IV_2019_REP_CALCULO_TRI[[#This Row],[Cobertura-HIZENTRA]]&gt;Cob_Max_REP,Vlr_Max_REP,VLOOKUP(VIEW_IV_2019_REP_CALCULO_TRI[[#This Row],[Cobertura-HIZENTRA]],Tabela_Valores_REP,2,1)))*VIEW_IV_2019_REP_CALCULO_TRI[[#This Row],[Peso-HIZENTRA]])*3</f>
        <v>0</v>
      </c>
      <c r="AG26" s="65">
        <f>(IF(VIEW_IV_2019_REP_CALCULO_TRI[[#This Row],[Cobertura-PRIVIGEN]]&lt;Cob_Min_REP,0,IF(VIEW_IV_2019_REP_CALCULO_TRI[[#This Row],[Cobertura-PRIVIGEN]]&gt;Cob_Max_REP,Vlr_Max_REP,VLOOKUP(VIEW_IV_2019_REP_CALCULO_TRI[[#This Row],[Cobertura-PRIVIGEN]],Tabela_Valores_REP,2,1)))*VIEW_IV_2019_REP_CALCULO_TRI[[#This Row],[Peso-PRIVIGEN]])*3</f>
        <v>0</v>
      </c>
      <c r="AH26" s="65">
        <f>SUMIFS(VIEW_IV_2019_REP_CALCULO[Premio-BERINERT],VIEW_IV_2019_REP_CALCULO[Ano-Fiscal],VIEW_IV_2019_REP_CALCULO_TRI[[#This Row],[Ano-Fiscal]],VIEW_IV_2019_REP_CALCULO[Tri-Fiscal],VIEW_IV_2019_REP_CALCULO_TRI[[#This Row],[Tri-Fiscal]],VIEW_IV_2019_REP_CALCULO['#PK-Email],VIEW_IV_2019_REP_CALCULO_TRI[[#This Row],['#PK-Email]])</f>
        <v>0</v>
      </c>
      <c r="AI26" s="65">
        <f>SUMIFS(VIEW_IV_2019_REP_CALCULO[Premio-BERIPLEX],VIEW_IV_2019_REP_CALCULO[Ano-Fiscal],VIEW_IV_2019_REP_CALCULO_TRI[[#This Row],[Ano-Fiscal]],VIEW_IV_2019_REP_CALCULO[Tri-Fiscal],VIEW_IV_2019_REP_CALCULO_TRI[[#This Row],[Tri-Fiscal]],VIEW_IV_2019_REP_CALCULO['#PK-Email],VIEW_IV_2019_REP_CALCULO_TRI[[#This Row],['#PK-Email]])</f>
        <v>0</v>
      </c>
      <c r="AJ26" s="65">
        <f>SUMIFS(VIEW_IV_2019_REP_CALCULO[Premio-HAEMO],VIEW_IV_2019_REP_CALCULO[Ano-Fiscal],VIEW_IV_2019_REP_CALCULO_TRI[[#This Row],[Ano-Fiscal]],VIEW_IV_2019_REP_CALCULO[Tri-Fiscal],VIEW_IV_2019_REP_CALCULO_TRI[[#This Row],[Tri-Fiscal]],VIEW_IV_2019_REP_CALCULO['#PK-Email],VIEW_IV_2019_REP_CALCULO_TRI[[#This Row],['#PK-Email]])</f>
        <v>0</v>
      </c>
      <c r="AK26" s="65">
        <f>SUMIFS(VIEW_IV_2019_REP_CALCULO[Premio-HIZENTRA],VIEW_IV_2019_REP_CALCULO[Ano-Fiscal],VIEW_IV_2019_REP_CALCULO_TRI[[#This Row],[Ano-Fiscal]],VIEW_IV_2019_REP_CALCULO[Tri-Fiscal],VIEW_IV_2019_REP_CALCULO_TRI[[#This Row],[Tri-Fiscal]],VIEW_IV_2019_REP_CALCULO['#PK-Email],VIEW_IV_2019_REP_CALCULO_TRI[[#This Row],['#PK-Email]])</f>
        <v>0</v>
      </c>
      <c r="AL26" s="65">
        <f>SUMIFS(VIEW_IV_2019_REP_CALCULO[Premio-PRIVIGEN],VIEW_IV_2019_REP_CALCULO[Ano-Fiscal],VIEW_IV_2019_REP_CALCULO_TRI[[#This Row],[Ano-Fiscal]],VIEW_IV_2019_REP_CALCULO[Tri-Fiscal],VIEW_IV_2019_REP_CALCULO_TRI[[#This Row],[Tri-Fiscal]],VIEW_IV_2019_REP_CALCULO['#PK-Email],VIEW_IV_2019_REP_CALCULO_TRI[[#This Row],['#PK-Email]])</f>
        <v>0</v>
      </c>
      <c r="AM26" s="65">
        <f>IF((VIEW_IV_2019_REP_CALCULO_TRI[[#This Row],[Premio-BERINERT]]-VIEW_IV_2019_REP_CALCULO_TRI[[#This Row],[Recebido-BERINERT]])&lt;=0,0,VIEW_IV_2019_REP_CALCULO_TRI[[#This Row],[Premio-BERINERT]]-VIEW_IV_2019_REP_CALCULO_TRI[[#This Row],[Recebido-BERINERT]])</f>
        <v>0</v>
      </c>
      <c r="AN26" s="65">
        <f>IF((VIEW_IV_2019_REP_CALCULO_TRI[[#This Row],[Premio-BERIPLEX]]-VIEW_IV_2019_REP_CALCULO_TRI[[#This Row],[Recebido-BERIPLEX]])&lt;=0,0,VIEW_IV_2019_REP_CALCULO_TRI[[#This Row],[Premio-BERIPLEX]]-VIEW_IV_2019_REP_CALCULO_TRI[[#This Row],[Recebido-BERIPLEX]])</f>
        <v>0</v>
      </c>
      <c r="AO26" s="65">
        <f>IF((VIEW_IV_2019_REP_CALCULO_TRI[[#This Row],[Premio-HAEMO]]-VIEW_IV_2019_REP_CALCULO_TRI[[#This Row],[Recebido-HAEMO]])&lt;=0,0,VIEW_IV_2019_REP_CALCULO_TRI[[#This Row],[Premio-HAEMO]]-VIEW_IV_2019_REP_CALCULO_TRI[[#This Row],[Recebido-HAEMO]])</f>
        <v>0</v>
      </c>
      <c r="AP26" s="65">
        <f>IF((VIEW_IV_2019_REP_CALCULO_TRI[[#This Row],[Premio-HIZENTRA]]-VIEW_IV_2019_REP_CALCULO_TRI[[#This Row],[Recebido-HIZENTRA]])&lt;=0,0,VIEW_IV_2019_REP_CALCULO_TRI[[#This Row],[Premio-HIZENTRA]]-VIEW_IV_2019_REP_CALCULO_TRI[[#This Row],[Recebido-HIZENTRA]])</f>
        <v>0</v>
      </c>
      <c r="AQ26" s="65">
        <f>IF((VIEW_IV_2019_REP_CALCULO_TRI[[#This Row],[Premio-PRIVIGEN]]-VIEW_IV_2019_REP_CALCULO_TRI[[#This Row],[Recebido-PRIVIGEN]])&lt;=0,0,VIEW_IV_2019_REP_CALCULO_TRI[[#This Row],[Premio-PRIVIGEN]]-VIEW_IV_2019_REP_CALCULO_TRI[[#This Row],[Recebido-PRIVIGEN]])</f>
        <v>0</v>
      </c>
      <c r="AR26" s="102">
        <f>SUM(VIEW_IV_2019_REP_CALCULO_TRI[[#This Row],[Recuperavel-BERINERT]:[Recuperavel-PRIVIGEN]])</f>
        <v>0</v>
      </c>
    </row>
    <row r="27" spans="1:44" x14ac:dyDescent="0.25">
      <c r="A27" s="7" t="s">
        <v>16</v>
      </c>
      <c r="B27" s="7" t="s">
        <v>66</v>
      </c>
      <c r="C27" s="8" t="s">
        <v>733</v>
      </c>
      <c r="D27" s="8" t="s">
        <v>734</v>
      </c>
      <c r="E27" s="8" t="s">
        <v>730</v>
      </c>
      <c r="F27" s="8" t="s">
        <v>785</v>
      </c>
      <c r="G27" s="3" t="b">
        <v>1</v>
      </c>
      <c r="H27" s="3" t="b">
        <v>1</v>
      </c>
      <c r="I27" s="10">
        <v>82</v>
      </c>
      <c r="J27" s="10">
        <v>0</v>
      </c>
      <c r="K27" s="10">
        <v>0</v>
      </c>
      <c r="L27" s="10">
        <v>4557</v>
      </c>
      <c r="M27" s="10">
        <v>19565</v>
      </c>
      <c r="N27" s="10">
        <v>0</v>
      </c>
      <c r="O27" s="10">
        <v>0</v>
      </c>
      <c r="P27" s="10">
        <v>0</v>
      </c>
      <c r="Q27" s="10">
        <v>47</v>
      </c>
      <c r="R27" s="10">
        <v>360</v>
      </c>
      <c r="S27" s="75">
        <v>0.1</v>
      </c>
      <c r="T27" s="75">
        <v>0</v>
      </c>
      <c r="U27" s="75">
        <v>0</v>
      </c>
      <c r="V27" s="75">
        <v>0.4</v>
      </c>
      <c r="W27" s="75">
        <v>0.2</v>
      </c>
      <c r="X27" s="75">
        <f>IFERROR(VIEW_IV_2019_REP_CALCULO_TRI[[#This Row],[Demanda-BERINERT]]/VIEW_IV_2019_REP_CALCULO_TRI[[#This Row],[Cota-BERINERT]],0)</f>
        <v>0</v>
      </c>
      <c r="Y27" s="75">
        <f>IFERROR(VIEW_IV_2019_REP_CALCULO_TRI[[#This Row],[Demanda-BERIPLEX]]/VIEW_IV_2019_REP_CALCULO_TRI[[#This Row],[Cota-BERIPLEX]],0)</f>
        <v>0</v>
      </c>
      <c r="Z27" s="75">
        <f>IFERROR(VIEW_IV_2019_REP_CALCULO_TRI[[#This Row],[Demanda-HAEMO]]/VIEW_IV_2019_REP_CALCULO_TRI[[#This Row],[Cota-HAEMO]],0)</f>
        <v>0</v>
      </c>
      <c r="AA27" s="75">
        <f>IFERROR(VIEW_IV_2019_REP_CALCULO_TRI[[#This Row],[Demanda-HIZENTRA]]/VIEW_IV_2019_REP_CALCULO_TRI[[#This Row],[Cota-HIZENTRA]],0)</f>
        <v>1.0313802940531051E-2</v>
      </c>
      <c r="AB27" s="75">
        <f>IFERROR(VIEW_IV_2019_REP_CALCULO_TRI[[#This Row],[Demanda-PRIVIGEN]]/VIEW_IV_2019_REP_CALCULO_TRI[[#This Row],[Cota-PRIVIGEN]],0)</f>
        <v>1.8400204446716074E-2</v>
      </c>
      <c r="AC27" s="65">
        <f>(IF(VIEW_IV_2019_REP_CALCULO_TRI[[#This Row],[Cobertura-BERINERT]]&lt;Cob_Min_REP,0,IF(VIEW_IV_2019_REP_CALCULO_TRI[[#This Row],[Cobertura-BERINERT]]&gt;Cob_Max_REP,Vlr_Max_REP,VLOOKUP(VIEW_IV_2019_REP_CALCULO_TRI[[#This Row],[Cobertura-BERINERT]],Tabela_Valores_REP,2,1)))*VIEW_IV_2019_REP_CALCULO_TRI[[#This Row],[Peso-BERINERT]])*3</f>
        <v>0</v>
      </c>
      <c r="AD27" s="65">
        <f>(IF(VIEW_IV_2019_REP_CALCULO_TRI[[#This Row],[Cobertura-BERIPLEX]]&lt;Cob_Min_REP,0,IF(VIEW_IV_2019_REP_CALCULO_TRI[[#This Row],[Cobertura-BERIPLEX]]&gt;Cob_Max_REP,Vlr_Max_REP,VLOOKUP(VIEW_IV_2019_REP_CALCULO_TRI[[#This Row],[Cobertura-BERIPLEX]],Tabela_Valores_REP,2,1)))*VIEW_IV_2019_REP_CALCULO_TRI[[#This Row],[Peso-BERIPLEX]])*3</f>
        <v>0</v>
      </c>
      <c r="AE27" s="65">
        <f>(IF(VIEW_IV_2019_REP_CALCULO_TRI[[#This Row],[Cobertura-HAEMO]]&lt;Cob_Min_REP,0,IF(VIEW_IV_2019_REP_CALCULO_TRI[[#This Row],[Cobertura-HAEMO]]&gt;Cob_Max_REP,Vlr_Max_REP,VLOOKUP(VIEW_IV_2019_REP_CALCULO_TRI[[#This Row],[Cobertura-HAEMO]],Tabela_Valores_REP,2,1)))*VIEW_IV_2019_REP_CALCULO_TRI[[#This Row],[Peso-HAEMO]])*3</f>
        <v>0</v>
      </c>
      <c r="AF27" s="65">
        <f>(IF(VIEW_IV_2019_REP_CALCULO_TRI[[#This Row],[Cobertura-HIZENTRA]]&lt;Cob_Min_REP,0,IF(VIEW_IV_2019_REP_CALCULO_TRI[[#This Row],[Cobertura-HIZENTRA]]&gt;Cob_Max_REP,Vlr_Max_REP,VLOOKUP(VIEW_IV_2019_REP_CALCULO_TRI[[#This Row],[Cobertura-HIZENTRA]],Tabela_Valores_REP,2,1)))*VIEW_IV_2019_REP_CALCULO_TRI[[#This Row],[Peso-HIZENTRA]])*3</f>
        <v>0</v>
      </c>
      <c r="AG27" s="65">
        <f>(IF(VIEW_IV_2019_REP_CALCULO_TRI[[#This Row],[Cobertura-PRIVIGEN]]&lt;Cob_Min_REP,0,IF(VIEW_IV_2019_REP_CALCULO_TRI[[#This Row],[Cobertura-PRIVIGEN]]&gt;Cob_Max_REP,Vlr_Max_REP,VLOOKUP(VIEW_IV_2019_REP_CALCULO_TRI[[#This Row],[Cobertura-PRIVIGEN]],Tabela_Valores_REP,2,1)))*VIEW_IV_2019_REP_CALCULO_TRI[[#This Row],[Peso-PRIVIGEN]])*3</f>
        <v>0</v>
      </c>
      <c r="AH27" s="65">
        <f>SUMIFS(VIEW_IV_2019_REP_CALCULO[Premio-BERINERT],VIEW_IV_2019_REP_CALCULO[Ano-Fiscal],VIEW_IV_2019_REP_CALCULO_TRI[[#This Row],[Ano-Fiscal]],VIEW_IV_2019_REP_CALCULO[Tri-Fiscal],VIEW_IV_2019_REP_CALCULO_TRI[[#This Row],[Tri-Fiscal]],VIEW_IV_2019_REP_CALCULO['#PK-Email],VIEW_IV_2019_REP_CALCULO_TRI[[#This Row],['#PK-Email]])</f>
        <v>0</v>
      </c>
      <c r="AI27" s="65">
        <f>SUMIFS(VIEW_IV_2019_REP_CALCULO[Premio-BERIPLEX],VIEW_IV_2019_REP_CALCULO[Ano-Fiscal],VIEW_IV_2019_REP_CALCULO_TRI[[#This Row],[Ano-Fiscal]],VIEW_IV_2019_REP_CALCULO[Tri-Fiscal],VIEW_IV_2019_REP_CALCULO_TRI[[#This Row],[Tri-Fiscal]],VIEW_IV_2019_REP_CALCULO['#PK-Email],VIEW_IV_2019_REP_CALCULO_TRI[[#This Row],['#PK-Email]])</f>
        <v>0</v>
      </c>
      <c r="AJ27" s="65">
        <f>SUMIFS(VIEW_IV_2019_REP_CALCULO[Premio-HAEMO],VIEW_IV_2019_REP_CALCULO[Ano-Fiscal],VIEW_IV_2019_REP_CALCULO_TRI[[#This Row],[Ano-Fiscal]],VIEW_IV_2019_REP_CALCULO[Tri-Fiscal],VIEW_IV_2019_REP_CALCULO_TRI[[#This Row],[Tri-Fiscal]],VIEW_IV_2019_REP_CALCULO['#PK-Email],VIEW_IV_2019_REP_CALCULO_TRI[[#This Row],['#PK-Email]])</f>
        <v>0</v>
      </c>
      <c r="AK27" s="65">
        <f>SUMIFS(VIEW_IV_2019_REP_CALCULO[Premio-HIZENTRA],VIEW_IV_2019_REP_CALCULO[Ano-Fiscal],VIEW_IV_2019_REP_CALCULO_TRI[[#This Row],[Ano-Fiscal]],VIEW_IV_2019_REP_CALCULO[Tri-Fiscal],VIEW_IV_2019_REP_CALCULO_TRI[[#This Row],[Tri-Fiscal]],VIEW_IV_2019_REP_CALCULO['#PK-Email],VIEW_IV_2019_REP_CALCULO_TRI[[#This Row],['#PK-Email]])</f>
        <v>0</v>
      </c>
      <c r="AL27" s="65">
        <f>SUMIFS(VIEW_IV_2019_REP_CALCULO[Premio-PRIVIGEN],VIEW_IV_2019_REP_CALCULO[Ano-Fiscal],VIEW_IV_2019_REP_CALCULO_TRI[[#This Row],[Ano-Fiscal]],VIEW_IV_2019_REP_CALCULO[Tri-Fiscal],VIEW_IV_2019_REP_CALCULO_TRI[[#This Row],[Tri-Fiscal]],VIEW_IV_2019_REP_CALCULO['#PK-Email],VIEW_IV_2019_REP_CALCULO_TRI[[#This Row],['#PK-Email]])</f>
        <v>0</v>
      </c>
      <c r="AM27" s="65">
        <f>IF((VIEW_IV_2019_REP_CALCULO_TRI[[#This Row],[Premio-BERINERT]]-VIEW_IV_2019_REP_CALCULO_TRI[[#This Row],[Recebido-BERINERT]])&lt;=0,0,VIEW_IV_2019_REP_CALCULO_TRI[[#This Row],[Premio-BERINERT]]-VIEW_IV_2019_REP_CALCULO_TRI[[#This Row],[Recebido-BERINERT]])</f>
        <v>0</v>
      </c>
      <c r="AN27" s="65">
        <f>IF((VIEW_IV_2019_REP_CALCULO_TRI[[#This Row],[Premio-BERIPLEX]]-VIEW_IV_2019_REP_CALCULO_TRI[[#This Row],[Recebido-BERIPLEX]])&lt;=0,0,VIEW_IV_2019_REP_CALCULO_TRI[[#This Row],[Premio-BERIPLEX]]-VIEW_IV_2019_REP_CALCULO_TRI[[#This Row],[Recebido-BERIPLEX]])</f>
        <v>0</v>
      </c>
      <c r="AO27" s="65">
        <f>IF((VIEW_IV_2019_REP_CALCULO_TRI[[#This Row],[Premio-HAEMO]]-VIEW_IV_2019_REP_CALCULO_TRI[[#This Row],[Recebido-HAEMO]])&lt;=0,0,VIEW_IV_2019_REP_CALCULO_TRI[[#This Row],[Premio-HAEMO]]-VIEW_IV_2019_REP_CALCULO_TRI[[#This Row],[Recebido-HAEMO]])</f>
        <v>0</v>
      </c>
      <c r="AP27" s="65">
        <f>IF((VIEW_IV_2019_REP_CALCULO_TRI[[#This Row],[Premio-HIZENTRA]]-VIEW_IV_2019_REP_CALCULO_TRI[[#This Row],[Recebido-HIZENTRA]])&lt;=0,0,VIEW_IV_2019_REP_CALCULO_TRI[[#This Row],[Premio-HIZENTRA]]-VIEW_IV_2019_REP_CALCULO_TRI[[#This Row],[Recebido-HIZENTRA]])</f>
        <v>0</v>
      </c>
      <c r="AQ27" s="65">
        <f>IF((VIEW_IV_2019_REP_CALCULO_TRI[[#This Row],[Premio-PRIVIGEN]]-VIEW_IV_2019_REP_CALCULO_TRI[[#This Row],[Recebido-PRIVIGEN]])&lt;=0,0,VIEW_IV_2019_REP_CALCULO_TRI[[#This Row],[Premio-PRIVIGEN]]-VIEW_IV_2019_REP_CALCULO_TRI[[#This Row],[Recebido-PRIVIGEN]])</f>
        <v>0</v>
      </c>
      <c r="AR27" s="102">
        <f>SUM(VIEW_IV_2019_REP_CALCULO_TRI[[#This Row],[Recuperavel-BERINERT]:[Recuperavel-PRIVIGEN]])</f>
        <v>0</v>
      </c>
    </row>
    <row r="28" spans="1:44" x14ac:dyDescent="0.25">
      <c r="A28" s="7" t="s">
        <v>16</v>
      </c>
      <c r="B28" s="7" t="s">
        <v>66</v>
      </c>
      <c r="C28" s="8" t="s">
        <v>740</v>
      </c>
      <c r="D28" s="8" t="s">
        <v>741</v>
      </c>
      <c r="E28" s="8" t="s">
        <v>730</v>
      </c>
      <c r="F28" s="8" t="s">
        <v>787</v>
      </c>
      <c r="G28" s="3" t="b">
        <v>1</v>
      </c>
      <c r="H28" s="3" t="b">
        <v>1</v>
      </c>
      <c r="I28" s="10">
        <v>116</v>
      </c>
      <c r="J28" s="10">
        <v>0</v>
      </c>
      <c r="K28" s="10">
        <v>0</v>
      </c>
      <c r="L28" s="10">
        <v>2604</v>
      </c>
      <c r="M28" s="10">
        <v>21070</v>
      </c>
      <c r="N28" s="10">
        <v>0</v>
      </c>
      <c r="O28" s="10">
        <v>0</v>
      </c>
      <c r="P28" s="10">
        <v>0</v>
      </c>
      <c r="Q28" s="10">
        <v>124</v>
      </c>
      <c r="R28" s="10">
        <v>3080</v>
      </c>
      <c r="S28" s="75">
        <v>0.1</v>
      </c>
      <c r="T28" s="75">
        <v>0</v>
      </c>
      <c r="U28" s="75">
        <v>0</v>
      </c>
      <c r="V28" s="75">
        <v>0.4</v>
      </c>
      <c r="W28" s="75">
        <v>0.2</v>
      </c>
      <c r="X28" s="75">
        <f>IFERROR(VIEW_IV_2019_REP_CALCULO_TRI[[#This Row],[Demanda-BERINERT]]/VIEW_IV_2019_REP_CALCULO_TRI[[#This Row],[Cota-BERINERT]],0)</f>
        <v>0</v>
      </c>
      <c r="Y28" s="75">
        <f>IFERROR(VIEW_IV_2019_REP_CALCULO_TRI[[#This Row],[Demanda-BERIPLEX]]/VIEW_IV_2019_REP_CALCULO_TRI[[#This Row],[Cota-BERIPLEX]],0)</f>
        <v>0</v>
      </c>
      <c r="Z28" s="75">
        <f>IFERROR(VIEW_IV_2019_REP_CALCULO_TRI[[#This Row],[Demanda-HAEMO]]/VIEW_IV_2019_REP_CALCULO_TRI[[#This Row],[Cota-HAEMO]],0)</f>
        <v>0</v>
      </c>
      <c r="AA28" s="75">
        <f>IFERROR(VIEW_IV_2019_REP_CALCULO_TRI[[#This Row],[Demanda-HIZENTRA]]/VIEW_IV_2019_REP_CALCULO_TRI[[#This Row],[Cota-HIZENTRA]],0)</f>
        <v>4.7619047619047616E-2</v>
      </c>
      <c r="AB28" s="75">
        <f>IFERROR(VIEW_IV_2019_REP_CALCULO_TRI[[#This Row],[Demanda-PRIVIGEN]]/VIEW_IV_2019_REP_CALCULO_TRI[[#This Row],[Cota-PRIVIGEN]],0)</f>
        <v>0.1461794019933555</v>
      </c>
      <c r="AC28" s="65">
        <f>(IF(VIEW_IV_2019_REP_CALCULO_TRI[[#This Row],[Cobertura-BERINERT]]&lt;Cob_Min_REP,0,IF(VIEW_IV_2019_REP_CALCULO_TRI[[#This Row],[Cobertura-BERINERT]]&gt;Cob_Max_REP,Vlr_Max_REP,VLOOKUP(VIEW_IV_2019_REP_CALCULO_TRI[[#This Row],[Cobertura-BERINERT]],Tabela_Valores_REP,2,1)))*VIEW_IV_2019_REP_CALCULO_TRI[[#This Row],[Peso-BERINERT]])*3</f>
        <v>0</v>
      </c>
      <c r="AD28" s="65">
        <f>(IF(VIEW_IV_2019_REP_CALCULO_TRI[[#This Row],[Cobertura-BERIPLEX]]&lt;Cob_Min_REP,0,IF(VIEW_IV_2019_REP_CALCULO_TRI[[#This Row],[Cobertura-BERIPLEX]]&gt;Cob_Max_REP,Vlr_Max_REP,VLOOKUP(VIEW_IV_2019_REP_CALCULO_TRI[[#This Row],[Cobertura-BERIPLEX]],Tabela_Valores_REP,2,1)))*VIEW_IV_2019_REP_CALCULO_TRI[[#This Row],[Peso-BERIPLEX]])*3</f>
        <v>0</v>
      </c>
      <c r="AE28" s="65">
        <f>(IF(VIEW_IV_2019_REP_CALCULO_TRI[[#This Row],[Cobertura-HAEMO]]&lt;Cob_Min_REP,0,IF(VIEW_IV_2019_REP_CALCULO_TRI[[#This Row],[Cobertura-HAEMO]]&gt;Cob_Max_REP,Vlr_Max_REP,VLOOKUP(VIEW_IV_2019_REP_CALCULO_TRI[[#This Row],[Cobertura-HAEMO]],Tabela_Valores_REP,2,1)))*VIEW_IV_2019_REP_CALCULO_TRI[[#This Row],[Peso-HAEMO]])*3</f>
        <v>0</v>
      </c>
      <c r="AF28" s="65">
        <f>(IF(VIEW_IV_2019_REP_CALCULO_TRI[[#This Row],[Cobertura-HIZENTRA]]&lt;Cob_Min_REP,0,IF(VIEW_IV_2019_REP_CALCULO_TRI[[#This Row],[Cobertura-HIZENTRA]]&gt;Cob_Max_REP,Vlr_Max_REP,VLOOKUP(VIEW_IV_2019_REP_CALCULO_TRI[[#This Row],[Cobertura-HIZENTRA]],Tabela_Valores_REP,2,1)))*VIEW_IV_2019_REP_CALCULO_TRI[[#This Row],[Peso-HIZENTRA]])*3</f>
        <v>0</v>
      </c>
      <c r="AG28" s="65">
        <f>(IF(VIEW_IV_2019_REP_CALCULO_TRI[[#This Row],[Cobertura-PRIVIGEN]]&lt;Cob_Min_REP,0,IF(VIEW_IV_2019_REP_CALCULO_TRI[[#This Row],[Cobertura-PRIVIGEN]]&gt;Cob_Max_REP,Vlr_Max_REP,VLOOKUP(VIEW_IV_2019_REP_CALCULO_TRI[[#This Row],[Cobertura-PRIVIGEN]],Tabela_Valores_REP,2,1)))*VIEW_IV_2019_REP_CALCULO_TRI[[#This Row],[Peso-PRIVIGEN]])*3</f>
        <v>0</v>
      </c>
      <c r="AH28" s="65">
        <f>SUMIFS(VIEW_IV_2019_REP_CALCULO[Premio-BERINERT],VIEW_IV_2019_REP_CALCULO[Ano-Fiscal],VIEW_IV_2019_REP_CALCULO_TRI[[#This Row],[Ano-Fiscal]],VIEW_IV_2019_REP_CALCULO[Tri-Fiscal],VIEW_IV_2019_REP_CALCULO_TRI[[#This Row],[Tri-Fiscal]],VIEW_IV_2019_REP_CALCULO['#PK-Email],VIEW_IV_2019_REP_CALCULO_TRI[[#This Row],['#PK-Email]])</f>
        <v>0</v>
      </c>
      <c r="AI28" s="65">
        <f>SUMIFS(VIEW_IV_2019_REP_CALCULO[Premio-BERIPLEX],VIEW_IV_2019_REP_CALCULO[Ano-Fiscal],VIEW_IV_2019_REP_CALCULO_TRI[[#This Row],[Ano-Fiscal]],VIEW_IV_2019_REP_CALCULO[Tri-Fiscal],VIEW_IV_2019_REP_CALCULO_TRI[[#This Row],[Tri-Fiscal]],VIEW_IV_2019_REP_CALCULO['#PK-Email],VIEW_IV_2019_REP_CALCULO_TRI[[#This Row],['#PK-Email]])</f>
        <v>0</v>
      </c>
      <c r="AJ28" s="65">
        <f>SUMIFS(VIEW_IV_2019_REP_CALCULO[Premio-HAEMO],VIEW_IV_2019_REP_CALCULO[Ano-Fiscal],VIEW_IV_2019_REP_CALCULO_TRI[[#This Row],[Ano-Fiscal]],VIEW_IV_2019_REP_CALCULO[Tri-Fiscal],VIEW_IV_2019_REP_CALCULO_TRI[[#This Row],[Tri-Fiscal]],VIEW_IV_2019_REP_CALCULO['#PK-Email],VIEW_IV_2019_REP_CALCULO_TRI[[#This Row],['#PK-Email]])</f>
        <v>0</v>
      </c>
      <c r="AK28" s="65">
        <f>SUMIFS(VIEW_IV_2019_REP_CALCULO[Premio-HIZENTRA],VIEW_IV_2019_REP_CALCULO[Ano-Fiscal],VIEW_IV_2019_REP_CALCULO_TRI[[#This Row],[Ano-Fiscal]],VIEW_IV_2019_REP_CALCULO[Tri-Fiscal],VIEW_IV_2019_REP_CALCULO_TRI[[#This Row],[Tri-Fiscal]],VIEW_IV_2019_REP_CALCULO['#PK-Email],VIEW_IV_2019_REP_CALCULO_TRI[[#This Row],['#PK-Email]])</f>
        <v>0</v>
      </c>
      <c r="AL28" s="65">
        <f>SUMIFS(VIEW_IV_2019_REP_CALCULO[Premio-PRIVIGEN],VIEW_IV_2019_REP_CALCULO[Ano-Fiscal],VIEW_IV_2019_REP_CALCULO_TRI[[#This Row],[Ano-Fiscal]],VIEW_IV_2019_REP_CALCULO[Tri-Fiscal],VIEW_IV_2019_REP_CALCULO_TRI[[#This Row],[Tri-Fiscal]],VIEW_IV_2019_REP_CALCULO['#PK-Email],VIEW_IV_2019_REP_CALCULO_TRI[[#This Row],['#PK-Email]])</f>
        <v>0</v>
      </c>
      <c r="AM28" s="65">
        <f>IF((VIEW_IV_2019_REP_CALCULO_TRI[[#This Row],[Premio-BERINERT]]-VIEW_IV_2019_REP_CALCULO_TRI[[#This Row],[Recebido-BERINERT]])&lt;=0,0,VIEW_IV_2019_REP_CALCULO_TRI[[#This Row],[Premio-BERINERT]]-VIEW_IV_2019_REP_CALCULO_TRI[[#This Row],[Recebido-BERINERT]])</f>
        <v>0</v>
      </c>
      <c r="AN28" s="65">
        <f>IF((VIEW_IV_2019_REP_CALCULO_TRI[[#This Row],[Premio-BERIPLEX]]-VIEW_IV_2019_REP_CALCULO_TRI[[#This Row],[Recebido-BERIPLEX]])&lt;=0,0,VIEW_IV_2019_REP_CALCULO_TRI[[#This Row],[Premio-BERIPLEX]]-VIEW_IV_2019_REP_CALCULO_TRI[[#This Row],[Recebido-BERIPLEX]])</f>
        <v>0</v>
      </c>
      <c r="AO28" s="65">
        <f>IF((VIEW_IV_2019_REP_CALCULO_TRI[[#This Row],[Premio-HAEMO]]-VIEW_IV_2019_REP_CALCULO_TRI[[#This Row],[Recebido-HAEMO]])&lt;=0,0,VIEW_IV_2019_REP_CALCULO_TRI[[#This Row],[Premio-HAEMO]]-VIEW_IV_2019_REP_CALCULO_TRI[[#This Row],[Recebido-HAEMO]])</f>
        <v>0</v>
      </c>
      <c r="AP28" s="65">
        <f>IF((VIEW_IV_2019_REP_CALCULO_TRI[[#This Row],[Premio-HIZENTRA]]-VIEW_IV_2019_REP_CALCULO_TRI[[#This Row],[Recebido-HIZENTRA]])&lt;=0,0,VIEW_IV_2019_REP_CALCULO_TRI[[#This Row],[Premio-HIZENTRA]]-VIEW_IV_2019_REP_CALCULO_TRI[[#This Row],[Recebido-HIZENTRA]])</f>
        <v>0</v>
      </c>
      <c r="AQ28" s="65">
        <f>IF((VIEW_IV_2019_REP_CALCULO_TRI[[#This Row],[Premio-PRIVIGEN]]-VIEW_IV_2019_REP_CALCULO_TRI[[#This Row],[Recebido-PRIVIGEN]])&lt;=0,0,VIEW_IV_2019_REP_CALCULO_TRI[[#This Row],[Premio-PRIVIGEN]]-VIEW_IV_2019_REP_CALCULO_TRI[[#This Row],[Recebido-PRIVIGEN]])</f>
        <v>0</v>
      </c>
      <c r="AR28" s="102">
        <f>SUM(VIEW_IV_2019_REP_CALCULO_TRI[[#This Row],[Recuperavel-BERINERT]:[Recuperavel-PRIVIGEN]])</f>
        <v>0</v>
      </c>
    </row>
    <row r="29" spans="1:44" x14ac:dyDescent="0.25">
      <c r="A29" s="7" t="s">
        <v>16</v>
      </c>
      <c r="B29" s="7" t="s">
        <v>66</v>
      </c>
      <c r="C29" s="8" t="s">
        <v>754</v>
      </c>
      <c r="D29" s="8" t="s">
        <v>755</v>
      </c>
      <c r="E29" s="8" t="s">
        <v>730</v>
      </c>
      <c r="F29" s="8" t="s">
        <v>785</v>
      </c>
      <c r="G29" s="3" t="b">
        <v>1</v>
      </c>
      <c r="H29" s="3" t="b">
        <v>1</v>
      </c>
      <c r="I29" s="10">
        <v>290</v>
      </c>
      <c r="J29" s="10">
        <v>0</v>
      </c>
      <c r="K29" s="10">
        <v>0</v>
      </c>
      <c r="L29" s="10">
        <v>2821</v>
      </c>
      <c r="M29" s="10">
        <v>30100</v>
      </c>
      <c r="N29" s="10">
        <v>37</v>
      </c>
      <c r="O29" s="10">
        <v>0</v>
      </c>
      <c r="P29" s="10">
        <v>0</v>
      </c>
      <c r="Q29" s="10">
        <v>33</v>
      </c>
      <c r="R29" s="10">
        <v>4110</v>
      </c>
      <c r="S29" s="75">
        <v>0.1</v>
      </c>
      <c r="T29" s="75">
        <v>0</v>
      </c>
      <c r="U29" s="75">
        <v>0</v>
      </c>
      <c r="V29" s="75">
        <v>0.4</v>
      </c>
      <c r="W29" s="75">
        <v>0.2</v>
      </c>
      <c r="X29" s="75">
        <f>IFERROR(VIEW_IV_2019_REP_CALCULO_TRI[[#This Row],[Demanda-BERINERT]]/VIEW_IV_2019_REP_CALCULO_TRI[[#This Row],[Cota-BERINERT]],0)</f>
        <v>0.12758620689655173</v>
      </c>
      <c r="Y29" s="75">
        <f>IFERROR(VIEW_IV_2019_REP_CALCULO_TRI[[#This Row],[Demanda-BERIPLEX]]/VIEW_IV_2019_REP_CALCULO_TRI[[#This Row],[Cota-BERIPLEX]],0)</f>
        <v>0</v>
      </c>
      <c r="Z29" s="75">
        <f>IFERROR(VIEW_IV_2019_REP_CALCULO_TRI[[#This Row],[Demanda-HAEMO]]/VIEW_IV_2019_REP_CALCULO_TRI[[#This Row],[Cota-HAEMO]],0)</f>
        <v>0</v>
      </c>
      <c r="AA29" s="75">
        <f>IFERROR(VIEW_IV_2019_REP_CALCULO_TRI[[#This Row],[Demanda-HIZENTRA]]/VIEW_IV_2019_REP_CALCULO_TRI[[#This Row],[Cota-HIZENTRA]],0)</f>
        <v>1.1697979439914925E-2</v>
      </c>
      <c r="AB29" s="75">
        <f>IFERROR(VIEW_IV_2019_REP_CALCULO_TRI[[#This Row],[Demanda-PRIVIGEN]]/VIEW_IV_2019_REP_CALCULO_TRI[[#This Row],[Cota-PRIVIGEN]],0)</f>
        <v>0.13654485049833887</v>
      </c>
      <c r="AC29" s="65">
        <f>(IF(VIEW_IV_2019_REP_CALCULO_TRI[[#This Row],[Cobertura-BERINERT]]&lt;Cob_Min_REP,0,IF(VIEW_IV_2019_REP_CALCULO_TRI[[#This Row],[Cobertura-BERINERT]]&gt;Cob_Max_REP,Vlr_Max_REP,VLOOKUP(VIEW_IV_2019_REP_CALCULO_TRI[[#This Row],[Cobertura-BERINERT]],Tabela_Valores_REP,2,1)))*VIEW_IV_2019_REP_CALCULO_TRI[[#This Row],[Peso-BERINERT]])*3</f>
        <v>0</v>
      </c>
      <c r="AD29" s="65">
        <f>(IF(VIEW_IV_2019_REP_CALCULO_TRI[[#This Row],[Cobertura-BERIPLEX]]&lt;Cob_Min_REP,0,IF(VIEW_IV_2019_REP_CALCULO_TRI[[#This Row],[Cobertura-BERIPLEX]]&gt;Cob_Max_REP,Vlr_Max_REP,VLOOKUP(VIEW_IV_2019_REP_CALCULO_TRI[[#This Row],[Cobertura-BERIPLEX]],Tabela_Valores_REP,2,1)))*VIEW_IV_2019_REP_CALCULO_TRI[[#This Row],[Peso-BERIPLEX]])*3</f>
        <v>0</v>
      </c>
      <c r="AE29" s="65">
        <f>(IF(VIEW_IV_2019_REP_CALCULO_TRI[[#This Row],[Cobertura-HAEMO]]&lt;Cob_Min_REP,0,IF(VIEW_IV_2019_REP_CALCULO_TRI[[#This Row],[Cobertura-HAEMO]]&gt;Cob_Max_REP,Vlr_Max_REP,VLOOKUP(VIEW_IV_2019_REP_CALCULO_TRI[[#This Row],[Cobertura-HAEMO]],Tabela_Valores_REP,2,1)))*VIEW_IV_2019_REP_CALCULO_TRI[[#This Row],[Peso-HAEMO]])*3</f>
        <v>0</v>
      </c>
      <c r="AF29" s="65">
        <f>(IF(VIEW_IV_2019_REP_CALCULO_TRI[[#This Row],[Cobertura-HIZENTRA]]&lt;Cob_Min_REP,0,IF(VIEW_IV_2019_REP_CALCULO_TRI[[#This Row],[Cobertura-HIZENTRA]]&gt;Cob_Max_REP,Vlr_Max_REP,VLOOKUP(VIEW_IV_2019_REP_CALCULO_TRI[[#This Row],[Cobertura-HIZENTRA]],Tabela_Valores_REP,2,1)))*VIEW_IV_2019_REP_CALCULO_TRI[[#This Row],[Peso-HIZENTRA]])*3</f>
        <v>0</v>
      </c>
      <c r="AG29" s="65">
        <f>(IF(VIEW_IV_2019_REP_CALCULO_TRI[[#This Row],[Cobertura-PRIVIGEN]]&lt;Cob_Min_REP,0,IF(VIEW_IV_2019_REP_CALCULO_TRI[[#This Row],[Cobertura-PRIVIGEN]]&gt;Cob_Max_REP,Vlr_Max_REP,VLOOKUP(VIEW_IV_2019_REP_CALCULO_TRI[[#This Row],[Cobertura-PRIVIGEN]],Tabela_Valores_REP,2,1)))*VIEW_IV_2019_REP_CALCULO_TRI[[#This Row],[Peso-PRIVIGEN]])*3</f>
        <v>0</v>
      </c>
      <c r="AH29" s="65">
        <f>SUMIFS(VIEW_IV_2019_REP_CALCULO[Premio-BERINERT],VIEW_IV_2019_REP_CALCULO[Ano-Fiscal],VIEW_IV_2019_REP_CALCULO_TRI[[#This Row],[Ano-Fiscal]],VIEW_IV_2019_REP_CALCULO[Tri-Fiscal],VIEW_IV_2019_REP_CALCULO_TRI[[#This Row],[Tri-Fiscal]],VIEW_IV_2019_REP_CALCULO['#PK-Email],VIEW_IV_2019_REP_CALCULO_TRI[[#This Row],['#PK-Email]])</f>
        <v>0</v>
      </c>
      <c r="AI29" s="65">
        <f>SUMIFS(VIEW_IV_2019_REP_CALCULO[Premio-BERIPLEX],VIEW_IV_2019_REP_CALCULO[Ano-Fiscal],VIEW_IV_2019_REP_CALCULO_TRI[[#This Row],[Ano-Fiscal]],VIEW_IV_2019_REP_CALCULO[Tri-Fiscal],VIEW_IV_2019_REP_CALCULO_TRI[[#This Row],[Tri-Fiscal]],VIEW_IV_2019_REP_CALCULO['#PK-Email],VIEW_IV_2019_REP_CALCULO_TRI[[#This Row],['#PK-Email]])</f>
        <v>0</v>
      </c>
      <c r="AJ29" s="65">
        <f>SUMIFS(VIEW_IV_2019_REP_CALCULO[Premio-HAEMO],VIEW_IV_2019_REP_CALCULO[Ano-Fiscal],VIEW_IV_2019_REP_CALCULO_TRI[[#This Row],[Ano-Fiscal]],VIEW_IV_2019_REP_CALCULO[Tri-Fiscal],VIEW_IV_2019_REP_CALCULO_TRI[[#This Row],[Tri-Fiscal]],VIEW_IV_2019_REP_CALCULO['#PK-Email],VIEW_IV_2019_REP_CALCULO_TRI[[#This Row],['#PK-Email]])</f>
        <v>0</v>
      </c>
      <c r="AK29" s="65">
        <f>SUMIFS(VIEW_IV_2019_REP_CALCULO[Premio-HIZENTRA],VIEW_IV_2019_REP_CALCULO[Ano-Fiscal],VIEW_IV_2019_REP_CALCULO_TRI[[#This Row],[Ano-Fiscal]],VIEW_IV_2019_REP_CALCULO[Tri-Fiscal],VIEW_IV_2019_REP_CALCULO_TRI[[#This Row],[Tri-Fiscal]],VIEW_IV_2019_REP_CALCULO['#PK-Email],VIEW_IV_2019_REP_CALCULO_TRI[[#This Row],['#PK-Email]])</f>
        <v>0</v>
      </c>
      <c r="AL29" s="65">
        <f>SUMIFS(VIEW_IV_2019_REP_CALCULO[Premio-PRIVIGEN],VIEW_IV_2019_REP_CALCULO[Ano-Fiscal],VIEW_IV_2019_REP_CALCULO_TRI[[#This Row],[Ano-Fiscal]],VIEW_IV_2019_REP_CALCULO[Tri-Fiscal],VIEW_IV_2019_REP_CALCULO_TRI[[#This Row],[Tri-Fiscal]],VIEW_IV_2019_REP_CALCULO['#PK-Email],VIEW_IV_2019_REP_CALCULO_TRI[[#This Row],['#PK-Email]])</f>
        <v>0</v>
      </c>
      <c r="AM29" s="65">
        <f>IF((VIEW_IV_2019_REP_CALCULO_TRI[[#This Row],[Premio-BERINERT]]-VIEW_IV_2019_REP_CALCULO_TRI[[#This Row],[Recebido-BERINERT]])&lt;=0,0,VIEW_IV_2019_REP_CALCULO_TRI[[#This Row],[Premio-BERINERT]]-VIEW_IV_2019_REP_CALCULO_TRI[[#This Row],[Recebido-BERINERT]])</f>
        <v>0</v>
      </c>
      <c r="AN29" s="65">
        <f>IF((VIEW_IV_2019_REP_CALCULO_TRI[[#This Row],[Premio-BERIPLEX]]-VIEW_IV_2019_REP_CALCULO_TRI[[#This Row],[Recebido-BERIPLEX]])&lt;=0,0,VIEW_IV_2019_REP_CALCULO_TRI[[#This Row],[Premio-BERIPLEX]]-VIEW_IV_2019_REP_CALCULO_TRI[[#This Row],[Recebido-BERIPLEX]])</f>
        <v>0</v>
      </c>
      <c r="AO29" s="65">
        <f>IF((VIEW_IV_2019_REP_CALCULO_TRI[[#This Row],[Premio-HAEMO]]-VIEW_IV_2019_REP_CALCULO_TRI[[#This Row],[Recebido-HAEMO]])&lt;=0,0,VIEW_IV_2019_REP_CALCULO_TRI[[#This Row],[Premio-HAEMO]]-VIEW_IV_2019_REP_CALCULO_TRI[[#This Row],[Recebido-HAEMO]])</f>
        <v>0</v>
      </c>
      <c r="AP29" s="65">
        <f>IF((VIEW_IV_2019_REP_CALCULO_TRI[[#This Row],[Premio-HIZENTRA]]-VIEW_IV_2019_REP_CALCULO_TRI[[#This Row],[Recebido-HIZENTRA]])&lt;=0,0,VIEW_IV_2019_REP_CALCULO_TRI[[#This Row],[Premio-HIZENTRA]]-VIEW_IV_2019_REP_CALCULO_TRI[[#This Row],[Recebido-HIZENTRA]])</f>
        <v>0</v>
      </c>
      <c r="AQ29" s="65">
        <f>IF((VIEW_IV_2019_REP_CALCULO_TRI[[#This Row],[Premio-PRIVIGEN]]-VIEW_IV_2019_REP_CALCULO_TRI[[#This Row],[Recebido-PRIVIGEN]])&lt;=0,0,VIEW_IV_2019_REP_CALCULO_TRI[[#This Row],[Premio-PRIVIGEN]]-VIEW_IV_2019_REP_CALCULO_TRI[[#This Row],[Recebido-PRIVIGEN]])</f>
        <v>0</v>
      </c>
      <c r="AR29" s="102">
        <f>SUM(VIEW_IV_2019_REP_CALCULO_TRI[[#This Row],[Recuperavel-BERINERT]:[Recuperavel-PRIVIGEN]])</f>
        <v>0</v>
      </c>
    </row>
    <row r="30" spans="1:44" x14ac:dyDescent="0.25">
      <c r="A30" s="7" t="s">
        <v>16</v>
      </c>
      <c r="B30" s="7" t="s">
        <v>66</v>
      </c>
      <c r="C30" s="8" t="s">
        <v>778</v>
      </c>
      <c r="D30" s="8" t="s">
        <v>779</v>
      </c>
      <c r="E30" s="8" t="s">
        <v>730</v>
      </c>
      <c r="F30" s="8" t="s">
        <v>791</v>
      </c>
      <c r="G30" s="3" t="b">
        <v>1</v>
      </c>
      <c r="H30" s="3" t="b">
        <v>1</v>
      </c>
      <c r="I30" s="10">
        <v>290</v>
      </c>
      <c r="J30" s="10">
        <v>0</v>
      </c>
      <c r="K30" s="10">
        <v>0</v>
      </c>
      <c r="L30" s="10">
        <v>2604</v>
      </c>
      <c r="M30" s="10">
        <v>18060</v>
      </c>
      <c r="N30" s="10">
        <v>0</v>
      </c>
      <c r="O30" s="10">
        <v>0</v>
      </c>
      <c r="P30" s="10">
        <v>0</v>
      </c>
      <c r="Q30" s="10">
        <v>96</v>
      </c>
      <c r="R30" s="10">
        <v>275</v>
      </c>
      <c r="S30" s="75">
        <v>0.1</v>
      </c>
      <c r="T30" s="75">
        <v>0</v>
      </c>
      <c r="U30" s="75">
        <v>0</v>
      </c>
      <c r="V30" s="75">
        <v>0.4</v>
      </c>
      <c r="W30" s="75">
        <v>0.2</v>
      </c>
      <c r="X30" s="75">
        <f>IFERROR(VIEW_IV_2019_REP_CALCULO_TRI[[#This Row],[Demanda-BERINERT]]/VIEW_IV_2019_REP_CALCULO_TRI[[#This Row],[Cota-BERINERT]],0)</f>
        <v>0</v>
      </c>
      <c r="Y30" s="75">
        <f>IFERROR(VIEW_IV_2019_REP_CALCULO_TRI[[#This Row],[Demanda-BERIPLEX]]/VIEW_IV_2019_REP_CALCULO_TRI[[#This Row],[Cota-BERIPLEX]],0)</f>
        <v>0</v>
      </c>
      <c r="Z30" s="75">
        <f>IFERROR(VIEW_IV_2019_REP_CALCULO_TRI[[#This Row],[Demanda-HAEMO]]/VIEW_IV_2019_REP_CALCULO_TRI[[#This Row],[Cota-HAEMO]],0)</f>
        <v>0</v>
      </c>
      <c r="AA30" s="75">
        <f>IFERROR(VIEW_IV_2019_REP_CALCULO_TRI[[#This Row],[Demanda-HIZENTRA]]/VIEW_IV_2019_REP_CALCULO_TRI[[#This Row],[Cota-HIZENTRA]],0)</f>
        <v>3.6866359447004608E-2</v>
      </c>
      <c r="AB30" s="75">
        <f>IFERROR(VIEW_IV_2019_REP_CALCULO_TRI[[#This Row],[Demanda-PRIVIGEN]]/VIEW_IV_2019_REP_CALCULO_TRI[[#This Row],[Cota-PRIVIGEN]],0)</f>
        <v>1.522702104097453E-2</v>
      </c>
      <c r="AC30" s="65">
        <f>(IF(VIEW_IV_2019_REP_CALCULO_TRI[[#This Row],[Cobertura-BERINERT]]&lt;Cob_Min_REP,0,IF(VIEW_IV_2019_REP_CALCULO_TRI[[#This Row],[Cobertura-BERINERT]]&gt;Cob_Max_REP,Vlr_Max_REP,VLOOKUP(VIEW_IV_2019_REP_CALCULO_TRI[[#This Row],[Cobertura-BERINERT]],Tabela_Valores_REP,2,1)))*VIEW_IV_2019_REP_CALCULO_TRI[[#This Row],[Peso-BERINERT]])*3</f>
        <v>0</v>
      </c>
      <c r="AD30" s="65">
        <f>(IF(VIEW_IV_2019_REP_CALCULO_TRI[[#This Row],[Cobertura-BERIPLEX]]&lt;Cob_Min_REP,0,IF(VIEW_IV_2019_REP_CALCULO_TRI[[#This Row],[Cobertura-BERIPLEX]]&gt;Cob_Max_REP,Vlr_Max_REP,VLOOKUP(VIEW_IV_2019_REP_CALCULO_TRI[[#This Row],[Cobertura-BERIPLEX]],Tabela_Valores_REP,2,1)))*VIEW_IV_2019_REP_CALCULO_TRI[[#This Row],[Peso-BERIPLEX]])*3</f>
        <v>0</v>
      </c>
      <c r="AE30" s="65">
        <f>(IF(VIEW_IV_2019_REP_CALCULO_TRI[[#This Row],[Cobertura-HAEMO]]&lt;Cob_Min_REP,0,IF(VIEW_IV_2019_REP_CALCULO_TRI[[#This Row],[Cobertura-HAEMO]]&gt;Cob_Max_REP,Vlr_Max_REP,VLOOKUP(VIEW_IV_2019_REP_CALCULO_TRI[[#This Row],[Cobertura-HAEMO]],Tabela_Valores_REP,2,1)))*VIEW_IV_2019_REP_CALCULO_TRI[[#This Row],[Peso-HAEMO]])*3</f>
        <v>0</v>
      </c>
      <c r="AF30" s="65">
        <f>(IF(VIEW_IV_2019_REP_CALCULO_TRI[[#This Row],[Cobertura-HIZENTRA]]&lt;Cob_Min_REP,0,IF(VIEW_IV_2019_REP_CALCULO_TRI[[#This Row],[Cobertura-HIZENTRA]]&gt;Cob_Max_REP,Vlr_Max_REP,VLOOKUP(VIEW_IV_2019_REP_CALCULO_TRI[[#This Row],[Cobertura-HIZENTRA]],Tabela_Valores_REP,2,1)))*VIEW_IV_2019_REP_CALCULO_TRI[[#This Row],[Peso-HIZENTRA]])*3</f>
        <v>0</v>
      </c>
      <c r="AG30" s="65">
        <f>(IF(VIEW_IV_2019_REP_CALCULO_TRI[[#This Row],[Cobertura-PRIVIGEN]]&lt;Cob_Min_REP,0,IF(VIEW_IV_2019_REP_CALCULO_TRI[[#This Row],[Cobertura-PRIVIGEN]]&gt;Cob_Max_REP,Vlr_Max_REP,VLOOKUP(VIEW_IV_2019_REP_CALCULO_TRI[[#This Row],[Cobertura-PRIVIGEN]],Tabela_Valores_REP,2,1)))*VIEW_IV_2019_REP_CALCULO_TRI[[#This Row],[Peso-PRIVIGEN]])*3</f>
        <v>0</v>
      </c>
      <c r="AH30" s="65">
        <f>SUMIFS(VIEW_IV_2019_REP_CALCULO[Premio-BERINERT],VIEW_IV_2019_REP_CALCULO[Ano-Fiscal],VIEW_IV_2019_REP_CALCULO_TRI[[#This Row],[Ano-Fiscal]],VIEW_IV_2019_REP_CALCULO[Tri-Fiscal],VIEW_IV_2019_REP_CALCULO_TRI[[#This Row],[Tri-Fiscal]],VIEW_IV_2019_REP_CALCULO['#PK-Email],VIEW_IV_2019_REP_CALCULO_TRI[[#This Row],['#PK-Email]])</f>
        <v>0</v>
      </c>
      <c r="AI30" s="65">
        <f>SUMIFS(VIEW_IV_2019_REP_CALCULO[Premio-BERIPLEX],VIEW_IV_2019_REP_CALCULO[Ano-Fiscal],VIEW_IV_2019_REP_CALCULO_TRI[[#This Row],[Ano-Fiscal]],VIEW_IV_2019_REP_CALCULO[Tri-Fiscal],VIEW_IV_2019_REP_CALCULO_TRI[[#This Row],[Tri-Fiscal]],VIEW_IV_2019_REP_CALCULO['#PK-Email],VIEW_IV_2019_REP_CALCULO_TRI[[#This Row],['#PK-Email]])</f>
        <v>0</v>
      </c>
      <c r="AJ30" s="65">
        <f>SUMIFS(VIEW_IV_2019_REP_CALCULO[Premio-HAEMO],VIEW_IV_2019_REP_CALCULO[Ano-Fiscal],VIEW_IV_2019_REP_CALCULO_TRI[[#This Row],[Ano-Fiscal]],VIEW_IV_2019_REP_CALCULO[Tri-Fiscal],VIEW_IV_2019_REP_CALCULO_TRI[[#This Row],[Tri-Fiscal]],VIEW_IV_2019_REP_CALCULO['#PK-Email],VIEW_IV_2019_REP_CALCULO_TRI[[#This Row],['#PK-Email]])</f>
        <v>0</v>
      </c>
      <c r="AK30" s="65">
        <f>SUMIFS(VIEW_IV_2019_REP_CALCULO[Premio-HIZENTRA],VIEW_IV_2019_REP_CALCULO[Ano-Fiscal],VIEW_IV_2019_REP_CALCULO_TRI[[#This Row],[Ano-Fiscal]],VIEW_IV_2019_REP_CALCULO[Tri-Fiscal],VIEW_IV_2019_REP_CALCULO_TRI[[#This Row],[Tri-Fiscal]],VIEW_IV_2019_REP_CALCULO['#PK-Email],VIEW_IV_2019_REP_CALCULO_TRI[[#This Row],['#PK-Email]])</f>
        <v>0</v>
      </c>
      <c r="AL30" s="65">
        <f>SUMIFS(VIEW_IV_2019_REP_CALCULO[Premio-PRIVIGEN],VIEW_IV_2019_REP_CALCULO[Ano-Fiscal],VIEW_IV_2019_REP_CALCULO_TRI[[#This Row],[Ano-Fiscal]],VIEW_IV_2019_REP_CALCULO[Tri-Fiscal],VIEW_IV_2019_REP_CALCULO_TRI[[#This Row],[Tri-Fiscal]],VIEW_IV_2019_REP_CALCULO['#PK-Email],VIEW_IV_2019_REP_CALCULO_TRI[[#This Row],['#PK-Email]])</f>
        <v>0</v>
      </c>
      <c r="AM30" s="65">
        <f>IF((VIEW_IV_2019_REP_CALCULO_TRI[[#This Row],[Premio-BERINERT]]-VIEW_IV_2019_REP_CALCULO_TRI[[#This Row],[Recebido-BERINERT]])&lt;=0,0,VIEW_IV_2019_REP_CALCULO_TRI[[#This Row],[Premio-BERINERT]]-VIEW_IV_2019_REP_CALCULO_TRI[[#This Row],[Recebido-BERINERT]])</f>
        <v>0</v>
      </c>
      <c r="AN30" s="65">
        <f>IF((VIEW_IV_2019_REP_CALCULO_TRI[[#This Row],[Premio-BERIPLEX]]-VIEW_IV_2019_REP_CALCULO_TRI[[#This Row],[Recebido-BERIPLEX]])&lt;=0,0,VIEW_IV_2019_REP_CALCULO_TRI[[#This Row],[Premio-BERIPLEX]]-VIEW_IV_2019_REP_CALCULO_TRI[[#This Row],[Recebido-BERIPLEX]])</f>
        <v>0</v>
      </c>
      <c r="AO30" s="65">
        <f>IF((VIEW_IV_2019_REP_CALCULO_TRI[[#This Row],[Premio-HAEMO]]-VIEW_IV_2019_REP_CALCULO_TRI[[#This Row],[Recebido-HAEMO]])&lt;=0,0,VIEW_IV_2019_REP_CALCULO_TRI[[#This Row],[Premio-HAEMO]]-VIEW_IV_2019_REP_CALCULO_TRI[[#This Row],[Recebido-HAEMO]])</f>
        <v>0</v>
      </c>
      <c r="AP30" s="65">
        <f>IF((VIEW_IV_2019_REP_CALCULO_TRI[[#This Row],[Premio-HIZENTRA]]-VIEW_IV_2019_REP_CALCULO_TRI[[#This Row],[Recebido-HIZENTRA]])&lt;=0,0,VIEW_IV_2019_REP_CALCULO_TRI[[#This Row],[Premio-HIZENTRA]]-VIEW_IV_2019_REP_CALCULO_TRI[[#This Row],[Recebido-HIZENTRA]])</f>
        <v>0</v>
      </c>
      <c r="AQ30" s="65">
        <f>IF((VIEW_IV_2019_REP_CALCULO_TRI[[#This Row],[Premio-PRIVIGEN]]-VIEW_IV_2019_REP_CALCULO_TRI[[#This Row],[Recebido-PRIVIGEN]])&lt;=0,0,VIEW_IV_2019_REP_CALCULO_TRI[[#This Row],[Premio-PRIVIGEN]]-VIEW_IV_2019_REP_CALCULO_TRI[[#This Row],[Recebido-PRIVIGEN]])</f>
        <v>0</v>
      </c>
      <c r="AR30" s="102">
        <f>SUM(VIEW_IV_2019_REP_CALCULO_TRI[[#This Row],[Recuperavel-BERINERT]:[Recuperavel-PRIVIGEN]])</f>
        <v>0</v>
      </c>
    </row>
    <row r="31" spans="1:44" x14ac:dyDescent="0.25">
      <c r="A31" s="7" t="s">
        <v>16</v>
      </c>
      <c r="B31" s="7" t="s">
        <v>66</v>
      </c>
      <c r="C31" s="8" t="s">
        <v>770</v>
      </c>
      <c r="D31" s="8" t="s">
        <v>771</v>
      </c>
      <c r="E31" s="8" t="s">
        <v>730</v>
      </c>
      <c r="F31" s="8" t="s">
        <v>787</v>
      </c>
      <c r="G31" s="3" t="b">
        <v>1</v>
      </c>
      <c r="H31" s="3" t="b">
        <v>0</v>
      </c>
      <c r="I31" s="10">
        <v>116</v>
      </c>
      <c r="J31" s="10">
        <v>0</v>
      </c>
      <c r="K31" s="10">
        <v>0</v>
      </c>
      <c r="L31" s="10">
        <v>2604</v>
      </c>
      <c r="M31" s="10">
        <v>19565</v>
      </c>
      <c r="N31" s="10">
        <v>0</v>
      </c>
      <c r="O31" s="10">
        <v>0</v>
      </c>
      <c r="P31" s="10">
        <v>0</v>
      </c>
      <c r="Q31" s="10">
        <v>4</v>
      </c>
      <c r="R31" s="10">
        <v>1270</v>
      </c>
      <c r="S31" s="75">
        <v>0</v>
      </c>
      <c r="T31" s="75">
        <v>0</v>
      </c>
      <c r="U31" s="75">
        <v>0</v>
      </c>
      <c r="V31" s="75">
        <v>0</v>
      </c>
      <c r="W31" s="75">
        <v>0</v>
      </c>
      <c r="X31" s="75">
        <f>IFERROR(VIEW_IV_2019_REP_CALCULO_TRI[[#This Row],[Demanda-BERINERT]]/VIEW_IV_2019_REP_CALCULO_TRI[[#This Row],[Cota-BERINERT]],0)</f>
        <v>0</v>
      </c>
      <c r="Y31" s="75">
        <f>IFERROR(VIEW_IV_2019_REP_CALCULO_TRI[[#This Row],[Demanda-BERIPLEX]]/VIEW_IV_2019_REP_CALCULO_TRI[[#This Row],[Cota-BERIPLEX]],0)</f>
        <v>0</v>
      </c>
      <c r="Z31" s="75">
        <f>IFERROR(VIEW_IV_2019_REP_CALCULO_TRI[[#This Row],[Demanda-HAEMO]]/VIEW_IV_2019_REP_CALCULO_TRI[[#This Row],[Cota-HAEMO]],0)</f>
        <v>0</v>
      </c>
      <c r="AA31" s="75">
        <f>IFERROR(VIEW_IV_2019_REP_CALCULO_TRI[[#This Row],[Demanda-HIZENTRA]]/VIEW_IV_2019_REP_CALCULO_TRI[[#This Row],[Cota-HIZENTRA]],0)</f>
        <v>1.5360983102918587E-3</v>
      </c>
      <c r="AB31" s="75">
        <f>IFERROR(VIEW_IV_2019_REP_CALCULO_TRI[[#This Row],[Demanda-PRIVIGEN]]/VIEW_IV_2019_REP_CALCULO_TRI[[#This Row],[Cota-PRIVIGEN]],0)</f>
        <v>6.4911832353692814E-2</v>
      </c>
      <c r="AC31" s="65">
        <f>(IF(VIEW_IV_2019_REP_CALCULO_TRI[[#This Row],[Cobertura-BERINERT]]&lt;Cob_Min_REP,0,IF(VIEW_IV_2019_REP_CALCULO_TRI[[#This Row],[Cobertura-BERINERT]]&gt;Cob_Max_REP,Vlr_Max_REP,VLOOKUP(VIEW_IV_2019_REP_CALCULO_TRI[[#This Row],[Cobertura-BERINERT]],Tabela_Valores_REP,2,1)))*VIEW_IV_2019_REP_CALCULO_TRI[[#This Row],[Peso-BERINERT]])*3</f>
        <v>0</v>
      </c>
      <c r="AD31" s="65">
        <f>(IF(VIEW_IV_2019_REP_CALCULO_TRI[[#This Row],[Cobertura-BERIPLEX]]&lt;Cob_Min_REP,0,IF(VIEW_IV_2019_REP_CALCULO_TRI[[#This Row],[Cobertura-BERIPLEX]]&gt;Cob_Max_REP,Vlr_Max_REP,VLOOKUP(VIEW_IV_2019_REP_CALCULO_TRI[[#This Row],[Cobertura-BERIPLEX]],Tabela_Valores_REP,2,1)))*VIEW_IV_2019_REP_CALCULO_TRI[[#This Row],[Peso-BERIPLEX]])*3</f>
        <v>0</v>
      </c>
      <c r="AE31" s="65">
        <f>(IF(VIEW_IV_2019_REP_CALCULO_TRI[[#This Row],[Cobertura-HAEMO]]&lt;Cob_Min_REP,0,IF(VIEW_IV_2019_REP_CALCULO_TRI[[#This Row],[Cobertura-HAEMO]]&gt;Cob_Max_REP,Vlr_Max_REP,VLOOKUP(VIEW_IV_2019_REP_CALCULO_TRI[[#This Row],[Cobertura-HAEMO]],Tabela_Valores_REP,2,1)))*VIEW_IV_2019_REP_CALCULO_TRI[[#This Row],[Peso-HAEMO]])*3</f>
        <v>0</v>
      </c>
      <c r="AF31" s="65">
        <f>(IF(VIEW_IV_2019_REP_CALCULO_TRI[[#This Row],[Cobertura-HIZENTRA]]&lt;Cob_Min_REP,0,IF(VIEW_IV_2019_REP_CALCULO_TRI[[#This Row],[Cobertura-HIZENTRA]]&gt;Cob_Max_REP,Vlr_Max_REP,VLOOKUP(VIEW_IV_2019_REP_CALCULO_TRI[[#This Row],[Cobertura-HIZENTRA]],Tabela_Valores_REP,2,1)))*VIEW_IV_2019_REP_CALCULO_TRI[[#This Row],[Peso-HIZENTRA]])*3</f>
        <v>0</v>
      </c>
      <c r="AG31" s="65">
        <f>(IF(VIEW_IV_2019_REP_CALCULO_TRI[[#This Row],[Cobertura-PRIVIGEN]]&lt;Cob_Min_REP,0,IF(VIEW_IV_2019_REP_CALCULO_TRI[[#This Row],[Cobertura-PRIVIGEN]]&gt;Cob_Max_REP,Vlr_Max_REP,VLOOKUP(VIEW_IV_2019_REP_CALCULO_TRI[[#This Row],[Cobertura-PRIVIGEN]],Tabela_Valores_REP,2,1)))*VIEW_IV_2019_REP_CALCULO_TRI[[#This Row],[Peso-PRIVIGEN]])*3</f>
        <v>0</v>
      </c>
      <c r="AH31" s="65">
        <f>SUMIFS(VIEW_IV_2019_REP_CALCULO[Premio-BERINERT],VIEW_IV_2019_REP_CALCULO[Ano-Fiscal],VIEW_IV_2019_REP_CALCULO_TRI[[#This Row],[Ano-Fiscal]],VIEW_IV_2019_REP_CALCULO[Tri-Fiscal],VIEW_IV_2019_REP_CALCULO_TRI[[#This Row],[Tri-Fiscal]],VIEW_IV_2019_REP_CALCULO['#PK-Email],VIEW_IV_2019_REP_CALCULO_TRI[[#This Row],['#PK-Email]])</f>
        <v>0</v>
      </c>
      <c r="AI31" s="65">
        <f>SUMIFS(VIEW_IV_2019_REP_CALCULO[Premio-BERIPLEX],VIEW_IV_2019_REP_CALCULO[Ano-Fiscal],VIEW_IV_2019_REP_CALCULO_TRI[[#This Row],[Ano-Fiscal]],VIEW_IV_2019_REP_CALCULO[Tri-Fiscal],VIEW_IV_2019_REP_CALCULO_TRI[[#This Row],[Tri-Fiscal]],VIEW_IV_2019_REP_CALCULO['#PK-Email],VIEW_IV_2019_REP_CALCULO_TRI[[#This Row],['#PK-Email]])</f>
        <v>0</v>
      </c>
      <c r="AJ31" s="65">
        <f>SUMIFS(VIEW_IV_2019_REP_CALCULO[Premio-HAEMO],VIEW_IV_2019_REP_CALCULO[Ano-Fiscal],VIEW_IV_2019_REP_CALCULO_TRI[[#This Row],[Ano-Fiscal]],VIEW_IV_2019_REP_CALCULO[Tri-Fiscal],VIEW_IV_2019_REP_CALCULO_TRI[[#This Row],[Tri-Fiscal]],VIEW_IV_2019_REP_CALCULO['#PK-Email],VIEW_IV_2019_REP_CALCULO_TRI[[#This Row],['#PK-Email]])</f>
        <v>0</v>
      </c>
      <c r="AK31" s="65">
        <f>SUMIFS(VIEW_IV_2019_REP_CALCULO[Premio-HIZENTRA],VIEW_IV_2019_REP_CALCULO[Ano-Fiscal],VIEW_IV_2019_REP_CALCULO_TRI[[#This Row],[Ano-Fiscal]],VIEW_IV_2019_REP_CALCULO[Tri-Fiscal],VIEW_IV_2019_REP_CALCULO_TRI[[#This Row],[Tri-Fiscal]],VIEW_IV_2019_REP_CALCULO['#PK-Email],VIEW_IV_2019_REP_CALCULO_TRI[[#This Row],['#PK-Email]])</f>
        <v>0</v>
      </c>
      <c r="AL31" s="65">
        <f>SUMIFS(VIEW_IV_2019_REP_CALCULO[Premio-PRIVIGEN],VIEW_IV_2019_REP_CALCULO[Ano-Fiscal],VIEW_IV_2019_REP_CALCULO_TRI[[#This Row],[Ano-Fiscal]],VIEW_IV_2019_REP_CALCULO[Tri-Fiscal],VIEW_IV_2019_REP_CALCULO_TRI[[#This Row],[Tri-Fiscal]],VIEW_IV_2019_REP_CALCULO['#PK-Email],VIEW_IV_2019_REP_CALCULO_TRI[[#This Row],['#PK-Email]])</f>
        <v>0</v>
      </c>
      <c r="AM31" s="65">
        <f>IF((VIEW_IV_2019_REP_CALCULO_TRI[[#This Row],[Premio-BERINERT]]-VIEW_IV_2019_REP_CALCULO_TRI[[#This Row],[Recebido-BERINERT]])&lt;=0,0,VIEW_IV_2019_REP_CALCULO_TRI[[#This Row],[Premio-BERINERT]]-VIEW_IV_2019_REP_CALCULO_TRI[[#This Row],[Recebido-BERINERT]])</f>
        <v>0</v>
      </c>
      <c r="AN31" s="65">
        <f>IF((VIEW_IV_2019_REP_CALCULO_TRI[[#This Row],[Premio-BERIPLEX]]-VIEW_IV_2019_REP_CALCULO_TRI[[#This Row],[Recebido-BERIPLEX]])&lt;=0,0,VIEW_IV_2019_REP_CALCULO_TRI[[#This Row],[Premio-BERIPLEX]]-VIEW_IV_2019_REP_CALCULO_TRI[[#This Row],[Recebido-BERIPLEX]])</f>
        <v>0</v>
      </c>
      <c r="AO31" s="65">
        <f>IF((VIEW_IV_2019_REP_CALCULO_TRI[[#This Row],[Premio-HAEMO]]-VIEW_IV_2019_REP_CALCULO_TRI[[#This Row],[Recebido-HAEMO]])&lt;=0,0,VIEW_IV_2019_REP_CALCULO_TRI[[#This Row],[Premio-HAEMO]]-VIEW_IV_2019_REP_CALCULO_TRI[[#This Row],[Recebido-HAEMO]])</f>
        <v>0</v>
      </c>
      <c r="AP31" s="65">
        <f>IF((VIEW_IV_2019_REP_CALCULO_TRI[[#This Row],[Premio-HIZENTRA]]-VIEW_IV_2019_REP_CALCULO_TRI[[#This Row],[Recebido-HIZENTRA]])&lt;=0,0,VIEW_IV_2019_REP_CALCULO_TRI[[#This Row],[Premio-HIZENTRA]]-VIEW_IV_2019_REP_CALCULO_TRI[[#This Row],[Recebido-HIZENTRA]])</f>
        <v>0</v>
      </c>
      <c r="AQ31" s="65">
        <f>IF((VIEW_IV_2019_REP_CALCULO_TRI[[#This Row],[Premio-PRIVIGEN]]-VIEW_IV_2019_REP_CALCULO_TRI[[#This Row],[Recebido-PRIVIGEN]])&lt;=0,0,VIEW_IV_2019_REP_CALCULO_TRI[[#This Row],[Premio-PRIVIGEN]]-VIEW_IV_2019_REP_CALCULO_TRI[[#This Row],[Recebido-PRIVIGEN]])</f>
        <v>0</v>
      </c>
      <c r="AR31" s="102">
        <f>SUM(VIEW_IV_2019_REP_CALCULO_TRI[[#This Row],[Recuperavel-BERINERT]:[Recuperavel-PRIVIGEN]])</f>
        <v>0</v>
      </c>
    </row>
    <row r="32" spans="1:44" x14ac:dyDescent="0.25">
      <c r="A32" s="7" t="s">
        <v>16</v>
      </c>
      <c r="B32" s="7" t="s">
        <v>66</v>
      </c>
      <c r="C32" s="8" t="s">
        <v>737</v>
      </c>
      <c r="D32" s="8" t="s">
        <v>738</v>
      </c>
      <c r="E32" s="8" t="s">
        <v>739</v>
      </c>
      <c r="F32" s="8" t="s">
        <v>785</v>
      </c>
      <c r="G32" s="3" t="b">
        <v>1</v>
      </c>
      <c r="H32" s="3" t="b">
        <v>1</v>
      </c>
      <c r="I32" s="10">
        <v>34</v>
      </c>
      <c r="J32" s="10">
        <v>244</v>
      </c>
      <c r="K32" s="10">
        <v>168</v>
      </c>
      <c r="L32" s="10">
        <v>434</v>
      </c>
      <c r="M32" s="10">
        <v>9030</v>
      </c>
      <c r="N32" s="10">
        <v>0</v>
      </c>
      <c r="O32" s="10">
        <v>0</v>
      </c>
      <c r="P32" s="10">
        <v>3</v>
      </c>
      <c r="Q32" s="10">
        <v>9</v>
      </c>
      <c r="R32" s="10">
        <v>1445</v>
      </c>
      <c r="S32" s="75">
        <v>0.05</v>
      </c>
      <c r="T32" s="75">
        <v>0.15</v>
      </c>
      <c r="U32" s="75">
        <v>0.15</v>
      </c>
      <c r="V32" s="75">
        <v>0.2</v>
      </c>
      <c r="W32" s="75">
        <v>0.15</v>
      </c>
      <c r="X32" s="75">
        <f>IFERROR(VIEW_IV_2019_REP_CALCULO_TRI[[#This Row],[Demanda-BERINERT]]/VIEW_IV_2019_REP_CALCULO_TRI[[#This Row],[Cota-BERINERT]],0)</f>
        <v>0</v>
      </c>
      <c r="Y32" s="75">
        <f>IFERROR(VIEW_IV_2019_REP_CALCULO_TRI[[#This Row],[Demanda-BERIPLEX]]/VIEW_IV_2019_REP_CALCULO_TRI[[#This Row],[Cota-BERIPLEX]],0)</f>
        <v>0</v>
      </c>
      <c r="Z32" s="75">
        <f>IFERROR(VIEW_IV_2019_REP_CALCULO_TRI[[#This Row],[Demanda-HAEMO]]/VIEW_IV_2019_REP_CALCULO_TRI[[#This Row],[Cota-HAEMO]],0)</f>
        <v>1.7857142857142856E-2</v>
      </c>
      <c r="AA32" s="75">
        <f>IFERROR(VIEW_IV_2019_REP_CALCULO_TRI[[#This Row],[Demanda-HIZENTRA]]/VIEW_IV_2019_REP_CALCULO_TRI[[#This Row],[Cota-HIZENTRA]],0)</f>
        <v>2.0737327188940093E-2</v>
      </c>
      <c r="AB32" s="75">
        <f>IFERROR(VIEW_IV_2019_REP_CALCULO_TRI[[#This Row],[Demanda-PRIVIGEN]]/VIEW_IV_2019_REP_CALCULO_TRI[[#This Row],[Cota-PRIVIGEN]],0)</f>
        <v>0.16002214839424142</v>
      </c>
      <c r="AC32" s="65">
        <f>(IF(VIEW_IV_2019_REP_CALCULO_TRI[[#This Row],[Cobertura-BERINERT]]&lt;Cob_Min_REP,0,IF(VIEW_IV_2019_REP_CALCULO_TRI[[#This Row],[Cobertura-BERINERT]]&gt;Cob_Max_REP,Vlr_Max_REP,VLOOKUP(VIEW_IV_2019_REP_CALCULO_TRI[[#This Row],[Cobertura-BERINERT]],Tabela_Valores_REP,2,1)))*VIEW_IV_2019_REP_CALCULO_TRI[[#This Row],[Peso-BERINERT]])*3</f>
        <v>0</v>
      </c>
      <c r="AD32" s="65">
        <f>(IF(VIEW_IV_2019_REP_CALCULO_TRI[[#This Row],[Cobertura-BERIPLEX]]&lt;Cob_Min_REP,0,IF(VIEW_IV_2019_REP_CALCULO_TRI[[#This Row],[Cobertura-BERIPLEX]]&gt;Cob_Max_REP,Vlr_Max_REP,VLOOKUP(VIEW_IV_2019_REP_CALCULO_TRI[[#This Row],[Cobertura-BERIPLEX]],Tabela_Valores_REP,2,1)))*VIEW_IV_2019_REP_CALCULO_TRI[[#This Row],[Peso-BERIPLEX]])*3</f>
        <v>0</v>
      </c>
      <c r="AE32" s="65">
        <f>(IF(VIEW_IV_2019_REP_CALCULO_TRI[[#This Row],[Cobertura-HAEMO]]&lt;Cob_Min_REP,0,IF(VIEW_IV_2019_REP_CALCULO_TRI[[#This Row],[Cobertura-HAEMO]]&gt;Cob_Max_REP,Vlr_Max_REP,VLOOKUP(VIEW_IV_2019_REP_CALCULO_TRI[[#This Row],[Cobertura-HAEMO]],Tabela_Valores_REP,2,1)))*VIEW_IV_2019_REP_CALCULO_TRI[[#This Row],[Peso-HAEMO]])*3</f>
        <v>0</v>
      </c>
      <c r="AF32" s="65">
        <f>(IF(VIEW_IV_2019_REP_CALCULO_TRI[[#This Row],[Cobertura-HIZENTRA]]&lt;Cob_Min_REP,0,IF(VIEW_IV_2019_REP_CALCULO_TRI[[#This Row],[Cobertura-HIZENTRA]]&gt;Cob_Max_REP,Vlr_Max_REP,VLOOKUP(VIEW_IV_2019_REP_CALCULO_TRI[[#This Row],[Cobertura-HIZENTRA]],Tabela_Valores_REP,2,1)))*VIEW_IV_2019_REP_CALCULO_TRI[[#This Row],[Peso-HIZENTRA]])*3</f>
        <v>0</v>
      </c>
      <c r="AG32" s="65">
        <f>(IF(VIEW_IV_2019_REP_CALCULO_TRI[[#This Row],[Cobertura-PRIVIGEN]]&lt;Cob_Min_REP,0,IF(VIEW_IV_2019_REP_CALCULO_TRI[[#This Row],[Cobertura-PRIVIGEN]]&gt;Cob_Max_REP,Vlr_Max_REP,VLOOKUP(VIEW_IV_2019_REP_CALCULO_TRI[[#This Row],[Cobertura-PRIVIGEN]],Tabela_Valores_REP,2,1)))*VIEW_IV_2019_REP_CALCULO_TRI[[#This Row],[Peso-PRIVIGEN]])*3</f>
        <v>0</v>
      </c>
      <c r="AH32" s="65">
        <f>SUMIFS(VIEW_IV_2019_REP_CALCULO[Premio-BERINERT],VIEW_IV_2019_REP_CALCULO[Ano-Fiscal],VIEW_IV_2019_REP_CALCULO_TRI[[#This Row],[Ano-Fiscal]],VIEW_IV_2019_REP_CALCULO[Tri-Fiscal],VIEW_IV_2019_REP_CALCULO_TRI[[#This Row],[Tri-Fiscal]],VIEW_IV_2019_REP_CALCULO['#PK-Email],VIEW_IV_2019_REP_CALCULO_TRI[[#This Row],['#PK-Email]])</f>
        <v>0</v>
      </c>
      <c r="AI32" s="65">
        <f>SUMIFS(VIEW_IV_2019_REP_CALCULO[Premio-BERIPLEX],VIEW_IV_2019_REP_CALCULO[Ano-Fiscal],VIEW_IV_2019_REP_CALCULO_TRI[[#This Row],[Ano-Fiscal]],VIEW_IV_2019_REP_CALCULO[Tri-Fiscal],VIEW_IV_2019_REP_CALCULO_TRI[[#This Row],[Tri-Fiscal]],VIEW_IV_2019_REP_CALCULO['#PK-Email],VIEW_IV_2019_REP_CALCULO_TRI[[#This Row],['#PK-Email]])</f>
        <v>0</v>
      </c>
      <c r="AJ32" s="65">
        <f>SUMIFS(VIEW_IV_2019_REP_CALCULO[Premio-HAEMO],VIEW_IV_2019_REP_CALCULO[Ano-Fiscal],VIEW_IV_2019_REP_CALCULO_TRI[[#This Row],[Ano-Fiscal]],VIEW_IV_2019_REP_CALCULO[Tri-Fiscal],VIEW_IV_2019_REP_CALCULO_TRI[[#This Row],[Tri-Fiscal]],VIEW_IV_2019_REP_CALCULO['#PK-Email],VIEW_IV_2019_REP_CALCULO_TRI[[#This Row],['#PK-Email]])</f>
        <v>0</v>
      </c>
      <c r="AK32" s="65">
        <f>SUMIFS(VIEW_IV_2019_REP_CALCULO[Premio-HIZENTRA],VIEW_IV_2019_REP_CALCULO[Ano-Fiscal],VIEW_IV_2019_REP_CALCULO_TRI[[#This Row],[Ano-Fiscal]],VIEW_IV_2019_REP_CALCULO[Tri-Fiscal],VIEW_IV_2019_REP_CALCULO_TRI[[#This Row],[Tri-Fiscal]],VIEW_IV_2019_REP_CALCULO['#PK-Email],VIEW_IV_2019_REP_CALCULO_TRI[[#This Row],['#PK-Email]])</f>
        <v>0</v>
      </c>
      <c r="AL32" s="65">
        <f>SUMIFS(VIEW_IV_2019_REP_CALCULO[Premio-PRIVIGEN],VIEW_IV_2019_REP_CALCULO[Ano-Fiscal],VIEW_IV_2019_REP_CALCULO_TRI[[#This Row],[Ano-Fiscal]],VIEW_IV_2019_REP_CALCULO[Tri-Fiscal],VIEW_IV_2019_REP_CALCULO_TRI[[#This Row],[Tri-Fiscal]],VIEW_IV_2019_REP_CALCULO['#PK-Email],VIEW_IV_2019_REP_CALCULO_TRI[[#This Row],['#PK-Email]])</f>
        <v>0</v>
      </c>
      <c r="AM32" s="65">
        <f>IF((VIEW_IV_2019_REP_CALCULO_TRI[[#This Row],[Premio-BERINERT]]-VIEW_IV_2019_REP_CALCULO_TRI[[#This Row],[Recebido-BERINERT]])&lt;=0,0,VIEW_IV_2019_REP_CALCULO_TRI[[#This Row],[Premio-BERINERT]]-VIEW_IV_2019_REP_CALCULO_TRI[[#This Row],[Recebido-BERINERT]])</f>
        <v>0</v>
      </c>
      <c r="AN32" s="65">
        <f>IF((VIEW_IV_2019_REP_CALCULO_TRI[[#This Row],[Premio-BERIPLEX]]-VIEW_IV_2019_REP_CALCULO_TRI[[#This Row],[Recebido-BERIPLEX]])&lt;=0,0,VIEW_IV_2019_REP_CALCULO_TRI[[#This Row],[Premio-BERIPLEX]]-VIEW_IV_2019_REP_CALCULO_TRI[[#This Row],[Recebido-BERIPLEX]])</f>
        <v>0</v>
      </c>
      <c r="AO32" s="65">
        <f>IF((VIEW_IV_2019_REP_CALCULO_TRI[[#This Row],[Premio-HAEMO]]-VIEW_IV_2019_REP_CALCULO_TRI[[#This Row],[Recebido-HAEMO]])&lt;=0,0,VIEW_IV_2019_REP_CALCULO_TRI[[#This Row],[Premio-HAEMO]]-VIEW_IV_2019_REP_CALCULO_TRI[[#This Row],[Recebido-HAEMO]])</f>
        <v>0</v>
      </c>
      <c r="AP32" s="65">
        <f>IF((VIEW_IV_2019_REP_CALCULO_TRI[[#This Row],[Premio-HIZENTRA]]-VIEW_IV_2019_REP_CALCULO_TRI[[#This Row],[Recebido-HIZENTRA]])&lt;=0,0,VIEW_IV_2019_REP_CALCULO_TRI[[#This Row],[Premio-HIZENTRA]]-VIEW_IV_2019_REP_CALCULO_TRI[[#This Row],[Recebido-HIZENTRA]])</f>
        <v>0</v>
      </c>
      <c r="AQ32" s="65">
        <f>IF((VIEW_IV_2019_REP_CALCULO_TRI[[#This Row],[Premio-PRIVIGEN]]-VIEW_IV_2019_REP_CALCULO_TRI[[#This Row],[Recebido-PRIVIGEN]])&lt;=0,0,VIEW_IV_2019_REP_CALCULO_TRI[[#This Row],[Premio-PRIVIGEN]]-VIEW_IV_2019_REP_CALCULO_TRI[[#This Row],[Recebido-PRIVIGEN]])</f>
        <v>0</v>
      </c>
      <c r="AR32" s="102">
        <f>SUM(VIEW_IV_2019_REP_CALCULO_TRI[[#This Row],[Recuperavel-BERINERT]:[Recuperavel-PRIVIGEN]])</f>
        <v>0</v>
      </c>
    </row>
    <row r="33" spans="1:44" x14ac:dyDescent="0.25">
      <c r="A33" s="7" t="s">
        <v>16</v>
      </c>
      <c r="B33" s="7" t="s">
        <v>66</v>
      </c>
      <c r="C33" s="8" t="s">
        <v>780</v>
      </c>
      <c r="D33" s="8" t="s">
        <v>781</v>
      </c>
      <c r="E33" s="8" t="s">
        <v>739</v>
      </c>
      <c r="F33" s="8" t="s">
        <v>791</v>
      </c>
      <c r="G33" s="3" t="b">
        <v>1</v>
      </c>
      <c r="H33" s="3" t="b">
        <v>1</v>
      </c>
      <c r="I33" s="10">
        <v>116</v>
      </c>
      <c r="J33" s="10">
        <v>122</v>
      </c>
      <c r="K33" s="10">
        <v>42</v>
      </c>
      <c r="L33" s="10">
        <v>2387</v>
      </c>
      <c r="M33" s="10">
        <v>4515</v>
      </c>
      <c r="N33" s="10">
        <v>0</v>
      </c>
      <c r="O33" s="10">
        <v>0</v>
      </c>
      <c r="P33" s="10">
        <v>0</v>
      </c>
      <c r="Q33" s="10">
        <v>161</v>
      </c>
      <c r="R33" s="10">
        <v>1760</v>
      </c>
      <c r="S33" s="75">
        <v>0.05</v>
      </c>
      <c r="T33" s="75">
        <v>0.15</v>
      </c>
      <c r="U33" s="75">
        <v>0.15</v>
      </c>
      <c r="V33" s="75">
        <v>0.2</v>
      </c>
      <c r="W33" s="75">
        <v>0.15</v>
      </c>
      <c r="X33" s="75">
        <f>IFERROR(VIEW_IV_2019_REP_CALCULO_TRI[[#This Row],[Demanda-BERINERT]]/VIEW_IV_2019_REP_CALCULO_TRI[[#This Row],[Cota-BERINERT]],0)</f>
        <v>0</v>
      </c>
      <c r="Y33" s="75">
        <f>IFERROR(VIEW_IV_2019_REP_CALCULO_TRI[[#This Row],[Demanda-BERIPLEX]]/VIEW_IV_2019_REP_CALCULO_TRI[[#This Row],[Cota-BERIPLEX]],0)</f>
        <v>0</v>
      </c>
      <c r="Z33" s="75">
        <f>IFERROR(VIEW_IV_2019_REP_CALCULO_TRI[[#This Row],[Demanda-HAEMO]]/VIEW_IV_2019_REP_CALCULO_TRI[[#This Row],[Cota-HAEMO]],0)</f>
        <v>0</v>
      </c>
      <c r="AA33" s="75">
        <f>IFERROR(VIEW_IV_2019_REP_CALCULO_TRI[[#This Row],[Demanda-HIZENTRA]]/VIEW_IV_2019_REP_CALCULO_TRI[[#This Row],[Cota-HIZENTRA]],0)</f>
        <v>6.7448680351906154E-2</v>
      </c>
      <c r="AB33" s="75">
        <f>IFERROR(VIEW_IV_2019_REP_CALCULO_TRI[[#This Row],[Demanda-PRIVIGEN]]/VIEW_IV_2019_REP_CALCULO_TRI[[#This Row],[Cota-PRIVIGEN]],0)</f>
        <v>0.38981173864894797</v>
      </c>
      <c r="AC33" s="65">
        <f>(IF(VIEW_IV_2019_REP_CALCULO_TRI[[#This Row],[Cobertura-BERINERT]]&lt;Cob_Min_REP,0,IF(VIEW_IV_2019_REP_CALCULO_TRI[[#This Row],[Cobertura-BERINERT]]&gt;Cob_Max_REP,Vlr_Max_REP,VLOOKUP(VIEW_IV_2019_REP_CALCULO_TRI[[#This Row],[Cobertura-BERINERT]],Tabela_Valores_REP,2,1)))*VIEW_IV_2019_REP_CALCULO_TRI[[#This Row],[Peso-BERINERT]])*3</f>
        <v>0</v>
      </c>
      <c r="AD33" s="65">
        <f>(IF(VIEW_IV_2019_REP_CALCULO_TRI[[#This Row],[Cobertura-BERIPLEX]]&lt;Cob_Min_REP,0,IF(VIEW_IV_2019_REP_CALCULO_TRI[[#This Row],[Cobertura-BERIPLEX]]&gt;Cob_Max_REP,Vlr_Max_REP,VLOOKUP(VIEW_IV_2019_REP_CALCULO_TRI[[#This Row],[Cobertura-BERIPLEX]],Tabela_Valores_REP,2,1)))*VIEW_IV_2019_REP_CALCULO_TRI[[#This Row],[Peso-BERIPLEX]])*3</f>
        <v>0</v>
      </c>
      <c r="AE33" s="65">
        <f>(IF(VIEW_IV_2019_REP_CALCULO_TRI[[#This Row],[Cobertura-HAEMO]]&lt;Cob_Min_REP,0,IF(VIEW_IV_2019_REP_CALCULO_TRI[[#This Row],[Cobertura-HAEMO]]&gt;Cob_Max_REP,Vlr_Max_REP,VLOOKUP(VIEW_IV_2019_REP_CALCULO_TRI[[#This Row],[Cobertura-HAEMO]],Tabela_Valores_REP,2,1)))*VIEW_IV_2019_REP_CALCULO_TRI[[#This Row],[Peso-HAEMO]])*3</f>
        <v>0</v>
      </c>
      <c r="AF33" s="65">
        <f>(IF(VIEW_IV_2019_REP_CALCULO_TRI[[#This Row],[Cobertura-HIZENTRA]]&lt;Cob_Min_REP,0,IF(VIEW_IV_2019_REP_CALCULO_TRI[[#This Row],[Cobertura-HIZENTRA]]&gt;Cob_Max_REP,Vlr_Max_REP,VLOOKUP(VIEW_IV_2019_REP_CALCULO_TRI[[#This Row],[Cobertura-HIZENTRA]],Tabela_Valores_REP,2,1)))*VIEW_IV_2019_REP_CALCULO_TRI[[#This Row],[Peso-HIZENTRA]])*3</f>
        <v>0</v>
      </c>
      <c r="AG33" s="65">
        <f>(IF(VIEW_IV_2019_REP_CALCULO_TRI[[#This Row],[Cobertura-PRIVIGEN]]&lt;Cob_Min_REP,0,IF(VIEW_IV_2019_REP_CALCULO_TRI[[#This Row],[Cobertura-PRIVIGEN]]&gt;Cob_Max_REP,Vlr_Max_REP,VLOOKUP(VIEW_IV_2019_REP_CALCULO_TRI[[#This Row],[Cobertura-PRIVIGEN]],Tabela_Valores_REP,2,1)))*VIEW_IV_2019_REP_CALCULO_TRI[[#This Row],[Peso-PRIVIGEN]])*3</f>
        <v>0</v>
      </c>
      <c r="AH33" s="65">
        <f>SUMIFS(VIEW_IV_2019_REP_CALCULO[Premio-BERINERT],VIEW_IV_2019_REP_CALCULO[Ano-Fiscal],VIEW_IV_2019_REP_CALCULO_TRI[[#This Row],[Ano-Fiscal]],VIEW_IV_2019_REP_CALCULO[Tri-Fiscal],VIEW_IV_2019_REP_CALCULO_TRI[[#This Row],[Tri-Fiscal]],VIEW_IV_2019_REP_CALCULO['#PK-Email],VIEW_IV_2019_REP_CALCULO_TRI[[#This Row],['#PK-Email]])</f>
        <v>0</v>
      </c>
      <c r="AI33" s="65">
        <f>SUMIFS(VIEW_IV_2019_REP_CALCULO[Premio-BERIPLEX],VIEW_IV_2019_REP_CALCULO[Ano-Fiscal],VIEW_IV_2019_REP_CALCULO_TRI[[#This Row],[Ano-Fiscal]],VIEW_IV_2019_REP_CALCULO[Tri-Fiscal],VIEW_IV_2019_REP_CALCULO_TRI[[#This Row],[Tri-Fiscal]],VIEW_IV_2019_REP_CALCULO['#PK-Email],VIEW_IV_2019_REP_CALCULO_TRI[[#This Row],['#PK-Email]])</f>
        <v>0</v>
      </c>
      <c r="AJ33" s="65">
        <f>SUMIFS(VIEW_IV_2019_REP_CALCULO[Premio-HAEMO],VIEW_IV_2019_REP_CALCULO[Ano-Fiscal],VIEW_IV_2019_REP_CALCULO_TRI[[#This Row],[Ano-Fiscal]],VIEW_IV_2019_REP_CALCULO[Tri-Fiscal],VIEW_IV_2019_REP_CALCULO_TRI[[#This Row],[Tri-Fiscal]],VIEW_IV_2019_REP_CALCULO['#PK-Email],VIEW_IV_2019_REP_CALCULO_TRI[[#This Row],['#PK-Email]])</f>
        <v>0</v>
      </c>
      <c r="AK33" s="65">
        <f>SUMIFS(VIEW_IV_2019_REP_CALCULO[Premio-HIZENTRA],VIEW_IV_2019_REP_CALCULO[Ano-Fiscal],VIEW_IV_2019_REP_CALCULO_TRI[[#This Row],[Ano-Fiscal]],VIEW_IV_2019_REP_CALCULO[Tri-Fiscal],VIEW_IV_2019_REP_CALCULO_TRI[[#This Row],[Tri-Fiscal]],VIEW_IV_2019_REP_CALCULO['#PK-Email],VIEW_IV_2019_REP_CALCULO_TRI[[#This Row],['#PK-Email]])</f>
        <v>0</v>
      </c>
      <c r="AL33" s="65">
        <f>SUMIFS(VIEW_IV_2019_REP_CALCULO[Premio-PRIVIGEN],VIEW_IV_2019_REP_CALCULO[Ano-Fiscal],VIEW_IV_2019_REP_CALCULO_TRI[[#This Row],[Ano-Fiscal]],VIEW_IV_2019_REP_CALCULO[Tri-Fiscal],VIEW_IV_2019_REP_CALCULO_TRI[[#This Row],[Tri-Fiscal]],VIEW_IV_2019_REP_CALCULO['#PK-Email],VIEW_IV_2019_REP_CALCULO_TRI[[#This Row],['#PK-Email]])</f>
        <v>750.18352960356822</v>
      </c>
      <c r="AM33" s="65">
        <f>IF((VIEW_IV_2019_REP_CALCULO_TRI[[#This Row],[Premio-BERINERT]]-VIEW_IV_2019_REP_CALCULO_TRI[[#This Row],[Recebido-BERINERT]])&lt;=0,0,VIEW_IV_2019_REP_CALCULO_TRI[[#This Row],[Premio-BERINERT]]-VIEW_IV_2019_REP_CALCULO_TRI[[#This Row],[Recebido-BERINERT]])</f>
        <v>0</v>
      </c>
      <c r="AN33" s="65">
        <f>IF((VIEW_IV_2019_REP_CALCULO_TRI[[#This Row],[Premio-BERIPLEX]]-VIEW_IV_2019_REP_CALCULO_TRI[[#This Row],[Recebido-BERIPLEX]])&lt;=0,0,VIEW_IV_2019_REP_CALCULO_TRI[[#This Row],[Premio-BERIPLEX]]-VIEW_IV_2019_REP_CALCULO_TRI[[#This Row],[Recebido-BERIPLEX]])</f>
        <v>0</v>
      </c>
      <c r="AO33" s="65">
        <f>IF((VIEW_IV_2019_REP_CALCULO_TRI[[#This Row],[Premio-HAEMO]]-VIEW_IV_2019_REP_CALCULO_TRI[[#This Row],[Recebido-HAEMO]])&lt;=0,0,VIEW_IV_2019_REP_CALCULO_TRI[[#This Row],[Premio-HAEMO]]-VIEW_IV_2019_REP_CALCULO_TRI[[#This Row],[Recebido-HAEMO]])</f>
        <v>0</v>
      </c>
      <c r="AP33" s="65">
        <f>IF((VIEW_IV_2019_REP_CALCULO_TRI[[#This Row],[Premio-HIZENTRA]]-VIEW_IV_2019_REP_CALCULO_TRI[[#This Row],[Recebido-HIZENTRA]])&lt;=0,0,VIEW_IV_2019_REP_CALCULO_TRI[[#This Row],[Premio-HIZENTRA]]-VIEW_IV_2019_REP_CALCULO_TRI[[#This Row],[Recebido-HIZENTRA]])</f>
        <v>0</v>
      </c>
      <c r="AQ33" s="65">
        <f>IF((VIEW_IV_2019_REP_CALCULO_TRI[[#This Row],[Premio-PRIVIGEN]]-VIEW_IV_2019_REP_CALCULO_TRI[[#This Row],[Recebido-PRIVIGEN]])&lt;=0,0,VIEW_IV_2019_REP_CALCULO_TRI[[#This Row],[Premio-PRIVIGEN]]-VIEW_IV_2019_REP_CALCULO_TRI[[#This Row],[Recebido-PRIVIGEN]])</f>
        <v>0</v>
      </c>
      <c r="AR33" s="102">
        <f>SUM(VIEW_IV_2019_REP_CALCULO_TRI[[#This Row],[Recuperavel-BERINERT]:[Recuperavel-PRIVIGEN]])</f>
        <v>0</v>
      </c>
    </row>
    <row r="34" spans="1:44" x14ac:dyDescent="0.25">
      <c r="A34" s="7" t="s">
        <v>16</v>
      </c>
      <c r="B34" s="7" t="s">
        <v>66</v>
      </c>
      <c r="C34" s="8" t="s">
        <v>720</v>
      </c>
      <c r="D34" s="8" t="s">
        <v>721</v>
      </c>
      <c r="E34" s="8" t="s">
        <v>723</v>
      </c>
      <c r="F34" s="8" t="s">
        <v>785</v>
      </c>
      <c r="G34" s="3" t="b">
        <v>1</v>
      </c>
      <c r="H34" s="3" t="b">
        <v>1</v>
      </c>
      <c r="I34" s="10">
        <v>0</v>
      </c>
      <c r="J34" s="10">
        <v>366</v>
      </c>
      <c r="K34" s="10">
        <v>420</v>
      </c>
      <c r="L34" s="10">
        <v>0</v>
      </c>
      <c r="M34" s="10">
        <v>7525</v>
      </c>
      <c r="N34" s="10">
        <v>0</v>
      </c>
      <c r="O34" s="10">
        <v>28</v>
      </c>
      <c r="P34" s="10">
        <v>6</v>
      </c>
      <c r="Q34" s="10">
        <v>0</v>
      </c>
      <c r="R34" s="10">
        <v>260</v>
      </c>
      <c r="S34" s="75">
        <v>0</v>
      </c>
      <c r="T34" s="75">
        <v>0.25</v>
      </c>
      <c r="U34" s="75">
        <v>0.25</v>
      </c>
      <c r="V34" s="75">
        <v>0</v>
      </c>
      <c r="W34" s="75">
        <v>0.2</v>
      </c>
      <c r="X34" s="75">
        <f>IFERROR(VIEW_IV_2019_REP_CALCULO_TRI[[#This Row],[Demanda-BERINERT]]/VIEW_IV_2019_REP_CALCULO_TRI[[#This Row],[Cota-BERINERT]],0)</f>
        <v>0</v>
      </c>
      <c r="Y34" s="75">
        <f>IFERROR(VIEW_IV_2019_REP_CALCULO_TRI[[#This Row],[Demanda-BERIPLEX]]/VIEW_IV_2019_REP_CALCULO_TRI[[#This Row],[Cota-BERIPLEX]],0)</f>
        <v>7.650273224043716E-2</v>
      </c>
      <c r="Z34" s="75">
        <f>IFERROR(VIEW_IV_2019_REP_CALCULO_TRI[[#This Row],[Demanda-HAEMO]]/VIEW_IV_2019_REP_CALCULO_TRI[[#This Row],[Cota-HAEMO]],0)</f>
        <v>1.4285714285714285E-2</v>
      </c>
      <c r="AA34" s="75">
        <f>IFERROR(VIEW_IV_2019_REP_CALCULO_TRI[[#This Row],[Demanda-HIZENTRA]]/VIEW_IV_2019_REP_CALCULO_TRI[[#This Row],[Cota-HIZENTRA]],0)</f>
        <v>0</v>
      </c>
      <c r="AB34" s="75">
        <f>IFERROR(VIEW_IV_2019_REP_CALCULO_TRI[[#This Row],[Demanda-PRIVIGEN]]/VIEW_IV_2019_REP_CALCULO_TRI[[#This Row],[Cota-PRIVIGEN]],0)</f>
        <v>3.4551495016611297E-2</v>
      </c>
      <c r="AC34" s="65">
        <f>(IF(VIEW_IV_2019_REP_CALCULO_TRI[[#This Row],[Cobertura-BERINERT]]&lt;Cob_Min_REP,0,IF(VIEW_IV_2019_REP_CALCULO_TRI[[#This Row],[Cobertura-BERINERT]]&gt;Cob_Max_REP,Vlr_Max_REP,VLOOKUP(VIEW_IV_2019_REP_CALCULO_TRI[[#This Row],[Cobertura-BERINERT]],Tabela_Valores_REP,2,1)))*VIEW_IV_2019_REP_CALCULO_TRI[[#This Row],[Peso-BERINERT]])*3</f>
        <v>0</v>
      </c>
      <c r="AD34" s="65">
        <f>(IF(VIEW_IV_2019_REP_CALCULO_TRI[[#This Row],[Cobertura-BERIPLEX]]&lt;Cob_Min_REP,0,IF(VIEW_IV_2019_REP_CALCULO_TRI[[#This Row],[Cobertura-BERIPLEX]]&gt;Cob_Max_REP,Vlr_Max_REP,VLOOKUP(VIEW_IV_2019_REP_CALCULO_TRI[[#This Row],[Cobertura-BERIPLEX]],Tabela_Valores_REP,2,1)))*VIEW_IV_2019_REP_CALCULO_TRI[[#This Row],[Peso-BERIPLEX]])*3</f>
        <v>0</v>
      </c>
      <c r="AE34" s="65">
        <f>(IF(VIEW_IV_2019_REP_CALCULO_TRI[[#This Row],[Cobertura-HAEMO]]&lt;Cob_Min_REP,0,IF(VIEW_IV_2019_REP_CALCULO_TRI[[#This Row],[Cobertura-HAEMO]]&gt;Cob_Max_REP,Vlr_Max_REP,VLOOKUP(VIEW_IV_2019_REP_CALCULO_TRI[[#This Row],[Cobertura-HAEMO]],Tabela_Valores_REP,2,1)))*VIEW_IV_2019_REP_CALCULO_TRI[[#This Row],[Peso-HAEMO]])*3</f>
        <v>0</v>
      </c>
      <c r="AF34" s="65">
        <f>(IF(VIEW_IV_2019_REP_CALCULO_TRI[[#This Row],[Cobertura-HIZENTRA]]&lt;Cob_Min_REP,0,IF(VIEW_IV_2019_REP_CALCULO_TRI[[#This Row],[Cobertura-HIZENTRA]]&gt;Cob_Max_REP,Vlr_Max_REP,VLOOKUP(VIEW_IV_2019_REP_CALCULO_TRI[[#This Row],[Cobertura-HIZENTRA]],Tabela_Valores_REP,2,1)))*VIEW_IV_2019_REP_CALCULO_TRI[[#This Row],[Peso-HIZENTRA]])*3</f>
        <v>0</v>
      </c>
      <c r="AG34" s="65">
        <f>(IF(VIEW_IV_2019_REP_CALCULO_TRI[[#This Row],[Cobertura-PRIVIGEN]]&lt;Cob_Min_REP,0,IF(VIEW_IV_2019_REP_CALCULO_TRI[[#This Row],[Cobertura-PRIVIGEN]]&gt;Cob_Max_REP,Vlr_Max_REP,VLOOKUP(VIEW_IV_2019_REP_CALCULO_TRI[[#This Row],[Cobertura-PRIVIGEN]],Tabela_Valores_REP,2,1)))*VIEW_IV_2019_REP_CALCULO_TRI[[#This Row],[Peso-PRIVIGEN]])*3</f>
        <v>0</v>
      </c>
      <c r="AH34" s="65">
        <f>SUMIFS(VIEW_IV_2019_REP_CALCULO[Premio-BERINERT],VIEW_IV_2019_REP_CALCULO[Ano-Fiscal],VIEW_IV_2019_REP_CALCULO_TRI[[#This Row],[Ano-Fiscal]],VIEW_IV_2019_REP_CALCULO[Tri-Fiscal],VIEW_IV_2019_REP_CALCULO_TRI[[#This Row],[Tri-Fiscal]],VIEW_IV_2019_REP_CALCULO['#PK-Email],VIEW_IV_2019_REP_CALCULO_TRI[[#This Row],['#PK-Email]])</f>
        <v>0</v>
      </c>
      <c r="AI34" s="65">
        <f>SUMIFS(VIEW_IV_2019_REP_CALCULO[Premio-BERIPLEX],VIEW_IV_2019_REP_CALCULO[Ano-Fiscal],VIEW_IV_2019_REP_CALCULO_TRI[[#This Row],[Ano-Fiscal]],VIEW_IV_2019_REP_CALCULO[Tri-Fiscal],VIEW_IV_2019_REP_CALCULO_TRI[[#This Row],[Tri-Fiscal]],VIEW_IV_2019_REP_CALCULO['#PK-Email],VIEW_IV_2019_REP_CALCULO_TRI[[#This Row],['#PK-Email]])</f>
        <v>0</v>
      </c>
      <c r="AJ34" s="65">
        <f>SUMIFS(VIEW_IV_2019_REP_CALCULO[Premio-HAEMO],VIEW_IV_2019_REP_CALCULO[Ano-Fiscal],VIEW_IV_2019_REP_CALCULO_TRI[[#This Row],[Ano-Fiscal]],VIEW_IV_2019_REP_CALCULO[Tri-Fiscal],VIEW_IV_2019_REP_CALCULO_TRI[[#This Row],[Tri-Fiscal]],VIEW_IV_2019_REP_CALCULO['#PK-Email],VIEW_IV_2019_REP_CALCULO_TRI[[#This Row],['#PK-Email]])</f>
        <v>0</v>
      </c>
      <c r="AK34" s="65">
        <f>SUMIFS(VIEW_IV_2019_REP_CALCULO[Premio-HIZENTRA],VIEW_IV_2019_REP_CALCULO[Ano-Fiscal],VIEW_IV_2019_REP_CALCULO_TRI[[#This Row],[Ano-Fiscal]],VIEW_IV_2019_REP_CALCULO[Tri-Fiscal],VIEW_IV_2019_REP_CALCULO_TRI[[#This Row],[Tri-Fiscal]],VIEW_IV_2019_REP_CALCULO['#PK-Email],VIEW_IV_2019_REP_CALCULO_TRI[[#This Row],['#PK-Email]])</f>
        <v>0</v>
      </c>
      <c r="AL34" s="65">
        <f>SUMIFS(VIEW_IV_2019_REP_CALCULO[Premio-PRIVIGEN],VIEW_IV_2019_REP_CALCULO[Ano-Fiscal],VIEW_IV_2019_REP_CALCULO_TRI[[#This Row],[Ano-Fiscal]],VIEW_IV_2019_REP_CALCULO[Tri-Fiscal],VIEW_IV_2019_REP_CALCULO_TRI[[#This Row],[Tri-Fiscal]],VIEW_IV_2019_REP_CALCULO['#PK-Email],VIEW_IV_2019_REP_CALCULO_TRI[[#This Row],['#PK-Email]])</f>
        <v>0</v>
      </c>
      <c r="AM34" s="65">
        <f>IF((VIEW_IV_2019_REP_CALCULO_TRI[[#This Row],[Premio-BERINERT]]-VIEW_IV_2019_REP_CALCULO_TRI[[#This Row],[Recebido-BERINERT]])&lt;=0,0,VIEW_IV_2019_REP_CALCULO_TRI[[#This Row],[Premio-BERINERT]]-VIEW_IV_2019_REP_CALCULO_TRI[[#This Row],[Recebido-BERINERT]])</f>
        <v>0</v>
      </c>
      <c r="AN34" s="65">
        <f>IF((VIEW_IV_2019_REP_CALCULO_TRI[[#This Row],[Premio-BERIPLEX]]-VIEW_IV_2019_REP_CALCULO_TRI[[#This Row],[Recebido-BERIPLEX]])&lt;=0,0,VIEW_IV_2019_REP_CALCULO_TRI[[#This Row],[Premio-BERIPLEX]]-VIEW_IV_2019_REP_CALCULO_TRI[[#This Row],[Recebido-BERIPLEX]])</f>
        <v>0</v>
      </c>
      <c r="AO34" s="65">
        <f>IF((VIEW_IV_2019_REP_CALCULO_TRI[[#This Row],[Premio-HAEMO]]-VIEW_IV_2019_REP_CALCULO_TRI[[#This Row],[Recebido-HAEMO]])&lt;=0,0,VIEW_IV_2019_REP_CALCULO_TRI[[#This Row],[Premio-HAEMO]]-VIEW_IV_2019_REP_CALCULO_TRI[[#This Row],[Recebido-HAEMO]])</f>
        <v>0</v>
      </c>
      <c r="AP34" s="65">
        <f>IF((VIEW_IV_2019_REP_CALCULO_TRI[[#This Row],[Premio-HIZENTRA]]-VIEW_IV_2019_REP_CALCULO_TRI[[#This Row],[Recebido-HIZENTRA]])&lt;=0,0,VIEW_IV_2019_REP_CALCULO_TRI[[#This Row],[Premio-HIZENTRA]]-VIEW_IV_2019_REP_CALCULO_TRI[[#This Row],[Recebido-HIZENTRA]])</f>
        <v>0</v>
      </c>
      <c r="AQ34" s="65">
        <f>IF((VIEW_IV_2019_REP_CALCULO_TRI[[#This Row],[Premio-PRIVIGEN]]-VIEW_IV_2019_REP_CALCULO_TRI[[#This Row],[Recebido-PRIVIGEN]])&lt;=0,0,VIEW_IV_2019_REP_CALCULO_TRI[[#This Row],[Premio-PRIVIGEN]]-VIEW_IV_2019_REP_CALCULO_TRI[[#This Row],[Recebido-PRIVIGEN]])</f>
        <v>0</v>
      </c>
      <c r="AR34" s="102">
        <f>SUM(VIEW_IV_2019_REP_CALCULO_TRI[[#This Row],[Recuperavel-BERINERT]:[Recuperavel-PRIVIGEN]])</f>
        <v>0</v>
      </c>
    </row>
    <row r="35" spans="1:44" x14ac:dyDescent="0.25">
      <c r="A35" s="7" t="s">
        <v>16</v>
      </c>
      <c r="B35" s="7" t="s">
        <v>66</v>
      </c>
      <c r="C35" s="8" t="s">
        <v>724</v>
      </c>
      <c r="D35" s="8" t="s">
        <v>725</v>
      </c>
      <c r="E35" s="8" t="s">
        <v>723</v>
      </c>
      <c r="F35" s="8" t="s">
        <v>787</v>
      </c>
      <c r="G35" s="3" t="b">
        <v>1</v>
      </c>
      <c r="H35" s="3" t="b">
        <v>1</v>
      </c>
      <c r="I35" s="10">
        <v>0</v>
      </c>
      <c r="J35" s="10">
        <v>427</v>
      </c>
      <c r="K35" s="10">
        <v>504</v>
      </c>
      <c r="L35" s="10">
        <v>0</v>
      </c>
      <c r="M35" s="10">
        <v>13545</v>
      </c>
      <c r="N35" s="10">
        <v>0</v>
      </c>
      <c r="O35" s="10">
        <v>3</v>
      </c>
      <c r="P35" s="10">
        <v>13</v>
      </c>
      <c r="Q35" s="10">
        <v>0</v>
      </c>
      <c r="R35" s="10">
        <v>165</v>
      </c>
      <c r="S35" s="75">
        <v>0</v>
      </c>
      <c r="T35" s="75">
        <v>0.25</v>
      </c>
      <c r="U35" s="75">
        <v>0.25</v>
      </c>
      <c r="V35" s="75">
        <v>0</v>
      </c>
      <c r="W35" s="75">
        <v>0.2</v>
      </c>
      <c r="X35" s="75">
        <f>IFERROR(VIEW_IV_2019_REP_CALCULO_TRI[[#This Row],[Demanda-BERINERT]]/VIEW_IV_2019_REP_CALCULO_TRI[[#This Row],[Cota-BERINERT]],0)</f>
        <v>0</v>
      </c>
      <c r="Y35" s="75">
        <f>IFERROR(VIEW_IV_2019_REP_CALCULO_TRI[[#This Row],[Demanda-BERIPLEX]]/VIEW_IV_2019_REP_CALCULO_TRI[[#This Row],[Cota-BERIPLEX]],0)</f>
        <v>7.0257611241217799E-3</v>
      </c>
      <c r="Z35" s="75">
        <f>IFERROR(VIEW_IV_2019_REP_CALCULO_TRI[[#This Row],[Demanda-HAEMO]]/VIEW_IV_2019_REP_CALCULO_TRI[[#This Row],[Cota-HAEMO]],0)</f>
        <v>2.5793650793650792E-2</v>
      </c>
      <c r="AA35" s="75">
        <f>IFERROR(VIEW_IV_2019_REP_CALCULO_TRI[[#This Row],[Demanda-HIZENTRA]]/VIEW_IV_2019_REP_CALCULO_TRI[[#This Row],[Cota-HIZENTRA]],0)</f>
        <v>0</v>
      </c>
      <c r="AB35" s="75">
        <f>IFERROR(VIEW_IV_2019_REP_CALCULO_TRI[[#This Row],[Demanda-PRIVIGEN]]/VIEW_IV_2019_REP_CALCULO_TRI[[#This Row],[Cota-PRIVIGEN]],0)</f>
        <v>1.2181616832779624E-2</v>
      </c>
      <c r="AC35" s="65">
        <f>(IF(VIEW_IV_2019_REP_CALCULO_TRI[[#This Row],[Cobertura-BERINERT]]&lt;Cob_Min_REP,0,IF(VIEW_IV_2019_REP_CALCULO_TRI[[#This Row],[Cobertura-BERINERT]]&gt;Cob_Max_REP,Vlr_Max_REP,VLOOKUP(VIEW_IV_2019_REP_CALCULO_TRI[[#This Row],[Cobertura-BERINERT]],Tabela_Valores_REP,2,1)))*VIEW_IV_2019_REP_CALCULO_TRI[[#This Row],[Peso-BERINERT]])*3</f>
        <v>0</v>
      </c>
      <c r="AD35" s="65">
        <f>(IF(VIEW_IV_2019_REP_CALCULO_TRI[[#This Row],[Cobertura-BERIPLEX]]&lt;Cob_Min_REP,0,IF(VIEW_IV_2019_REP_CALCULO_TRI[[#This Row],[Cobertura-BERIPLEX]]&gt;Cob_Max_REP,Vlr_Max_REP,VLOOKUP(VIEW_IV_2019_REP_CALCULO_TRI[[#This Row],[Cobertura-BERIPLEX]],Tabela_Valores_REP,2,1)))*VIEW_IV_2019_REP_CALCULO_TRI[[#This Row],[Peso-BERIPLEX]])*3</f>
        <v>0</v>
      </c>
      <c r="AE35" s="65">
        <f>(IF(VIEW_IV_2019_REP_CALCULO_TRI[[#This Row],[Cobertura-HAEMO]]&lt;Cob_Min_REP,0,IF(VIEW_IV_2019_REP_CALCULO_TRI[[#This Row],[Cobertura-HAEMO]]&gt;Cob_Max_REP,Vlr_Max_REP,VLOOKUP(VIEW_IV_2019_REP_CALCULO_TRI[[#This Row],[Cobertura-HAEMO]],Tabela_Valores_REP,2,1)))*VIEW_IV_2019_REP_CALCULO_TRI[[#This Row],[Peso-HAEMO]])*3</f>
        <v>0</v>
      </c>
      <c r="AF35" s="65">
        <f>(IF(VIEW_IV_2019_REP_CALCULO_TRI[[#This Row],[Cobertura-HIZENTRA]]&lt;Cob_Min_REP,0,IF(VIEW_IV_2019_REP_CALCULO_TRI[[#This Row],[Cobertura-HIZENTRA]]&gt;Cob_Max_REP,Vlr_Max_REP,VLOOKUP(VIEW_IV_2019_REP_CALCULO_TRI[[#This Row],[Cobertura-HIZENTRA]],Tabela_Valores_REP,2,1)))*VIEW_IV_2019_REP_CALCULO_TRI[[#This Row],[Peso-HIZENTRA]])*3</f>
        <v>0</v>
      </c>
      <c r="AG35" s="65">
        <f>(IF(VIEW_IV_2019_REP_CALCULO_TRI[[#This Row],[Cobertura-PRIVIGEN]]&lt;Cob_Min_REP,0,IF(VIEW_IV_2019_REP_CALCULO_TRI[[#This Row],[Cobertura-PRIVIGEN]]&gt;Cob_Max_REP,Vlr_Max_REP,VLOOKUP(VIEW_IV_2019_REP_CALCULO_TRI[[#This Row],[Cobertura-PRIVIGEN]],Tabela_Valores_REP,2,1)))*VIEW_IV_2019_REP_CALCULO_TRI[[#This Row],[Peso-PRIVIGEN]])*3</f>
        <v>0</v>
      </c>
      <c r="AH35" s="65">
        <f>SUMIFS(VIEW_IV_2019_REP_CALCULO[Premio-BERINERT],VIEW_IV_2019_REP_CALCULO[Ano-Fiscal],VIEW_IV_2019_REP_CALCULO_TRI[[#This Row],[Ano-Fiscal]],VIEW_IV_2019_REP_CALCULO[Tri-Fiscal],VIEW_IV_2019_REP_CALCULO_TRI[[#This Row],[Tri-Fiscal]],VIEW_IV_2019_REP_CALCULO['#PK-Email],VIEW_IV_2019_REP_CALCULO_TRI[[#This Row],['#PK-Email]])</f>
        <v>0</v>
      </c>
      <c r="AI35" s="65">
        <f>SUMIFS(VIEW_IV_2019_REP_CALCULO[Premio-BERIPLEX],VIEW_IV_2019_REP_CALCULO[Ano-Fiscal],VIEW_IV_2019_REP_CALCULO_TRI[[#This Row],[Ano-Fiscal]],VIEW_IV_2019_REP_CALCULO[Tri-Fiscal],VIEW_IV_2019_REP_CALCULO_TRI[[#This Row],[Tri-Fiscal]],VIEW_IV_2019_REP_CALCULO['#PK-Email],VIEW_IV_2019_REP_CALCULO_TRI[[#This Row],['#PK-Email]])</f>
        <v>0</v>
      </c>
      <c r="AJ35" s="65">
        <f>SUMIFS(VIEW_IV_2019_REP_CALCULO[Premio-HAEMO],VIEW_IV_2019_REP_CALCULO[Ano-Fiscal],VIEW_IV_2019_REP_CALCULO_TRI[[#This Row],[Ano-Fiscal]],VIEW_IV_2019_REP_CALCULO[Tri-Fiscal],VIEW_IV_2019_REP_CALCULO_TRI[[#This Row],[Tri-Fiscal]],VIEW_IV_2019_REP_CALCULO['#PK-Email],VIEW_IV_2019_REP_CALCULO_TRI[[#This Row],['#PK-Email]])</f>
        <v>0</v>
      </c>
      <c r="AK35" s="65">
        <f>SUMIFS(VIEW_IV_2019_REP_CALCULO[Premio-HIZENTRA],VIEW_IV_2019_REP_CALCULO[Ano-Fiscal],VIEW_IV_2019_REP_CALCULO_TRI[[#This Row],[Ano-Fiscal]],VIEW_IV_2019_REP_CALCULO[Tri-Fiscal],VIEW_IV_2019_REP_CALCULO_TRI[[#This Row],[Tri-Fiscal]],VIEW_IV_2019_REP_CALCULO['#PK-Email],VIEW_IV_2019_REP_CALCULO_TRI[[#This Row],['#PK-Email]])</f>
        <v>0</v>
      </c>
      <c r="AL35" s="65">
        <f>SUMIFS(VIEW_IV_2019_REP_CALCULO[Premio-PRIVIGEN],VIEW_IV_2019_REP_CALCULO[Ano-Fiscal],VIEW_IV_2019_REP_CALCULO_TRI[[#This Row],[Ano-Fiscal]],VIEW_IV_2019_REP_CALCULO[Tri-Fiscal],VIEW_IV_2019_REP_CALCULO_TRI[[#This Row],[Tri-Fiscal]],VIEW_IV_2019_REP_CALCULO['#PK-Email],VIEW_IV_2019_REP_CALCULO_TRI[[#This Row],['#PK-Email]])</f>
        <v>0</v>
      </c>
      <c r="AM35" s="65">
        <f>IF((VIEW_IV_2019_REP_CALCULO_TRI[[#This Row],[Premio-BERINERT]]-VIEW_IV_2019_REP_CALCULO_TRI[[#This Row],[Recebido-BERINERT]])&lt;=0,0,VIEW_IV_2019_REP_CALCULO_TRI[[#This Row],[Premio-BERINERT]]-VIEW_IV_2019_REP_CALCULO_TRI[[#This Row],[Recebido-BERINERT]])</f>
        <v>0</v>
      </c>
      <c r="AN35" s="65">
        <f>IF((VIEW_IV_2019_REP_CALCULO_TRI[[#This Row],[Premio-BERIPLEX]]-VIEW_IV_2019_REP_CALCULO_TRI[[#This Row],[Recebido-BERIPLEX]])&lt;=0,0,VIEW_IV_2019_REP_CALCULO_TRI[[#This Row],[Premio-BERIPLEX]]-VIEW_IV_2019_REP_CALCULO_TRI[[#This Row],[Recebido-BERIPLEX]])</f>
        <v>0</v>
      </c>
      <c r="AO35" s="65">
        <f>IF((VIEW_IV_2019_REP_CALCULO_TRI[[#This Row],[Premio-HAEMO]]-VIEW_IV_2019_REP_CALCULO_TRI[[#This Row],[Recebido-HAEMO]])&lt;=0,0,VIEW_IV_2019_REP_CALCULO_TRI[[#This Row],[Premio-HAEMO]]-VIEW_IV_2019_REP_CALCULO_TRI[[#This Row],[Recebido-HAEMO]])</f>
        <v>0</v>
      </c>
      <c r="AP35" s="65">
        <f>IF((VIEW_IV_2019_REP_CALCULO_TRI[[#This Row],[Premio-HIZENTRA]]-VIEW_IV_2019_REP_CALCULO_TRI[[#This Row],[Recebido-HIZENTRA]])&lt;=0,0,VIEW_IV_2019_REP_CALCULO_TRI[[#This Row],[Premio-HIZENTRA]]-VIEW_IV_2019_REP_CALCULO_TRI[[#This Row],[Recebido-HIZENTRA]])</f>
        <v>0</v>
      </c>
      <c r="AQ35" s="65">
        <f>IF((VIEW_IV_2019_REP_CALCULO_TRI[[#This Row],[Premio-PRIVIGEN]]-VIEW_IV_2019_REP_CALCULO_TRI[[#This Row],[Recebido-PRIVIGEN]])&lt;=0,0,VIEW_IV_2019_REP_CALCULO_TRI[[#This Row],[Premio-PRIVIGEN]]-VIEW_IV_2019_REP_CALCULO_TRI[[#This Row],[Recebido-PRIVIGEN]])</f>
        <v>0</v>
      </c>
      <c r="AR35" s="102">
        <f>SUM(VIEW_IV_2019_REP_CALCULO_TRI[[#This Row],[Recuperavel-BERINERT]:[Recuperavel-PRIVIGEN]])</f>
        <v>0</v>
      </c>
    </row>
    <row r="36" spans="1:44" x14ac:dyDescent="0.25">
      <c r="A36" s="7" t="s">
        <v>16</v>
      </c>
      <c r="B36" s="7" t="s">
        <v>66</v>
      </c>
      <c r="C36" s="8" t="s">
        <v>726</v>
      </c>
      <c r="D36" s="8" t="s">
        <v>727</v>
      </c>
      <c r="E36" s="8" t="s">
        <v>723</v>
      </c>
      <c r="F36" s="8" t="s">
        <v>787</v>
      </c>
      <c r="G36" s="3" t="b">
        <v>1</v>
      </c>
      <c r="H36" s="3" t="b">
        <v>1</v>
      </c>
      <c r="I36" s="10">
        <v>0</v>
      </c>
      <c r="J36" s="10">
        <v>366</v>
      </c>
      <c r="K36" s="10">
        <v>210</v>
      </c>
      <c r="L36" s="10">
        <v>0</v>
      </c>
      <c r="M36" s="10">
        <v>18060</v>
      </c>
      <c r="N36" s="10">
        <v>0</v>
      </c>
      <c r="O36" s="10">
        <v>0</v>
      </c>
      <c r="P36" s="10">
        <v>12</v>
      </c>
      <c r="Q36" s="10">
        <v>0</v>
      </c>
      <c r="R36" s="10">
        <v>600</v>
      </c>
      <c r="S36" s="75">
        <v>0</v>
      </c>
      <c r="T36" s="75">
        <v>0.25</v>
      </c>
      <c r="U36" s="75">
        <v>0.25</v>
      </c>
      <c r="V36" s="75">
        <v>0</v>
      </c>
      <c r="W36" s="75">
        <v>0.2</v>
      </c>
      <c r="X36" s="75">
        <f>IFERROR(VIEW_IV_2019_REP_CALCULO_TRI[[#This Row],[Demanda-BERINERT]]/VIEW_IV_2019_REP_CALCULO_TRI[[#This Row],[Cota-BERINERT]],0)</f>
        <v>0</v>
      </c>
      <c r="Y36" s="75">
        <f>IFERROR(VIEW_IV_2019_REP_CALCULO_TRI[[#This Row],[Demanda-BERIPLEX]]/VIEW_IV_2019_REP_CALCULO_TRI[[#This Row],[Cota-BERIPLEX]],0)</f>
        <v>0</v>
      </c>
      <c r="Z36" s="75">
        <f>IFERROR(VIEW_IV_2019_REP_CALCULO_TRI[[#This Row],[Demanda-HAEMO]]/VIEW_IV_2019_REP_CALCULO_TRI[[#This Row],[Cota-HAEMO]],0)</f>
        <v>5.7142857142857141E-2</v>
      </c>
      <c r="AA36" s="75">
        <f>IFERROR(VIEW_IV_2019_REP_CALCULO_TRI[[#This Row],[Demanda-HIZENTRA]]/VIEW_IV_2019_REP_CALCULO_TRI[[#This Row],[Cota-HIZENTRA]],0)</f>
        <v>0</v>
      </c>
      <c r="AB36" s="75">
        <f>IFERROR(VIEW_IV_2019_REP_CALCULO_TRI[[#This Row],[Demanda-PRIVIGEN]]/VIEW_IV_2019_REP_CALCULO_TRI[[#This Row],[Cota-PRIVIGEN]],0)</f>
        <v>3.3222591362126248E-2</v>
      </c>
      <c r="AC36" s="65">
        <f>(IF(VIEW_IV_2019_REP_CALCULO_TRI[[#This Row],[Cobertura-BERINERT]]&lt;Cob_Min_REP,0,IF(VIEW_IV_2019_REP_CALCULO_TRI[[#This Row],[Cobertura-BERINERT]]&gt;Cob_Max_REP,Vlr_Max_REP,VLOOKUP(VIEW_IV_2019_REP_CALCULO_TRI[[#This Row],[Cobertura-BERINERT]],Tabela_Valores_REP,2,1)))*VIEW_IV_2019_REP_CALCULO_TRI[[#This Row],[Peso-BERINERT]])*3</f>
        <v>0</v>
      </c>
      <c r="AD36" s="65">
        <f>(IF(VIEW_IV_2019_REP_CALCULO_TRI[[#This Row],[Cobertura-BERIPLEX]]&lt;Cob_Min_REP,0,IF(VIEW_IV_2019_REP_CALCULO_TRI[[#This Row],[Cobertura-BERIPLEX]]&gt;Cob_Max_REP,Vlr_Max_REP,VLOOKUP(VIEW_IV_2019_REP_CALCULO_TRI[[#This Row],[Cobertura-BERIPLEX]],Tabela_Valores_REP,2,1)))*VIEW_IV_2019_REP_CALCULO_TRI[[#This Row],[Peso-BERIPLEX]])*3</f>
        <v>0</v>
      </c>
      <c r="AE36" s="65">
        <f>(IF(VIEW_IV_2019_REP_CALCULO_TRI[[#This Row],[Cobertura-HAEMO]]&lt;Cob_Min_REP,0,IF(VIEW_IV_2019_REP_CALCULO_TRI[[#This Row],[Cobertura-HAEMO]]&gt;Cob_Max_REP,Vlr_Max_REP,VLOOKUP(VIEW_IV_2019_REP_CALCULO_TRI[[#This Row],[Cobertura-HAEMO]],Tabela_Valores_REP,2,1)))*VIEW_IV_2019_REP_CALCULO_TRI[[#This Row],[Peso-HAEMO]])*3</f>
        <v>0</v>
      </c>
      <c r="AF36" s="65">
        <f>(IF(VIEW_IV_2019_REP_CALCULO_TRI[[#This Row],[Cobertura-HIZENTRA]]&lt;Cob_Min_REP,0,IF(VIEW_IV_2019_REP_CALCULO_TRI[[#This Row],[Cobertura-HIZENTRA]]&gt;Cob_Max_REP,Vlr_Max_REP,VLOOKUP(VIEW_IV_2019_REP_CALCULO_TRI[[#This Row],[Cobertura-HIZENTRA]],Tabela_Valores_REP,2,1)))*VIEW_IV_2019_REP_CALCULO_TRI[[#This Row],[Peso-HIZENTRA]])*3</f>
        <v>0</v>
      </c>
      <c r="AG36" s="65">
        <f>(IF(VIEW_IV_2019_REP_CALCULO_TRI[[#This Row],[Cobertura-PRIVIGEN]]&lt;Cob_Min_REP,0,IF(VIEW_IV_2019_REP_CALCULO_TRI[[#This Row],[Cobertura-PRIVIGEN]]&gt;Cob_Max_REP,Vlr_Max_REP,VLOOKUP(VIEW_IV_2019_REP_CALCULO_TRI[[#This Row],[Cobertura-PRIVIGEN]],Tabela_Valores_REP,2,1)))*VIEW_IV_2019_REP_CALCULO_TRI[[#This Row],[Peso-PRIVIGEN]])*3</f>
        <v>0</v>
      </c>
      <c r="AH36" s="65">
        <f>SUMIFS(VIEW_IV_2019_REP_CALCULO[Premio-BERINERT],VIEW_IV_2019_REP_CALCULO[Ano-Fiscal],VIEW_IV_2019_REP_CALCULO_TRI[[#This Row],[Ano-Fiscal]],VIEW_IV_2019_REP_CALCULO[Tri-Fiscal],VIEW_IV_2019_REP_CALCULO_TRI[[#This Row],[Tri-Fiscal]],VIEW_IV_2019_REP_CALCULO['#PK-Email],VIEW_IV_2019_REP_CALCULO_TRI[[#This Row],['#PK-Email]])</f>
        <v>0</v>
      </c>
      <c r="AI36" s="65">
        <f>SUMIFS(VIEW_IV_2019_REP_CALCULO[Premio-BERIPLEX],VIEW_IV_2019_REP_CALCULO[Ano-Fiscal],VIEW_IV_2019_REP_CALCULO_TRI[[#This Row],[Ano-Fiscal]],VIEW_IV_2019_REP_CALCULO[Tri-Fiscal],VIEW_IV_2019_REP_CALCULO_TRI[[#This Row],[Tri-Fiscal]],VIEW_IV_2019_REP_CALCULO['#PK-Email],VIEW_IV_2019_REP_CALCULO_TRI[[#This Row],['#PK-Email]])</f>
        <v>0</v>
      </c>
      <c r="AJ36" s="65">
        <f>SUMIFS(VIEW_IV_2019_REP_CALCULO[Premio-HAEMO],VIEW_IV_2019_REP_CALCULO[Ano-Fiscal],VIEW_IV_2019_REP_CALCULO_TRI[[#This Row],[Ano-Fiscal]],VIEW_IV_2019_REP_CALCULO[Tri-Fiscal],VIEW_IV_2019_REP_CALCULO_TRI[[#This Row],[Tri-Fiscal]],VIEW_IV_2019_REP_CALCULO['#PK-Email],VIEW_IV_2019_REP_CALCULO_TRI[[#This Row],['#PK-Email]])</f>
        <v>0</v>
      </c>
      <c r="AK36" s="65">
        <f>SUMIFS(VIEW_IV_2019_REP_CALCULO[Premio-HIZENTRA],VIEW_IV_2019_REP_CALCULO[Ano-Fiscal],VIEW_IV_2019_REP_CALCULO_TRI[[#This Row],[Ano-Fiscal]],VIEW_IV_2019_REP_CALCULO[Tri-Fiscal],VIEW_IV_2019_REP_CALCULO_TRI[[#This Row],[Tri-Fiscal]],VIEW_IV_2019_REP_CALCULO['#PK-Email],VIEW_IV_2019_REP_CALCULO_TRI[[#This Row],['#PK-Email]])</f>
        <v>0</v>
      </c>
      <c r="AL36" s="65">
        <f>SUMIFS(VIEW_IV_2019_REP_CALCULO[Premio-PRIVIGEN],VIEW_IV_2019_REP_CALCULO[Ano-Fiscal],VIEW_IV_2019_REP_CALCULO_TRI[[#This Row],[Ano-Fiscal]],VIEW_IV_2019_REP_CALCULO[Tri-Fiscal],VIEW_IV_2019_REP_CALCULO_TRI[[#This Row],[Tri-Fiscal]],VIEW_IV_2019_REP_CALCULO['#PK-Email],VIEW_IV_2019_REP_CALCULO_TRI[[#This Row],['#PK-Email]])</f>
        <v>0</v>
      </c>
      <c r="AM36" s="65">
        <f>IF((VIEW_IV_2019_REP_CALCULO_TRI[[#This Row],[Premio-BERINERT]]-VIEW_IV_2019_REP_CALCULO_TRI[[#This Row],[Recebido-BERINERT]])&lt;=0,0,VIEW_IV_2019_REP_CALCULO_TRI[[#This Row],[Premio-BERINERT]]-VIEW_IV_2019_REP_CALCULO_TRI[[#This Row],[Recebido-BERINERT]])</f>
        <v>0</v>
      </c>
      <c r="AN36" s="65">
        <f>IF((VIEW_IV_2019_REP_CALCULO_TRI[[#This Row],[Premio-BERIPLEX]]-VIEW_IV_2019_REP_CALCULO_TRI[[#This Row],[Recebido-BERIPLEX]])&lt;=0,0,VIEW_IV_2019_REP_CALCULO_TRI[[#This Row],[Premio-BERIPLEX]]-VIEW_IV_2019_REP_CALCULO_TRI[[#This Row],[Recebido-BERIPLEX]])</f>
        <v>0</v>
      </c>
      <c r="AO36" s="65">
        <f>IF((VIEW_IV_2019_REP_CALCULO_TRI[[#This Row],[Premio-HAEMO]]-VIEW_IV_2019_REP_CALCULO_TRI[[#This Row],[Recebido-HAEMO]])&lt;=0,0,VIEW_IV_2019_REP_CALCULO_TRI[[#This Row],[Premio-HAEMO]]-VIEW_IV_2019_REP_CALCULO_TRI[[#This Row],[Recebido-HAEMO]])</f>
        <v>0</v>
      </c>
      <c r="AP36" s="65">
        <f>IF((VIEW_IV_2019_REP_CALCULO_TRI[[#This Row],[Premio-HIZENTRA]]-VIEW_IV_2019_REP_CALCULO_TRI[[#This Row],[Recebido-HIZENTRA]])&lt;=0,0,VIEW_IV_2019_REP_CALCULO_TRI[[#This Row],[Premio-HIZENTRA]]-VIEW_IV_2019_REP_CALCULO_TRI[[#This Row],[Recebido-HIZENTRA]])</f>
        <v>0</v>
      </c>
      <c r="AQ36" s="65">
        <f>IF((VIEW_IV_2019_REP_CALCULO_TRI[[#This Row],[Premio-PRIVIGEN]]-VIEW_IV_2019_REP_CALCULO_TRI[[#This Row],[Recebido-PRIVIGEN]])&lt;=0,0,VIEW_IV_2019_REP_CALCULO_TRI[[#This Row],[Premio-PRIVIGEN]]-VIEW_IV_2019_REP_CALCULO_TRI[[#This Row],[Recebido-PRIVIGEN]])</f>
        <v>0</v>
      </c>
      <c r="AR36" s="102">
        <f>SUM(VIEW_IV_2019_REP_CALCULO_TRI[[#This Row],[Recuperavel-BERINERT]:[Recuperavel-PRIVIGEN]])</f>
        <v>0</v>
      </c>
    </row>
    <row r="37" spans="1:44" x14ac:dyDescent="0.25">
      <c r="A37" s="7" t="s">
        <v>16</v>
      </c>
      <c r="B37" s="7" t="s">
        <v>66</v>
      </c>
      <c r="C37" s="8" t="s">
        <v>735</v>
      </c>
      <c r="D37" s="8" t="s">
        <v>736</v>
      </c>
      <c r="E37" s="8" t="s">
        <v>723</v>
      </c>
      <c r="F37" s="8" t="s">
        <v>785</v>
      </c>
      <c r="G37" s="3" t="b">
        <v>1</v>
      </c>
      <c r="H37" s="3" t="b">
        <v>1</v>
      </c>
      <c r="I37" s="10">
        <v>0</v>
      </c>
      <c r="J37" s="10">
        <v>244</v>
      </c>
      <c r="K37" s="10">
        <v>168</v>
      </c>
      <c r="L37" s="10">
        <v>0</v>
      </c>
      <c r="M37" s="10">
        <v>22575</v>
      </c>
      <c r="N37" s="10">
        <v>0</v>
      </c>
      <c r="O37" s="10">
        <v>2</v>
      </c>
      <c r="P37" s="10">
        <v>3</v>
      </c>
      <c r="Q37" s="10">
        <v>0</v>
      </c>
      <c r="R37" s="10">
        <v>3850</v>
      </c>
      <c r="S37" s="75">
        <v>0</v>
      </c>
      <c r="T37" s="75">
        <v>0.25</v>
      </c>
      <c r="U37" s="75">
        <v>0.25</v>
      </c>
      <c r="V37" s="75">
        <v>0</v>
      </c>
      <c r="W37" s="75">
        <v>0.2</v>
      </c>
      <c r="X37" s="75">
        <f>IFERROR(VIEW_IV_2019_REP_CALCULO_TRI[[#This Row],[Demanda-BERINERT]]/VIEW_IV_2019_REP_CALCULO_TRI[[#This Row],[Cota-BERINERT]],0)</f>
        <v>0</v>
      </c>
      <c r="Y37" s="75">
        <f>IFERROR(VIEW_IV_2019_REP_CALCULO_TRI[[#This Row],[Demanda-BERIPLEX]]/VIEW_IV_2019_REP_CALCULO_TRI[[#This Row],[Cota-BERIPLEX]],0)</f>
        <v>8.1967213114754103E-3</v>
      </c>
      <c r="Z37" s="75">
        <f>IFERROR(VIEW_IV_2019_REP_CALCULO_TRI[[#This Row],[Demanda-HAEMO]]/VIEW_IV_2019_REP_CALCULO_TRI[[#This Row],[Cota-HAEMO]],0)</f>
        <v>1.7857142857142856E-2</v>
      </c>
      <c r="AA37" s="75">
        <f>IFERROR(VIEW_IV_2019_REP_CALCULO_TRI[[#This Row],[Demanda-HIZENTRA]]/VIEW_IV_2019_REP_CALCULO_TRI[[#This Row],[Cota-HIZENTRA]],0)</f>
        <v>0</v>
      </c>
      <c r="AB37" s="75">
        <f>IFERROR(VIEW_IV_2019_REP_CALCULO_TRI[[#This Row],[Demanda-PRIVIGEN]]/VIEW_IV_2019_REP_CALCULO_TRI[[#This Row],[Cota-PRIVIGEN]],0)</f>
        <v>0.17054263565891473</v>
      </c>
      <c r="AC37" s="65">
        <f>(IF(VIEW_IV_2019_REP_CALCULO_TRI[[#This Row],[Cobertura-BERINERT]]&lt;Cob_Min_REP,0,IF(VIEW_IV_2019_REP_CALCULO_TRI[[#This Row],[Cobertura-BERINERT]]&gt;Cob_Max_REP,Vlr_Max_REP,VLOOKUP(VIEW_IV_2019_REP_CALCULO_TRI[[#This Row],[Cobertura-BERINERT]],Tabela_Valores_REP,2,1)))*VIEW_IV_2019_REP_CALCULO_TRI[[#This Row],[Peso-BERINERT]])*3</f>
        <v>0</v>
      </c>
      <c r="AD37" s="65">
        <f>(IF(VIEW_IV_2019_REP_CALCULO_TRI[[#This Row],[Cobertura-BERIPLEX]]&lt;Cob_Min_REP,0,IF(VIEW_IV_2019_REP_CALCULO_TRI[[#This Row],[Cobertura-BERIPLEX]]&gt;Cob_Max_REP,Vlr_Max_REP,VLOOKUP(VIEW_IV_2019_REP_CALCULO_TRI[[#This Row],[Cobertura-BERIPLEX]],Tabela_Valores_REP,2,1)))*VIEW_IV_2019_REP_CALCULO_TRI[[#This Row],[Peso-BERIPLEX]])*3</f>
        <v>0</v>
      </c>
      <c r="AE37" s="65">
        <f>(IF(VIEW_IV_2019_REP_CALCULO_TRI[[#This Row],[Cobertura-HAEMO]]&lt;Cob_Min_REP,0,IF(VIEW_IV_2019_REP_CALCULO_TRI[[#This Row],[Cobertura-HAEMO]]&gt;Cob_Max_REP,Vlr_Max_REP,VLOOKUP(VIEW_IV_2019_REP_CALCULO_TRI[[#This Row],[Cobertura-HAEMO]],Tabela_Valores_REP,2,1)))*VIEW_IV_2019_REP_CALCULO_TRI[[#This Row],[Peso-HAEMO]])*3</f>
        <v>0</v>
      </c>
      <c r="AF37" s="65">
        <f>(IF(VIEW_IV_2019_REP_CALCULO_TRI[[#This Row],[Cobertura-HIZENTRA]]&lt;Cob_Min_REP,0,IF(VIEW_IV_2019_REP_CALCULO_TRI[[#This Row],[Cobertura-HIZENTRA]]&gt;Cob_Max_REP,Vlr_Max_REP,VLOOKUP(VIEW_IV_2019_REP_CALCULO_TRI[[#This Row],[Cobertura-HIZENTRA]],Tabela_Valores_REP,2,1)))*VIEW_IV_2019_REP_CALCULO_TRI[[#This Row],[Peso-HIZENTRA]])*3</f>
        <v>0</v>
      </c>
      <c r="AG37" s="65">
        <f>(IF(VIEW_IV_2019_REP_CALCULO_TRI[[#This Row],[Cobertura-PRIVIGEN]]&lt;Cob_Min_REP,0,IF(VIEW_IV_2019_REP_CALCULO_TRI[[#This Row],[Cobertura-PRIVIGEN]]&gt;Cob_Max_REP,Vlr_Max_REP,VLOOKUP(VIEW_IV_2019_REP_CALCULO_TRI[[#This Row],[Cobertura-PRIVIGEN]],Tabela_Valores_REP,2,1)))*VIEW_IV_2019_REP_CALCULO_TRI[[#This Row],[Peso-PRIVIGEN]])*3</f>
        <v>0</v>
      </c>
      <c r="AH37" s="65">
        <f>SUMIFS(VIEW_IV_2019_REP_CALCULO[Premio-BERINERT],VIEW_IV_2019_REP_CALCULO[Ano-Fiscal],VIEW_IV_2019_REP_CALCULO_TRI[[#This Row],[Ano-Fiscal]],VIEW_IV_2019_REP_CALCULO[Tri-Fiscal],VIEW_IV_2019_REP_CALCULO_TRI[[#This Row],[Tri-Fiscal]],VIEW_IV_2019_REP_CALCULO['#PK-Email],VIEW_IV_2019_REP_CALCULO_TRI[[#This Row],['#PK-Email]])</f>
        <v>0</v>
      </c>
      <c r="AI37" s="65">
        <f>SUMIFS(VIEW_IV_2019_REP_CALCULO[Premio-BERIPLEX],VIEW_IV_2019_REP_CALCULO[Ano-Fiscal],VIEW_IV_2019_REP_CALCULO_TRI[[#This Row],[Ano-Fiscal]],VIEW_IV_2019_REP_CALCULO[Tri-Fiscal],VIEW_IV_2019_REP_CALCULO_TRI[[#This Row],[Tri-Fiscal]],VIEW_IV_2019_REP_CALCULO['#PK-Email],VIEW_IV_2019_REP_CALCULO_TRI[[#This Row],['#PK-Email]])</f>
        <v>0</v>
      </c>
      <c r="AJ37" s="65">
        <f>SUMIFS(VIEW_IV_2019_REP_CALCULO[Premio-HAEMO],VIEW_IV_2019_REP_CALCULO[Ano-Fiscal],VIEW_IV_2019_REP_CALCULO_TRI[[#This Row],[Ano-Fiscal]],VIEW_IV_2019_REP_CALCULO[Tri-Fiscal],VIEW_IV_2019_REP_CALCULO_TRI[[#This Row],[Tri-Fiscal]],VIEW_IV_2019_REP_CALCULO['#PK-Email],VIEW_IV_2019_REP_CALCULO_TRI[[#This Row],['#PK-Email]])</f>
        <v>0</v>
      </c>
      <c r="AK37" s="65">
        <f>SUMIFS(VIEW_IV_2019_REP_CALCULO[Premio-HIZENTRA],VIEW_IV_2019_REP_CALCULO[Ano-Fiscal],VIEW_IV_2019_REP_CALCULO_TRI[[#This Row],[Ano-Fiscal]],VIEW_IV_2019_REP_CALCULO[Tri-Fiscal],VIEW_IV_2019_REP_CALCULO_TRI[[#This Row],[Tri-Fiscal]],VIEW_IV_2019_REP_CALCULO['#PK-Email],VIEW_IV_2019_REP_CALCULO_TRI[[#This Row],['#PK-Email]])</f>
        <v>0</v>
      </c>
      <c r="AL37" s="65">
        <f>SUMIFS(VIEW_IV_2019_REP_CALCULO[Premio-PRIVIGEN],VIEW_IV_2019_REP_CALCULO[Ano-Fiscal],VIEW_IV_2019_REP_CALCULO_TRI[[#This Row],[Ano-Fiscal]],VIEW_IV_2019_REP_CALCULO[Tri-Fiscal],VIEW_IV_2019_REP_CALCULO_TRI[[#This Row],[Tri-Fiscal]],VIEW_IV_2019_REP_CALCULO['#PK-Email],VIEW_IV_2019_REP_CALCULO_TRI[[#This Row],['#PK-Email]])</f>
        <v>0</v>
      </c>
      <c r="AM37" s="65">
        <f>IF((VIEW_IV_2019_REP_CALCULO_TRI[[#This Row],[Premio-BERINERT]]-VIEW_IV_2019_REP_CALCULO_TRI[[#This Row],[Recebido-BERINERT]])&lt;=0,0,VIEW_IV_2019_REP_CALCULO_TRI[[#This Row],[Premio-BERINERT]]-VIEW_IV_2019_REP_CALCULO_TRI[[#This Row],[Recebido-BERINERT]])</f>
        <v>0</v>
      </c>
      <c r="AN37" s="65">
        <f>IF((VIEW_IV_2019_REP_CALCULO_TRI[[#This Row],[Premio-BERIPLEX]]-VIEW_IV_2019_REP_CALCULO_TRI[[#This Row],[Recebido-BERIPLEX]])&lt;=0,0,VIEW_IV_2019_REP_CALCULO_TRI[[#This Row],[Premio-BERIPLEX]]-VIEW_IV_2019_REP_CALCULO_TRI[[#This Row],[Recebido-BERIPLEX]])</f>
        <v>0</v>
      </c>
      <c r="AO37" s="65">
        <f>IF((VIEW_IV_2019_REP_CALCULO_TRI[[#This Row],[Premio-HAEMO]]-VIEW_IV_2019_REP_CALCULO_TRI[[#This Row],[Recebido-HAEMO]])&lt;=0,0,VIEW_IV_2019_REP_CALCULO_TRI[[#This Row],[Premio-HAEMO]]-VIEW_IV_2019_REP_CALCULO_TRI[[#This Row],[Recebido-HAEMO]])</f>
        <v>0</v>
      </c>
      <c r="AP37" s="65">
        <f>IF((VIEW_IV_2019_REP_CALCULO_TRI[[#This Row],[Premio-HIZENTRA]]-VIEW_IV_2019_REP_CALCULO_TRI[[#This Row],[Recebido-HIZENTRA]])&lt;=0,0,VIEW_IV_2019_REP_CALCULO_TRI[[#This Row],[Premio-HIZENTRA]]-VIEW_IV_2019_REP_CALCULO_TRI[[#This Row],[Recebido-HIZENTRA]])</f>
        <v>0</v>
      </c>
      <c r="AQ37" s="65">
        <f>IF((VIEW_IV_2019_REP_CALCULO_TRI[[#This Row],[Premio-PRIVIGEN]]-VIEW_IV_2019_REP_CALCULO_TRI[[#This Row],[Recebido-PRIVIGEN]])&lt;=0,0,VIEW_IV_2019_REP_CALCULO_TRI[[#This Row],[Premio-PRIVIGEN]]-VIEW_IV_2019_REP_CALCULO_TRI[[#This Row],[Recebido-PRIVIGEN]])</f>
        <v>0</v>
      </c>
      <c r="AR37" s="102">
        <f>SUM(VIEW_IV_2019_REP_CALCULO_TRI[[#This Row],[Recuperavel-BERINERT]:[Recuperavel-PRIVIGEN]])</f>
        <v>0</v>
      </c>
    </row>
    <row r="38" spans="1:44" x14ac:dyDescent="0.25">
      <c r="A38" s="7" t="s">
        <v>16</v>
      </c>
      <c r="B38" s="7" t="s">
        <v>66</v>
      </c>
      <c r="C38" s="8" t="s">
        <v>742</v>
      </c>
      <c r="D38" s="8" t="s">
        <v>743</v>
      </c>
      <c r="E38" s="8" t="s">
        <v>723</v>
      </c>
      <c r="F38" s="8" t="s">
        <v>791</v>
      </c>
      <c r="G38" s="3" t="b">
        <v>1</v>
      </c>
      <c r="H38" s="3" t="b">
        <v>1</v>
      </c>
      <c r="I38" s="10">
        <v>0</v>
      </c>
      <c r="J38" s="10">
        <v>671</v>
      </c>
      <c r="K38" s="10">
        <v>294</v>
      </c>
      <c r="L38" s="10">
        <v>0</v>
      </c>
      <c r="M38" s="10">
        <v>7525</v>
      </c>
      <c r="N38" s="10">
        <v>0</v>
      </c>
      <c r="O38" s="10">
        <v>70</v>
      </c>
      <c r="P38" s="10">
        <v>14</v>
      </c>
      <c r="Q38" s="10">
        <v>0</v>
      </c>
      <c r="R38" s="10">
        <v>1955</v>
      </c>
      <c r="S38" s="75">
        <v>0</v>
      </c>
      <c r="T38" s="75">
        <v>0.25</v>
      </c>
      <c r="U38" s="75">
        <v>0.25</v>
      </c>
      <c r="V38" s="75">
        <v>0</v>
      </c>
      <c r="W38" s="75">
        <v>0.2</v>
      </c>
      <c r="X38" s="75">
        <f>IFERROR(VIEW_IV_2019_REP_CALCULO_TRI[[#This Row],[Demanda-BERINERT]]/VIEW_IV_2019_REP_CALCULO_TRI[[#This Row],[Cota-BERINERT]],0)</f>
        <v>0</v>
      </c>
      <c r="Y38" s="75">
        <f>IFERROR(VIEW_IV_2019_REP_CALCULO_TRI[[#This Row],[Demanda-BERIPLEX]]/VIEW_IV_2019_REP_CALCULO_TRI[[#This Row],[Cota-BERIPLEX]],0)</f>
        <v>0.10432190760059612</v>
      </c>
      <c r="Z38" s="75">
        <f>IFERROR(VIEW_IV_2019_REP_CALCULO_TRI[[#This Row],[Demanda-HAEMO]]/VIEW_IV_2019_REP_CALCULO_TRI[[#This Row],[Cota-HAEMO]],0)</f>
        <v>4.7619047619047616E-2</v>
      </c>
      <c r="AA38" s="75">
        <f>IFERROR(VIEW_IV_2019_REP_CALCULO_TRI[[#This Row],[Demanda-HIZENTRA]]/VIEW_IV_2019_REP_CALCULO_TRI[[#This Row],[Cota-HIZENTRA]],0)</f>
        <v>0</v>
      </c>
      <c r="AB38" s="75">
        <f>IFERROR(VIEW_IV_2019_REP_CALCULO_TRI[[#This Row],[Demanda-PRIVIGEN]]/VIEW_IV_2019_REP_CALCULO_TRI[[#This Row],[Cota-PRIVIGEN]],0)</f>
        <v>0.25980066445182726</v>
      </c>
      <c r="AC38" s="65">
        <f>(IF(VIEW_IV_2019_REP_CALCULO_TRI[[#This Row],[Cobertura-BERINERT]]&lt;Cob_Min_REP,0,IF(VIEW_IV_2019_REP_CALCULO_TRI[[#This Row],[Cobertura-BERINERT]]&gt;Cob_Max_REP,Vlr_Max_REP,VLOOKUP(VIEW_IV_2019_REP_CALCULO_TRI[[#This Row],[Cobertura-BERINERT]],Tabela_Valores_REP,2,1)))*VIEW_IV_2019_REP_CALCULO_TRI[[#This Row],[Peso-BERINERT]])*3</f>
        <v>0</v>
      </c>
      <c r="AD38" s="65">
        <f>(IF(VIEW_IV_2019_REP_CALCULO_TRI[[#This Row],[Cobertura-BERIPLEX]]&lt;Cob_Min_REP,0,IF(VIEW_IV_2019_REP_CALCULO_TRI[[#This Row],[Cobertura-BERIPLEX]]&gt;Cob_Max_REP,Vlr_Max_REP,VLOOKUP(VIEW_IV_2019_REP_CALCULO_TRI[[#This Row],[Cobertura-BERIPLEX]],Tabela_Valores_REP,2,1)))*VIEW_IV_2019_REP_CALCULO_TRI[[#This Row],[Peso-BERIPLEX]])*3</f>
        <v>0</v>
      </c>
      <c r="AE38" s="65">
        <f>(IF(VIEW_IV_2019_REP_CALCULO_TRI[[#This Row],[Cobertura-HAEMO]]&lt;Cob_Min_REP,0,IF(VIEW_IV_2019_REP_CALCULO_TRI[[#This Row],[Cobertura-HAEMO]]&gt;Cob_Max_REP,Vlr_Max_REP,VLOOKUP(VIEW_IV_2019_REP_CALCULO_TRI[[#This Row],[Cobertura-HAEMO]],Tabela_Valores_REP,2,1)))*VIEW_IV_2019_REP_CALCULO_TRI[[#This Row],[Peso-HAEMO]])*3</f>
        <v>0</v>
      </c>
      <c r="AF38" s="65">
        <f>(IF(VIEW_IV_2019_REP_CALCULO_TRI[[#This Row],[Cobertura-HIZENTRA]]&lt;Cob_Min_REP,0,IF(VIEW_IV_2019_REP_CALCULO_TRI[[#This Row],[Cobertura-HIZENTRA]]&gt;Cob_Max_REP,Vlr_Max_REP,VLOOKUP(VIEW_IV_2019_REP_CALCULO_TRI[[#This Row],[Cobertura-HIZENTRA]],Tabela_Valores_REP,2,1)))*VIEW_IV_2019_REP_CALCULO_TRI[[#This Row],[Peso-HIZENTRA]])*3</f>
        <v>0</v>
      </c>
      <c r="AG38" s="65">
        <f>(IF(VIEW_IV_2019_REP_CALCULO_TRI[[#This Row],[Cobertura-PRIVIGEN]]&lt;Cob_Min_REP,0,IF(VIEW_IV_2019_REP_CALCULO_TRI[[#This Row],[Cobertura-PRIVIGEN]]&gt;Cob_Max_REP,Vlr_Max_REP,VLOOKUP(VIEW_IV_2019_REP_CALCULO_TRI[[#This Row],[Cobertura-PRIVIGEN]],Tabela_Valores_REP,2,1)))*VIEW_IV_2019_REP_CALCULO_TRI[[#This Row],[Peso-PRIVIGEN]])*3</f>
        <v>0</v>
      </c>
      <c r="AH38" s="65">
        <f>SUMIFS(VIEW_IV_2019_REP_CALCULO[Premio-BERINERT],VIEW_IV_2019_REP_CALCULO[Ano-Fiscal],VIEW_IV_2019_REP_CALCULO_TRI[[#This Row],[Ano-Fiscal]],VIEW_IV_2019_REP_CALCULO[Tri-Fiscal],VIEW_IV_2019_REP_CALCULO_TRI[[#This Row],[Tri-Fiscal]],VIEW_IV_2019_REP_CALCULO['#PK-Email],VIEW_IV_2019_REP_CALCULO_TRI[[#This Row],['#PK-Email]])</f>
        <v>0</v>
      </c>
      <c r="AI38" s="65">
        <f>SUMIFS(VIEW_IV_2019_REP_CALCULO[Premio-BERIPLEX],VIEW_IV_2019_REP_CALCULO[Ano-Fiscal],VIEW_IV_2019_REP_CALCULO_TRI[[#This Row],[Ano-Fiscal]],VIEW_IV_2019_REP_CALCULO[Tri-Fiscal],VIEW_IV_2019_REP_CALCULO_TRI[[#This Row],[Tri-Fiscal]],VIEW_IV_2019_REP_CALCULO['#PK-Email],VIEW_IV_2019_REP_CALCULO_TRI[[#This Row],['#PK-Email]])</f>
        <v>0</v>
      </c>
      <c r="AJ38" s="65">
        <f>SUMIFS(VIEW_IV_2019_REP_CALCULO[Premio-HAEMO],VIEW_IV_2019_REP_CALCULO[Ano-Fiscal],VIEW_IV_2019_REP_CALCULO_TRI[[#This Row],[Ano-Fiscal]],VIEW_IV_2019_REP_CALCULO[Tri-Fiscal],VIEW_IV_2019_REP_CALCULO_TRI[[#This Row],[Tri-Fiscal]],VIEW_IV_2019_REP_CALCULO['#PK-Email],VIEW_IV_2019_REP_CALCULO_TRI[[#This Row],['#PK-Email]])</f>
        <v>0</v>
      </c>
      <c r="AK38" s="65">
        <f>SUMIFS(VIEW_IV_2019_REP_CALCULO[Premio-HIZENTRA],VIEW_IV_2019_REP_CALCULO[Ano-Fiscal],VIEW_IV_2019_REP_CALCULO_TRI[[#This Row],[Ano-Fiscal]],VIEW_IV_2019_REP_CALCULO[Tri-Fiscal],VIEW_IV_2019_REP_CALCULO_TRI[[#This Row],[Tri-Fiscal]],VIEW_IV_2019_REP_CALCULO['#PK-Email],VIEW_IV_2019_REP_CALCULO_TRI[[#This Row],['#PK-Email]])</f>
        <v>0</v>
      </c>
      <c r="AL38" s="65">
        <f>SUMIFS(VIEW_IV_2019_REP_CALCULO[Premio-PRIVIGEN],VIEW_IV_2019_REP_CALCULO[Ano-Fiscal],VIEW_IV_2019_REP_CALCULO_TRI[[#This Row],[Ano-Fiscal]],VIEW_IV_2019_REP_CALCULO[Tri-Fiscal],VIEW_IV_2019_REP_CALCULO_TRI[[#This Row],[Tri-Fiscal]],VIEW_IV_2019_REP_CALCULO['#PK-Email],VIEW_IV_2019_REP_CALCULO_TRI[[#This Row],['#PK-Email]])</f>
        <v>0</v>
      </c>
      <c r="AM38" s="65">
        <f>IF((VIEW_IV_2019_REP_CALCULO_TRI[[#This Row],[Premio-BERINERT]]-VIEW_IV_2019_REP_CALCULO_TRI[[#This Row],[Recebido-BERINERT]])&lt;=0,0,VIEW_IV_2019_REP_CALCULO_TRI[[#This Row],[Premio-BERINERT]]-VIEW_IV_2019_REP_CALCULO_TRI[[#This Row],[Recebido-BERINERT]])</f>
        <v>0</v>
      </c>
      <c r="AN38" s="65">
        <f>IF((VIEW_IV_2019_REP_CALCULO_TRI[[#This Row],[Premio-BERIPLEX]]-VIEW_IV_2019_REP_CALCULO_TRI[[#This Row],[Recebido-BERIPLEX]])&lt;=0,0,VIEW_IV_2019_REP_CALCULO_TRI[[#This Row],[Premio-BERIPLEX]]-VIEW_IV_2019_REP_CALCULO_TRI[[#This Row],[Recebido-BERIPLEX]])</f>
        <v>0</v>
      </c>
      <c r="AO38" s="65">
        <f>IF((VIEW_IV_2019_REP_CALCULO_TRI[[#This Row],[Premio-HAEMO]]-VIEW_IV_2019_REP_CALCULO_TRI[[#This Row],[Recebido-HAEMO]])&lt;=0,0,VIEW_IV_2019_REP_CALCULO_TRI[[#This Row],[Premio-HAEMO]]-VIEW_IV_2019_REP_CALCULO_TRI[[#This Row],[Recebido-HAEMO]])</f>
        <v>0</v>
      </c>
      <c r="AP38" s="65">
        <f>IF((VIEW_IV_2019_REP_CALCULO_TRI[[#This Row],[Premio-HIZENTRA]]-VIEW_IV_2019_REP_CALCULO_TRI[[#This Row],[Recebido-HIZENTRA]])&lt;=0,0,VIEW_IV_2019_REP_CALCULO_TRI[[#This Row],[Premio-HIZENTRA]]-VIEW_IV_2019_REP_CALCULO_TRI[[#This Row],[Recebido-HIZENTRA]])</f>
        <v>0</v>
      </c>
      <c r="AQ38" s="65">
        <f>IF((VIEW_IV_2019_REP_CALCULO_TRI[[#This Row],[Premio-PRIVIGEN]]-VIEW_IV_2019_REP_CALCULO_TRI[[#This Row],[Recebido-PRIVIGEN]])&lt;=0,0,VIEW_IV_2019_REP_CALCULO_TRI[[#This Row],[Premio-PRIVIGEN]]-VIEW_IV_2019_REP_CALCULO_TRI[[#This Row],[Recebido-PRIVIGEN]])</f>
        <v>0</v>
      </c>
      <c r="AR38" s="102">
        <f>SUM(VIEW_IV_2019_REP_CALCULO_TRI[[#This Row],[Recuperavel-BERINERT]:[Recuperavel-PRIVIGEN]])</f>
        <v>0</v>
      </c>
    </row>
    <row r="39" spans="1:44" x14ac:dyDescent="0.25">
      <c r="A39" s="7" t="s">
        <v>16</v>
      </c>
      <c r="B39" s="7" t="s">
        <v>66</v>
      </c>
      <c r="C39" s="8" t="s">
        <v>744</v>
      </c>
      <c r="D39" s="8" t="s">
        <v>745</v>
      </c>
      <c r="E39" s="8" t="s">
        <v>723</v>
      </c>
      <c r="F39" s="8" t="s">
        <v>791</v>
      </c>
      <c r="G39" s="3" t="b">
        <v>1</v>
      </c>
      <c r="H39" s="3" t="b">
        <v>1</v>
      </c>
      <c r="I39" s="10">
        <v>0</v>
      </c>
      <c r="J39" s="10">
        <v>549</v>
      </c>
      <c r="K39" s="10">
        <v>462</v>
      </c>
      <c r="L39" s="10">
        <v>0</v>
      </c>
      <c r="M39" s="10">
        <v>4515</v>
      </c>
      <c r="N39" s="10">
        <v>0</v>
      </c>
      <c r="O39" s="10">
        <v>0</v>
      </c>
      <c r="P39" s="10">
        <v>140</v>
      </c>
      <c r="Q39" s="10">
        <v>0</v>
      </c>
      <c r="R39" s="10">
        <v>0</v>
      </c>
      <c r="S39" s="75">
        <v>0</v>
      </c>
      <c r="T39" s="75">
        <v>0.25</v>
      </c>
      <c r="U39" s="75">
        <v>0.25</v>
      </c>
      <c r="V39" s="75">
        <v>0</v>
      </c>
      <c r="W39" s="75">
        <v>0.2</v>
      </c>
      <c r="X39" s="75">
        <f>IFERROR(VIEW_IV_2019_REP_CALCULO_TRI[[#This Row],[Demanda-BERINERT]]/VIEW_IV_2019_REP_CALCULO_TRI[[#This Row],[Cota-BERINERT]],0)</f>
        <v>0</v>
      </c>
      <c r="Y39" s="75">
        <f>IFERROR(VIEW_IV_2019_REP_CALCULO_TRI[[#This Row],[Demanda-BERIPLEX]]/VIEW_IV_2019_REP_CALCULO_TRI[[#This Row],[Cota-BERIPLEX]],0)</f>
        <v>0</v>
      </c>
      <c r="Z39" s="75">
        <f>IFERROR(VIEW_IV_2019_REP_CALCULO_TRI[[#This Row],[Demanda-HAEMO]]/VIEW_IV_2019_REP_CALCULO_TRI[[#This Row],[Cota-HAEMO]],0)</f>
        <v>0.30303030303030304</v>
      </c>
      <c r="AA39" s="75">
        <f>IFERROR(VIEW_IV_2019_REP_CALCULO_TRI[[#This Row],[Demanda-HIZENTRA]]/VIEW_IV_2019_REP_CALCULO_TRI[[#This Row],[Cota-HIZENTRA]],0)</f>
        <v>0</v>
      </c>
      <c r="AB39" s="75">
        <f>IFERROR(VIEW_IV_2019_REP_CALCULO_TRI[[#This Row],[Demanda-PRIVIGEN]]/VIEW_IV_2019_REP_CALCULO_TRI[[#This Row],[Cota-PRIVIGEN]],0)</f>
        <v>0</v>
      </c>
      <c r="AC39" s="65">
        <f>(IF(VIEW_IV_2019_REP_CALCULO_TRI[[#This Row],[Cobertura-BERINERT]]&lt;Cob_Min_REP,0,IF(VIEW_IV_2019_REP_CALCULO_TRI[[#This Row],[Cobertura-BERINERT]]&gt;Cob_Max_REP,Vlr_Max_REP,VLOOKUP(VIEW_IV_2019_REP_CALCULO_TRI[[#This Row],[Cobertura-BERINERT]],Tabela_Valores_REP,2,1)))*VIEW_IV_2019_REP_CALCULO_TRI[[#This Row],[Peso-BERINERT]])*3</f>
        <v>0</v>
      </c>
      <c r="AD39" s="65">
        <f>(IF(VIEW_IV_2019_REP_CALCULO_TRI[[#This Row],[Cobertura-BERIPLEX]]&lt;Cob_Min_REP,0,IF(VIEW_IV_2019_REP_CALCULO_TRI[[#This Row],[Cobertura-BERIPLEX]]&gt;Cob_Max_REP,Vlr_Max_REP,VLOOKUP(VIEW_IV_2019_REP_CALCULO_TRI[[#This Row],[Cobertura-BERIPLEX]],Tabela_Valores_REP,2,1)))*VIEW_IV_2019_REP_CALCULO_TRI[[#This Row],[Peso-BERIPLEX]])*3</f>
        <v>0</v>
      </c>
      <c r="AE39" s="65">
        <f>(IF(VIEW_IV_2019_REP_CALCULO_TRI[[#This Row],[Cobertura-HAEMO]]&lt;Cob_Min_REP,0,IF(VIEW_IV_2019_REP_CALCULO_TRI[[#This Row],[Cobertura-HAEMO]]&gt;Cob_Max_REP,Vlr_Max_REP,VLOOKUP(VIEW_IV_2019_REP_CALCULO_TRI[[#This Row],[Cobertura-HAEMO]],Tabela_Valores_REP,2,1)))*VIEW_IV_2019_REP_CALCULO_TRI[[#This Row],[Peso-HAEMO]])*3</f>
        <v>0</v>
      </c>
      <c r="AF39" s="65">
        <f>(IF(VIEW_IV_2019_REP_CALCULO_TRI[[#This Row],[Cobertura-HIZENTRA]]&lt;Cob_Min_REP,0,IF(VIEW_IV_2019_REP_CALCULO_TRI[[#This Row],[Cobertura-HIZENTRA]]&gt;Cob_Max_REP,Vlr_Max_REP,VLOOKUP(VIEW_IV_2019_REP_CALCULO_TRI[[#This Row],[Cobertura-HIZENTRA]],Tabela_Valores_REP,2,1)))*VIEW_IV_2019_REP_CALCULO_TRI[[#This Row],[Peso-HIZENTRA]])*3</f>
        <v>0</v>
      </c>
      <c r="AG39" s="65">
        <f>(IF(VIEW_IV_2019_REP_CALCULO_TRI[[#This Row],[Cobertura-PRIVIGEN]]&lt;Cob_Min_REP,0,IF(VIEW_IV_2019_REP_CALCULO_TRI[[#This Row],[Cobertura-PRIVIGEN]]&gt;Cob_Max_REP,Vlr_Max_REP,VLOOKUP(VIEW_IV_2019_REP_CALCULO_TRI[[#This Row],[Cobertura-PRIVIGEN]],Tabela_Valores_REP,2,1)))*VIEW_IV_2019_REP_CALCULO_TRI[[#This Row],[Peso-PRIVIGEN]])*3</f>
        <v>0</v>
      </c>
      <c r="AH39" s="65">
        <f>SUMIFS(VIEW_IV_2019_REP_CALCULO[Premio-BERINERT],VIEW_IV_2019_REP_CALCULO[Ano-Fiscal],VIEW_IV_2019_REP_CALCULO_TRI[[#This Row],[Ano-Fiscal]],VIEW_IV_2019_REP_CALCULO[Tri-Fiscal],VIEW_IV_2019_REP_CALCULO_TRI[[#This Row],[Tri-Fiscal]],VIEW_IV_2019_REP_CALCULO['#PK-Email],VIEW_IV_2019_REP_CALCULO_TRI[[#This Row],['#PK-Email]])</f>
        <v>0</v>
      </c>
      <c r="AI39" s="65">
        <f>SUMIFS(VIEW_IV_2019_REP_CALCULO[Premio-BERIPLEX],VIEW_IV_2019_REP_CALCULO[Ano-Fiscal],VIEW_IV_2019_REP_CALCULO_TRI[[#This Row],[Ano-Fiscal]],VIEW_IV_2019_REP_CALCULO[Tri-Fiscal],VIEW_IV_2019_REP_CALCULO_TRI[[#This Row],[Tri-Fiscal]],VIEW_IV_2019_REP_CALCULO['#PK-Email],VIEW_IV_2019_REP_CALCULO_TRI[[#This Row],['#PK-Email]])</f>
        <v>0</v>
      </c>
      <c r="AJ39" s="65">
        <f>SUMIFS(VIEW_IV_2019_REP_CALCULO[Premio-HAEMO],VIEW_IV_2019_REP_CALCULO[Ano-Fiscal],VIEW_IV_2019_REP_CALCULO_TRI[[#This Row],[Ano-Fiscal]],VIEW_IV_2019_REP_CALCULO[Tri-Fiscal],VIEW_IV_2019_REP_CALCULO_TRI[[#This Row],[Tri-Fiscal]],VIEW_IV_2019_REP_CALCULO['#PK-Email],VIEW_IV_2019_REP_CALCULO_TRI[[#This Row],['#PK-Email]])</f>
        <v>383.11463600278285</v>
      </c>
      <c r="AK39" s="65">
        <f>SUMIFS(VIEW_IV_2019_REP_CALCULO[Premio-HIZENTRA],VIEW_IV_2019_REP_CALCULO[Ano-Fiscal],VIEW_IV_2019_REP_CALCULO_TRI[[#This Row],[Ano-Fiscal]],VIEW_IV_2019_REP_CALCULO[Tri-Fiscal],VIEW_IV_2019_REP_CALCULO_TRI[[#This Row],[Tri-Fiscal]],VIEW_IV_2019_REP_CALCULO['#PK-Email],VIEW_IV_2019_REP_CALCULO_TRI[[#This Row],['#PK-Email]])</f>
        <v>0</v>
      </c>
      <c r="AL39" s="65">
        <f>SUMIFS(VIEW_IV_2019_REP_CALCULO[Premio-PRIVIGEN],VIEW_IV_2019_REP_CALCULO[Ano-Fiscal],VIEW_IV_2019_REP_CALCULO_TRI[[#This Row],[Ano-Fiscal]],VIEW_IV_2019_REP_CALCULO[Tri-Fiscal],VIEW_IV_2019_REP_CALCULO_TRI[[#This Row],[Tri-Fiscal]],VIEW_IV_2019_REP_CALCULO['#PK-Email],VIEW_IV_2019_REP_CALCULO_TRI[[#This Row],['#PK-Email]])</f>
        <v>0</v>
      </c>
      <c r="AM39" s="65">
        <f>IF((VIEW_IV_2019_REP_CALCULO_TRI[[#This Row],[Premio-BERINERT]]-VIEW_IV_2019_REP_CALCULO_TRI[[#This Row],[Recebido-BERINERT]])&lt;=0,0,VIEW_IV_2019_REP_CALCULO_TRI[[#This Row],[Premio-BERINERT]]-VIEW_IV_2019_REP_CALCULO_TRI[[#This Row],[Recebido-BERINERT]])</f>
        <v>0</v>
      </c>
      <c r="AN39" s="65">
        <f>IF((VIEW_IV_2019_REP_CALCULO_TRI[[#This Row],[Premio-BERIPLEX]]-VIEW_IV_2019_REP_CALCULO_TRI[[#This Row],[Recebido-BERIPLEX]])&lt;=0,0,VIEW_IV_2019_REP_CALCULO_TRI[[#This Row],[Premio-BERIPLEX]]-VIEW_IV_2019_REP_CALCULO_TRI[[#This Row],[Recebido-BERIPLEX]])</f>
        <v>0</v>
      </c>
      <c r="AO39" s="65">
        <f>IF((VIEW_IV_2019_REP_CALCULO_TRI[[#This Row],[Premio-HAEMO]]-VIEW_IV_2019_REP_CALCULO_TRI[[#This Row],[Recebido-HAEMO]])&lt;=0,0,VIEW_IV_2019_REP_CALCULO_TRI[[#This Row],[Premio-HAEMO]]-VIEW_IV_2019_REP_CALCULO_TRI[[#This Row],[Recebido-HAEMO]])</f>
        <v>0</v>
      </c>
      <c r="AP39" s="65">
        <f>IF((VIEW_IV_2019_REP_CALCULO_TRI[[#This Row],[Premio-HIZENTRA]]-VIEW_IV_2019_REP_CALCULO_TRI[[#This Row],[Recebido-HIZENTRA]])&lt;=0,0,VIEW_IV_2019_REP_CALCULO_TRI[[#This Row],[Premio-HIZENTRA]]-VIEW_IV_2019_REP_CALCULO_TRI[[#This Row],[Recebido-HIZENTRA]])</f>
        <v>0</v>
      </c>
      <c r="AQ39" s="65">
        <f>IF((VIEW_IV_2019_REP_CALCULO_TRI[[#This Row],[Premio-PRIVIGEN]]-VIEW_IV_2019_REP_CALCULO_TRI[[#This Row],[Recebido-PRIVIGEN]])&lt;=0,0,VIEW_IV_2019_REP_CALCULO_TRI[[#This Row],[Premio-PRIVIGEN]]-VIEW_IV_2019_REP_CALCULO_TRI[[#This Row],[Recebido-PRIVIGEN]])</f>
        <v>0</v>
      </c>
      <c r="AR39" s="102">
        <f>SUM(VIEW_IV_2019_REP_CALCULO_TRI[[#This Row],[Recuperavel-BERINERT]:[Recuperavel-PRIVIGEN]])</f>
        <v>0</v>
      </c>
    </row>
    <row r="40" spans="1:44" x14ac:dyDescent="0.25">
      <c r="A40" s="7" t="s">
        <v>16</v>
      </c>
      <c r="B40" s="7" t="s">
        <v>66</v>
      </c>
      <c r="C40" s="8" t="s">
        <v>746</v>
      </c>
      <c r="D40" s="8" t="s">
        <v>747</v>
      </c>
      <c r="E40" s="8" t="s">
        <v>723</v>
      </c>
      <c r="F40" s="8" t="s">
        <v>791</v>
      </c>
      <c r="G40" s="3" t="b">
        <v>1</v>
      </c>
      <c r="H40" s="3" t="b">
        <v>1</v>
      </c>
      <c r="I40" s="10">
        <v>0</v>
      </c>
      <c r="J40" s="10">
        <v>488</v>
      </c>
      <c r="K40" s="10">
        <v>294</v>
      </c>
      <c r="L40" s="10">
        <v>0</v>
      </c>
      <c r="M40" s="10">
        <v>9030</v>
      </c>
      <c r="N40" s="10">
        <v>0</v>
      </c>
      <c r="O40" s="10">
        <v>57</v>
      </c>
      <c r="P40" s="10">
        <v>0</v>
      </c>
      <c r="Q40" s="10">
        <v>0</v>
      </c>
      <c r="R40" s="10">
        <v>100</v>
      </c>
      <c r="S40" s="75">
        <v>0</v>
      </c>
      <c r="T40" s="75">
        <v>0.25</v>
      </c>
      <c r="U40" s="75">
        <v>0.25</v>
      </c>
      <c r="V40" s="75">
        <v>0</v>
      </c>
      <c r="W40" s="75">
        <v>0.2</v>
      </c>
      <c r="X40" s="75">
        <f>IFERROR(VIEW_IV_2019_REP_CALCULO_TRI[[#This Row],[Demanda-BERINERT]]/VIEW_IV_2019_REP_CALCULO_TRI[[#This Row],[Cota-BERINERT]],0)</f>
        <v>0</v>
      </c>
      <c r="Y40" s="75">
        <f>IFERROR(VIEW_IV_2019_REP_CALCULO_TRI[[#This Row],[Demanda-BERIPLEX]]/VIEW_IV_2019_REP_CALCULO_TRI[[#This Row],[Cota-BERIPLEX]],0)</f>
        <v>0.11680327868852459</v>
      </c>
      <c r="Z40" s="75">
        <f>IFERROR(VIEW_IV_2019_REP_CALCULO_TRI[[#This Row],[Demanda-HAEMO]]/VIEW_IV_2019_REP_CALCULO_TRI[[#This Row],[Cota-HAEMO]],0)</f>
        <v>0</v>
      </c>
      <c r="AA40" s="75">
        <f>IFERROR(VIEW_IV_2019_REP_CALCULO_TRI[[#This Row],[Demanda-HIZENTRA]]/VIEW_IV_2019_REP_CALCULO_TRI[[#This Row],[Cota-HIZENTRA]],0)</f>
        <v>0</v>
      </c>
      <c r="AB40" s="75">
        <f>IFERROR(VIEW_IV_2019_REP_CALCULO_TRI[[#This Row],[Demanda-PRIVIGEN]]/VIEW_IV_2019_REP_CALCULO_TRI[[#This Row],[Cota-PRIVIGEN]],0)</f>
        <v>1.1074197120708749E-2</v>
      </c>
      <c r="AC40" s="65">
        <f>(IF(VIEW_IV_2019_REP_CALCULO_TRI[[#This Row],[Cobertura-BERINERT]]&lt;Cob_Min_REP,0,IF(VIEW_IV_2019_REP_CALCULO_TRI[[#This Row],[Cobertura-BERINERT]]&gt;Cob_Max_REP,Vlr_Max_REP,VLOOKUP(VIEW_IV_2019_REP_CALCULO_TRI[[#This Row],[Cobertura-BERINERT]],Tabela_Valores_REP,2,1)))*VIEW_IV_2019_REP_CALCULO_TRI[[#This Row],[Peso-BERINERT]])*3</f>
        <v>0</v>
      </c>
      <c r="AD40" s="65">
        <f>(IF(VIEW_IV_2019_REP_CALCULO_TRI[[#This Row],[Cobertura-BERIPLEX]]&lt;Cob_Min_REP,0,IF(VIEW_IV_2019_REP_CALCULO_TRI[[#This Row],[Cobertura-BERIPLEX]]&gt;Cob_Max_REP,Vlr_Max_REP,VLOOKUP(VIEW_IV_2019_REP_CALCULO_TRI[[#This Row],[Cobertura-BERIPLEX]],Tabela_Valores_REP,2,1)))*VIEW_IV_2019_REP_CALCULO_TRI[[#This Row],[Peso-BERIPLEX]])*3</f>
        <v>0</v>
      </c>
      <c r="AE40" s="65">
        <f>(IF(VIEW_IV_2019_REP_CALCULO_TRI[[#This Row],[Cobertura-HAEMO]]&lt;Cob_Min_REP,0,IF(VIEW_IV_2019_REP_CALCULO_TRI[[#This Row],[Cobertura-HAEMO]]&gt;Cob_Max_REP,Vlr_Max_REP,VLOOKUP(VIEW_IV_2019_REP_CALCULO_TRI[[#This Row],[Cobertura-HAEMO]],Tabela_Valores_REP,2,1)))*VIEW_IV_2019_REP_CALCULO_TRI[[#This Row],[Peso-HAEMO]])*3</f>
        <v>0</v>
      </c>
      <c r="AF40" s="65">
        <f>(IF(VIEW_IV_2019_REP_CALCULO_TRI[[#This Row],[Cobertura-HIZENTRA]]&lt;Cob_Min_REP,0,IF(VIEW_IV_2019_REP_CALCULO_TRI[[#This Row],[Cobertura-HIZENTRA]]&gt;Cob_Max_REP,Vlr_Max_REP,VLOOKUP(VIEW_IV_2019_REP_CALCULO_TRI[[#This Row],[Cobertura-HIZENTRA]],Tabela_Valores_REP,2,1)))*VIEW_IV_2019_REP_CALCULO_TRI[[#This Row],[Peso-HIZENTRA]])*3</f>
        <v>0</v>
      </c>
      <c r="AG40" s="65">
        <f>(IF(VIEW_IV_2019_REP_CALCULO_TRI[[#This Row],[Cobertura-PRIVIGEN]]&lt;Cob_Min_REP,0,IF(VIEW_IV_2019_REP_CALCULO_TRI[[#This Row],[Cobertura-PRIVIGEN]]&gt;Cob_Max_REP,Vlr_Max_REP,VLOOKUP(VIEW_IV_2019_REP_CALCULO_TRI[[#This Row],[Cobertura-PRIVIGEN]],Tabela_Valores_REP,2,1)))*VIEW_IV_2019_REP_CALCULO_TRI[[#This Row],[Peso-PRIVIGEN]])*3</f>
        <v>0</v>
      </c>
      <c r="AH40" s="65">
        <f>SUMIFS(VIEW_IV_2019_REP_CALCULO[Premio-BERINERT],VIEW_IV_2019_REP_CALCULO[Ano-Fiscal],VIEW_IV_2019_REP_CALCULO_TRI[[#This Row],[Ano-Fiscal]],VIEW_IV_2019_REP_CALCULO[Tri-Fiscal],VIEW_IV_2019_REP_CALCULO_TRI[[#This Row],[Tri-Fiscal]],VIEW_IV_2019_REP_CALCULO['#PK-Email],VIEW_IV_2019_REP_CALCULO_TRI[[#This Row],['#PK-Email]])</f>
        <v>0</v>
      </c>
      <c r="AI40" s="65">
        <f>SUMIFS(VIEW_IV_2019_REP_CALCULO[Premio-BERIPLEX],VIEW_IV_2019_REP_CALCULO[Ano-Fiscal],VIEW_IV_2019_REP_CALCULO_TRI[[#This Row],[Ano-Fiscal]],VIEW_IV_2019_REP_CALCULO[Tri-Fiscal],VIEW_IV_2019_REP_CALCULO_TRI[[#This Row],[Tri-Fiscal]],VIEW_IV_2019_REP_CALCULO['#PK-Email],VIEW_IV_2019_REP_CALCULO_TRI[[#This Row],['#PK-Email]])</f>
        <v>0</v>
      </c>
      <c r="AJ40" s="65">
        <f>SUMIFS(VIEW_IV_2019_REP_CALCULO[Premio-HAEMO],VIEW_IV_2019_REP_CALCULO[Ano-Fiscal],VIEW_IV_2019_REP_CALCULO_TRI[[#This Row],[Ano-Fiscal]],VIEW_IV_2019_REP_CALCULO[Tri-Fiscal],VIEW_IV_2019_REP_CALCULO_TRI[[#This Row],[Tri-Fiscal]],VIEW_IV_2019_REP_CALCULO['#PK-Email],VIEW_IV_2019_REP_CALCULO_TRI[[#This Row],['#PK-Email]])</f>
        <v>0</v>
      </c>
      <c r="AK40" s="65">
        <f>SUMIFS(VIEW_IV_2019_REP_CALCULO[Premio-HIZENTRA],VIEW_IV_2019_REP_CALCULO[Ano-Fiscal],VIEW_IV_2019_REP_CALCULO_TRI[[#This Row],[Ano-Fiscal]],VIEW_IV_2019_REP_CALCULO[Tri-Fiscal],VIEW_IV_2019_REP_CALCULO_TRI[[#This Row],[Tri-Fiscal]],VIEW_IV_2019_REP_CALCULO['#PK-Email],VIEW_IV_2019_REP_CALCULO_TRI[[#This Row],['#PK-Email]])</f>
        <v>0</v>
      </c>
      <c r="AL40" s="65">
        <f>SUMIFS(VIEW_IV_2019_REP_CALCULO[Premio-PRIVIGEN],VIEW_IV_2019_REP_CALCULO[Ano-Fiscal],VIEW_IV_2019_REP_CALCULO_TRI[[#This Row],[Ano-Fiscal]],VIEW_IV_2019_REP_CALCULO[Tri-Fiscal],VIEW_IV_2019_REP_CALCULO_TRI[[#This Row],[Tri-Fiscal]],VIEW_IV_2019_REP_CALCULO['#PK-Email],VIEW_IV_2019_REP_CALCULO_TRI[[#This Row],['#PK-Email]])</f>
        <v>0</v>
      </c>
      <c r="AM40" s="65">
        <f>IF((VIEW_IV_2019_REP_CALCULO_TRI[[#This Row],[Premio-BERINERT]]-VIEW_IV_2019_REP_CALCULO_TRI[[#This Row],[Recebido-BERINERT]])&lt;=0,0,VIEW_IV_2019_REP_CALCULO_TRI[[#This Row],[Premio-BERINERT]]-VIEW_IV_2019_REP_CALCULO_TRI[[#This Row],[Recebido-BERINERT]])</f>
        <v>0</v>
      </c>
      <c r="AN40" s="65">
        <f>IF((VIEW_IV_2019_REP_CALCULO_TRI[[#This Row],[Premio-BERIPLEX]]-VIEW_IV_2019_REP_CALCULO_TRI[[#This Row],[Recebido-BERIPLEX]])&lt;=0,0,VIEW_IV_2019_REP_CALCULO_TRI[[#This Row],[Premio-BERIPLEX]]-VIEW_IV_2019_REP_CALCULO_TRI[[#This Row],[Recebido-BERIPLEX]])</f>
        <v>0</v>
      </c>
      <c r="AO40" s="65">
        <f>IF((VIEW_IV_2019_REP_CALCULO_TRI[[#This Row],[Premio-HAEMO]]-VIEW_IV_2019_REP_CALCULO_TRI[[#This Row],[Recebido-HAEMO]])&lt;=0,0,VIEW_IV_2019_REP_CALCULO_TRI[[#This Row],[Premio-HAEMO]]-VIEW_IV_2019_REP_CALCULO_TRI[[#This Row],[Recebido-HAEMO]])</f>
        <v>0</v>
      </c>
      <c r="AP40" s="65">
        <f>IF((VIEW_IV_2019_REP_CALCULO_TRI[[#This Row],[Premio-HIZENTRA]]-VIEW_IV_2019_REP_CALCULO_TRI[[#This Row],[Recebido-HIZENTRA]])&lt;=0,0,VIEW_IV_2019_REP_CALCULO_TRI[[#This Row],[Premio-HIZENTRA]]-VIEW_IV_2019_REP_CALCULO_TRI[[#This Row],[Recebido-HIZENTRA]])</f>
        <v>0</v>
      </c>
      <c r="AQ40" s="65">
        <f>IF((VIEW_IV_2019_REP_CALCULO_TRI[[#This Row],[Premio-PRIVIGEN]]-VIEW_IV_2019_REP_CALCULO_TRI[[#This Row],[Recebido-PRIVIGEN]])&lt;=0,0,VIEW_IV_2019_REP_CALCULO_TRI[[#This Row],[Premio-PRIVIGEN]]-VIEW_IV_2019_REP_CALCULO_TRI[[#This Row],[Recebido-PRIVIGEN]])</f>
        <v>0</v>
      </c>
      <c r="AR40" s="102">
        <f>SUM(VIEW_IV_2019_REP_CALCULO_TRI[[#This Row],[Recuperavel-BERINERT]:[Recuperavel-PRIVIGEN]])</f>
        <v>0</v>
      </c>
    </row>
    <row r="41" spans="1:44" x14ac:dyDescent="0.25">
      <c r="A41" s="7" t="s">
        <v>16</v>
      </c>
      <c r="B41" s="7" t="s">
        <v>66</v>
      </c>
      <c r="C41" s="8" t="s">
        <v>748</v>
      </c>
      <c r="D41" s="8" t="s">
        <v>749</v>
      </c>
      <c r="E41" s="8" t="s">
        <v>723</v>
      </c>
      <c r="F41" s="8" t="s">
        <v>791</v>
      </c>
      <c r="G41" s="3" t="b">
        <v>1</v>
      </c>
      <c r="H41" s="3" t="b">
        <v>1</v>
      </c>
      <c r="I41" s="10">
        <v>0</v>
      </c>
      <c r="J41" s="10">
        <v>610</v>
      </c>
      <c r="K41" s="10">
        <v>168</v>
      </c>
      <c r="L41" s="10">
        <v>0</v>
      </c>
      <c r="M41" s="10">
        <v>4515</v>
      </c>
      <c r="N41" s="10">
        <v>0</v>
      </c>
      <c r="O41" s="10">
        <v>118</v>
      </c>
      <c r="P41" s="10">
        <v>8</v>
      </c>
      <c r="Q41" s="10">
        <v>0</v>
      </c>
      <c r="R41" s="10">
        <v>175</v>
      </c>
      <c r="S41" s="75">
        <v>0</v>
      </c>
      <c r="T41" s="75">
        <v>0.25</v>
      </c>
      <c r="U41" s="75">
        <v>0.25</v>
      </c>
      <c r="V41" s="75">
        <v>0</v>
      </c>
      <c r="W41" s="75">
        <v>0.2</v>
      </c>
      <c r="X41" s="75">
        <f>IFERROR(VIEW_IV_2019_REP_CALCULO_TRI[[#This Row],[Demanda-BERINERT]]/VIEW_IV_2019_REP_CALCULO_TRI[[#This Row],[Cota-BERINERT]],0)</f>
        <v>0</v>
      </c>
      <c r="Y41" s="75">
        <f>IFERROR(VIEW_IV_2019_REP_CALCULO_TRI[[#This Row],[Demanda-BERIPLEX]]/VIEW_IV_2019_REP_CALCULO_TRI[[#This Row],[Cota-BERIPLEX]],0)</f>
        <v>0.19344262295081968</v>
      </c>
      <c r="Z41" s="75">
        <f>IFERROR(VIEW_IV_2019_REP_CALCULO_TRI[[#This Row],[Demanda-HAEMO]]/VIEW_IV_2019_REP_CALCULO_TRI[[#This Row],[Cota-HAEMO]],0)</f>
        <v>4.7619047619047616E-2</v>
      </c>
      <c r="AA41" s="75">
        <f>IFERROR(VIEW_IV_2019_REP_CALCULO_TRI[[#This Row],[Demanda-HIZENTRA]]/VIEW_IV_2019_REP_CALCULO_TRI[[#This Row],[Cota-HIZENTRA]],0)</f>
        <v>0</v>
      </c>
      <c r="AB41" s="75">
        <f>IFERROR(VIEW_IV_2019_REP_CALCULO_TRI[[#This Row],[Demanda-PRIVIGEN]]/VIEW_IV_2019_REP_CALCULO_TRI[[#This Row],[Cota-PRIVIGEN]],0)</f>
        <v>3.875968992248062E-2</v>
      </c>
      <c r="AC41" s="65">
        <f>(IF(VIEW_IV_2019_REP_CALCULO_TRI[[#This Row],[Cobertura-BERINERT]]&lt;Cob_Min_REP,0,IF(VIEW_IV_2019_REP_CALCULO_TRI[[#This Row],[Cobertura-BERINERT]]&gt;Cob_Max_REP,Vlr_Max_REP,VLOOKUP(VIEW_IV_2019_REP_CALCULO_TRI[[#This Row],[Cobertura-BERINERT]],Tabela_Valores_REP,2,1)))*VIEW_IV_2019_REP_CALCULO_TRI[[#This Row],[Peso-BERINERT]])*3</f>
        <v>0</v>
      </c>
      <c r="AD41" s="65">
        <f>(IF(VIEW_IV_2019_REP_CALCULO_TRI[[#This Row],[Cobertura-BERIPLEX]]&lt;Cob_Min_REP,0,IF(VIEW_IV_2019_REP_CALCULO_TRI[[#This Row],[Cobertura-BERIPLEX]]&gt;Cob_Max_REP,Vlr_Max_REP,VLOOKUP(VIEW_IV_2019_REP_CALCULO_TRI[[#This Row],[Cobertura-BERIPLEX]],Tabela_Valores_REP,2,1)))*VIEW_IV_2019_REP_CALCULO_TRI[[#This Row],[Peso-BERIPLEX]])*3</f>
        <v>0</v>
      </c>
      <c r="AE41" s="65">
        <f>(IF(VIEW_IV_2019_REP_CALCULO_TRI[[#This Row],[Cobertura-HAEMO]]&lt;Cob_Min_REP,0,IF(VIEW_IV_2019_REP_CALCULO_TRI[[#This Row],[Cobertura-HAEMO]]&gt;Cob_Max_REP,Vlr_Max_REP,VLOOKUP(VIEW_IV_2019_REP_CALCULO_TRI[[#This Row],[Cobertura-HAEMO]],Tabela_Valores_REP,2,1)))*VIEW_IV_2019_REP_CALCULO_TRI[[#This Row],[Peso-HAEMO]])*3</f>
        <v>0</v>
      </c>
      <c r="AF41" s="65">
        <f>(IF(VIEW_IV_2019_REP_CALCULO_TRI[[#This Row],[Cobertura-HIZENTRA]]&lt;Cob_Min_REP,0,IF(VIEW_IV_2019_REP_CALCULO_TRI[[#This Row],[Cobertura-HIZENTRA]]&gt;Cob_Max_REP,Vlr_Max_REP,VLOOKUP(VIEW_IV_2019_REP_CALCULO_TRI[[#This Row],[Cobertura-HIZENTRA]],Tabela_Valores_REP,2,1)))*VIEW_IV_2019_REP_CALCULO_TRI[[#This Row],[Peso-HIZENTRA]])*3</f>
        <v>0</v>
      </c>
      <c r="AG41" s="65">
        <f>(IF(VIEW_IV_2019_REP_CALCULO_TRI[[#This Row],[Cobertura-PRIVIGEN]]&lt;Cob_Min_REP,0,IF(VIEW_IV_2019_REP_CALCULO_TRI[[#This Row],[Cobertura-PRIVIGEN]]&gt;Cob_Max_REP,Vlr_Max_REP,VLOOKUP(VIEW_IV_2019_REP_CALCULO_TRI[[#This Row],[Cobertura-PRIVIGEN]],Tabela_Valores_REP,2,1)))*VIEW_IV_2019_REP_CALCULO_TRI[[#This Row],[Peso-PRIVIGEN]])*3</f>
        <v>0</v>
      </c>
      <c r="AH41" s="65">
        <f>SUMIFS(VIEW_IV_2019_REP_CALCULO[Premio-BERINERT],VIEW_IV_2019_REP_CALCULO[Ano-Fiscal],VIEW_IV_2019_REP_CALCULO_TRI[[#This Row],[Ano-Fiscal]],VIEW_IV_2019_REP_CALCULO[Tri-Fiscal],VIEW_IV_2019_REP_CALCULO_TRI[[#This Row],[Tri-Fiscal]],VIEW_IV_2019_REP_CALCULO['#PK-Email],VIEW_IV_2019_REP_CALCULO_TRI[[#This Row],['#PK-Email]])</f>
        <v>0</v>
      </c>
      <c r="AI41" s="65">
        <f>SUMIFS(VIEW_IV_2019_REP_CALCULO[Premio-BERIPLEX],VIEW_IV_2019_REP_CALCULO[Ano-Fiscal],VIEW_IV_2019_REP_CALCULO_TRI[[#This Row],[Ano-Fiscal]],VIEW_IV_2019_REP_CALCULO[Tri-Fiscal],VIEW_IV_2019_REP_CALCULO_TRI[[#This Row],[Tri-Fiscal]],VIEW_IV_2019_REP_CALCULO['#PK-Email],VIEW_IV_2019_REP_CALCULO_TRI[[#This Row],['#PK-Email]])</f>
        <v>0</v>
      </c>
      <c r="AJ41" s="65">
        <f>SUMIFS(VIEW_IV_2019_REP_CALCULO[Premio-HAEMO],VIEW_IV_2019_REP_CALCULO[Ano-Fiscal],VIEW_IV_2019_REP_CALCULO_TRI[[#This Row],[Ano-Fiscal]],VIEW_IV_2019_REP_CALCULO[Tri-Fiscal],VIEW_IV_2019_REP_CALCULO_TRI[[#This Row],[Tri-Fiscal]],VIEW_IV_2019_REP_CALCULO['#PK-Email],VIEW_IV_2019_REP_CALCULO_TRI[[#This Row],['#PK-Email]])</f>
        <v>0</v>
      </c>
      <c r="AK41" s="65">
        <f>SUMIFS(VIEW_IV_2019_REP_CALCULO[Premio-HIZENTRA],VIEW_IV_2019_REP_CALCULO[Ano-Fiscal],VIEW_IV_2019_REP_CALCULO_TRI[[#This Row],[Ano-Fiscal]],VIEW_IV_2019_REP_CALCULO[Tri-Fiscal],VIEW_IV_2019_REP_CALCULO_TRI[[#This Row],[Tri-Fiscal]],VIEW_IV_2019_REP_CALCULO['#PK-Email],VIEW_IV_2019_REP_CALCULO_TRI[[#This Row],['#PK-Email]])</f>
        <v>0</v>
      </c>
      <c r="AL41" s="65">
        <f>SUMIFS(VIEW_IV_2019_REP_CALCULO[Premio-PRIVIGEN],VIEW_IV_2019_REP_CALCULO[Ano-Fiscal],VIEW_IV_2019_REP_CALCULO_TRI[[#This Row],[Ano-Fiscal]],VIEW_IV_2019_REP_CALCULO[Tri-Fiscal],VIEW_IV_2019_REP_CALCULO_TRI[[#This Row],[Tri-Fiscal]],VIEW_IV_2019_REP_CALCULO['#PK-Email],VIEW_IV_2019_REP_CALCULO_TRI[[#This Row],['#PK-Email]])</f>
        <v>0</v>
      </c>
      <c r="AM41" s="65">
        <f>IF((VIEW_IV_2019_REP_CALCULO_TRI[[#This Row],[Premio-BERINERT]]-VIEW_IV_2019_REP_CALCULO_TRI[[#This Row],[Recebido-BERINERT]])&lt;=0,0,VIEW_IV_2019_REP_CALCULO_TRI[[#This Row],[Premio-BERINERT]]-VIEW_IV_2019_REP_CALCULO_TRI[[#This Row],[Recebido-BERINERT]])</f>
        <v>0</v>
      </c>
      <c r="AN41" s="65">
        <f>IF((VIEW_IV_2019_REP_CALCULO_TRI[[#This Row],[Premio-BERIPLEX]]-VIEW_IV_2019_REP_CALCULO_TRI[[#This Row],[Recebido-BERIPLEX]])&lt;=0,0,VIEW_IV_2019_REP_CALCULO_TRI[[#This Row],[Premio-BERIPLEX]]-VIEW_IV_2019_REP_CALCULO_TRI[[#This Row],[Recebido-BERIPLEX]])</f>
        <v>0</v>
      </c>
      <c r="AO41" s="65">
        <f>IF((VIEW_IV_2019_REP_CALCULO_TRI[[#This Row],[Premio-HAEMO]]-VIEW_IV_2019_REP_CALCULO_TRI[[#This Row],[Recebido-HAEMO]])&lt;=0,0,VIEW_IV_2019_REP_CALCULO_TRI[[#This Row],[Premio-HAEMO]]-VIEW_IV_2019_REP_CALCULO_TRI[[#This Row],[Recebido-HAEMO]])</f>
        <v>0</v>
      </c>
      <c r="AP41" s="65">
        <f>IF((VIEW_IV_2019_REP_CALCULO_TRI[[#This Row],[Premio-HIZENTRA]]-VIEW_IV_2019_REP_CALCULO_TRI[[#This Row],[Recebido-HIZENTRA]])&lt;=0,0,VIEW_IV_2019_REP_CALCULO_TRI[[#This Row],[Premio-HIZENTRA]]-VIEW_IV_2019_REP_CALCULO_TRI[[#This Row],[Recebido-HIZENTRA]])</f>
        <v>0</v>
      </c>
      <c r="AQ41" s="65">
        <f>IF((VIEW_IV_2019_REP_CALCULO_TRI[[#This Row],[Premio-PRIVIGEN]]-VIEW_IV_2019_REP_CALCULO_TRI[[#This Row],[Recebido-PRIVIGEN]])&lt;=0,0,VIEW_IV_2019_REP_CALCULO_TRI[[#This Row],[Premio-PRIVIGEN]]-VIEW_IV_2019_REP_CALCULO_TRI[[#This Row],[Recebido-PRIVIGEN]])</f>
        <v>0</v>
      </c>
      <c r="AR41" s="102">
        <f>SUM(VIEW_IV_2019_REP_CALCULO_TRI[[#This Row],[Recuperavel-BERINERT]:[Recuperavel-PRIVIGEN]])</f>
        <v>0</v>
      </c>
    </row>
    <row r="42" spans="1:44" x14ac:dyDescent="0.25">
      <c r="A42" s="7" t="s">
        <v>16</v>
      </c>
      <c r="B42" s="7" t="s">
        <v>66</v>
      </c>
      <c r="C42" s="8" t="s">
        <v>752</v>
      </c>
      <c r="D42" s="8" t="s">
        <v>753</v>
      </c>
      <c r="E42" s="8" t="s">
        <v>723</v>
      </c>
      <c r="F42" s="8" t="s">
        <v>785</v>
      </c>
      <c r="G42" s="3" t="b">
        <v>1</v>
      </c>
      <c r="H42" s="3" t="b">
        <v>1</v>
      </c>
      <c r="I42" s="10">
        <v>0</v>
      </c>
      <c r="J42" s="10">
        <v>366</v>
      </c>
      <c r="K42" s="10">
        <v>252</v>
      </c>
      <c r="L42" s="10">
        <v>0</v>
      </c>
      <c r="M42" s="10">
        <v>7525</v>
      </c>
      <c r="N42" s="10">
        <v>0</v>
      </c>
      <c r="O42" s="10">
        <v>31</v>
      </c>
      <c r="P42" s="10">
        <v>13</v>
      </c>
      <c r="Q42" s="10">
        <v>0</v>
      </c>
      <c r="R42" s="10">
        <v>255</v>
      </c>
      <c r="S42" s="75">
        <v>0</v>
      </c>
      <c r="T42" s="75">
        <v>0.25</v>
      </c>
      <c r="U42" s="75">
        <v>0.25</v>
      </c>
      <c r="V42" s="75">
        <v>0</v>
      </c>
      <c r="W42" s="75">
        <v>0.2</v>
      </c>
      <c r="X42" s="75">
        <f>IFERROR(VIEW_IV_2019_REP_CALCULO_TRI[[#This Row],[Demanda-BERINERT]]/VIEW_IV_2019_REP_CALCULO_TRI[[#This Row],[Cota-BERINERT]],0)</f>
        <v>0</v>
      </c>
      <c r="Y42" s="75">
        <f>IFERROR(VIEW_IV_2019_REP_CALCULO_TRI[[#This Row],[Demanda-BERIPLEX]]/VIEW_IV_2019_REP_CALCULO_TRI[[#This Row],[Cota-BERIPLEX]],0)</f>
        <v>8.4699453551912565E-2</v>
      </c>
      <c r="Z42" s="75">
        <f>IFERROR(VIEW_IV_2019_REP_CALCULO_TRI[[#This Row],[Demanda-HAEMO]]/VIEW_IV_2019_REP_CALCULO_TRI[[#This Row],[Cota-HAEMO]],0)</f>
        <v>5.1587301587301584E-2</v>
      </c>
      <c r="AA42" s="75">
        <f>IFERROR(VIEW_IV_2019_REP_CALCULO_TRI[[#This Row],[Demanda-HIZENTRA]]/VIEW_IV_2019_REP_CALCULO_TRI[[#This Row],[Cota-HIZENTRA]],0)</f>
        <v>0</v>
      </c>
      <c r="AB42" s="75">
        <f>IFERROR(VIEW_IV_2019_REP_CALCULO_TRI[[#This Row],[Demanda-PRIVIGEN]]/VIEW_IV_2019_REP_CALCULO_TRI[[#This Row],[Cota-PRIVIGEN]],0)</f>
        <v>3.3887043189368769E-2</v>
      </c>
      <c r="AC42" s="65">
        <f>(IF(VIEW_IV_2019_REP_CALCULO_TRI[[#This Row],[Cobertura-BERINERT]]&lt;Cob_Min_REP,0,IF(VIEW_IV_2019_REP_CALCULO_TRI[[#This Row],[Cobertura-BERINERT]]&gt;Cob_Max_REP,Vlr_Max_REP,VLOOKUP(VIEW_IV_2019_REP_CALCULO_TRI[[#This Row],[Cobertura-BERINERT]],Tabela_Valores_REP,2,1)))*VIEW_IV_2019_REP_CALCULO_TRI[[#This Row],[Peso-BERINERT]])*3</f>
        <v>0</v>
      </c>
      <c r="AD42" s="65">
        <f>(IF(VIEW_IV_2019_REP_CALCULO_TRI[[#This Row],[Cobertura-BERIPLEX]]&lt;Cob_Min_REP,0,IF(VIEW_IV_2019_REP_CALCULO_TRI[[#This Row],[Cobertura-BERIPLEX]]&gt;Cob_Max_REP,Vlr_Max_REP,VLOOKUP(VIEW_IV_2019_REP_CALCULO_TRI[[#This Row],[Cobertura-BERIPLEX]],Tabela_Valores_REP,2,1)))*VIEW_IV_2019_REP_CALCULO_TRI[[#This Row],[Peso-BERIPLEX]])*3</f>
        <v>0</v>
      </c>
      <c r="AE42" s="65">
        <f>(IF(VIEW_IV_2019_REP_CALCULO_TRI[[#This Row],[Cobertura-HAEMO]]&lt;Cob_Min_REP,0,IF(VIEW_IV_2019_REP_CALCULO_TRI[[#This Row],[Cobertura-HAEMO]]&gt;Cob_Max_REP,Vlr_Max_REP,VLOOKUP(VIEW_IV_2019_REP_CALCULO_TRI[[#This Row],[Cobertura-HAEMO]],Tabela_Valores_REP,2,1)))*VIEW_IV_2019_REP_CALCULO_TRI[[#This Row],[Peso-HAEMO]])*3</f>
        <v>0</v>
      </c>
      <c r="AF42" s="65">
        <f>(IF(VIEW_IV_2019_REP_CALCULO_TRI[[#This Row],[Cobertura-HIZENTRA]]&lt;Cob_Min_REP,0,IF(VIEW_IV_2019_REP_CALCULO_TRI[[#This Row],[Cobertura-HIZENTRA]]&gt;Cob_Max_REP,Vlr_Max_REP,VLOOKUP(VIEW_IV_2019_REP_CALCULO_TRI[[#This Row],[Cobertura-HIZENTRA]],Tabela_Valores_REP,2,1)))*VIEW_IV_2019_REP_CALCULO_TRI[[#This Row],[Peso-HIZENTRA]])*3</f>
        <v>0</v>
      </c>
      <c r="AG42" s="65">
        <f>(IF(VIEW_IV_2019_REP_CALCULO_TRI[[#This Row],[Cobertura-PRIVIGEN]]&lt;Cob_Min_REP,0,IF(VIEW_IV_2019_REP_CALCULO_TRI[[#This Row],[Cobertura-PRIVIGEN]]&gt;Cob_Max_REP,Vlr_Max_REP,VLOOKUP(VIEW_IV_2019_REP_CALCULO_TRI[[#This Row],[Cobertura-PRIVIGEN]],Tabela_Valores_REP,2,1)))*VIEW_IV_2019_REP_CALCULO_TRI[[#This Row],[Peso-PRIVIGEN]])*3</f>
        <v>0</v>
      </c>
      <c r="AH42" s="65">
        <f>SUMIFS(VIEW_IV_2019_REP_CALCULO[Premio-BERINERT],VIEW_IV_2019_REP_CALCULO[Ano-Fiscal],VIEW_IV_2019_REP_CALCULO_TRI[[#This Row],[Ano-Fiscal]],VIEW_IV_2019_REP_CALCULO[Tri-Fiscal],VIEW_IV_2019_REP_CALCULO_TRI[[#This Row],[Tri-Fiscal]],VIEW_IV_2019_REP_CALCULO['#PK-Email],VIEW_IV_2019_REP_CALCULO_TRI[[#This Row],['#PK-Email]])</f>
        <v>0</v>
      </c>
      <c r="AI42" s="65">
        <f>SUMIFS(VIEW_IV_2019_REP_CALCULO[Premio-BERIPLEX],VIEW_IV_2019_REP_CALCULO[Ano-Fiscal],VIEW_IV_2019_REP_CALCULO_TRI[[#This Row],[Ano-Fiscal]],VIEW_IV_2019_REP_CALCULO[Tri-Fiscal],VIEW_IV_2019_REP_CALCULO_TRI[[#This Row],[Tri-Fiscal]],VIEW_IV_2019_REP_CALCULO['#PK-Email],VIEW_IV_2019_REP_CALCULO_TRI[[#This Row],['#PK-Email]])</f>
        <v>0</v>
      </c>
      <c r="AJ42" s="65">
        <f>SUMIFS(VIEW_IV_2019_REP_CALCULO[Premio-HAEMO],VIEW_IV_2019_REP_CALCULO[Ano-Fiscal],VIEW_IV_2019_REP_CALCULO_TRI[[#This Row],[Ano-Fiscal]],VIEW_IV_2019_REP_CALCULO[Tri-Fiscal],VIEW_IV_2019_REP_CALCULO_TRI[[#This Row],[Tri-Fiscal]],VIEW_IV_2019_REP_CALCULO['#PK-Email],VIEW_IV_2019_REP_CALCULO_TRI[[#This Row],['#PK-Email]])</f>
        <v>0</v>
      </c>
      <c r="AK42" s="65">
        <f>SUMIFS(VIEW_IV_2019_REP_CALCULO[Premio-HIZENTRA],VIEW_IV_2019_REP_CALCULO[Ano-Fiscal],VIEW_IV_2019_REP_CALCULO_TRI[[#This Row],[Ano-Fiscal]],VIEW_IV_2019_REP_CALCULO[Tri-Fiscal],VIEW_IV_2019_REP_CALCULO_TRI[[#This Row],[Tri-Fiscal]],VIEW_IV_2019_REP_CALCULO['#PK-Email],VIEW_IV_2019_REP_CALCULO_TRI[[#This Row],['#PK-Email]])</f>
        <v>0</v>
      </c>
      <c r="AL42" s="65">
        <f>SUMIFS(VIEW_IV_2019_REP_CALCULO[Premio-PRIVIGEN],VIEW_IV_2019_REP_CALCULO[Ano-Fiscal],VIEW_IV_2019_REP_CALCULO_TRI[[#This Row],[Ano-Fiscal]],VIEW_IV_2019_REP_CALCULO[Tri-Fiscal],VIEW_IV_2019_REP_CALCULO_TRI[[#This Row],[Tri-Fiscal]],VIEW_IV_2019_REP_CALCULO['#PK-Email],VIEW_IV_2019_REP_CALCULO_TRI[[#This Row],['#PK-Email]])</f>
        <v>0</v>
      </c>
      <c r="AM42" s="65">
        <f>IF((VIEW_IV_2019_REP_CALCULO_TRI[[#This Row],[Premio-BERINERT]]-VIEW_IV_2019_REP_CALCULO_TRI[[#This Row],[Recebido-BERINERT]])&lt;=0,0,VIEW_IV_2019_REP_CALCULO_TRI[[#This Row],[Premio-BERINERT]]-VIEW_IV_2019_REP_CALCULO_TRI[[#This Row],[Recebido-BERINERT]])</f>
        <v>0</v>
      </c>
      <c r="AN42" s="65">
        <f>IF((VIEW_IV_2019_REP_CALCULO_TRI[[#This Row],[Premio-BERIPLEX]]-VIEW_IV_2019_REP_CALCULO_TRI[[#This Row],[Recebido-BERIPLEX]])&lt;=0,0,VIEW_IV_2019_REP_CALCULO_TRI[[#This Row],[Premio-BERIPLEX]]-VIEW_IV_2019_REP_CALCULO_TRI[[#This Row],[Recebido-BERIPLEX]])</f>
        <v>0</v>
      </c>
      <c r="AO42" s="65">
        <f>IF((VIEW_IV_2019_REP_CALCULO_TRI[[#This Row],[Premio-HAEMO]]-VIEW_IV_2019_REP_CALCULO_TRI[[#This Row],[Recebido-HAEMO]])&lt;=0,0,VIEW_IV_2019_REP_CALCULO_TRI[[#This Row],[Premio-HAEMO]]-VIEW_IV_2019_REP_CALCULO_TRI[[#This Row],[Recebido-HAEMO]])</f>
        <v>0</v>
      </c>
      <c r="AP42" s="65">
        <f>IF((VIEW_IV_2019_REP_CALCULO_TRI[[#This Row],[Premio-HIZENTRA]]-VIEW_IV_2019_REP_CALCULO_TRI[[#This Row],[Recebido-HIZENTRA]])&lt;=0,0,VIEW_IV_2019_REP_CALCULO_TRI[[#This Row],[Premio-HIZENTRA]]-VIEW_IV_2019_REP_CALCULO_TRI[[#This Row],[Recebido-HIZENTRA]])</f>
        <v>0</v>
      </c>
      <c r="AQ42" s="65">
        <f>IF((VIEW_IV_2019_REP_CALCULO_TRI[[#This Row],[Premio-PRIVIGEN]]-VIEW_IV_2019_REP_CALCULO_TRI[[#This Row],[Recebido-PRIVIGEN]])&lt;=0,0,VIEW_IV_2019_REP_CALCULO_TRI[[#This Row],[Premio-PRIVIGEN]]-VIEW_IV_2019_REP_CALCULO_TRI[[#This Row],[Recebido-PRIVIGEN]])</f>
        <v>0</v>
      </c>
      <c r="AR42" s="102">
        <f>SUM(VIEW_IV_2019_REP_CALCULO_TRI[[#This Row],[Recuperavel-BERINERT]:[Recuperavel-PRIVIGEN]])</f>
        <v>0</v>
      </c>
    </row>
    <row r="43" spans="1:44" x14ac:dyDescent="0.25">
      <c r="A43" s="7" t="s">
        <v>16</v>
      </c>
      <c r="B43" s="7" t="s">
        <v>66</v>
      </c>
      <c r="C43" s="8" t="s">
        <v>756</v>
      </c>
      <c r="D43" s="8" t="s">
        <v>757</v>
      </c>
      <c r="E43" s="8" t="s">
        <v>723</v>
      </c>
      <c r="F43" s="8" t="s">
        <v>787</v>
      </c>
      <c r="G43" s="3" t="b">
        <v>1</v>
      </c>
      <c r="H43" s="3" t="b">
        <v>1</v>
      </c>
      <c r="I43" s="10">
        <v>0</v>
      </c>
      <c r="J43" s="10">
        <v>427</v>
      </c>
      <c r="K43" s="10">
        <v>420</v>
      </c>
      <c r="L43" s="10">
        <v>0</v>
      </c>
      <c r="M43" s="10">
        <v>13545</v>
      </c>
      <c r="N43" s="10">
        <v>0</v>
      </c>
      <c r="O43" s="10">
        <v>36</v>
      </c>
      <c r="P43" s="10">
        <v>83</v>
      </c>
      <c r="Q43" s="10">
        <v>0</v>
      </c>
      <c r="R43" s="10">
        <v>25</v>
      </c>
      <c r="S43" s="75">
        <v>0</v>
      </c>
      <c r="T43" s="75">
        <v>0.25</v>
      </c>
      <c r="U43" s="75">
        <v>0.25</v>
      </c>
      <c r="V43" s="75">
        <v>0</v>
      </c>
      <c r="W43" s="75">
        <v>0.2</v>
      </c>
      <c r="X43" s="75">
        <f>IFERROR(VIEW_IV_2019_REP_CALCULO_TRI[[#This Row],[Demanda-BERINERT]]/VIEW_IV_2019_REP_CALCULO_TRI[[#This Row],[Cota-BERINERT]],0)</f>
        <v>0</v>
      </c>
      <c r="Y43" s="75">
        <f>IFERROR(VIEW_IV_2019_REP_CALCULO_TRI[[#This Row],[Demanda-BERIPLEX]]/VIEW_IV_2019_REP_CALCULO_TRI[[#This Row],[Cota-BERIPLEX]],0)</f>
        <v>8.4309133489461355E-2</v>
      </c>
      <c r="Z43" s="75">
        <f>IFERROR(VIEW_IV_2019_REP_CALCULO_TRI[[#This Row],[Demanda-HAEMO]]/VIEW_IV_2019_REP_CALCULO_TRI[[#This Row],[Cota-HAEMO]],0)</f>
        <v>0.19761904761904761</v>
      </c>
      <c r="AA43" s="75">
        <f>IFERROR(VIEW_IV_2019_REP_CALCULO_TRI[[#This Row],[Demanda-HIZENTRA]]/VIEW_IV_2019_REP_CALCULO_TRI[[#This Row],[Cota-HIZENTRA]],0)</f>
        <v>0</v>
      </c>
      <c r="AB43" s="75">
        <f>IFERROR(VIEW_IV_2019_REP_CALCULO_TRI[[#This Row],[Demanda-PRIVIGEN]]/VIEW_IV_2019_REP_CALCULO_TRI[[#This Row],[Cota-PRIVIGEN]],0)</f>
        <v>1.8456995201181247E-3</v>
      </c>
      <c r="AC43" s="65">
        <f>(IF(VIEW_IV_2019_REP_CALCULO_TRI[[#This Row],[Cobertura-BERINERT]]&lt;Cob_Min_REP,0,IF(VIEW_IV_2019_REP_CALCULO_TRI[[#This Row],[Cobertura-BERINERT]]&gt;Cob_Max_REP,Vlr_Max_REP,VLOOKUP(VIEW_IV_2019_REP_CALCULO_TRI[[#This Row],[Cobertura-BERINERT]],Tabela_Valores_REP,2,1)))*VIEW_IV_2019_REP_CALCULO_TRI[[#This Row],[Peso-BERINERT]])*3</f>
        <v>0</v>
      </c>
      <c r="AD43" s="65">
        <f>(IF(VIEW_IV_2019_REP_CALCULO_TRI[[#This Row],[Cobertura-BERIPLEX]]&lt;Cob_Min_REP,0,IF(VIEW_IV_2019_REP_CALCULO_TRI[[#This Row],[Cobertura-BERIPLEX]]&gt;Cob_Max_REP,Vlr_Max_REP,VLOOKUP(VIEW_IV_2019_REP_CALCULO_TRI[[#This Row],[Cobertura-BERIPLEX]],Tabela_Valores_REP,2,1)))*VIEW_IV_2019_REP_CALCULO_TRI[[#This Row],[Peso-BERIPLEX]])*3</f>
        <v>0</v>
      </c>
      <c r="AE43" s="65">
        <f>(IF(VIEW_IV_2019_REP_CALCULO_TRI[[#This Row],[Cobertura-HAEMO]]&lt;Cob_Min_REP,0,IF(VIEW_IV_2019_REP_CALCULO_TRI[[#This Row],[Cobertura-HAEMO]]&gt;Cob_Max_REP,Vlr_Max_REP,VLOOKUP(VIEW_IV_2019_REP_CALCULO_TRI[[#This Row],[Cobertura-HAEMO]],Tabela_Valores_REP,2,1)))*VIEW_IV_2019_REP_CALCULO_TRI[[#This Row],[Peso-HAEMO]])*3</f>
        <v>0</v>
      </c>
      <c r="AF43" s="65">
        <f>(IF(VIEW_IV_2019_REP_CALCULO_TRI[[#This Row],[Cobertura-HIZENTRA]]&lt;Cob_Min_REP,0,IF(VIEW_IV_2019_REP_CALCULO_TRI[[#This Row],[Cobertura-HIZENTRA]]&gt;Cob_Max_REP,Vlr_Max_REP,VLOOKUP(VIEW_IV_2019_REP_CALCULO_TRI[[#This Row],[Cobertura-HIZENTRA]],Tabela_Valores_REP,2,1)))*VIEW_IV_2019_REP_CALCULO_TRI[[#This Row],[Peso-HIZENTRA]])*3</f>
        <v>0</v>
      </c>
      <c r="AG43" s="65">
        <f>(IF(VIEW_IV_2019_REP_CALCULO_TRI[[#This Row],[Cobertura-PRIVIGEN]]&lt;Cob_Min_REP,0,IF(VIEW_IV_2019_REP_CALCULO_TRI[[#This Row],[Cobertura-PRIVIGEN]]&gt;Cob_Max_REP,Vlr_Max_REP,VLOOKUP(VIEW_IV_2019_REP_CALCULO_TRI[[#This Row],[Cobertura-PRIVIGEN]],Tabela_Valores_REP,2,1)))*VIEW_IV_2019_REP_CALCULO_TRI[[#This Row],[Peso-PRIVIGEN]])*3</f>
        <v>0</v>
      </c>
      <c r="AH43" s="65">
        <f>SUMIFS(VIEW_IV_2019_REP_CALCULO[Premio-BERINERT],VIEW_IV_2019_REP_CALCULO[Ano-Fiscal],VIEW_IV_2019_REP_CALCULO_TRI[[#This Row],[Ano-Fiscal]],VIEW_IV_2019_REP_CALCULO[Tri-Fiscal],VIEW_IV_2019_REP_CALCULO_TRI[[#This Row],[Tri-Fiscal]],VIEW_IV_2019_REP_CALCULO['#PK-Email],VIEW_IV_2019_REP_CALCULO_TRI[[#This Row],['#PK-Email]])</f>
        <v>0</v>
      </c>
      <c r="AI43" s="65">
        <f>SUMIFS(VIEW_IV_2019_REP_CALCULO[Premio-BERIPLEX],VIEW_IV_2019_REP_CALCULO[Ano-Fiscal],VIEW_IV_2019_REP_CALCULO_TRI[[#This Row],[Ano-Fiscal]],VIEW_IV_2019_REP_CALCULO[Tri-Fiscal],VIEW_IV_2019_REP_CALCULO_TRI[[#This Row],[Tri-Fiscal]],VIEW_IV_2019_REP_CALCULO['#PK-Email],VIEW_IV_2019_REP_CALCULO_TRI[[#This Row],['#PK-Email]])</f>
        <v>0</v>
      </c>
      <c r="AJ43" s="65">
        <f>SUMIFS(VIEW_IV_2019_REP_CALCULO[Premio-HAEMO],VIEW_IV_2019_REP_CALCULO[Ano-Fiscal],VIEW_IV_2019_REP_CALCULO_TRI[[#This Row],[Ano-Fiscal]],VIEW_IV_2019_REP_CALCULO[Tri-Fiscal],VIEW_IV_2019_REP_CALCULO_TRI[[#This Row],[Tri-Fiscal]],VIEW_IV_2019_REP_CALCULO['#PK-Email],VIEW_IV_2019_REP_CALCULO_TRI[[#This Row],['#PK-Email]])</f>
        <v>0</v>
      </c>
      <c r="AK43" s="65">
        <f>SUMIFS(VIEW_IV_2019_REP_CALCULO[Premio-HIZENTRA],VIEW_IV_2019_REP_CALCULO[Ano-Fiscal],VIEW_IV_2019_REP_CALCULO_TRI[[#This Row],[Ano-Fiscal]],VIEW_IV_2019_REP_CALCULO[Tri-Fiscal],VIEW_IV_2019_REP_CALCULO_TRI[[#This Row],[Tri-Fiscal]],VIEW_IV_2019_REP_CALCULO['#PK-Email],VIEW_IV_2019_REP_CALCULO_TRI[[#This Row],['#PK-Email]])</f>
        <v>0</v>
      </c>
      <c r="AL43" s="65">
        <f>SUMIFS(VIEW_IV_2019_REP_CALCULO[Premio-PRIVIGEN],VIEW_IV_2019_REP_CALCULO[Ano-Fiscal],VIEW_IV_2019_REP_CALCULO_TRI[[#This Row],[Ano-Fiscal]],VIEW_IV_2019_REP_CALCULO[Tri-Fiscal],VIEW_IV_2019_REP_CALCULO_TRI[[#This Row],[Tri-Fiscal]],VIEW_IV_2019_REP_CALCULO['#PK-Email],VIEW_IV_2019_REP_CALCULO_TRI[[#This Row],['#PK-Email]])</f>
        <v>0</v>
      </c>
      <c r="AM43" s="65">
        <f>IF((VIEW_IV_2019_REP_CALCULO_TRI[[#This Row],[Premio-BERINERT]]-VIEW_IV_2019_REP_CALCULO_TRI[[#This Row],[Recebido-BERINERT]])&lt;=0,0,VIEW_IV_2019_REP_CALCULO_TRI[[#This Row],[Premio-BERINERT]]-VIEW_IV_2019_REP_CALCULO_TRI[[#This Row],[Recebido-BERINERT]])</f>
        <v>0</v>
      </c>
      <c r="AN43" s="65">
        <f>IF((VIEW_IV_2019_REP_CALCULO_TRI[[#This Row],[Premio-BERIPLEX]]-VIEW_IV_2019_REP_CALCULO_TRI[[#This Row],[Recebido-BERIPLEX]])&lt;=0,0,VIEW_IV_2019_REP_CALCULO_TRI[[#This Row],[Premio-BERIPLEX]]-VIEW_IV_2019_REP_CALCULO_TRI[[#This Row],[Recebido-BERIPLEX]])</f>
        <v>0</v>
      </c>
      <c r="AO43" s="65">
        <f>IF((VIEW_IV_2019_REP_CALCULO_TRI[[#This Row],[Premio-HAEMO]]-VIEW_IV_2019_REP_CALCULO_TRI[[#This Row],[Recebido-HAEMO]])&lt;=0,0,VIEW_IV_2019_REP_CALCULO_TRI[[#This Row],[Premio-HAEMO]]-VIEW_IV_2019_REP_CALCULO_TRI[[#This Row],[Recebido-HAEMO]])</f>
        <v>0</v>
      </c>
      <c r="AP43" s="65">
        <f>IF((VIEW_IV_2019_REP_CALCULO_TRI[[#This Row],[Premio-HIZENTRA]]-VIEW_IV_2019_REP_CALCULO_TRI[[#This Row],[Recebido-HIZENTRA]])&lt;=0,0,VIEW_IV_2019_REP_CALCULO_TRI[[#This Row],[Premio-HIZENTRA]]-VIEW_IV_2019_REP_CALCULO_TRI[[#This Row],[Recebido-HIZENTRA]])</f>
        <v>0</v>
      </c>
      <c r="AQ43" s="65">
        <f>IF((VIEW_IV_2019_REP_CALCULO_TRI[[#This Row],[Premio-PRIVIGEN]]-VIEW_IV_2019_REP_CALCULO_TRI[[#This Row],[Recebido-PRIVIGEN]])&lt;=0,0,VIEW_IV_2019_REP_CALCULO_TRI[[#This Row],[Premio-PRIVIGEN]]-VIEW_IV_2019_REP_CALCULO_TRI[[#This Row],[Recebido-PRIVIGEN]])</f>
        <v>0</v>
      </c>
      <c r="AR43" s="102">
        <f>SUM(VIEW_IV_2019_REP_CALCULO_TRI[[#This Row],[Recuperavel-BERINERT]:[Recuperavel-PRIVIGEN]])</f>
        <v>0</v>
      </c>
    </row>
    <row r="44" spans="1:44" x14ac:dyDescent="0.25">
      <c r="A44" s="7" t="s">
        <v>16</v>
      </c>
      <c r="B44" s="7" t="s">
        <v>66</v>
      </c>
      <c r="C44" s="8" t="s">
        <v>760</v>
      </c>
      <c r="D44" s="8" t="s">
        <v>761</v>
      </c>
      <c r="E44" s="8" t="s">
        <v>723</v>
      </c>
      <c r="F44" s="8" t="s">
        <v>785</v>
      </c>
      <c r="G44" s="3" t="b">
        <v>1</v>
      </c>
      <c r="H44" s="3" t="b">
        <v>1</v>
      </c>
      <c r="I44" s="10">
        <v>0</v>
      </c>
      <c r="J44" s="10">
        <v>671</v>
      </c>
      <c r="K44" s="10">
        <v>504</v>
      </c>
      <c r="L44" s="10">
        <v>0</v>
      </c>
      <c r="M44" s="10">
        <v>12040</v>
      </c>
      <c r="N44" s="10">
        <v>0</v>
      </c>
      <c r="O44" s="10">
        <v>23</v>
      </c>
      <c r="P44" s="10">
        <v>33</v>
      </c>
      <c r="Q44" s="10">
        <v>0</v>
      </c>
      <c r="R44" s="10">
        <v>105</v>
      </c>
      <c r="S44" s="75">
        <v>0</v>
      </c>
      <c r="T44" s="75">
        <v>0.25</v>
      </c>
      <c r="U44" s="75">
        <v>0.25</v>
      </c>
      <c r="V44" s="75">
        <v>0</v>
      </c>
      <c r="W44" s="75">
        <v>0.2</v>
      </c>
      <c r="X44" s="75">
        <f>IFERROR(VIEW_IV_2019_REP_CALCULO_TRI[[#This Row],[Demanda-BERINERT]]/VIEW_IV_2019_REP_CALCULO_TRI[[#This Row],[Cota-BERINERT]],0)</f>
        <v>0</v>
      </c>
      <c r="Y44" s="75">
        <f>IFERROR(VIEW_IV_2019_REP_CALCULO_TRI[[#This Row],[Demanda-BERIPLEX]]/VIEW_IV_2019_REP_CALCULO_TRI[[#This Row],[Cota-BERIPLEX]],0)</f>
        <v>3.4277198211624442E-2</v>
      </c>
      <c r="Z44" s="75">
        <f>IFERROR(VIEW_IV_2019_REP_CALCULO_TRI[[#This Row],[Demanda-HAEMO]]/VIEW_IV_2019_REP_CALCULO_TRI[[#This Row],[Cota-HAEMO]],0)</f>
        <v>6.5476190476190479E-2</v>
      </c>
      <c r="AA44" s="75">
        <f>IFERROR(VIEW_IV_2019_REP_CALCULO_TRI[[#This Row],[Demanda-HIZENTRA]]/VIEW_IV_2019_REP_CALCULO_TRI[[#This Row],[Cota-HIZENTRA]],0)</f>
        <v>0</v>
      </c>
      <c r="AB44" s="75">
        <f>IFERROR(VIEW_IV_2019_REP_CALCULO_TRI[[#This Row],[Demanda-PRIVIGEN]]/VIEW_IV_2019_REP_CALCULO_TRI[[#This Row],[Cota-PRIVIGEN]],0)</f>
        <v>8.7209302325581394E-3</v>
      </c>
      <c r="AC44" s="65">
        <f>(IF(VIEW_IV_2019_REP_CALCULO_TRI[[#This Row],[Cobertura-BERINERT]]&lt;Cob_Min_REP,0,IF(VIEW_IV_2019_REP_CALCULO_TRI[[#This Row],[Cobertura-BERINERT]]&gt;Cob_Max_REP,Vlr_Max_REP,VLOOKUP(VIEW_IV_2019_REP_CALCULO_TRI[[#This Row],[Cobertura-BERINERT]],Tabela_Valores_REP,2,1)))*VIEW_IV_2019_REP_CALCULO_TRI[[#This Row],[Peso-BERINERT]])*3</f>
        <v>0</v>
      </c>
      <c r="AD44" s="65">
        <f>(IF(VIEW_IV_2019_REP_CALCULO_TRI[[#This Row],[Cobertura-BERIPLEX]]&lt;Cob_Min_REP,0,IF(VIEW_IV_2019_REP_CALCULO_TRI[[#This Row],[Cobertura-BERIPLEX]]&gt;Cob_Max_REP,Vlr_Max_REP,VLOOKUP(VIEW_IV_2019_REP_CALCULO_TRI[[#This Row],[Cobertura-BERIPLEX]],Tabela_Valores_REP,2,1)))*VIEW_IV_2019_REP_CALCULO_TRI[[#This Row],[Peso-BERIPLEX]])*3</f>
        <v>0</v>
      </c>
      <c r="AE44" s="65">
        <f>(IF(VIEW_IV_2019_REP_CALCULO_TRI[[#This Row],[Cobertura-HAEMO]]&lt;Cob_Min_REP,0,IF(VIEW_IV_2019_REP_CALCULO_TRI[[#This Row],[Cobertura-HAEMO]]&gt;Cob_Max_REP,Vlr_Max_REP,VLOOKUP(VIEW_IV_2019_REP_CALCULO_TRI[[#This Row],[Cobertura-HAEMO]],Tabela_Valores_REP,2,1)))*VIEW_IV_2019_REP_CALCULO_TRI[[#This Row],[Peso-HAEMO]])*3</f>
        <v>0</v>
      </c>
      <c r="AF44" s="65">
        <f>(IF(VIEW_IV_2019_REP_CALCULO_TRI[[#This Row],[Cobertura-HIZENTRA]]&lt;Cob_Min_REP,0,IF(VIEW_IV_2019_REP_CALCULO_TRI[[#This Row],[Cobertura-HIZENTRA]]&gt;Cob_Max_REP,Vlr_Max_REP,VLOOKUP(VIEW_IV_2019_REP_CALCULO_TRI[[#This Row],[Cobertura-HIZENTRA]],Tabela_Valores_REP,2,1)))*VIEW_IV_2019_REP_CALCULO_TRI[[#This Row],[Peso-HIZENTRA]])*3</f>
        <v>0</v>
      </c>
      <c r="AG44" s="65">
        <f>(IF(VIEW_IV_2019_REP_CALCULO_TRI[[#This Row],[Cobertura-PRIVIGEN]]&lt;Cob_Min_REP,0,IF(VIEW_IV_2019_REP_CALCULO_TRI[[#This Row],[Cobertura-PRIVIGEN]]&gt;Cob_Max_REP,Vlr_Max_REP,VLOOKUP(VIEW_IV_2019_REP_CALCULO_TRI[[#This Row],[Cobertura-PRIVIGEN]],Tabela_Valores_REP,2,1)))*VIEW_IV_2019_REP_CALCULO_TRI[[#This Row],[Peso-PRIVIGEN]])*3</f>
        <v>0</v>
      </c>
      <c r="AH44" s="65">
        <f>SUMIFS(VIEW_IV_2019_REP_CALCULO[Premio-BERINERT],VIEW_IV_2019_REP_CALCULO[Ano-Fiscal],VIEW_IV_2019_REP_CALCULO_TRI[[#This Row],[Ano-Fiscal]],VIEW_IV_2019_REP_CALCULO[Tri-Fiscal],VIEW_IV_2019_REP_CALCULO_TRI[[#This Row],[Tri-Fiscal]],VIEW_IV_2019_REP_CALCULO['#PK-Email],VIEW_IV_2019_REP_CALCULO_TRI[[#This Row],['#PK-Email]])</f>
        <v>0</v>
      </c>
      <c r="AI44" s="65">
        <f>SUMIFS(VIEW_IV_2019_REP_CALCULO[Premio-BERIPLEX],VIEW_IV_2019_REP_CALCULO[Ano-Fiscal],VIEW_IV_2019_REP_CALCULO_TRI[[#This Row],[Ano-Fiscal]],VIEW_IV_2019_REP_CALCULO[Tri-Fiscal],VIEW_IV_2019_REP_CALCULO_TRI[[#This Row],[Tri-Fiscal]],VIEW_IV_2019_REP_CALCULO['#PK-Email],VIEW_IV_2019_REP_CALCULO_TRI[[#This Row],['#PK-Email]])</f>
        <v>0</v>
      </c>
      <c r="AJ44" s="65">
        <f>SUMIFS(VIEW_IV_2019_REP_CALCULO[Premio-HAEMO],VIEW_IV_2019_REP_CALCULO[Ano-Fiscal],VIEW_IV_2019_REP_CALCULO_TRI[[#This Row],[Ano-Fiscal]],VIEW_IV_2019_REP_CALCULO[Tri-Fiscal],VIEW_IV_2019_REP_CALCULO_TRI[[#This Row],[Tri-Fiscal]],VIEW_IV_2019_REP_CALCULO['#PK-Email],VIEW_IV_2019_REP_CALCULO_TRI[[#This Row],['#PK-Email]])</f>
        <v>0</v>
      </c>
      <c r="AK44" s="65">
        <f>SUMIFS(VIEW_IV_2019_REP_CALCULO[Premio-HIZENTRA],VIEW_IV_2019_REP_CALCULO[Ano-Fiscal],VIEW_IV_2019_REP_CALCULO_TRI[[#This Row],[Ano-Fiscal]],VIEW_IV_2019_REP_CALCULO[Tri-Fiscal],VIEW_IV_2019_REP_CALCULO_TRI[[#This Row],[Tri-Fiscal]],VIEW_IV_2019_REP_CALCULO['#PK-Email],VIEW_IV_2019_REP_CALCULO_TRI[[#This Row],['#PK-Email]])</f>
        <v>0</v>
      </c>
      <c r="AL44" s="65">
        <f>SUMIFS(VIEW_IV_2019_REP_CALCULO[Premio-PRIVIGEN],VIEW_IV_2019_REP_CALCULO[Ano-Fiscal],VIEW_IV_2019_REP_CALCULO_TRI[[#This Row],[Ano-Fiscal]],VIEW_IV_2019_REP_CALCULO[Tri-Fiscal],VIEW_IV_2019_REP_CALCULO_TRI[[#This Row],[Tri-Fiscal]],VIEW_IV_2019_REP_CALCULO['#PK-Email],VIEW_IV_2019_REP_CALCULO_TRI[[#This Row],['#PK-Email]])</f>
        <v>0</v>
      </c>
      <c r="AM44" s="65">
        <f>IF((VIEW_IV_2019_REP_CALCULO_TRI[[#This Row],[Premio-BERINERT]]-VIEW_IV_2019_REP_CALCULO_TRI[[#This Row],[Recebido-BERINERT]])&lt;=0,0,VIEW_IV_2019_REP_CALCULO_TRI[[#This Row],[Premio-BERINERT]]-VIEW_IV_2019_REP_CALCULO_TRI[[#This Row],[Recebido-BERINERT]])</f>
        <v>0</v>
      </c>
      <c r="AN44" s="65">
        <f>IF((VIEW_IV_2019_REP_CALCULO_TRI[[#This Row],[Premio-BERIPLEX]]-VIEW_IV_2019_REP_CALCULO_TRI[[#This Row],[Recebido-BERIPLEX]])&lt;=0,0,VIEW_IV_2019_REP_CALCULO_TRI[[#This Row],[Premio-BERIPLEX]]-VIEW_IV_2019_REP_CALCULO_TRI[[#This Row],[Recebido-BERIPLEX]])</f>
        <v>0</v>
      </c>
      <c r="AO44" s="65">
        <f>IF((VIEW_IV_2019_REP_CALCULO_TRI[[#This Row],[Premio-HAEMO]]-VIEW_IV_2019_REP_CALCULO_TRI[[#This Row],[Recebido-HAEMO]])&lt;=0,0,VIEW_IV_2019_REP_CALCULO_TRI[[#This Row],[Premio-HAEMO]]-VIEW_IV_2019_REP_CALCULO_TRI[[#This Row],[Recebido-HAEMO]])</f>
        <v>0</v>
      </c>
      <c r="AP44" s="65">
        <f>IF((VIEW_IV_2019_REP_CALCULO_TRI[[#This Row],[Premio-HIZENTRA]]-VIEW_IV_2019_REP_CALCULO_TRI[[#This Row],[Recebido-HIZENTRA]])&lt;=0,0,VIEW_IV_2019_REP_CALCULO_TRI[[#This Row],[Premio-HIZENTRA]]-VIEW_IV_2019_REP_CALCULO_TRI[[#This Row],[Recebido-HIZENTRA]])</f>
        <v>0</v>
      </c>
      <c r="AQ44" s="65">
        <f>IF((VIEW_IV_2019_REP_CALCULO_TRI[[#This Row],[Premio-PRIVIGEN]]-VIEW_IV_2019_REP_CALCULO_TRI[[#This Row],[Recebido-PRIVIGEN]])&lt;=0,0,VIEW_IV_2019_REP_CALCULO_TRI[[#This Row],[Premio-PRIVIGEN]]-VIEW_IV_2019_REP_CALCULO_TRI[[#This Row],[Recebido-PRIVIGEN]])</f>
        <v>0</v>
      </c>
      <c r="AR44" s="102">
        <f>SUM(VIEW_IV_2019_REP_CALCULO_TRI[[#This Row],[Recuperavel-BERINERT]:[Recuperavel-PRIVIGEN]])</f>
        <v>0</v>
      </c>
    </row>
    <row r="45" spans="1:44" x14ac:dyDescent="0.25">
      <c r="A45" s="7" t="s">
        <v>16</v>
      </c>
      <c r="B45" s="7" t="s">
        <v>66</v>
      </c>
      <c r="C45" s="8" t="s">
        <v>762</v>
      </c>
      <c r="D45" s="8" t="s">
        <v>763</v>
      </c>
      <c r="E45" s="8" t="s">
        <v>723</v>
      </c>
      <c r="F45" s="8" t="s">
        <v>787</v>
      </c>
      <c r="G45" s="3" t="b">
        <v>1</v>
      </c>
      <c r="H45" s="3" t="b">
        <v>1</v>
      </c>
      <c r="I45" s="10">
        <v>0</v>
      </c>
      <c r="J45" s="10">
        <v>549</v>
      </c>
      <c r="K45" s="10">
        <v>294</v>
      </c>
      <c r="L45" s="10">
        <v>0</v>
      </c>
      <c r="M45" s="10">
        <v>16555</v>
      </c>
      <c r="N45" s="10">
        <v>0</v>
      </c>
      <c r="O45" s="10">
        <v>0</v>
      </c>
      <c r="P45" s="10">
        <v>10</v>
      </c>
      <c r="Q45" s="10">
        <v>0</v>
      </c>
      <c r="R45" s="10">
        <v>4160</v>
      </c>
      <c r="S45" s="75">
        <v>0</v>
      </c>
      <c r="T45" s="75">
        <v>0.25</v>
      </c>
      <c r="U45" s="75">
        <v>0.25</v>
      </c>
      <c r="V45" s="75">
        <v>0</v>
      </c>
      <c r="W45" s="75">
        <v>0.2</v>
      </c>
      <c r="X45" s="75">
        <f>IFERROR(VIEW_IV_2019_REP_CALCULO_TRI[[#This Row],[Demanda-BERINERT]]/VIEW_IV_2019_REP_CALCULO_TRI[[#This Row],[Cota-BERINERT]],0)</f>
        <v>0</v>
      </c>
      <c r="Y45" s="75">
        <f>IFERROR(VIEW_IV_2019_REP_CALCULO_TRI[[#This Row],[Demanda-BERIPLEX]]/VIEW_IV_2019_REP_CALCULO_TRI[[#This Row],[Cota-BERIPLEX]],0)</f>
        <v>0</v>
      </c>
      <c r="Z45" s="75">
        <f>IFERROR(VIEW_IV_2019_REP_CALCULO_TRI[[#This Row],[Demanda-HAEMO]]/VIEW_IV_2019_REP_CALCULO_TRI[[#This Row],[Cota-HAEMO]],0)</f>
        <v>3.4013605442176874E-2</v>
      </c>
      <c r="AA45" s="75">
        <f>IFERROR(VIEW_IV_2019_REP_CALCULO_TRI[[#This Row],[Demanda-HIZENTRA]]/VIEW_IV_2019_REP_CALCULO_TRI[[#This Row],[Cota-HIZENTRA]],0)</f>
        <v>0</v>
      </c>
      <c r="AB45" s="75">
        <f>IFERROR(VIEW_IV_2019_REP_CALCULO_TRI[[#This Row],[Demanda-PRIVIGEN]]/VIEW_IV_2019_REP_CALCULO_TRI[[#This Row],[Cota-PRIVIGEN]],0)</f>
        <v>0.25128360012080941</v>
      </c>
      <c r="AC45" s="65">
        <f>(IF(VIEW_IV_2019_REP_CALCULO_TRI[[#This Row],[Cobertura-BERINERT]]&lt;Cob_Min_REP,0,IF(VIEW_IV_2019_REP_CALCULO_TRI[[#This Row],[Cobertura-BERINERT]]&gt;Cob_Max_REP,Vlr_Max_REP,VLOOKUP(VIEW_IV_2019_REP_CALCULO_TRI[[#This Row],[Cobertura-BERINERT]],Tabela_Valores_REP,2,1)))*VIEW_IV_2019_REP_CALCULO_TRI[[#This Row],[Peso-BERINERT]])*3</f>
        <v>0</v>
      </c>
      <c r="AD45" s="65">
        <f>(IF(VIEW_IV_2019_REP_CALCULO_TRI[[#This Row],[Cobertura-BERIPLEX]]&lt;Cob_Min_REP,0,IF(VIEW_IV_2019_REP_CALCULO_TRI[[#This Row],[Cobertura-BERIPLEX]]&gt;Cob_Max_REP,Vlr_Max_REP,VLOOKUP(VIEW_IV_2019_REP_CALCULO_TRI[[#This Row],[Cobertura-BERIPLEX]],Tabela_Valores_REP,2,1)))*VIEW_IV_2019_REP_CALCULO_TRI[[#This Row],[Peso-BERIPLEX]])*3</f>
        <v>0</v>
      </c>
      <c r="AE45" s="65">
        <f>(IF(VIEW_IV_2019_REP_CALCULO_TRI[[#This Row],[Cobertura-HAEMO]]&lt;Cob_Min_REP,0,IF(VIEW_IV_2019_REP_CALCULO_TRI[[#This Row],[Cobertura-HAEMO]]&gt;Cob_Max_REP,Vlr_Max_REP,VLOOKUP(VIEW_IV_2019_REP_CALCULO_TRI[[#This Row],[Cobertura-HAEMO]],Tabela_Valores_REP,2,1)))*VIEW_IV_2019_REP_CALCULO_TRI[[#This Row],[Peso-HAEMO]])*3</f>
        <v>0</v>
      </c>
      <c r="AF45" s="65">
        <f>(IF(VIEW_IV_2019_REP_CALCULO_TRI[[#This Row],[Cobertura-HIZENTRA]]&lt;Cob_Min_REP,0,IF(VIEW_IV_2019_REP_CALCULO_TRI[[#This Row],[Cobertura-HIZENTRA]]&gt;Cob_Max_REP,Vlr_Max_REP,VLOOKUP(VIEW_IV_2019_REP_CALCULO_TRI[[#This Row],[Cobertura-HIZENTRA]],Tabela_Valores_REP,2,1)))*VIEW_IV_2019_REP_CALCULO_TRI[[#This Row],[Peso-HIZENTRA]])*3</f>
        <v>0</v>
      </c>
      <c r="AG45" s="65">
        <f>(IF(VIEW_IV_2019_REP_CALCULO_TRI[[#This Row],[Cobertura-PRIVIGEN]]&lt;Cob_Min_REP,0,IF(VIEW_IV_2019_REP_CALCULO_TRI[[#This Row],[Cobertura-PRIVIGEN]]&gt;Cob_Max_REP,Vlr_Max_REP,VLOOKUP(VIEW_IV_2019_REP_CALCULO_TRI[[#This Row],[Cobertura-PRIVIGEN]],Tabela_Valores_REP,2,1)))*VIEW_IV_2019_REP_CALCULO_TRI[[#This Row],[Peso-PRIVIGEN]])*3</f>
        <v>0</v>
      </c>
      <c r="AH45" s="65">
        <f>SUMIFS(VIEW_IV_2019_REP_CALCULO[Premio-BERINERT],VIEW_IV_2019_REP_CALCULO[Ano-Fiscal],VIEW_IV_2019_REP_CALCULO_TRI[[#This Row],[Ano-Fiscal]],VIEW_IV_2019_REP_CALCULO[Tri-Fiscal],VIEW_IV_2019_REP_CALCULO_TRI[[#This Row],[Tri-Fiscal]],VIEW_IV_2019_REP_CALCULO['#PK-Email],VIEW_IV_2019_REP_CALCULO_TRI[[#This Row],['#PK-Email]])</f>
        <v>0</v>
      </c>
      <c r="AI45" s="65">
        <f>SUMIFS(VIEW_IV_2019_REP_CALCULO[Premio-BERIPLEX],VIEW_IV_2019_REP_CALCULO[Ano-Fiscal],VIEW_IV_2019_REP_CALCULO_TRI[[#This Row],[Ano-Fiscal]],VIEW_IV_2019_REP_CALCULO[Tri-Fiscal],VIEW_IV_2019_REP_CALCULO_TRI[[#This Row],[Tri-Fiscal]],VIEW_IV_2019_REP_CALCULO['#PK-Email],VIEW_IV_2019_REP_CALCULO_TRI[[#This Row],['#PK-Email]])</f>
        <v>0</v>
      </c>
      <c r="AJ45" s="65">
        <f>SUMIFS(VIEW_IV_2019_REP_CALCULO[Premio-HAEMO],VIEW_IV_2019_REP_CALCULO[Ano-Fiscal],VIEW_IV_2019_REP_CALCULO_TRI[[#This Row],[Ano-Fiscal]],VIEW_IV_2019_REP_CALCULO[Tri-Fiscal],VIEW_IV_2019_REP_CALCULO_TRI[[#This Row],[Tri-Fiscal]],VIEW_IV_2019_REP_CALCULO['#PK-Email],VIEW_IV_2019_REP_CALCULO_TRI[[#This Row],['#PK-Email]])</f>
        <v>0</v>
      </c>
      <c r="AK45" s="65">
        <f>SUMIFS(VIEW_IV_2019_REP_CALCULO[Premio-HIZENTRA],VIEW_IV_2019_REP_CALCULO[Ano-Fiscal],VIEW_IV_2019_REP_CALCULO_TRI[[#This Row],[Ano-Fiscal]],VIEW_IV_2019_REP_CALCULO[Tri-Fiscal],VIEW_IV_2019_REP_CALCULO_TRI[[#This Row],[Tri-Fiscal]],VIEW_IV_2019_REP_CALCULO['#PK-Email],VIEW_IV_2019_REP_CALCULO_TRI[[#This Row],['#PK-Email]])</f>
        <v>0</v>
      </c>
      <c r="AL45" s="65">
        <f>SUMIFS(VIEW_IV_2019_REP_CALCULO[Premio-PRIVIGEN],VIEW_IV_2019_REP_CALCULO[Ano-Fiscal],VIEW_IV_2019_REP_CALCULO_TRI[[#This Row],[Ano-Fiscal]],VIEW_IV_2019_REP_CALCULO[Tri-Fiscal],VIEW_IV_2019_REP_CALCULO_TRI[[#This Row],[Tri-Fiscal]],VIEW_IV_2019_REP_CALCULO['#PK-Email],VIEW_IV_2019_REP_CALCULO_TRI[[#This Row],['#PK-Email]])</f>
        <v>0</v>
      </c>
      <c r="AM45" s="65">
        <f>IF((VIEW_IV_2019_REP_CALCULO_TRI[[#This Row],[Premio-BERINERT]]-VIEW_IV_2019_REP_CALCULO_TRI[[#This Row],[Recebido-BERINERT]])&lt;=0,0,VIEW_IV_2019_REP_CALCULO_TRI[[#This Row],[Premio-BERINERT]]-VIEW_IV_2019_REP_CALCULO_TRI[[#This Row],[Recebido-BERINERT]])</f>
        <v>0</v>
      </c>
      <c r="AN45" s="65">
        <f>IF((VIEW_IV_2019_REP_CALCULO_TRI[[#This Row],[Premio-BERIPLEX]]-VIEW_IV_2019_REP_CALCULO_TRI[[#This Row],[Recebido-BERIPLEX]])&lt;=0,0,VIEW_IV_2019_REP_CALCULO_TRI[[#This Row],[Premio-BERIPLEX]]-VIEW_IV_2019_REP_CALCULO_TRI[[#This Row],[Recebido-BERIPLEX]])</f>
        <v>0</v>
      </c>
      <c r="AO45" s="65">
        <f>IF((VIEW_IV_2019_REP_CALCULO_TRI[[#This Row],[Premio-HAEMO]]-VIEW_IV_2019_REP_CALCULO_TRI[[#This Row],[Recebido-HAEMO]])&lt;=0,0,VIEW_IV_2019_REP_CALCULO_TRI[[#This Row],[Premio-HAEMO]]-VIEW_IV_2019_REP_CALCULO_TRI[[#This Row],[Recebido-HAEMO]])</f>
        <v>0</v>
      </c>
      <c r="AP45" s="65">
        <f>IF((VIEW_IV_2019_REP_CALCULO_TRI[[#This Row],[Premio-HIZENTRA]]-VIEW_IV_2019_REP_CALCULO_TRI[[#This Row],[Recebido-HIZENTRA]])&lt;=0,0,VIEW_IV_2019_REP_CALCULO_TRI[[#This Row],[Premio-HIZENTRA]]-VIEW_IV_2019_REP_CALCULO_TRI[[#This Row],[Recebido-HIZENTRA]])</f>
        <v>0</v>
      </c>
      <c r="AQ45" s="65">
        <f>IF((VIEW_IV_2019_REP_CALCULO_TRI[[#This Row],[Premio-PRIVIGEN]]-VIEW_IV_2019_REP_CALCULO_TRI[[#This Row],[Recebido-PRIVIGEN]])&lt;=0,0,VIEW_IV_2019_REP_CALCULO_TRI[[#This Row],[Premio-PRIVIGEN]]-VIEW_IV_2019_REP_CALCULO_TRI[[#This Row],[Recebido-PRIVIGEN]])</f>
        <v>0</v>
      </c>
      <c r="AR45" s="102">
        <f>SUM(VIEW_IV_2019_REP_CALCULO_TRI[[#This Row],[Recuperavel-BERINERT]:[Recuperavel-PRIVIGEN]])</f>
        <v>0</v>
      </c>
    </row>
  </sheetData>
  <conditionalFormatting sqref="I1:R1">
    <cfRule type="cellIs" dxfId="230" priority="5" operator="equal">
      <formula>"erro"</formula>
    </cfRule>
    <cfRule type="cellIs" dxfId="229" priority="6" operator="equal">
      <formula>"ok"</formula>
    </cfRule>
  </conditionalFormatting>
  <conditionalFormatting sqref="X1:AB1">
    <cfRule type="cellIs" dxfId="228" priority="3" operator="equal">
      <formula>"erro"</formula>
    </cfRule>
    <cfRule type="cellIs" dxfId="227" priority="4" operator="equal">
      <formula>"ok"</formula>
    </cfRule>
  </conditionalFormatting>
  <conditionalFormatting sqref="AH1:AL1">
    <cfRule type="cellIs" dxfId="226" priority="1" operator="equal">
      <formula>"erro"</formula>
    </cfRule>
    <cfRule type="cellIs" dxfId="225" priority="2" operator="equal">
      <formula>"ok"</formula>
    </cfRule>
  </conditionalFormatting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0D7202-5C1E-4B3F-9ED4-B08EDE0A10B7}">
  <sheetPr>
    <tabColor theme="9" tint="0.39997558519241921"/>
  </sheetPr>
  <dimension ref="A1:S61"/>
  <sheetViews>
    <sheetView showGridLines="0" workbookViewId="0">
      <pane xSplit="5" ySplit="5" topLeftCell="L52" activePane="bottomRight" state="frozen"/>
      <selection pane="topRight" activeCell="F1" sqref="F1"/>
      <selection pane="bottomLeft" activeCell="A6" sqref="A6"/>
      <selection pane="bottomRight" activeCell="R1" sqref="R1"/>
    </sheetView>
  </sheetViews>
  <sheetFormatPr defaultRowHeight="15" x14ac:dyDescent="0.25"/>
  <cols>
    <col min="1" max="1" width="11" style="6" bestFit="1" customWidth="1"/>
    <col min="2" max="2" width="11.140625" style="6" bestFit="1" customWidth="1"/>
    <col min="3" max="3" width="9.85546875" style="3" bestFit="1" customWidth="1"/>
    <col min="4" max="4" width="32.42578125" style="3" bestFit="1" customWidth="1"/>
    <col min="5" max="5" width="46.85546875" style="3" bestFit="1" customWidth="1"/>
    <col min="6" max="6" width="12" style="3" bestFit="1" customWidth="1"/>
    <col min="7" max="7" width="9.7109375" style="3" bestFit="1" customWidth="1"/>
    <col min="8" max="8" width="9.5703125" style="3" bestFit="1" customWidth="1"/>
    <col min="9" max="9" width="24.85546875" style="3" bestFit="1" customWidth="1"/>
    <col min="10" max="11" width="11" style="3" bestFit="1" customWidth="1"/>
    <col min="12" max="12" width="13.140625" style="3" bestFit="1" customWidth="1"/>
    <col min="13" max="14" width="11.28515625" style="3" bestFit="1" customWidth="1"/>
    <col min="15" max="15" width="14.85546875" style="3" bestFit="1" customWidth="1"/>
    <col min="16" max="16" width="16.85546875" style="3" bestFit="1" customWidth="1"/>
    <col min="17" max="17" width="17" style="3" bestFit="1" customWidth="1"/>
    <col min="18" max="18" width="16.85546875" style="3" bestFit="1" customWidth="1"/>
    <col min="19" max="19" width="14.5703125" bestFit="1" customWidth="1"/>
    <col min="20" max="20" width="12.42578125" style="3" bestFit="1" customWidth="1"/>
    <col min="21" max="21" width="30.7109375" style="3" bestFit="1" customWidth="1"/>
    <col min="22" max="22" width="29.140625" style="3" bestFit="1" customWidth="1"/>
    <col min="23" max="23" width="12.42578125" style="3" bestFit="1" customWidth="1"/>
    <col min="24" max="24" width="14.7109375" style="3" bestFit="1" customWidth="1"/>
    <col min="25" max="26" width="12.7109375" style="3" bestFit="1" customWidth="1"/>
    <col min="27" max="27" width="17" style="3" bestFit="1" customWidth="1"/>
    <col min="28" max="28" width="19.28515625" style="3" bestFit="1" customWidth="1"/>
    <col min="29" max="29" width="11.42578125" style="3" bestFit="1" customWidth="1"/>
    <col min="30" max="30" width="18.85546875" style="3" bestFit="1" customWidth="1"/>
    <col min="31" max="16384" width="9.140625" style="3"/>
  </cols>
  <sheetData>
    <row r="1" spans="1:18" ht="15.75" x14ac:dyDescent="0.25">
      <c r="A1" s="49" t="s">
        <v>952</v>
      </c>
      <c r="B1" s="3"/>
      <c r="R1" s="79">
        <v>0.05</v>
      </c>
    </row>
    <row r="2" spans="1:18" x14ac:dyDescent="0.25">
      <c r="A2" s="63" t="s">
        <v>901</v>
      </c>
      <c r="B2" s="3"/>
      <c r="R2" s="78">
        <f>SUM(VIEW_IV_2019_VISITAS_REP[Visitas-Premio])</f>
        <v>4332.9363885712455</v>
      </c>
    </row>
    <row r="3" spans="1:18" x14ac:dyDescent="0.25">
      <c r="R3" s="60">
        <f>SUBTOTAL(9,VIEW_IV_2019_VISITAS_REP[Visitas-Premio])</f>
        <v>4332.9363885712455</v>
      </c>
    </row>
    <row r="5" spans="1:18" x14ac:dyDescent="0.25">
      <c r="A5" s="3" t="s">
        <v>2</v>
      </c>
      <c r="B5" s="3" t="s">
        <v>3</v>
      </c>
      <c r="C5" s="3" t="s">
        <v>4</v>
      </c>
      <c r="D5" s="3" t="s">
        <v>708</v>
      </c>
      <c r="E5" s="3" t="s">
        <v>709</v>
      </c>
      <c r="F5" s="3" t="s">
        <v>712</v>
      </c>
      <c r="G5" s="3" t="s">
        <v>713</v>
      </c>
      <c r="H5" s="3" t="s">
        <v>714</v>
      </c>
      <c r="I5" s="3" t="s">
        <v>783</v>
      </c>
      <c r="J5" s="3" t="s">
        <v>950</v>
      </c>
      <c r="K5" s="3" t="s">
        <v>945</v>
      </c>
      <c r="L5" s="3" t="s">
        <v>946</v>
      </c>
      <c r="M5" s="3" t="s">
        <v>947</v>
      </c>
      <c r="N5" s="3" t="s">
        <v>948</v>
      </c>
      <c r="O5" s="3" t="s">
        <v>942</v>
      </c>
      <c r="P5" s="3" t="s">
        <v>943</v>
      </c>
      <c r="Q5" s="3" t="s">
        <v>949</v>
      </c>
      <c r="R5" s="36" t="s">
        <v>951</v>
      </c>
    </row>
    <row r="6" spans="1:18" x14ac:dyDescent="0.25">
      <c r="A6" s="7" t="s">
        <v>16</v>
      </c>
      <c r="B6" s="7" t="s">
        <v>17</v>
      </c>
      <c r="C6" s="7" t="s">
        <v>18</v>
      </c>
      <c r="D6" s="8" t="s">
        <v>720</v>
      </c>
      <c r="E6" s="8" t="s">
        <v>721</v>
      </c>
      <c r="F6" s="8" t="s">
        <v>723</v>
      </c>
      <c r="G6" s="14" t="b">
        <v>1</v>
      </c>
      <c r="H6" s="14" t="b">
        <v>1</v>
      </c>
      <c r="I6" s="8" t="s">
        <v>785</v>
      </c>
      <c r="J6" s="14" t="b">
        <v>0</v>
      </c>
      <c r="K6" s="6">
        <v>23</v>
      </c>
      <c r="L6" s="6">
        <v>3</v>
      </c>
      <c r="M6" s="6">
        <v>20</v>
      </c>
      <c r="N6" s="6">
        <v>8</v>
      </c>
      <c r="O6" s="6">
        <v>160</v>
      </c>
      <c r="P6" s="6">
        <v>2</v>
      </c>
      <c r="Q6" s="75">
        <v>1.2500000000000001E-2</v>
      </c>
      <c r="R6" s="102">
        <f>(IF(VIEW_IV_2019_VISITAS_REP[[#This Row],[Visitas-Cobertura]]&lt;Cob_Min_REP,0,IF(VIEW_IV_2019_VISITAS_REP[[#This Row],[Visitas-Cobertura]]&gt;Cob_100_REP,Vlr_100_REP,VLOOKUP(VIEW_IV_2019_VISITAS_REP[[#This Row],[Visitas-Cobertura]],Tabela_Valores_REP,2,1)))*R$1)</f>
        <v>0</v>
      </c>
    </row>
    <row r="7" spans="1:18" x14ac:dyDescent="0.25">
      <c r="A7" s="7" t="s">
        <v>16</v>
      </c>
      <c r="B7" s="7" t="s">
        <v>17</v>
      </c>
      <c r="C7" s="7" t="s">
        <v>18</v>
      </c>
      <c r="D7" s="8" t="s">
        <v>724</v>
      </c>
      <c r="E7" s="8" t="s">
        <v>725</v>
      </c>
      <c r="F7" s="8" t="s">
        <v>723</v>
      </c>
      <c r="G7" s="14" t="b">
        <v>1</v>
      </c>
      <c r="H7" s="14" t="b">
        <v>1</v>
      </c>
      <c r="I7" s="8" t="s">
        <v>787</v>
      </c>
      <c r="J7" s="14" t="b">
        <v>0</v>
      </c>
      <c r="K7" s="6">
        <v>23</v>
      </c>
      <c r="L7" s="6">
        <v>5</v>
      </c>
      <c r="M7" s="6">
        <v>18</v>
      </c>
      <c r="N7" s="6">
        <v>8</v>
      </c>
      <c r="O7" s="6">
        <v>144</v>
      </c>
      <c r="P7" s="6">
        <v>96</v>
      </c>
      <c r="Q7" s="75">
        <v>0.66666666666666663</v>
      </c>
      <c r="R7" s="102">
        <f>(IF(VIEW_IV_2019_VISITAS_REP[[#This Row],[Visitas-Cobertura]]&lt;Cob_Min_REP,0,IF(VIEW_IV_2019_VISITAS_REP[[#This Row],[Visitas-Cobertura]]&gt;Cob_100_REP,Vlr_100_REP,VLOOKUP(VIEW_IV_2019_VISITAS_REP[[#This Row],[Visitas-Cobertura]],Tabela_Valores_REP,2,1)))*R$1)</f>
        <v>0</v>
      </c>
    </row>
    <row r="8" spans="1:18" x14ac:dyDescent="0.25">
      <c r="A8" s="7" t="s">
        <v>16</v>
      </c>
      <c r="B8" s="7" t="s">
        <v>17</v>
      </c>
      <c r="C8" s="7" t="s">
        <v>18</v>
      </c>
      <c r="D8" s="8" t="s">
        <v>726</v>
      </c>
      <c r="E8" s="8" t="s">
        <v>727</v>
      </c>
      <c r="F8" s="8" t="s">
        <v>723</v>
      </c>
      <c r="G8" s="14" t="b">
        <v>1</v>
      </c>
      <c r="H8" s="14" t="b">
        <v>1</v>
      </c>
      <c r="I8" s="8" t="s">
        <v>787</v>
      </c>
      <c r="J8" s="14" t="b">
        <v>0</v>
      </c>
      <c r="K8" s="6">
        <v>23</v>
      </c>
      <c r="L8" s="6">
        <v>3</v>
      </c>
      <c r="M8" s="6">
        <v>20</v>
      </c>
      <c r="N8" s="6">
        <v>8</v>
      </c>
      <c r="O8" s="6">
        <v>160</v>
      </c>
      <c r="P8" s="6">
        <v>111</v>
      </c>
      <c r="Q8" s="75">
        <v>0.69374999999999998</v>
      </c>
      <c r="R8" s="102">
        <f>(IF(VIEW_IV_2019_VISITAS_REP[[#This Row],[Visitas-Cobertura]]&lt;Cob_Min_REP,0,IF(VIEW_IV_2019_VISITAS_REP[[#This Row],[Visitas-Cobertura]]&gt;Cob_100_REP,Vlr_100_REP,VLOOKUP(VIEW_IV_2019_VISITAS_REP[[#This Row],[Visitas-Cobertura]],Tabela_Valores_REP,2,1)))*R$1)</f>
        <v>0</v>
      </c>
    </row>
    <row r="9" spans="1:18" x14ac:dyDescent="0.25">
      <c r="A9" s="7" t="s">
        <v>16</v>
      </c>
      <c r="B9" s="7" t="s">
        <v>17</v>
      </c>
      <c r="C9" s="7" t="s">
        <v>18</v>
      </c>
      <c r="D9" s="8" t="s">
        <v>728</v>
      </c>
      <c r="E9" s="8" t="s">
        <v>729</v>
      </c>
      <c r="F9" s="8" t="s">
        <v>730</v>
      </c>
      <c r="G9" s="14" t="b">
        <v>1</v>
      </c>
      <c r="H9" s="14" t="b">
        <v>1</v>
      </c>
      <c r="I9" s="8" t="s">
        <v>787</v>
      </c>
      <c r="J9" s="14" t="b">
        <v>0</v>
      </c>
      <c r="K9" s="6">
        <v>23</v>
      </c>
      <c r="L9" s="6">
        <v>3</v>
      </c>
      <c r="M9" s="6">
        <v>20</v>
      </c>
      <c r="N9" s="6">
        <v>6</v>
      </c>
      <c r="O9" s="6">
        <v>120</v>
      </c>
      <c r="P9" s="6">
        <v>74</v>
      </c>
      <c r="Q9" s="75">
        <v>0.61666666666666659</v>
      </c>
      <c r="R9" s="102">
        <f>(IF(VIEW_IV_2019_VISITAS_REP[[#This Row],[Visitas-Cobertura]]&lt;Cob_Min_REP,0,IF(VIEW_IV_2019_VISITAS_REP[[#This Row],[Visitas-Cobertura]]&gt;Cob_100_REP,Vlr_100_REP,VLOOKUP(VIEW_IV_2019_VISITAS_REP[[#This Row],[Visitas-Cobertura]],Tabela_Valores_REP,2,1)))*R$1)</f>
        <v>0</v>
      </c>
    </row>
    <row r="10" spans="1:18" x14ac:dyDescent="0.25">
      <c r="A10" s="7" t="s">
        <v>16</v>
      </c>
      <c r="B10" s="7" t="s">
        <v>17</v>
      </c>
      <c r="C10" s="7" t="s">
        <v>18</v>
      </c>
      <c r="D10" s="8" t="s">
        <v>733</v>
      </c>
      <c r="E10" s="8" t="s">
        <v>734</v>
      </c>
      <c r="F10" s="8" t="s">
        <v>730</v>
      </c>
      <c r="G10" s="14" t="b">
        <v>1</v>
      </c>
      <c r="H10" s="14" t="b">
        <v>1</v>
      </c>
      <c r="I10" s="8" t="s">
        <v>785</v>
      </c>
      <c r="J10" s="14" t="b">
        <v>0</v>
      </c>
      <c r="K10" s="6">
        <v>23</v>
      </c>
      <c r="L10" s="6">
        <v>6</v>
      </c>
      <c r="M10" s="6">
        <v>17</v>
      </c>
      <c r="N10" s="6">
        <v>6</v>
      </c>
      <c r="O10" s="6">
        <v>102</v>
      </c>
      <c r="P10" s="6">
        <v>66</v>
      </c>
      <c r="Q10" s="75">
        <v>0.6470588235294118</v>
      </c>
      <c r="R10" s="102">
        <f>(IF(VIEW_IV_2019_VISITAS_REP[[#This Row],[Visitas-Cobertura]]&lt;Cob_Min_REP,0,IF(VIEW_IV_2019_VISITAS_REP[[#This Row],[Visitas-Cobertura]]&gt;Cob_100_REP,Vlr_100_REP,VLOOKUP(VIEW_IV_2019_VISITAS_REP[[#This Row],[Visitas-Cobertura]],Tabela_Valores_REP,2,1)))*R$1)</f>
        <v>0</v>
      </c>
    </row>
    <row r="11" spans="1:18" x14ac:dyDescent="0.25">
      <c r="A11" s="7" t="s">
        <v>16</v>
      </c>
      <c r="B11" s="7" t="s">
        <v>17</v>
      </c>
      <c r="C11" s="7" t="s">
        <v>18</v>
      </c>
      <c r="D11" s="8" t="s">
        <v>735</v>
      </c>
      <c r="E11" s="8" t="s">
        <v>736</v>
      </c>
      <c r="F11" s="8" t="s">
        <v>723</v>
      </c>
      <c r="G11" s="14" t="b">
        <v>1</v>
      </c>
      <c r="H11" s="14" t="b">
        <v>1</v>
      </c>
      <c r="I11" s="8" t="s">
        <v>785</v>
      </c>
      <c r="J11" s="14" t="b">
        <v>0</v>
      </c>
      <c r="K11" s="6">
        <v>23</v>
      </c>
      <c r="L11" s="6">
        <v>5</v>
      </c>
      <c r="M11" s="6">
        <v>18</v>
      </c>
      <c r="N11" s="6">
        <v>8</v>
      </c>
      <c r="O11" s="6">
        <v>144</v>
      </c>
      <c r="P11" s="6">
        <v>19</v>
      </c>
      <c r="Q11" s="75">
        <v>0.13194444444444445</v>
      </c>
      <c r="R11" s="102">
        <f>(IF(VIEW_IV_2019_VISITAS_REP[[#This Row],[Visitas-Cobertura]]&lt;Cob_Min_REP,0,IF(VIEW_IV_2019_VISITAS_REP[[#This Row],[Visitas-Cobertura]]&gt;Cob_100_REP,Vlr_100_REP,VLOOKUP(VIEW_IV_2019_VISITAS_REP[[#This Row],[Visitas-Cobertura]],Tabela_Valores_REP,2,1)))*R$1)</f>
        <v>0</v>
      </c>
    </row>
    <row r="12" spans="1:18" x14ac:dyDescent="0.25">
      <c r="A12" s="7" t="s">
        <v>16</v>
      </c>
      <c r="B12" s="7" t="s">
        <v>17</v>
      </c>
      <c r="C12" s="7" t="s">
        <v>18</v>
      </c>
      <c r="D12" s="8" t="s">
        <v>737</v>
      </c>
      <c r="E12" s="8" t="s">
        <v>738</v>
      </c>
      <c r="F12" s="8" t="s">
        <v>739</v>
      </c>
      <c r="G12" s="14" t="b">
        <v>1</v>
      </c>
      <c r="H12" s="14" t="b">
        <v>1</v>
      </c>
      <c r="I12" s="8" t="s">
        <v>785</v>
      </c>
      <c r="J12" s="14" t="b">
        <v>0</v>
      </c>
      <c r="K12" s="6">
        <v>23</v>
      </c>
      <c r="L12" s="6">
        <v>3</v>
      </c>
      <c r="M12" s="6">
        <v>20</v>
      </c>
      <c r="N12" s="6">
        <v>8</v>
      </c>
      <c r="O12" s="6">
        <v>160</v>
      </c>
      <c r="P12" s="6">
        <v>37</v>
      </c>
      <c r="Q12" s="75">
        <v>0.23125000000000001</v>
      </c>
      <c r="R12" s="102">
        <f>(IF(VIEW_IV_2019_VISITAS_REP[[#This Row],[Visitas-Cobertura]]&lt;Cob_Min_REP,0,IF(VIEW_IV_2019_VISITAS_REP[[#This Row],[Visitas-Cobertura]]&gt;Cob_100_REP,Vlr_100_REP,VLOOKUP(VIEW_IV_2019_VISITAS_REP[[#This Row],[Visitas-Cobertura]],Tabela_Valores_REP,2,1)))*R$1)</f>
        <v>0</v>
      </c>
    </row>
    <row r="13" spans="1:18" x14ac:dyDescent="0.25">
      <c r="A13" s="7" t="s">
        <v>16</v>
      </c>
      <c r="B13" s="7" t="s">
        <v>17</v>
      </c>
      <c r="C13" s="7" t="s">
        <v>18</v>
      </c>
      <c r="D13" s="8" t="s">
        <v>740</v>
      </c>
      <c r="E13" s="8" t="s">
        <v>741</v>
      </c>
      <c r="F13" s="8" t="s">
        <v>730</v>
      </c>
      <c r="G13" s="14" t="b">
        <v>1</v>
      </c>
      <c r="H13" s="14" t="b">
        <v>1</v>
      </c>
      <c r="I13" s="8" t="s">
        <v>787</v>
      </c>
      <c r="J13" s="14" t="b">
        <v>0</v>
      </c>
      <c r="K13" s="6">
        <v>23</v>
      </c>
      <c r="L13" s="6">
        <v>3</v>
      </c>
      <c r="M13" s="6">
        <v>20</v>
      </c>
      <c r="N13" s="6">
        <v>6</v>
      </c>
      <c r="O13" s="6">
        <v>120</v>
      </c>
      <c r="P13" s="6">
        <v>84</v>
      </c>
      <c r="Q13" s="75">
        <v>0.7</v>
      </c>
      <c r="R13" s="102">
        <f>(IF(VIEW_IV_2019_VISITAS_REP[[#This Row],[Visitas-Cobertura]]&lt;Cob_Min_REP,0,IF(VIEW_IV_2019_VISITAS_REP[[#This Row],[Visitas-Cobertura]]&gt;Cob_100_REP,Vlr_100_REP,VLOOKUP(VIEW_IV_2019_VISITAS_REP[[#This Row],[Visitas-Cobertura]],Tabela_Valores_REP,2,1)))*R$1)</f>
        <v>0</v>
      </c>
    </row>
    <row r="14" spans="1:18" x14ac:dyDescent="0.25">
      <c r="A14" s="7" t="s">
        <v>16</v>
      </c>
      <c r="B14" s="7" t="s">
        <v>17</v>
      </c>
      <c r="C14" s="7" t="s">
        <v>18</v>
      </c>
      <c r="D14" s="8" t="s">
        <v>742</v>
      </c>
      <c r="E14" s="8" t="s">
        <v>743</v>
      </c>
      <c r="F14" s="8" t="s">
        <v>723</v>
      </c>
      <c r="G14" s="14" t="b">
        <v>1</v>
      </c>
      <c r="H14" s="14" t="b">
        <v>1</v>
      </c>
      <c r="I14" s="8" t="s">
        <v>791</v>
      </c>
      <c r="J14" s="14" t="b">
        <v>0</v>
      </c>
      <c r="K14" s="6">
        <v>23</v>
      </c>
      <c r="L14" s="6">
        <v>3</v>
      </c>
      <c r="M14" s="6">
        <v>20</v>
      </c>
      <c r="N14" s="6">
        <v>8</v>
      </c>
      <c r="O14" s="6">
        <v>160</v>
      </c>
      <c r="P14" s="6">
        <v>161</v>
      </c>
      <c r="Q14" s="75">
        <v>1.0062500000000001</v>
      </c>
      <c r="R14" s="102">
        <f>(IF(VIEW_IV_2019_VISITAS_REP[[#This Row],[Visitas-Cobertura]]&lt;Cob_Min_REP,0,IF(VIEW_IV_2019_VISITAS_REP[[#This Row],[Visitas-Cobertura]]&gt;Cob_100_REP,Vlr_100_REP,VLOOKUP(VIEW_IV_2019_VISITAS_REP[[#This Row],[Visitas-Cobertura]],Tabela_Valores_REP,2,1)))*R$1)</f>
        <v>180.2892404718981</v>
      </c>
    </row>
    <row r="15" spans="1:18" x14ac:dyDescent="0.25">
      <c r="A15" s="7" t="s">
        <v>16</v>
      </c>
      <c r="B15" s="7" t="s">
        <v>17</v>
      </c>
      <c r="C15" s="7" t="s">
        <v>18</v>
      </c>
      <c r="D15" s="8" t="s">
        <v>744</v>
      </c>
      <c r="E15" s="8" t="s">
        <v>745</v>
      </c>
      <c r="F15" s="8" t="s">
        <v>723</v>
      </c>
      <c r="G15" s="14" t="b">
        <v>1</v>
      </c>
      <c r="H15" s="14" t="b">
        <v>1</v>
      </c>
      <c r="I15" s="8" t="s">
        <v>791</v>
      </c>
      <c r="J15" s="14" t="b">
        <v>0</v>
      </c>
      <c r="K15" s="6">
        <v>23</v>
      </c>
      <c r="L15" s="6">
        <v>3</v>
      </c>
      <c r="M15" s="6">
        <v>20</v>
      </c>
      <c r="N15" s="6">
        <v>8</v>
      </c>
      <c r="O15" s="6">
        <v>160</v>
      </c>
      <c r="P15" s="6">
        <v>76</v>
      </c>
      <c r="Q15" s="75">
        <v>0.47499999999999998</v>
      </c>
      <c r="R15" s="102">
        <f>(IF(VIEW_IV_2019_VISITAS_REP[[#This Row],[Visitas-Cobertura]]&lt;Cob_Min_REP,0,IF(VIEW_IV_2019_VISITAS_REP[[#This Row],[Visitas-Cobertura]]&gt;Cob_100_REP,Vlr_100_REP,VLOOKUP(VIEW_IV_2019_VISITAS_REP[[#This Row],[Visitas-Cobertura]],Tabela_Valores_REP,2,1)))*R$1)</f>
        <v>0</v>
      </c>
    </row>
    <row r="16" spans="1:18" x14ac:dyDescent="0.25">
      <c r="A16" s="7" t="s">
        <v>16</v>
      </c>
      <c r="B16" s="7" t="s">
        <v>17</v>
      </c>
      <c r="C16" s="7" t="s">
        <v>18</v>
      </c>
      <c r="D16" s="8" t="s">
        <v>746</v>
      </c>
      <c r="E16" s="8" t="s">
        <v>747</v>
      </c>
      <c r="F16" s="8" t="s">
        <v>723</v>
      </c>
      <c r="G16" s="14" t="b">
        <v>1</v>
      </c>
      <c r="H16" s="14" t="b">
        <v>1</v>
      </c>
      <c r="I16" s="8" t="s">
        <v>791</v>
      </c>
      <c r="J16" s="14" t="b">
        <v>0</v>
      </c>
      <c r="K16" s="6">
        <v>23</v>
      </c>
      <c r="L16" s="6">
        <v>3</v>
      </c>
      <c r="M16" s="6">
        <v>20</v>
      </c>
      <c r="N16" s="6">
        <v>8</v>
      </c>
      <c r="O16" s="6">
        <v>160</v>
      </c>
      <c r="P16" s="6">
        <v>96</v>
      </c>
      <c r="Q16" s="75">
        <v>0.6</v>
      </c>
      <c r="R16" s="102">
        <f>(IF(VIEW_IV_2019_VISITAS_REP[[#This Row],[Visitas-Cobertura]]&lt;Cob_Min_REP,0,IF(VIEW_IV_2019_VISITAS_REP[[#This Row],[Visitas-Cobertura]]&gt;Cob_100_REP,Vlr_100_REP,VLOOKUP(VIEW_IV_2019_VISITAS_REP[[#This Row],[Visitas-Cobertura]],Tabela_Valores_REP,2,1)))*R$1)</f>
        <v>0</v>
      </c>
    </row>
    <row r="17" spans="1:18" x14ac:dyDescent="0.25">
      <c r="A17" s="7" t="s">
        <v>16</v>
      </c>
      <c r="B17" s="7" t="s">
        <v>17</v>
      </c>
      <c r="C17" s="7" t="s">
        <v>18</v>
      </c>
      <c r="D17" s="8" t="s">
        <v>748</v>
      </c>
      <c r="E17" s="8" t="s">
        <v>749</v>
      </c>
      <c r="F17" s="8" t="s">
        <v>723</v>
      </c>
      <c r="G17" s="14" t="b">
        <v>1</v>
      </c>
      <c r="H17" s="14" t="b">
        <v>1</v>
      </c>
      <c r="I17" s="8" t="s">
        <v>791</v>
      </c>
      <c r="J17" s="14" t="b">
        <v>0</v>
      </c>
      <c r="K17" s="6">
        <v>23</v>
      </c>
      <c r="L17" s="6">
        <v>3</v>
      </c>
      <c r="M17" s="6">
        <v>20</v>
      </c>
      <c r="N17" s="6">
        <v>8</v>
      </c>
      <c r="O17" s="6">
        <v>160</v>
      </c>
      <c r="P17" s="6">
        <v>68</v>
      </c>
      <c r="Q17" s="75">
        <v>0.42499999999999999</v>
      </c>
      <c r="R17" s="102">
        <f>(IF(VIEW_IV_2019_VISITAS_REP[[#This Row],[Visitas-Cobertura]]&lt;Cob_Min_REP,0,IF(VIEW_IV_2019_VISITAS_REP[[#This Row],[Visitas-Cobertura]]&gt;Cob_100_REP,Vlr_100_REP,VLOOKUP(VIEW_IV_2019_VISITAS_REP[[#This Row],[Visitas-Cobertura]],Tabela_Valores_REP,2,1)))*R$1)</f>
        <v>0</v>
      </c>
    </row>
    <row r="18" spans="1:18" x14ac:dyDescent="0.25">
      <c r="A18" s="7" t="s">
        <v>16</v>
      </c>
      <c r="B18" s="7" t="s">
        <v>17</v>
      </c>
      <c r="C18" s="7" t="s">
        <v>18</v>
      </c>
      <c r="D18" s="8" t="s">
        <v>752</v>
      </c>
      <c r="E18" s="8" t="s">
        <v>753</v>
      </c>
      <c r="F18" s="8" t="s">
        <v>723</v>
      </c>
      <c r="G18" s="14" t="b">
        <v>1</v>
      </c>
      <c r="H18" s="14" t="b">
        <v>1</v>
      </c>
      <c r="I18" s="8" t="s">
        <v>785</v>
      </c>
      <c r="J18" s="14" t="b">
        <v>0</v>
      </c>
      <c r="K18" s="6">
        <v>23</v>
      </c>
      <c r="L18" s="6">
        <v>3</v>
      </c>
      <c r="M18" s="6">
        <v>20</v>
      </c>
      <c r="N18" s="6">
        <v>8</v>
      </c>
      <c r="O18" s="6">
        <v>160</v>
      </c>
      <c r="P18" s="6">
        <v>85</v>
      </c>
      <c r="Q18" s="75">
        <v>0.53125</v>
      </c>
      <c r="R18" s="102">
        <f>(IF(VIEW_IV_2019_VISITAS_REP[[#This Row],[Visitas-Cobertura]]&lt;Cob_Min_REP,0,IF(VIEW_IV_2019_VISITAS_REP[[#This Row],[Visitas-Cobertura]]&gt;Cob_100_REP,Vlr_100_REP,VLOOKUP(VIEW_IV_2019_VISITAS_REP[[#This Row],[Visitas-Cobertura]],Tabela_Valores_REP,2,1)))*R$1)</f>
        <v>0</v>
      </c>
    </row>
    <row r="19" spans="1:18" x14ac:dyDescent="0.25">
      <c r="A19" s="7" t="s">
        <v>16</v>
      </c>
      <c r="B19" s="7" t="s">
        <v>17</v>
      </c>
      <c r="C19" s="7" t="s">
        <v>18</v>
      </c>
      <c r="D19" s="8" t="s">
        <v>754</v>
      </c>
      <c r="E19" s="8" t="s">
        <v>755</v>
      </c>
      <c r="F19" s="8" t="s">
        <v>730</v>
      </c>
      <c r="G19" s="14" t="b">
        <v>1</v>
      </c>
      <c r="H19" s="14" t="b">
        <v>1</v>
      </c>
      <c r="I19" s="8" t="s">
        <v>785</v>
      </c>
      <c r="J19" s="14" t="b">
        <v>0</v>
      </c>
      <c r="K19" s="6">
        <v>23</v>
      </c>
      <c r="L19" s="6">
        <v>6</v>
      </c>
      <c r="M19" s="6">
        <v>17</v>
      </c>
      <c r="N19" s="6">
        <v>6</v>
      </c>
      <c r="O19" s="6">
        <v>102</v>
      </c>
      <c r="P19" s="6">
        <v>26</v>
      </c>
      <c r="Q19" s="75">
        <v>0.25490196078431371</v>
      </c>
      <c r="R19" s="102">
        <f>(IF(VIEW_IV_2019_VISITAS_REP[[#This Row],[Visitas-Cobertura]]&lt;Cob_Min_REP,0,IF(VIEW_IV_2019_VISITAS_REP[[#This Row],[Visitas-Cobertura]]&gt;Cob_100_REP,Vlr_100_REP,VLOOKUP(VIEW_IV_2019_VISITAS_REP[[#This Row],[Visitas-Cobertura]],Tabela_Valores_REP,2,1)))*R$1)</f>
        <v>0</v>
      </c>
    </row>
    <row r="20" spans="1:18" x14ac:dyDescent="0.25">
      <c r="A20" s="7" t="s">
        <v>16</v>
      </c>
      <c r="B20" s="7" t="s">
        <v>17</v>
      </c>
      <c r="C20" s="7" t="s">
        <v>18</v>
      </c>
      <c r="D20" s="8" t="s">
        <v>756</v>
      </c>
      <c r="E20" s="8" t="s">
        <v>757</v>
      </c>
      <c r="F20" s="8" t="s">
        <v>723</v>
      </c>
      <c r="G20" s="14" t="b">
        <v>1</v>
      </c>
      <c r="H20" s="14" t="b">
        <v>1</v>
      </c>
      <c r="I20" s="8" t="s">
        <v>787</v>
      </c>
      <c r="J20" s="14" t="b">
        <v>0</v>
      </c>
      <c r="K20" s="6">
        <v>23</v>
      </c>
      <c r="L20" s="6">
        <v>12</v>
      </c>
      <c r="M20" s="6">
        <v>11</v>
      </c>
      <c r="N20" s="6">
        <v>8</v>
      </c>
      <c r="O20" s="6">
        <v>88</v>
      </c>
      <c r="P20" s="6">
        <v>91</v>
      </c>
      <c r="Q20" s="75">
        <v>1.0340909090909092</v>
      </c>
      <c r="R20" s="102">
        <f>(IF(VIEW_IV_2019_VISITAS_REP[[#This Row],[Visitas-Cobertura]]&lt;Cob_Min_REP,0,IF(VIEW_IV_2019_VISITAS_REP[[#This Row],[Visitas-Cobertura]]&gt;Cob_100_REP,Vlr_100_REP,VLOOKUP(VIEW_IV_2019_VISITAS_REP[[#This Row],[Visitas-Cobertura]],Tabela_Valores_REP,2,1)))*R$1)</f>
        <v>180.2892404718981</v>
      </c>
    </row>
    <row r="21" spans="1:18" x14ac:dyDescent="0.25">
      <c r="A21" s="7" t="s">
        <v>16</v>
      </c>
      <c r="B21" s="7" t="s">
        <v>17</v>
      </c>
      <c r="C21" s="7" t="s">
        <v>18</v>
      </c>
      <c r="D21" s="8" t="s">
        <v>760</v>
      </c>
      <c r="E21" s="8" t="s">
        <v>761</v>
      </c>
      <c r="F21" s="8" t="s">
        <v>723</v>
      </c>
      <c r="G21" s="14" t="b">
        <v>1</v>
      </c>
      <c r="H21" s="14" t="b">
        <v>1</v>
      </c>
      <c r="I21" s="8" t="s">
        <v>785</v>
      </c>
      <c r="J21" s="14" t="b">
        <v>0</v>
      </c>
      <c r="K21" s="6">
        <v>23</v>
      </c>
      <c r="L21" s="6">
        <v>4</v>
      </c>
      <c r="M21" s="6">
        <v>19</v>
      </c>
      <c r="N21" s="6">
        <v>8</v>
      </c>
      <c r="O21" s="6">
        <v>152</v>
      </c>
      <c r="P21" s="6">
        <v>90</v>
      </c>
      <c r="Q21" s="75">
        <v>0.5921052631578948</v>
      </c>
      <c r="R21" s="102">
        <f>(IF(VIEW_IV_2019_VISITAS_REP[[#This Row],[Visitas-Cobertura]]&lt;Cob_Min_REP,0,IF(VIEW_IV_2019_VISITAS_REP[[#This Row],[Visitas-Cobertura]]&gt;Cob_100_REP,Vlr_100_REP,VLOOKUP(VIEW_IV_2019_VISITAS_REP[[#This Row],[Visitas-Cobertura]],Tabela_Valores_REP,2,1)))*R$1)</f>
        <v>0</v>
      </c>
    </row>
    <row r="22" spans="1:18" x14ac:dyDescent="0.25">
      <c r="A22" s="7" t="s">
        <v>16</v>
      </c>
      <c r="B22" s="7" t="s">
        <v>17</v>
      </c>
      <c r="C22" s="7" t="s">
        <v>18</v>
      </c>
      <c r="D22" s="8" t="s">
        <v>762</v>
      </c>
      <c r="E22" s="8" t="s">
        <v>763</v>
      </c>
      <c r="F22" s="8" t="s">
        <v>723</v>
      </c>
      <c r="G22" s="14" t="b">
        <v>1</v>
      </c>
      <c r="H22" s="14" t="b">
        <v>1</v>
      </c>
      <c r="I22" s="8" t="s">
        <v>787</v>
      </c>
      <c r="J22" s="14" t="b">
        <v>0</v>
      </c>
      <c r="K22" s="6">
        <v>23</v>
      </c>
      <c r="L22" s="6">
        <v>4</v>
      </c>
      <c r="M22" s="6">
        <v>19</v>
      </c>
      <c r="N22" s="6">
        <v>8</v>
      </c>
      <c r="O22" s="6">
        <v>152</v>
      </c>
      <c r="P22" s="6">
        <v>145</v>
      </c>
      <c r="Q22" s="75">
        <v>0.95394736842105254</v>
      </c>
      <c r="R22" s="102">
        <f>(IF(VIEW_IV_2019_VISITAS_REP[[#This Row],[Visitas-Cobertura]]&lt;Cob_Min_REP,0,IF(VIEW_IV_2019_VISITAS_REP[[#This Row],[Visitas-Cobertura]]&gt;Cob_100_REP,Vlr_100_REP,VLOOKUP(VIEW_IV_2019_VISITAS_REP[[#This Row],[Visitas-Cobertura]],Tabela_Valores_REP,2,1)))*R$1)</f>
        <v>128.8617346272892</v>
      </c>
    </row>
    <row r="23" spans="1:18" x14ac:dyDescent="0.25">
      <c r="A23" s="7" t="s">
        <v>16</v>
      </c>
      <c r="B23" s="7" t="s">
        <v>17</v>
      </c>
      <c r="C23" s="7" t="s">
        <v>18</v>
      </c>
      <c r="D23" s="8" t="s">
        <v>778</v>
      </c>
      <c r="E23" s="8" t="s">
        <v>779</v>
      </c>
      <c r="F23" s="8" t="s">
        <v>730</v>
      </c>
      <c r="G23" s="14" t="b">
        <v>1</v>
      </c>
      <c r="H23" s="14" t="b">
        <v>1</v>
      </c>
      <c r="I23" s="8" t="s">
        <v>791</v>
      </c>
      <c r="J23" s="14" t="b">
        <v>0</v>
      </c>
      <c r="K23" s="6">
        <v>23</v>
      </c>
      <c r="L23" s="6">
        <v>6</v>
      </c>
      <c r="M23" s="6">
        <v>17</v>
      </c>
      <c r="N23" s="6">
        <v>6</v>
      </c>
      <c r="O23" s="6">
        <v>102</v>
      </c>
      <c r="P23" s="6">
        <v>29</v>
      </c>
      <c r="Q23" s="75">
        <v>0.28431372549019607</v>
      </c>
      <c r="R23" s="102">
        <f>(IF(VIEW_IV_2019_VISITAS_REP[[#This Row],[Visitas-Cobertura]]&lt;Cob_Min_REP,0,IF(VIEW_IV_2019_VISITAS_REP[[#This Row],[Visitas-Cobertura]]&gt;Cob_100_REP,Vlr_100_REP,VLOOKUP(VIEW_IV_2019_VISITAS_REP[[#This Row],[Visitas-Cobertura]],Tabela_Valores_REP,2,1)))*R$1)</f>
        <v>0</v>
      </c>
    </row>
    <row r="24" spans="1:18" x14ac:dyDescent="0.25">
      <c r="A24" s="7" t="s">
        <v>16</v>
      </c>
      <c r="B24" s="7" t="s">
        <v>17</v>
      </c>
      <c r="C24" s="7" t="s">
        <v>18</v>
      </c>
      <c r="D24" s="8" t="s">
        <v>780</v>
      </c>
      <c r="E24" s="8" t="s">
        <v>781</v>
      </c>
      <c r="F24" s="8" t="s">
        <v>739</v>
      </c>
      <c r="G24" s="14" t="b">
        <v>1</v>
      </c>
      <c r="H24" s="14" t="b">
        <v>1</v>
      </c>
      <c r="I24" s="8" t="s">
        <v>791</v>
      </c>
      <c r="J24" s="14" t="b">
        <v>0</v>
      </c>
      <c r="K24" s="6">
        <v>23</v>
      </c>
      <c r="L24" s="6">
        <v>3</v>
      </c>
      <c r="M24" s="6">
        <v>20</v>
      </c>
      <c r="N24" s="6">
        <v>6</v>
      </c>
      <c r="O24" s="6">
        <v>120</v>
      </c>
      <c r="P24" s="6">
        <v>64</v>
      </c>
      <c r="Q24" s="75">
        <v>0.53333333333333333</v>
      </c>
      <c r="R24" s="102">
        <f>(IF(VIEW_IV_2019_VISITAS_REP[[#This Row],[Visitas-Cobertura]]&lt;Cob_Min_REP,0,IF(VIEW_IV_2019_VISITAS_REP[[#This Row],[Visitas-Cobertura]]&gt;Cob_100_REP,Vlr_100_REP,VLOOKUP(VIEW_IV_2019_VISITAS_REP[[#This Row],[Visitas-Cobertura]],Tabela_Valores_REP,2,1)))*R$1)</f>
        <v>0</v>
      </c>
    </row>
    <row r="25" spans="1:18" x14ac:dyDescent="0.25">
      <c r="A25" s="7" t="s">
        <v>16</v>
      </c>
      <c r="B25" s="7" t="s">
        <v>55</v>
      </c>
      <c r="C25" s="7" t="s">
        <v>18</v>
      </c>
      <c r="D25" s="8" t="s">
        <v>724</v>
      </c>
      <c r="E25" s="8" t="s">
        <v>725</v>
      </c>
      <c r="F25" s="8" t="s">
        <v>723</v>
      </c>
      <c r="G25" s="14" t="b">
        <v>1</v>
      </c>
      <c r="H25" s="14" t="b">
        <v>1</v>
      </c>
      <c r="I25" s="8" t="s">
        <v>787</v>
      </c>
      <c r="J25" s="14" t="b">
        <v>0</v>
      </c>
      <c r="K25" s="6">
        <v>22</v>
      </c>
      <c r="L25" s="6">
        <v>2</v>
      </c>
      <c r="M25" s="6">
        <v>20</v>
      </c>
      <c r="N25" s="6">
        <v>8</v>
      </c>
      <c r="O25" s="6">
        <v>160</v>
      </c>
      <c r="P25" s="6">
        <v>164</v>
      </c>
      <c r="Q25" s="75">
        <v>1.0249999999999999</v>
      </c>
      <c r="R25" s="102">
        <f>(IF(VIEW_IV_2019_VISITAS_REP[[#This Row],[Visitas-Cobertura]]&lt;Cob_Min_REP,0,IF(VIEW_IV_2019_VISITAS_REP[[#This Row],[Visitas-Cobertura]]&gt;Cob_100_REP,Vlr_100_REP,VLOOKUP(VIEW_IV_2019_VISITAS_REP[[#This Row],[Visitas-Cobertura]],Tabela_Valores_REP,2,1)))*R$1)</f>
        <v>180.2892404718981</v>
      </c>
    </row>
    <row r="26" spans="1:18" x14ac:dyDescent="0.25">
      <c r="A26" s="7" t="s">
        <v>16</v>
      </c>
      <c r="B26" s="7" t="s">
        <v>55</v>
      </c>
      <c r="C26" s="7" t="s">
        <v>18</v>
      </c>
      <c r="D26" s="8" t="s">
        <v>726</v>
      </c>
      <c r="E26" s="8" t="s">
        <v>727</v>
      </c>
      <c r="F26" s="8" t="s">
        <v>723</v>
      </c>
      <c r="G26" s="14" t="b">
        <v>1</v>
      </c>
      <c r="H26" s="14" t="b">
        <v>1</v>
      </c>
      <c r="I26" s="8" t="s">
        <v>787</v>
      </c>
      <c r="J26" s="14" t="b">
        <v>0</v>
      </c>
      <c r="K26" s="6">
        <v>22</v>
      </c>
      <c r="L26" s="6">
        <v>2</v>
      </c>
      <c r="M26" s="6">
        <v>20</v>
      </c>
      <c r="N26" s="6">
        <v>8</v>
      </c>
      <c r="O26" s="6">
        <v>160</v>
      </c>
      <c r="P26" s="6">
        <v>168</v>
      </c>
      <c r="Q26" s="75">
        <v>1.05</v>
      </c>
      <c r="R26" s="102">
        <f>(IF(VIEW_IV_2019_VISITAS_REP[[#This Row],[Visitas-Cobertura]]&lt;Cob_Min_REP,0,IF(VIEW_IV_2019_VISITAS_REP[[#This Row],[Visitas-Cobertura]]&gt;Cob_100_REP,Vlr_100_REP,VLOOKUP(VIEW_IV_2019_VISITAS_REP[[#This Row],[Visitas-Cobertura]],Tabela_Valores_REP,2,1)))*R$1)</f>
        <v>180.2892404718981</v>
      </c>
    </row>
    <row r="27" spans="1:18" x14ac:dyDescent="0.25">
      <c r="A27" s="7" t="s">
        <v>16</v>
      </c>
      <c r="B27" s="7" t="s">
        <v>55</v>
      </c>
      <c r="C27" s="7" t="s">
        <v>18</v>
      </c>
      <c r="D27" s="8" t="s">
        <v>728</v>
      </c>
      <c r="E27" s="8" t="s">
        <v>729</v>
      </c>
      <c r="F27" s="8" t="s">
        <v>730</v>
      </c>
      <c r="G27" s="14" t="b">
        <v>1</v>
      </c>
      <c r="H27" s="14" t="b">
        <v>1</v>
      </c>
      <c r="I27" s="8" t="s">
        <v>787</v>
      </c>
      <c r="J27" s="14" t="b">
        <v>0</v>
      </c>
      <c r="K27" s="6">
        <v>22</v>
      </c>
      <c r="L27" s="6">
        <v>2</v>
      </c>
      <c r="M27" s="6">
        <v>20</v>
      </c>
      <c r="N27" s="6">
        <v>6</v>
      </c>
      <c r="O27" s="6">
        <v>120</v>
      </c>
      <c r="P27" s="6">
        <v>137</v>
      </c>
      <c r="Q27" s="75">
        <v>1.1416666666666668</v>
      </c>
      <c r="R27" s="102">
        <f>(IF(VIEW_IV_2019_VISITAS_REP[[#This Row],[Visitas-Cobertura]]&lt;Cob_Min_REP,0,IF(VIEW_IV_2019_VISITAS_REP[[#This Row],[Visitas-Cobertura]]&gt;Cob_100_REP,Vlr_100_REP,VLOOKUP(VIEW_IV_2019_VISITAS_REP[[#This Row],[Visitas-Cobertura]],Tabela_Valores_REP,2,1)))*R$1)</f>
        <v>180.2892404718981</v>
      </c>
    </row>
    <row r="28" spans="1:18" x14ac:dyDescent="0.25">
      <c r="A28" s="7" t="s">
        <v>16</v>
      </c>
      <c r="B28" s="7" t="s">
        <v>55</v>
      </c>
      <c r="C28" s="7" t="s">
        <v>18</v>
      </c>
      <c r="D28" s="8" t="s">
        <v>733</v>
      </c>
      <c r="E28" s="8" t="s">
        <v>734</v>
      </c>
      <c r="F28" s="8" t="s">
        <v>730</v>
      </c>
      <c r="G28" s="14" t="b">
        <v>1</v>
      </c>
      <c r="H28" s="14" t="b">
        <v>1</v>
      </c>
      <c r="I28" s="8" t="s">
        <v>785</v>
      </c>
      <c r="J28" s="14" t="b">
        <v>0</v>
      </c>
      <c r="K28" s="6">
        <v>22</v>
      </c>
      <c r="L28" s="6">
        <v>7</v>
      </c>
      <c r="M28" s="6">
        <v>15</v>
      </c>
      <c r="N28" s="6">
        <v>6</v>
      </c>
      <c r="O28" s="6">
        <v>90</v>
      </c>
      <c r="P28" s="6">
        <v>109</v>
      </c>
      <c r="Q28" s="75">
        <v>1.2111111111111112</v>
      </c>
      <c r="R28" s="102">
        <f>(IF(VIEW_IV_2019_VISITAS_REP[[#This Row],[Visitas-Cobertura]]&lt;Cob_Min_REP,0,IF(VIEW_IV_2019_VISITAS_REP[[#This Row],[Visitas-Cobertura]]&gt;Cob_100_REP,Vlr_100_REP,VLOOKUP(VIEW_IV_2019_VISITAS_REP[[#This Row],[Visitas-Cobertura]],Tabela_Valores_REP,2,1)))*R$1)</f>
        <v>180.2892404718981</v>
      </c>
    </row>
    <row r="29" spans="1:18" x14ac:dyDescent="0.25">
      <c r="A29" s="7" t="s">
        <v>16</v>
      </c>
      <c r="B29" s="7" t="s">
        <v>55</v>
      </c>
      <c r="C29" s="7" t="s">
        <v>18</v>
      </c>
      <c r="D29" s="8" t="s">
        <v>735</v>
      </c>
      <c r="E29" s="8" t="s">
        <v>736</v>
      </c>
      <c r="F29" s="8" t="s">
        <v>723</v>
      </c>
      <c r="G29" s="14" t="b">
        <v>1</v>
      </c>
      <c r="H29" s="14" t="b">
        <v>1</v>
      </c>
      <c r="I29" s="8" t="s">
        <v>785</v>
      </c>
      <c r="J29" s="14" t="b">
        <v>0</v>
      </c>
      <c r="K29" s="6">
        <v>22</v>
      </c>
      <c r="L29" s="6">
        <v>4</v>
      </c>
      <c r="M29" s="6">
        <v>18</v>
      </c>
      <c r="N29" s="6">
        <v>8</v>
      </c>
      <c r="O29" s="6">
        <v>144</v>
      </c>
      <c r="P29" s="6">
        <v>69</v>
      </c>
      <c r="Q29" s="75">
        <v>0.47916666666666663</v>
      </c>
      <c r="R29" s="102">
        <f>(IF(VIEW_IV_2019_VISITAS_REP[[#This Row],[Visitas-Cobertura]]&lt;Cob_Min_REP,0,IF(VIEW_IV_2019_VISITAS_REP[[#This Row],[Visitas-Cobertura]]&gt;Cob_100_REP,Vlr_100_REP,VLOOKUP(VIEW_IV_2019_VISITAS_REP[[#This Row],[Visitas-Cobertura]],Tabela_Valores_REP,2,1)))*R$1)</f>
        <v>0</v>
      </c>
    </row>
    <row r="30" spans="1:18" x14ac:dyDescent="0.25">
      <c r="A30" s="7" t="s">
        <v>16</v>
      </c>
      <c r="B30" s="7" t="s">
        <v>55</v>
      </c>
      <c r="C30" s="7" t="s">
        <v>18</v>
      </c>
      <c r="D30" s="8" t="s">
        <v>737</v>
      </c>
      <c r="E30" s="8" t="s">
        <v>738</v>
      </c>
      <c r="F30" s="8" t="s">
        <v>739</v>
      </c>
      <c r="G30" s="14" t="b">
        <v>1</v>
      </c>
      <c r="H30" s="14" t="b">
        <v>1</v>
      </c>
      <c r="I30" s="8" t="s">
        <v>785</v>
      </c>
      <c r="J30" s="14" t="b">
        <v>0</v>
      </c>
      <c r="K30" s="6">
        <v>22</v>
      </c>
      <c r="L30" s="6">
        <v>4</v>
      </c>
      <c r="M30" s="6">
        <v>18</v>
      </c>
      <c r="N30" s="6">
        <v>8</v>
      </c>
      <c r="O30" s="6">
        <v>144</v>
      </c>
      <c r="P30" s="6">
        <v>39</v>
      </c>
      <c r="Q30" s="75">
        <v>0.27083333333333331</v>
      </c>
      <c r="R30" s="102">
        <f>(IF(VIEW_IV_2019_VISITAS_REP[[#This Row],[Visitas-Cobertura]]&lt;Cob_Min_REP,0,IF(VIEW_IV_2019_VISITAS_REP[[#This Row],[Visitas-Cobertura]]&gt;Cob_100_REP,Vlr_100_REP,VLOOKUP(VIEW_IV_2019_VISITAS_REP[[#This Row],[Visitas-Cobertura]],Tabela_Valores_REP,2,1)))*R$1)</f>
        <v>0</v>
      </c>
    </row>
    <row r="31" spans="1:18" x14ac:dyDescent="0.25">
      <c r="A31" s="7" t="s">
        <v>16</v>
      </c>
      <c r="B31" s="7" t="s">
        <v>55</v>
      </c>
      <c r="C31" s="7" t="s">
        <v>18</v>
      </c>
      <c r="D31" s="8" t="s">
        <v>740</v>
      </c>
      <c r="E31" s="8" t="s">
        <v>741</v>
      </c>
      <c r="F31" s="8" t="s">
        <v>730</v>
      </c>
      <c r="G31" s="14" t="b">
        <v>1</v>
      </c>
      <c r="H31" s="14" t="b">
        <v>1</v>
      </c>
      <c r="I31" s="8" t="s">
        <v>787</v>
      </c>
      <c r="J31" s="14" t="b">
        <v>0</v>
      </c>
      <c r="K31" s="6">
        <v>22</v>
      </c>
      <c r="L31" s="6">
        <v>5</v>
      </c>
      <c r="M31" s="6">
        <v>17</v>
      </c>
      <c r="N31" s="6">
        <v>6</v>
      </c>
      <c r="O31" s="6">
        <v>102</v>
      </c>
      <c r="P31" s="6">
        <v>84</v>
      </c>
      <c r="Q31" s="75">
        <v>0.82352941176470584</v>
      </c>
      <c r="R31" s="102">
        <f>(IF(VIEW_IV_2019_VISITAS_REP[[#This Row],[Visitas-Cobertura]]&lt;Cob_Min_REP,0,IF(VIEW_IV_2019_VISITAS_REP[[#This Row],[Visitas-Cobertura]]&gt;Cob_100_REP,Vlr_100_REP,VLOOKUP(VIEW_IV_2019_VISITAS_REP[[#This Row],[Visitas-Cobertura]],Tabela_Valores_REP,2,1)))*R$1)</f>
        <v>74.189022454186016</v>
      </c>
    </row>
    <row r="32" spans="1:18" x14ac:dyDescent="0.25">
      <c r="A32" s="7" t="s">
        <v>16</v>
      </c>
      <c r="B32" s="7" t="s">
        <v>55</v>
      </c>
      <c r="C32" s="7" t="s">
        <v>18</v>
      </c>
      <c r="D32" s="8" t="s">
        <v>742</v>
      </c>
      <c r="E32" s="8" t="s">
        <v>743</v>
      </c>
      <c r="F32" s="8" t="s">
        <v>723</v>
      </c>
      <c r="G32" s="14" t="b">
        <v>1</v>
      </c>
      <c r="H32" s="14" t="b">
        <v>1</v>
      </c>
      <c r="I32" s="8" t="s">
        <v>791</v>
      </c>
      <c r="J32" s="14" t="b">
        <v>0</v>
      </c>
      <c r="K32" s="6">
        <v>22</v>
      </c>
      <c r="L32" s="6">
        <v>2</v>
      </c>
      <c r="M32" s="6">
        <v>20</v>
      </c>
      <c r="N32" s="6">
        <v>8</v>
      </c>
      <c r="O32" s="6">
        <v>160</v>
      </c>
      <c r="P32" s="6">
        <v>159</v>
      </c>
      <c r="Q32" s="75">
        <v>0.99375000000000002</v>
      </c>
      <c r="R32" s="102">
        <f>(IF(VIEW_IV_2019_VISITAS_REP[[#This Row],[Visitas-Cobertura]]&lt;Cob_Min_REP,0,IF(VIEW_IV_2019_VISITAS_REP[[#This Row],[Visitas-Cobertura]]&gt;Cob_100_REP,Vlr_100_REP,VLOOKUP(VIEW_IV_2019_VISITAS_REP[[#This Row],[Visitas-Cobertura]],Tabela_Valores_REP,2,1)))*R$1)</f>
        <v>134.2704118414461</v>
      </c>
    </row>
    <row r="33" spans="1:18" x14ac:dyDescent="0.25">
      <c r="A33" s="7" t="s">
        <v>16</v>
      </c>
      <c r="B33" s="7" t="s">
        <v>55</v>
      </c>
      <c r="C33" s="7" t="s">
        <v>18</v>
      </c>
      <c r="D33" s="8" t="s">
        <v>744</v>
      </c>
      <c r="E33" s="8" t="s">
        <v>745</v>
      </c>
      <c r="F33" s="8" t="s">
        <v>723</v>
      </c>
      <c r="G33" s="14" t="b">
        <v>1</v>
      </c>
      <c r="H33" s="14" t="b">
        <v>1</v>
      </c>
      <c r="I33" s="8" t="s">
        <v>791</v>
      </c>
      <c r="J33" s="14" t="b">
        <v>0</v>
      </c>
      <c r="K33" s="6">
        <v>22</v>
      </c>
      <c r="L33" s="6">
        <v>2</v>
      </c>
      <c r="M33" s="6">
        <v>20</v>
      </c>
      <c r="N33" s="6">
        <v>8</v>
      </c>
      <c r="O33" s="6">
        <v>160</v>
      </c>
      <c r="P33" s="6">
        <v>122</v>
      </c>
      <c r="Q33" s="75">
        <v>0.76249999999999996</v>
      </c>
      <c r="R33" s="102">
        <f>(IF(VIEW_IV_2019_VISITAS_REP[[#This Row],[Visitas-Cobertura]]&lt;Cob_Min_REP,0,IF(VIEW_IV_2019_VISITAS_REP[[#This Row],[Visitas-Cobertura]]&gt;Cob_100_REP,Vlr_100_REP,VLOOKUP(VIEW_IV_2019_VISITAS_REP[[#This Row],[Visitas-Cobertura]],Tabela_Valores_REP,2,1)))*R$1)</f>
        <v>0</v>
      </c>
    </row>
    <row r="34" spans="1:18" x14ac:dyDescent="0.25">
      <c r="A34" s="7" t="s">
        <v>16</v>
      </c>
      <c r="B34" s="7" t="s">
        <v>55</v>
      </c>
      <c r="C34" s="7" t="s">
        <v>18</v>
      </c>
      <c r="D34" s="8" t="s">
        <v>746</v>
      </c>
      <c r="E34" s="8" t="s">
        <v>747</v>
      </c>
      <c r="F34" s="8" t="s">
        <v>723</v>
      </c>
      <c r="G34" s="14" t="b">
        <v>1</v>
      </c>
      <c r="H34" s="14" t="b">
        <v>1</v>
      </c>
      <c r="I34" s="8" t="s">
        <v>791</v>
      </c>
      <c r="J34" s="14" t="b">
        <v>0</v>
      </c>
      <c r="K34" s="6">
        <v>22</v>
      </c>
      <c r="L34" s="6">
        <v>2</v>
      </c>
      <c r="M34" s="6">
        <v>20</v>
      </c>
      <c r="N34" s="6">
        <v>8</v>
      </c>
      <c r="O34" s="6">
        <v>160</v>
      </c>
      <c r="P34" s="6">
        <v>159</v>
      </c>
      <c r="Q34" s="75">
        <v>0.99375000000000002</v>
      </c>
      <c r="R34" s="102">
        <f>(IF(VIEW_IV_2019_VISITAS_REP[[#This Row],[Visitas-Cobertura]]&lt;Cob_Min_REP,0,IF(VIEW_IV_2019_VISITAS_REP[[#This Row],[Visitas-Cobertura]]&gt;Cob_100_REP,Vlr_100_REP,VLOOKUP(VIEW_IV_2019_VISITAS_REP[[#This Row],[Visitas-Cobertura]],Tabela_Valores_REP,2,1)))*R$1)</f>
        <v>134.2704118414461</v>
      </c>
    </row>
    <row r="35" spans="1:18" x14ac:dyDescent="0.25">
      <c r="A35" s="7" t="s">
        <v>16</v>
      </c>
      <c r="B35" s="7" t="s">
        <v>55</v>
      </c>
      <c r="C35" s="7" t="s">
        <v>18</v>
      </c>
      <c r="D35" s="8" t="s">
        <v>748</v>
      </c>
      <c r="E35" s="8" t="s">
        <v>749</v>
      </c>
      <c r="F35" s="8" t="s">
        <v>723</v>
      </c>
      <c r="G35" s="14" t="b">
        <v>1</v>
      </c>
      <c r="H35" s="14" t="b">
        <v>1</v>
      </c>
      <c r="I35" s="8" t="s">
        <v>791</v>
      </c>
      <c r="J35" s="14" t="b">
        <v>0</v>
      </c>
      <c r="K35" s="6">
        <v>22</v>
      </c>
      <c r="L35" s="6">
        <v>2</v>
      </c>
      <c r="M35" s="6">
        <v>20</v>
      </c>
      <c r="N35" s="6">
        <v>8</v>
      </c>
      <c r="O35" s="6">
        <v>160</v>
      </c>
      <c r="P35" s="6">
        <v>105</v>
      </c>
      <c r="Q35" s="75">
        <v>0.65625</v>
      </c>
      <c r="R35" s="102">
        <f>(IF(VIEW_IV_2019_VISITAS_REP[[#This Row],[Visitas-Cobertura]]&lt;Cob_Min_REP,0,IF(VIEW_IV_2019_VISITAS_REP[[#This Row],[Visitas-Cobertura]]&gt;Cob_100_REP,Vlr_100_REP,VLOOKUP(VIEW_IV_2019_VISITAS_REP[[#This Row],[Visitas-Cobertura]],Tabela_Valores_REP,2,1)))*R$1)</f>
        <v>0</v>
      </c>
    </row>
    <row r="36" spans="1:18" x14ac:dyDescent="0.25">
      <c r="A36" s="7" t="s">
        <v>16</v>
      </c>
      <c r="B36" s="7" t="s">
        <v>55</v>
      </c>
      <c r="C36" s="7" t="s">
        <v>18</v>
      </c>
      <c r="D36" s="8" t="s">
        <v>752</v>
      </c>
      <c r="E36" s="8" t="s">
        <v>753</v>
      </c>
      <c r="F36" s="8" t="s">
        <v>723</v>
      </c>
      <c r="G36" s="14" t="b">
        <v>1</v>
      </c>
      <c r="H36" s="14" t="b">
        <v>1</v>
      </c>
      <c r="I36" s="8" t="s">
        <v>785</v>
      </c>
      <c r="J36" s="14" t="b">
        <v>0</v>
      </c>
      <c r="K36" s="6">
        <v>22</v>
      </c>
      <c r="L36" s="6">
        <v>3</v>
      </c>
      <c r="M36" s="6">
        <v>19</v>
      </c>
      <c r="N36" s="6">
        <v>8</v>
      </c>
      <c r="O36" s="6">
        <v>152</v>
      </c>
      <c r="P36" s="6">
        <v>105</v>
      </c>
      <c r="Q36" s="75">
        <v>0.69078947368421051</v>
      </c>
      <c r="R36" s="102">
        <f>(IF(VIEW_IV_2019_VISITAS_REP[[#This Row],[Visitas-Cobertura]]&lt;Cob_Min_REP,0,IF(VIEW_IV_2019_VISITAS_REP[[#This Row],[Visitas-Cobertura]]&gt;Cob_100_REP,Vlr_100_REP,VLOOKUP(VIEW_IV_2019_VISITAS_REP[[#This Row],[Visitas-Cobertura]],Tabela_Valores_REP,2,1)))*R$1)</f>
        <v>0</v>
      </c>
    </row>
    <row r="37" spans="1:18" x14ac:dyDescent="0.25">
      <c r="A37" s="7" t="s">
        <v>16</v>
      </c>
      <c r="B37" s="7" t="s">
        <v>55</v>
      </c>
      <c r="C37" s="7" t="s">
        <v>18</v>
      </c>
      <c r="D37" s="8" t="s">
        <v>754</v>
      </c>
      <c r="E37" s="8" t="s">
        <v>755</v>
      </c>
      <c r="F37" s="8" t="s">
        <v>730</v>
      </c>
      <c r="G37" s="14" t="b">
        <v>1</v>
      </c>
      <c r="H37" s="14" t="b">
        <v>1</v>
      </c>
      <c r="I37" s="8" t="s">
        <v>785</v>
      </c>
      <c r="J37" s="14" t="b">
        <v>0</v>
      </c>
      <c r="K37" s="6">
        <v>22</v>
      </c>
      <c r="L37" s="6">
        <v>9</v>
      </c>
      <c r="M37" s="6">
        <v>13</v>
      </c>
      <c r="N37" s="6">
        <v>6</v>
      </c>
      <c r="O37" s="6">
        <v>78</v>
      </c>
      <c r="P37" s="6">
        <v>47</v>
      </c>
      <c r="Q37" s="75">
        <v>0.60256410256410253</v>
      </c>
      <c r="R37" s="102">
        <f>(IF(VIEW_IV_2019_VISITAS_REP[[#This Row],[Visitas-Cobertura]]&lt;Cob_Min_REP,0,IF(VIEW_IV_2019_VISITAS_REP[[#This Row],[Visitas-Cobertura]]&gt;Cob_100_REP,Vlr_100_REP,VLOOKUP(VIEW_IV_2019_VISITAS_REP[[#This Row],[Visitas-Cobertura]],Tabela_Valores_REP,2,1)))*R$1)</f>
        <v>0</v>
      </c>
    </row>
    <row r="38" spans="1:18" x14ac:dyDescent="0.25">
      <c r="A38" s="7" t="s">
        <v>16</v>
      </c>
      <c r="B38" s="7" t="s">
        <v>55</v>
      </c>
      <c r="C38" s="7" t="s">
        <v>18</v>
      </c>
      <c r="D38" s="8" t="s">
        <v>756</v>
      </c>
      <c r="E38" s="8" t="s">
        <v>757</v>
      </c>
      <c r="F38" s="8" t="s">
        <v>723</v>
      </c>
      <c r="G38" s="14" t="b">
        <v>1</v>
      </c>
      <c r="H38" s="14" t="b">
        <v>1</v>
      </c>
      <c r="I38" s="8" t="s">
        <v>787</v>
      </c>
      <c r="J38" s="14" t="b">
        <v>0</v>
      </c>
      <c r="K38" s="6">
        <v>22</v>
      </c>
      <c r="L38" s="6">
        <v>8</v>
      </c>
      <c r="M38" s="6">
        <v>14</v>
      </c>
      <c r="N38" s="6">
        <v>8</v>
      </c>
      <c r="O38" s="6">
        <v>112</v>
      </c>
      <c r="P38" s="6">
        <v>124</v>
      </c>
      <c r="Q38" s="75">
        <v>1.107142857142857</v>
      </c>
      <c r="R38" s="102">
        <f>(IF(VIEW_IV_2019_VISITAS_REP[[#This Row],[Visitas-Cobertura]]&lt;Cob_Min_REP,0,IF(VIEW_IV_2019_VISITAS_REP[[#This Row],[Visitas-Cobertura]]&gt;Cob_100_REP,Vlr_100_REP,VLOOKUP(VIEW_IV_2019_VISITAS_REP[[#This Row],[Visitas-Cobertura]],Tabela_Valores_REP,2,1)))*R$1)</f>
        <v>180.2892404718981</v>
      </c>
    </row>
    <row r="39" spans="1:18" x14ac:dyDescent="0.25">
      <c r="A39" s="7" t="s">
        <v>16</v>
      </c>
      <c r="B39" s="7" t="s">
        <v>55</v>
      </c>
      <c r="C39" s="7" t="s">
        <v>18</v>
      </c>
      <c r="D39" s="8" t="s">
        <v>760</v>
      </c>
      <c r="E39" s="8" t="s">
        <v>761</v>
      </c>
      <c r="F39" s="8" t="s">
        <v>723</v>
      </c>
      <c r="G39" s="14" t="b">
        <v>1</v>
      </c>
      <c r="H39" s="14" t="b">
        <v>1</v>
      </c>
      <c r="I39" s="8" t="s">
        <v>785</v>
      </c>
      <c r="J39" s="14" t="b">
        <v>0</v>
      </c>
      <c r="K39" s="6">
        <v>22</v>
      </c>
      <c r="L39" s="6">
        <v>5</v>
      </c>
      <c r="M39" s="6">
        <v>17</v>
      </c>
      <c r="N39" s="6">
        <v>8</v>
      </c>
      <c r="O39" s="6">
        <v>136</v>
      </c>
      <c r="P39" s="6">
        <v>154</v>
      </c>
      <c r="Q39" s="75">
        <v>1.1323529411764706</v>
      </c>
      <c r="R39" s="102">
        <f>(IF(VIEW_IV_2019_VISITAS_REP[[#This Row],[Visitas-Cobertura]]&lt;Cob_Min_REP,0,IF(VIEW_IV_2019_VISITAS_REP[[#This Row],[Visitas-Cobertura]]&gt;Cob_100_REP,Vlr_100_REP,VLOOKUP(VIEW_IV_2019_VISITAS_REP[[#This Row],[Visitas-Cobertura]],Tabela_Valores_REP,2,1)))*R$1)</f>
        <v>180.2892404718981</v>
      </c>
    </row>
    <row r="40" spans="1:18" x14ac:dyDescent="0.25">
      <c r="A40" s="7" t="s">
        <v>16</v>
      </c>
      <c r="B40" s="7" t="s">
        <v>55</v>
      </c>
      <c r="C40" s="7" t="s">
        <v>18</v>
      </c>
      <c r="D40" s="8" t="s">
        <v>762</v>
      </c>
      <c r="E40" s="8" t="s">
        <v>763</v>
      </c>
      <c r="F40" s="8" t="s">
        <v>723</v>
      </c>
      <c r="G40" s="14" t="b">
        <v>1</v>
      </c>
      <c r="H40" s="14" t="b">
        <v>1</v>
      </c>
      <c r="I40" s="8" t="s">
        <v>787</v>
      </c>
      <c r="J40" s="14" t="b">
        <v>0</v>
      </c>
      <c r="K40" s="6">
        <v>22</v>
      </c>
      <c r="L40" s="6">
        <v>2</v>
      </c>
      <c r="M40" s="6">
        <v>20</v>
      </c>
      <c r="N40" s="6">
        <v>8</v>
      </c>
      <c r="O40" s="6">
        <v>160</v>
      </c>
      <c r="P40" s="6">
        <v>188</v>
      </c>
      <c r="Q40" s="75">
        <v>1.175</v>
      </c>
      <c r="R40" s="102">
        <f>(IF(VIEW_IV_2019_VISITAS_REP[[#This Row],[Visitas-Cobertura]]&lt;Cob_Min_REP,0,IF(VIEW_IV_2019_VISITAS_REP[[#This Row],[Visitas-Cobertura]]&gt;Cob_100_REP,Vlr_100_REP,VLOOKUP(VIEW_IV_2019_VISITAS_REP[[#This Row],[Visitas-Cobertura]],Tabela_Valores_REP,2,1)))*R$1)</f>
        <v>180.2892404718981</v>
      </c>
    </row>
    <row r="41" spans="1:18" x14ac:dyDescent="0.25">
      <c r="A41" s="7" t="s">
        <v>16</v>
      </c>
      <c r="B41" s="7" t="s">
        <v>55</v>
      </c>
      <c r="C41" s="7" t="s">
        <v>18</v>
      </c>
      <c r="D41" s="8" t="s">
        <v>778</v>
      </c>
      <c r="E41" s="8" t="s">
        <v>779</v>
      </c>
      <c r="F41" s="8" t="s">
        <v>730</v>
      </c>
      <c r="G41" s="14" t="b">
        <v>1</v>
      </c>
      <c r="H41" s="14" t="b">
        <v>1</v>
      </c>
      <c r="I41" s="8" t="s">
        <v>791</v>
      </c>
      <c r="J41" s="14" t="b">
        <v>0</v>
      </c>
      <c r="K41" s="6">
        <v>22</v>
      </c>
      <c r="L41" s="6">
        <v>5</v>
      </c>
      <c r="M41" s="6">
        <v>17</v>
      </c>
      <c r="N41" s="6">
        <v>6</v>
      </c>
      <c r="O41" s="6">
        <v>102</v>
      </c>
      <c r="P41" s="6">
        <v>29</v>
      </c>
      <c r="Q41" s="75">
        <v>0.28431372549019607</v>
      </c>
      <c r="R41" s="102">
        <f>(IF(VIEW_IV_2019_VISITAS_REP[[#This Row],[Visitas-Cobertura]]&lt;Cob_Min_REP,0,IF(VIEW_IV_2019_VISITAS_REP[[#This Row],[Visitas-Cobertura]]&gt;Cob_100_REP,Vlr_100_REP,VLOOKUP(VIEW_IV_2019_VISITAS_REP[[#This Row],[Visitas-Cobertura]],Tabela_Valores_REP,2,1)))*R$1)</f>
        <v>0</v>
      </c>
    </row>
    <row r="42" spans="1:18" x14ac:dyDescent="0.25">
      <c r="A42" s="7" t="s">
        <v>16</v>
      </c>
      <c r="B42" s="7" t="s">
        <v>55</v>
      </c>
      <c r="C42" s="7" t="s">
        <v>18</v>
      </c>
      <c r="D42" s="8" t="s">
        <v>780</v>
      </c>
      <c r="E42" s="8" t="s">
        <v>781</v>
      </c>
      <c r="F42" s="8" t="s">
        <v>739</v>
      </c>
      <c r="G42" s="14" t="b">
        <v>1</v>
      </c>
      <c r="H42" s="14" t="b">
        <v>1</v>
      </c>
      <c r="I42" s="8" t="s">
        <v>791</v>
      </c>
      <c r="J42" s="14" t="b">
        <v>0</v>
      </c>
      <c r="K42" s="6">
        <v>22</v>
      </c>
      <c r="L42" s="6">
        <v>6</v>
      </c>
      <c r="M42" s="6">
        <v>16</v>
      </c>
      <c r="N42" s="6">
        <v>6</v>
      </c>
      <c r="O42" s="6">
        <v>96</v>
      </c>
      <c r="P42" s="6">
        <v>104</v>
      </c>
      <c r="Q42" s="75">
        <v>1.0833333333333333</v>
      </c>
      <c r="R42" s="102">
        <f>(IF(VIEW_IV_2019_VISITAS_REP[[#This Row],[Visitas-Cobertura]]&lt;Cob_Min_REP,0,IF(VIEW_IV_2019_VISITAS_REP[[#This Row],[Visitas-Cobertura]]&gt;Cob_100_REP,Vlr_100_REP,VLOOKUP(VIEW_IV_2019_VISITAS_REP[[#This Row],[Visitas-Cobertura]],Tabela_Valores_REP,2,1)))*R$1)</f>
        <v>180.2892404718981</v>
      </c>
    </row>
    <row r="43" spans="1:18" x14ac:dyDescent="0.25">
      <c r="A43" s="7" t="s">
        <v>16</v>
      </c>
      <c r="B43" s="7" t="s">
        <v>60</v>
      </c>
      <c r="C43" s="7" t="s">
        <v>18</v>
      </c>
      <c r="D43" s="8" t="s">
        <v>720</v>
      </c>
      <c r="E43" s="8" t="s">
        <v>721</v>
      </c>
      <c r="F43" s="8" t="s">
        <v>723</v>
      </c>
      <c r="G43" s="14" t="b">
        <v>1</v>
      </c>
      <c r="H43" s="14" t="b">
        <v>1</v>
      </c>
      <c r="I43" s="8" t="s">
        <v>785</v>
      </c>
      <c r="J43" s="14" t="b">
        <v>0</v>
      </c>
      <c r="K43" s="6">
        <v>21</v>
      </c>
      <c r="L43" s="6">
        <v>0</v>
      </c>
      <c r="M43" s="6">
        <v>21</v>
      </c>
      <c r="N43" s="6">
        <v>6</v>
      </c>
      <c r="O43" s="6">
        <v>126</v>
      </c>
      <c r="P43" s="6">
        <v>0</v>
      </c>
      <c r="Q43" s="75">
        <v>0</v>
      </c>
      <c r="R43" s="102">
        <f>(IF(VIEW_IV_2019_VISITAS_REP[[#This Row],[Visitas-Cobertura]]&lt;Cob_Min_REP,0,IF(VIEW_IV_2019_VISITAS_REP[[#This Row],[Visitas-Cobertura]]&gt;Cob_100_REP,Vlr_100_REP,VLOOKUP(VIEW_IV_2019_VISITAS_REP[[#This Row],[Visitas-Cobertura]],Tabela_Valores_REP,2,1)))*R$1)</f>
        <v>0</v>
      </c>
    </row>
    <row r="44" spans="1:18" x14ac:dyDescent="0.25">
      <c r="A44" s="7" t="s">
        <v>16</v>
      </c>
      <c r="B44" s="7" t="s">
        <v>60</v>
      </c>
      <c r="C44" s="7" t="s">
        <v>18</v>
      </c>
      <c r="D44" s="8" t="s">
        <v>724</v>
      </c>
      <c r="E44" s="8" t="s">
        <v>725</v>
      </c>
      <c r="F44" s="8" t="s">
        <v>723</v>
      </c>
      <c r="G44" s="14" t="b">
        <v>1</v>
      </c>
      <c r="H44" s="14" t="b">
        <v>1</v>
      </c>
      <c r="I44" s="8" t="s">
        <v>787</v>
      </c>
      <c r="J44" s="14" t="b">
        <v>0</v>
      </c>
      <c r="K44" s="6">
        <v>21</v>
      </c>
      <c r="L44" s="6">
        <v>0</v>
      </c>
      <c r="M44" s="6">
        <v>21</v>
      </c>
      <c r="N44" s="6">
        <v>8</v>
      </c>
      <c r="O44" s="6">
        <v>168</v>
      </c>
      <c r="P44" s="6">
        <v>170</v>
      </c>
      <c r="Q44" s="75">
        <v>1.0119047619047619</v>
      </c>
      <c r="R44" s="102">
        <f>(IF(VIEW_IV_2019_VISITAS_REP[[#This Row],[Visitas-Cobertura]]&lt;Cob_Min_REP,0,IF(VIEW_IV_2019_VISITAS_REP[[#This Row],[Visitas-Cobertura]]&gt;Cob_100_REP,Vlr_100_REP,VLOOKUP(VIEW_IV_2019_VISITAS_REP[[#This Row],[Visitas-Cobertura]],Tabela_Valores_REP,2,1)))*R$1)</f>
        <v>180.2892404718981</v>
      </c>
    </row>
    <row r="45" spans="1:18" x14ac:dyDescent="0.25">
      <c r="A45" s="7" t="s">
        <v>16</v>
      </c>
      <c r="B45" s="7" t="s">
        <v>60</v>
      </c>
      <c r="C45" s="7" t="s">
        <v>18</v>
      </c>
      <c r="D45" s="8" t="s">
        <v>726</v>
      </c>
      <c r="E45" s="8" t="s">
        <v>727</v>
      </c>
      <c r="F45" s="8" t="s">
        <v>723</v>
      </c>
      <c r="G45" s="14" t="b">
        <v>1</v>
      </c>
      <c r="H45" s="14" t="b">
        <v>1</v>
      </c>
      <c r="I45" s="8" t="s">
        <v>787</v>
      </c>
      <c r="J45" s="14" t="b">
        <v>0</v>
      </c>
      <c r="K45" s="6">
        <v>21</v>
      </c>
      <c r="L45" s="6">
        <v>0</v>
      </c>
      <c r="M45" s="6">
        <v>21</v>
      </c>
      <c r="N45" s="6">
        <v>8</v>
      </c>
      <c r="O45" s="6">
        <v>168</v>
      </c>
      <c r="P45" s="6">
        <v>187</v>
      </c>
      <c r="Q45" s="75">
        <v>1.1130952380952381</v>
      </c>
      <c r="R45" s="102">
        <f>(IF(VIEW_IV_2019_VISITAS_REP[[#This Row],[Visitas-Cobertura]]&lt;Cob_Min_REP,0,IF(VIEW_IV_2019_VISITAS_REP[[#This Row],[Visitas-Cobertura]]&gt;Cob_100_REP,Vlr_100_REP,VLOOKUP(VIEW_IV_2019_VISITAS_REP[[#This Row],[Visitas-Cobertura]],Tabela_Valores_REP,2,1)))*R$1)</f>
        <v>180.2892404718981</v>
      </c>
    </row>
    <row r="46" spans="1:18" x14ac:dyDescent="0.25">
      <c r="A46" s="7" t="s">
        <v>16</v>
      </c>
      <c r="B46" s="7" t="s">
        <v>60</v>
      </c>
      <c r="C46" s="7" t="s">
        <v>18</v>
      </c>
      <c r="D46" s="8" t="s">
        <v>728</v>
      </c>
      <c r="E46" s="8" t="s">
        <v>729</v>
      </c>
      <c r="F46" s="8" t="s">
        <v>730</v>
      </c>
      <c r="G46" s="14" t="b">
        <v>1</v>
      </c>
      <c r="H46" s="14" t="b">
        <v>1</v>
      </c>
      <c r="I46" s="8" t="s">
        <v>787</v>
      </c>
      <c r="J46" s="14" t="b">
        <v>0</v>
      </c>
      <c r="K46" s="6">
        <v>21</v>
      </c>
      <c r="L46" s="6">
        <v>0</v>
      </c>
      <c r="M46" s="6">
        <v>21</v>
      </c>
      <c r="N46" s="6">
        <v>6</v>
      </c>
      <c r="O46" s="6">
        <v>126</v>
      </c>
      <c r="P46" s="6">
        <v>131</v>
      </c>
      <c r="Q46" s="75">
        <v>1.0396825396825398</v>
      </c>
      <c r="R46" s="102">
        <f>(IF(VIEW_IV_2019_VISITAS_REP[[#This Row],[Visitas-Cobertura]]&lt;Cob_Min_REP,0,IF(VIEW_IV_2019_VISITAS_REP[[#This Row],[Visitas-Cobertura]]&gt;Cob_100_REP,Vlr_100_REP,VLOOKUP(VIEW_IV_2019_VISITAS_REP[[#This Row],[Visitas-Cobertura]],Tabela_Valores_REP,2,1)))*R$1)</f>
        <v>180.2892404718981</v>
      </c>
    </row>
    <row r="47" spans="1:18" x14ac:dyDescent="0.25">
      <c r="A47" s="7" t="s">
        <v>16</v>
      </c>
      <c r="B47" s="7" t="s">
        <v>60</v>
      </c>
      <c r="C47" s="7" t="s">
        <v>18</v>
      </c>
      <c r="D47" s="8" t="s">
        <v>733</v>
      </c>
      <c r="E47" s="8" t="s">
        <v>734</v>
      </c>
      <c r="F47" s="8" t="s">
        <v>730</v>
      </c>
      <c r="G47" s="14" t="b">
        <v>1</v>
      </c>
      <c r="H47" s="14" t="b">
        <v>1</v>
      </c>
      <c r="I47" s="8" t="s">
        <v>785</v>
      </c>
      <c r="J47" s="14" t="b">
        <v>0</v>
      </c>
      <c r="K47" s="6">
        <v>21</v>
      </c>
      <c r="L47" s="6">
        <v>2</v>
      </c>
      <c r="M47" s="6">
        <v>19</v>
      </c>
      <c r="N47" s="6">
        <v>6</v>
      </c>
      <c r="O47" s="6">
        <v>114</v>
      </c>
      <c r="P47" s="6">
        <v>107</v>
      </c>
      <c r="Q47" s="75">
        <v>0.93859649122807021</v>
      </c>
      <c r="R47" s="102">
        <f>(IF(VIEW_IV_2019_VISITAS_REP[[#This Row],[Visitas-Cobertura]]&lt;Cob_Min_REP,0,IF(VIEW_IV_2019_VISITAS_REP[[#This Row],[Visitas-Cobertura]]&gt;Cob_100_REP,Vlr_100_REP,VLOOKUP(VIEW_IV_2019_VISITAS_REP[[#This Row],[Visitas-Cobertura]],Tabela_Valores_REP,2,1)))*R$1)</f>
        <v>126.83348067198027</v>
      </c>
    </row>
    <row r="48" spans="1:18" x14ac:dyDescent="0.25">
      <c r="A48" s="7" t="s">
        <v>16</v>
      </c>
      <c r="B48" s="7" t="s">
        <v>60</v>
      </c>
      <c r="C48" s="7" t="s">
        <v>18</v>
      </c>
      <c r="D48" s="8" t="s">
        <v>735</v>
      </c>
      <c r="E48" s="8" t="s">
        <v>736</v>
      </c>
      <c r="F48" s="8" t="s">
        <v>723</v>
      </c>
      <c r="G48" s="14" t="b">
        <v>1</v>
      </c>
      <c r="H48" s="14" t="b">
        <v>1</v>
      </c>
      <c r="I48" s="8" t="s">
        <v>785</v>
      </c>
      <c r="J48" s="14" t="b">
        <v>0</v>
      </c>
      <c r="K48" s="6">
        <v>21</v>
      </c>
      <c r="L48" s="6">
        <v>8</v>
      </c>
      <c r="M48" s="6">
        <v>13</v>
      </c>
      <c r="N48" s="6">
        <v>8</v>
      </c>
      <c r="O48" s="6">
        <v>104</v>
      </c>
      <c r="P48" s="6">
        <v>73</v>
      </c>
      <c r="Q48" s="75">
        <v>0.70192307692307698</v>
      </c>
      <c r="R48" s="102">
        <f>(IF(VIEW_IV_2019_VISITAS_REP[[#This Row],[Visitas-Cobertura]]&lt;Cob_Min_REP,0,IF(VIEW_IV_2019_VISITAS_REP[[#This Row],[Visitas-Cobertura]]&gt;Cob_100_REP,Vlr_100_REP,VLOOKUP(VIEW_IV_2019_VISITAS_REP[[#This Row],[Visitas-Cobertura]],Tabela_Valores_REP,2,1)))*R$1)</f>
        <v>0</v>
      </c>
    </row>
    <row r="49" spans="1:18" x14ac:dyDescent="0.25">
      <c r="A49" s="7" t="s">
        <v>16</v>
      </c>
      <c r="B49" s="7" t="s">
        <v>60</v>
      </c>
      <c r="C49" s="7" t="s">
        <v>18</v>
      </c>
      <c r="D49" s="8" t="s">
        <v>737</v>
      </c>
      <c r="E49" s="8" t="s">
        <v>738</v>
      </c>
      <c r="F49" s="8" t="s">
        <v>739</v>
      </c>
      <c r="G49" s="14" t="b">
        <v>1</v>
      </c>
      <c r="H49" s="14" t="b">
        <v>1</v>
      </c>
      <c r="I49" s="8" t="s">
        <v>785</v>
      </c>
      <c r="J49" s="14" t="b">
        <v>0</v>
      </c>
      <c r="K49" s="6">
        <v>21</v>
      </c>
      <c r="L49" s="6">
        <v>7</v>
      </c>
      <c r="M49" s="6">
        <v>14</v>
      </c>
      <c r="N49" s="6">
        <v>8</v>
      </c>
      <c r="O49" s="6">
        <v>112</v>
      </c>
      <c r="P49" s="6">
        <v>71</v>
      </c>
      <c r="Q49" s="75">
        <v>0.63392857142857151</v>
      </c>
      <c r="R49" s="102">
        <f>(IF(VIEW_IV_2019_VISITAS_REP[[#This Row],[Visitas-Cobertura]]&lt;Cob_Min_REP,0,IF(VIEW_IV_2019_VISITAS_REP[[#This Row],[Visitas-Cobertura]]&gt;Cob_100_REP,Vlr_100_REP,VLOOKUP(VIEW_IV_2019_VISITAS_REP[[#This Row],[Visitas-Cobertura]],Tabela_Valores_REP,2,1)))*R$1)</f>
        <v>0</v>
      </c>
    </row>
    <row r="50" spans="1:18" x14ac:dyDescent="0.25">
      <c r="A50" s="7" t="s">
        <v>16</v>
      </c>
      <c r="B50" s="7" t="s">
        <v>60</v>
      </c>
      <c r="C50" s="7" t="s">
        <v>18</v>
      </c>
      <c r="D50" s="8" t="s">
        <v>740</v>
      </c>
      <c r="E50" s="8" t="s">
        <v>741</v>
      </c>
      <c r="F50" s="8" t="s">
        <v>730</v>
      </c>
      <c r="G50" s="14" t="b">
        <v>1</v>
      </c>
      <c r="H50" s="14" t="b">
        <v>1</v>
      </c>
      <c r="I50" s="8" t="s">
        <v>787</v>
      </c>
      <c r="J50" s="14" t="b">
        <v>0</v>
      </c>
      <c r="K50" s="6">
        <v>21</v>
      </c>
      <c r="L50" s="6">
        <v>3</v>
      </c>
      <c r="M50" s="6">
        <v>18</v>
      </c>
      <c r="N50" s="6">
        <v>6</v>
      </c>
      <c r="O50" s="6">
        <v>108</v>
      </c>
      <c r="P50" s="6">
        <v>108</v>
      </c>
      <c r="Q50" s="75">
        <v>1</v>
      </c>
      <c r="R50" s="102">
        <f>(IF(VIEW_IV_2019_VISITAS_REP[[#This Row],[Visitas-Cobertura]]&lt;Cob_Min_REP,0,IF(VIEW_IV_2019_VISITAS_REP[[#This Row],[Visitas-Cobertura]]&gt;Cob_100_REP,Vlr_100_REP,VLOOKUP(VIEW_IV_2019_VISITAS_REP[[#This Row],[Visitas-Cobertura]],Tabela_Valores_REP,2,1)))*R$1)</f>
        <v>180.2892404718981</v>
      </c>
    </row>
    <row r="51" spans="1:18" x14ac:dyDescent="0.25">
      <c r="A51" s="7" t="s">
        <v>16</v>
      </c>
      <c r="B51" s="7" t="s">
        <v>60</v>
      </c>
      <c r="C51" s="7" t="s">
        <v>18</v>
      </c>
      <c r="D51" s="8" t="s">
        <v>742</v>
      </c>
      <c r="E51" s="8" t="s">
        <v>743</v>
      </c>
      <c r="F51" s="8" t="s">
        <v>723</v>
      </c>
      <c r="G51" s="14" t="b">
        <v>1</v>
      </c>
      <c r="H51" s="14" t="b">
        <v>1</v>
      </c>
      <c r="I51" s="8" t="s">
        <v>791</v>
      </c>
      <c r="J51" s="14" t="b">
        <v>0</v>
      </c>
      <c r="K51" s="6">
        <v>21</v>
      </c>
      <c r="L51" s="6">
        <v>0</v>
      </c>
      <c r="M51" s="6">
        <v>21</v>
      </c>
      <c r="N51" s="6">
        <v>8</v>
      </c>
      <c r="O51" s="6">
        <v>168</v>
      </c>
      <c r="P51" s="6">
        <v>265</v>
      </c>
      <c r="Q51" s="75">
        <v>1.5773809523809523</v>
      </c>
      <c r="R51" s="102">
        <f>(IF(VIEW_IV_2019_VISITAS_REP[[#This Row],[Visitas-Cobertura]]&lt;Cob_Min_REP,0,IF(VIEW_IV_2019_VISITAS_REP[[#This Row],[Visitas-Cobertura]]&gt;Cob_100_REP,Vlr_100_REP,VLOOKUP(VIEW_IV_2019_VISITAS_REP[[#This Row],[Visitas-Cobertura]],Tabela_Valores_REP,2,1)))*R$1)</f>
        <v>180.2892404718981</v>
      </c>
    </row>
    <row r="52" spans="1:18" x14ac:dyDescent="0.25">
      <c r="A52" s="7" t="s">
        <v>16</v>
      </c>
      <c r="B52" s="7" t="s">
        <v>60</v>
      </c>
      <c r="C52" s="7" t="s">
        <v>18</v>
      </c>
      <c r="D52" s="8" t="s">
        <v>744</v>
      </c>
      <c r="E52" s="8" t="s">
        <v>745</v>
      </c>
      <c r="F52" s="8" t="s">
        <v>723</v>
      </c>
      <c r="G52" s="14" t="b">
        <v>1</v>
      </c>
      <c r="H52" s="14" t="b">
        <v>1</v>
      </c>
      <c r="I52" s="8" t="s">
        <v>791</v>
      </c>
      <c r="J52" s="14" t="b">
        <v>0</v>
      </c>
      <c r="K52" s="6">
        <v>21</v>
      </c>
      <c r="L52" s="6">
        <v>0</v>
      </c>
      <c r="M52" s="6">
        <v>21</v>
      </c>
      <c r="N52" s="6">
        <v>8</v>
      </c>
      <c r="O52" s="6">
        <v>168</v>
      </c>
      <c r="P52" s="6">
        <v>131</v>
      </c>
      <c r="Q52" s="75">
        <v>0.77976190476190488</v>
      </c>
      <c r="R52" s="102">
        <f>(IF(VIEW_IV_2019_VISITAS_REP[[#This Row],[Visitas-Cobertura]]&lt;Cob_Min_REP,0,IF(VIEW_IV_2019_VISITAS_REP[[#This Row],[Visitas-Cobertura]]&gt;Cob_100_REP,Vlr_100_REP,VLOOKUP(VIEW_IV_2019_VISITAS_REP[[#This Row],[Visitas-Cobertura]],Tabela_Valores_REP,2,1)))*R$1)</f>
        <v>0</v>
      </c>
    </row>
    <row r="53" spans="1:18" x14ac:dyDescent="0.25">
      <c r="A53" s="7" t="s">
        <v>16</v>
      </c>
      <c r="B53" s="7" t="s">
        <v>60</v>
      </c>
      <c r="C53" s="7" t="s">
        <v>18</v>
      </c>
      <c r="D53" s="8" t="s">
        <v>746</v>
      </c>
      <c r="E53" s="8" t="s">
        <v>747</v>
      </c>
      <c r="F53" s="8" t="s">
        <v>723</v>
      </c>
      <c r="G53" s="14" t="b">
        <v>1</v>
      </c>
      <c r="H53" s="14" t="b">
        <v>1</v>
      </c>
      <c r="I53" s="8" t="s">
        <v>791</v>
      </c>
      <c r="J53" s="14" t="b">
        <v>0</v>
      </c>
      <c r="K53" s="6">
        <v>21</v>
      </c>
      <c r="L53" s="6">
        <v>0</v>
      </c>
      <c r="M53" s="6">
        <v>21</v>
      </c>
      <c r="N53" s="6">
        <v>8</v>
      </c>
      <c r="O53" s="6">
        <v>168</v>
      </c>
      <c r="P53" s="6">
        <v>168</v>
      </c>
      <c r="Q53" s="75">
        <v>1</v>
      </c>
      <c r="R53" s="102">
        <f>(IF(VIEW_IV_2019_VISITAS_REP[[#This Row],[Visitas-Cobertura]]&lt;Cob_Min_REP,0,IF(VIEW_IV_2019_VISITAS_REP[[#This Row],[Visitas-Cobertura]]&gt;Cob_100_REP,Vlr_100_REP,VLOOKUP(VIEW_IV_2019_VISITAS_REP[[#This Row],[Visitas-Cobertura]],Tabela_Valores_REP,2,1)))*R$1)</f>
        <v>180.2892404718981</v>
      </c>
    </row>
    <row r="54" spans="1:18" x14ac:dyDescent="0.25">
      <c r="A54" s="7" t="s">
        <v>16</v>
      </c>
      <c r="B54" s="7" t="s">
        <v>60</v>
      </c>
      <c r="C54" s="7" t="s">
        <v>18</v>
      </c>
      <c r="D54" s="8" t="s">
        <v>748</v>
      </c>
      <c r="E54" s="8" t="s">
        <v>749</v>
      </c>
      <c r="F54" s="8" t="s">
        <v>723</v>
      </c>
      <c r="G54" s="14" t="b">
        <v>1</v>
      </c>
      <c r="H54" s="14" t="b">
        <v>1</v>
      </c>
      <c r="I54" s="8" t="s">
        <v>791</v>
      </c>
      <c r="J54" s="14" t="b">
        <v>0</v>
      </c>
      <c r="K54" s="6">
        <v>21</v>
      </c>
      <c r="L54" s="6">
        <v>2</v>
      </c>
      <c r="M54" s="6">
        <v>19</v>
      </c>
      <c r="N54" s="6">
        <v>8</v>
      </c>
      <c r="O54" s="6">
        <v>152</v>
      </c>
      <c r="P54" s="6">
        <v>118</v>
      </c>
      <c r="Q54" s="75">
        <v>0.77631578947368418</v>
      </c>
      <c r="R54" s="102">
        <f>(IF(VIEW_IV_2019_VISITAS_REP[[#This Row],[Visitas-Cobertura]]&lt;Cob_Min_REP,0,IF(VIEW_IV_2019_VISITAS_REP[[#This Row],[Visitas-Cobertura]]&gt;Cob_100_REP,Vlr_100_REP,VLOOKUP(VIEW_IV_2019_VISITAS_REP[[#This Row],[Visitas-Cobertura]],Tabela_Valores_REP,2,1)))*R$1)</f>
        <v>0</v>
      </c>
    </row>
    <row r="55" spans="1:18" x14ac:dyDescent="0.25">
      <c r="A55" s="7" t="s">
        <v>16</v>
      </c>
      <c r="B55" s="7" t="s">
        <v>60</v>
      </c>
      <c r="C55" s="7" t="s">
        <v>18</v>
      </c>
      <c r="D55" s="8" t="s">
        <v>752</v>
      </c>
      <c r="E55" s="8" t="s">
        <v>753</v>
      </c>
      <c r="F55" s="8" t="s">
        <v>723</v>
      </c>
      <c r="G55" s="14" t="b">
        <v>1</v>
      </c>
      <c r="H55" s="14" t="b">
        <v>1</v>
      </c>
      <c r="I55" s="8" t="s">
        <v>785</v>
      </c>
      <c r="J55" s="14" t="b">
        <v>0</v>
      </c>
      <c r="K55" s="6">
        <v>21</v>
      </c>
      <c r="L55" s="6">
        <v>0</v>
      </c>
      <c r="M55" s="6">
        <v>21</v>
      </c>
      <c r="N55" s="6">
        <v>8</v>
      </c>
      <c r="O55" s="6">
        <v>168</v>
      </c>
      <c r="P55" s="6">
        <v>122</v>
      </c>
      <c r="Q55" s="75">
        <v>0.72619047619047616</v>
      </c>
      <c r="R55" s="102">
        <f>(IF(VIEW_IV_2019_VISITAS_REP[[#This Row],[Visitas-Cobertura]]&lt;Cob_Min_REP,0,IF(VIEW_IV_2019_VISITAS_REP[[#This Row],[Visitas-Cobertura]]&gt;Cob_100_REP,Vlr_100_REP,VLOOKUP(VIEW_IV_2019_VISITAS_REP[[#This Row],[Visitas-Cobertura]],Tabela_Valores_REP,2,1)))*R$1)</f>
        <v>0</v>
      </c>
    </row>
    <row r="56" spans="1:18" x14ac:dyDescent="0.25">
      <c r="A56" s="7" t="s">
        <v>16</v>
      </c>
      <c r="B56" s="7" t="s">
        <v>60</v>
      </c>
      <c r="C56" s="7" t="s">
        <v>18</v>
      </c>
      <c r="D56" s="8" t="s">
        <v>754</v>
      </c>
      <c r="E56" s="8" t="s">
        <v>755</v>
      </c>
      <c r="F56" s="8" t="s">
        <v>730</v>
      </c>
      <c r="G56" s="14" t="b">
        <v>1</v>
      </c>
      <c r="H56" s="14" t="b">
        <v>1</v>
      </c>
      <c r="I56" s="8" t="s">
        <v>785</v>
      </c>
      <c r="J56" s="14" t="b">
        <v>0</v>
      </c>
      <c r="K56" s="6">
        <v>21</v>
      </c>
      <c r="L56" s="6">
        <v>15</v>
      </c>
      <c r="M56" s="6">
        <v>6</v>
      </c>
      <c r="N56" s="6">
        <v>6</v>
      </c>
      <c r="O56" s="6">
        <v>36</v>
      </c>
      <c r="P56" s="6">
        <v>43</v>
      </c>
      <c r="Q56" s="75">
        <v>1.1944444444444444</v>
      </c>
      <c r="R56" s="102">
        <f>(IF(VIEW_IV_2019_VISITAS_REP[[#This Row],[Visitas-Cobertura]]&lt;Cob_Min_REP,0,IF(VIEW_IV_2019_VISITAS_REP[[#This Row],[Visitas-Cobertura]]&gt;Cob_100_REP,Vlr_100_REP,VLOOKUP(VIEW_IV_2019_VISITAS_REP[[#This Row],[Visitas-Cobertura]],Tabela_Valores_REP,2,1)))*R$1)</f>
        <v>180.2892404718981</v>
      </c>
    </row>
    <row r="57" spans="1:18" x14ac:dyDescent="0.25">
      <c r="A57" s="7" t="s">
        <v>16</v>
      </c>
      <c r="B57" s="7" t="s">
        <v>60</v>
      </c>
      <c r="C57" s="7" t="s">
        <v>18</v>
      </c>
      <c r="D57" s="8" t="s">
        <v>756</v>
      </c>
      <c r="E57" s="8" t="s">
        <v>757</v>
      </c>
      <c r="F57" s="8" t="s">
        <v>723</v>
      </c>
      <c r="G57" s="14" t="b">
        <v>1</v>
      </c>
      <c r="H57" s="14" t="b">
        <v>1</v>
      </c>
      <c r="I57" s="8" t="s">
        <v>787</v>
      </c>
      <c r="J57" s="14" t="b">
        <v>0</v>
      </c>
      <c r="K57" s="6">
        <v>21</v>
      </c>
      <c r="L57" s="6">
        <v>12</v>
      </c>
      <c r="M57" s="6">
        <v>9</v>
      </c>
      <c r="N57" s="6">
        <v>8</v>
      </c>
      <c r="O57" s="6">
        <v>72</v>
      </c>
      <c r="P57" s="6">
        <v>86</v>
      </c>
      <c r="Q57" s="75">
        <v>1.1944444444444444</v>
      </c>
      <c r="R57" s="102">
        <f>(IF(VIEW_IV_2019_VISITAS_REP[[#This Row],[Visitas-Cobertura]]&lt;Cob_Min_REP,0,IF(VIEW_IV_2019_VISITAS_REP[[#This Row],[Visitas-Cobertura]]&gt;Cob_100_REP,Vlr_100_REP,VLOOKUP(VIEW_IV_2019_VISITAS_REP[[#This Row],[Visitas-Cobertura]],Tabela_Valores_REP,2,1)))*R$1)</f>
        <v>180.2892404718981</v>
      </c>
    </row>
    <row r="58" spans="1:18" x14ac:dyDescent="0.25">
      <c r="A58" s="7" t="s">
        <v>16</v>
      </c>
      <c r="B58" s="7" t="s">
        <v>60</v>
      </c>
      <c r="C58" s="7" t="s">
        <v>18</v>
      </c>
      <c r="D58" s="8" t="s">
        <v>760</v>
      </c>
      <c r="E58" s="8" t="s">
        <v>761</v>
      </c>
      <c r="F58" s="8" t="s">
        <v>723</v>
      </c>
      <c r="G58" s="14" t="b">
        <v>1</v>
      </c>
      <c r="H58" s="14" t="b">
        <v>1</v>
      </c>
      <c r="I58" s="8" t="s">
        <v>785</v>
      </c>
      <c r="J58" s="14" t="b">
        <v>0</v>
      </c>
      <c r="K58" s="6">
        <v>21</v>
      </c>
      <c r="L58" s="6">
        <v>1</v>
      </c>
      <c r="M58" s="6">
        <v>20</v>
      </c>
      <c r="N58" s="6">
        <v>8</v>
      </c>
      <c r="O58" s="6">
        <v>160</v>
      </c>
      <c r="P58" s="6">
        <v>162</v>
      </c>
      <c r="Q58" s="75">
        <v>1.0125</v>
      </c>
      <c r="R58" s="102">
        <f>(IF(VIEW_IV_2019_VISITAS_REP[[#This Row],[Visitas-Cobertura]]&lt;Cob_Min_REP,0,IF(VIEW_IV_2019_VISITAS_REP[[#This Row],[Visitas-Cobertura]]&gt;Cob_100_REP,Vlr_100_REP,VLOOKUP(VIEW_IV_2019_VISITAS_REP[[#This Row],[Visitas-Cobertura]],Tabela_Valores_REP,2,1)))*R$1)</f>
        <v>180.2892404718981</v>
      </c>
    </row>
    <row r="59" spans="1:18" x14ac:dyDescent="0.25">
      <c r="A59" s="7" t="s">
        <v>16</v>
      </c>
      <c r="B59" s="7" t="s">
        <v>60</v>
      </c>
      <c r="C59" s="7" t="s">
        <v>18</v>
      </c>
      <c r="D59" s="8" t="s">
        <v>762</v>
      </c>
      <c r="E59" s="8" t="s">
        <v>763</v>
      </c>
      <c r="F59" s="8" t="s">
        <v>723</v>
      </c>
      <c r="G59" s="14" t="b">
        <v>1</v>
      </c>
      <c r="H59" s="14" t="b">
        <v>1</v>
      </c>
      <c r="I59" s="8" t="s">
        <v>787</v>
      </c>
      <c r="J59" s="14" t="b">
        <v>0</v>
      </c>
      <c r="K59" s="6">
        <v>21</v>
      </c>
      <c r="L59" s="6">
        <v>2</v>
      </c>
      <c r="M59" s="6">
        <v>19</v>
      </c>
      <c r="N59" s="6">
        <v>8</v>
      </c>
      <c r="O59" s="6">
        <v>152</v>
      </c>
      <c r="P59" s="6">
        <v>161</v>
      </c>
      <c r="Q59" s="75">
        <v>1.0592105263157896</v>
      </c>
      <c r="R59" s="102">
        <f>(IF(VIEW_IV_2019_VISITAS_REP[[#This Row],[Visitas-Cobertura]]&lt;Cob_Min_REP,0,IF(VIEW_IV_2019_VISITAS_REP[[#This Row],[Visitas-Cobertura]]&gt;Cob_100_REP,Vlr_100_REP,VLOOKUP(VIEW_IV_2019_VISITAS_REP[[#This Row],[Visitas-Cobertura]],Tabela_Valores_REP,2,1)))*R$1)</f>
        <v>180.2892404718981</v>
      </c>
    </row>
    <row r="60" spans="1:18" x14ac:dyDescent="0.25">
      <c r="A60" s="7" t="s">
        <v>16</v>
      </c>
      <c r="B60" s="7" t="s">
        <v>60</v>
      </c>
      <c r="C60" s="7" t="s">
        <v>18</v>
      </c>
      <c r="D60" s="8" t="s">
        <v>778</v>
      </c>
      <c r="E60" s="8" t="s">
        <v>779</v>
      </c>
      <c r="F60" s="8" t="s">
        <v>730</v>
      </c>
      <c r="G60" s="14" t="b">
        <v>1</v>
      </c>
      <c r="H60" s="14" t="b">
        <v>1</v>
      </c>
      <c r="I60" s="8" t="s">
        <v>791</v>
      </c>
      <c r="J60" s="14" t="b">
        <v>0</v>
      </c>
      <c r="K60" s="6">
        <v>21</v>
      </c>
      <c r="L60" s="6">
        <v>1</v>
      </c>
      <c r="M60" s="6">
        <v>20</v>
      </c>
      <c r="N60" s="6">
        <v>6</v>
      </c>
      <c r="O60" s="6">
        <v>120</v>
      </c>
      <c r="P60" s="6">
        <v>57</v>
      </c>
      <c r="Q60" s="75">
        <v>0.47499999999999998</v>
      </c>
      <c r="R60" s="102">
        <f>(IF(VIEW_IV_2019_VISITAS_REP[[#This Row],[Visitas-Cobertura]]&lt;Cob_Min_REP,0,IF(VIEW_IV_2019_VISITAS_REP[[#This Row],[Visitas-Cobertura]]&gt;Cob_100_REP,Vlr_100_REP,VLOOKUP(VIEW_IV_2019_VISITAS_REP[[#This Row],[Visitas-Cobertura]],Tabela_Valores_REP,2,1)))*R$1)</f>
        <v>0</v>
      </c>
    </row>
    <row r="61" spans="1:18" x14ac:dyDescent="0.25">
      <c r="A61" s="7" t="s">
        <v>16</v>
      </c>
      <c r="B61" s="7" t="s">
        <v>60</v>
      </c>
      <c r="C61" s="7" t="s">
        <v>18</v>
      </c>
      <c r="D61" s="8" t="s">
        <v>780</v>
      </c>
      <c r="E61" s="8" t="s">
        <v>781</v>
      </c>
      <c r="F61" s="8" t="s">
        <v>739</v>
      </c>
      <c r="G61" s="14" t="b">
        <v>1</v>
      </c>
      <c r="H61" s="14" t="b">
        <v>1</v>
      </c>
      <c r="I61" s="8" t="s">
        <v>791</v>
      </c>
      <c r="J61" s="14" t="b">
        <v>0</v>
      </c>
      <c r="K61" s="6">
        <v>21</v>
      </c>
      <c r="L61" s="6">
        <v>7</v>
      </c>
      <c r="M61" s="6">
        <v>14</v>
      </c>
      <c r="N61" s="6">
        <v>6</v>
      </c>
      <c r="O61" s="6">
        <v>84</v>
      </c>
      <c r="P61" s="6">
        <v>80</v>
      </c>
      <c r="Q61" s="75">
        <v>0.95238095238095244</v>
      </c>
      <c r="R61" s="102">
        <f>(IF(VIEW_IV_2019_VISITAS_REP[[#This Row],[Visitas-Cobertura]]&lt;Cob_Min_REP,0,IF(VIEW_IV_2019_VISITAS_REP[[#This Row],[Visitas-Cobertura]]&gt;Cob_100_REP,Vlr_100_REP,VLOOKUP(VIEW_IV_2019_VISITAS_REP[[#This Row],[Visitas-Cobertura]],Tabela_Valores_REP,2,1)))*R$1)</f>
        <v>128.72651769693525</v>
      </c>
    </row>
  </sheetData>
  <conditionalFormatting sqref="G6:H61 J6:J61">
    <cfRule type="cellIs" dxfId="178" priority="1" operator="equal">
      <formula>FALSE</formula>
    </cfRule>
    <cfRule type="cellIs" dxfId="177" priority="2" operator="equal">
      <formula>TRUE</formula>
    </cfRule>
  </conditionalFormatting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56FF4E-82FD-44A9-91CC-8464CF2E4EAD}">
  <sheetPr codeName="Planilha1">
    <tabColor theme="9" tint="0.39997558519241921"/>
  </sheetPr>
  <dimension ref="A1:N34"/>
  <sheetViews>
    <sheetView showGridLines="0" workbookViewId="0">
      <pane xSplit="2" ySplit="5" topLeftCell="C6" activePane="bottomRight" state="frozen"/>
      <selection sqref="A1:F520"/>
      <selection pane="topRight" sqref="A1:F520"/>
      <selection pane="bottomLeft" sqref="A1:F520"/>
      <selection pane="bottomRight" activeCell="A6" sqref="A6"/>
    </sheetView>
  </sheetViews>
  <sheetFormatPr defaultRowHeight="15" x14ac:dyDescent="0.25"/>
  <cols>
    <col min="1" max="1" width="32.5703125" bestFit="1" customWidth="1"/>
    <col min="2" max="2" width="46.85546875" bestFit="1" customWidth="1"/>
    <col min="3" max="3" width="12.140625" bestFit="1" customWidth="1"/>
    <col min="4" max="4" width="15.5703125" bestFit="1" customWidth="1"/>
    <col min="5" max="5" width="11.28515625" bestFit="1" customWidth="1"/>
    <col min="6" max="6" width="27.140625" bestFit="1" customWidth="1"/>
    <col min="7" max="7" width="24.85546875" bestFit="1" customWidth="1"/>
    <col min="8" max="8" width="12" bestFit="1" customWidth="1"/>
    <col min="9" max="9" width="9.5703125" bestFit="1" customWidth="1"/>
    <col min="10" max="10" width="14.7109375" bestFit="1" customWidth="1"/>
    <col min="11" max="11" width="14.42578125" bestFit="1" customWidth="1"/>
    <col min="12" max="12" width="13.42578125" bestFit="1" customWidth="1"/>
    <col min="13" max="13" width="15" bestFit="1" customWidth="1"/>
    <col min="14" max="14" width="14.7109375" bestFit="1" customWidth="1"/>
  </cols>
  <sheetData>
    <row r="1" spans="1:14" ht="15.75" x14ac:dyDescent="0.25">
      <c r="A1" s="49" t="s">
        <v>972</v>
      </c>
    </row>
    <row r="4" spans="1:14" x14ac:dyDescent="0.25">
      <c r="A4" s="115">
        <v>1</v>
      </c>
      <c r="B4" s="115">
        <v>2</v>
      </c>
      <c r="C4" s="115">
        <v>3</v>
      </c>
      <c r="D4" s="115">
        <v>4</v>
      </c>
      <c r="E4" s="115">
        <v>5</v>
      </c>
      <c r="F4" s="115">
        <v>6</v>
      </c>
      <c r="G4" s="115">
        <v>7</v>
      </c>
      <c r="H4" s="115">
        <v>8</v>
      </c>
      <c r="I4" s="115">
        <v>9</v>
      </c>
      <c r="J4" s="115">
        <v>10</v>
      </c>
      <c r="K4" s="115">
        <v>11</v>
      </c>
      <c r="L4" s="115">
        <v>12</v>
      </c>
      <c r="M4" s="115">
        <v>13</v>
      </c>
      <c r="N4" s="115">
        <v>14</v>
      </c>
    </row>
    <row r="5" spans="1:14" x14ac:dyDescent="0.25">
      <c r="A5" s="3" t="s">
        <v>708</v>
      </c>
      <c r="B5" s="3" t="s">
        <v>709</v>
      </c>
      <c r="C5" s="3" t="s">
        <v>710</v>
      </c>
      <c r="D5" s="3" t="s">
        <v>711</v>
      </c>
      <c r="E5" s="6" t="s">
        <v>712</v>
      </c>
      <c r="F5" s="3" t="s">
        <v>782</v>
      </c>
      <c r="G5" s="3" t="s">
        <v>783</v>
      </c>
      <c r="H5" s="6" t="s">
        <v>713</v>
      </c>
      <c r="I5" s="6" t="s">
        <v>714</v>
      </c>
      <c r="J5" s="6" t="s">
        <v>715</v>
      </c>
      <c r="K5" s="6" t="s">
        <v>716</v>
      </c>
      <c r="L5" s="6" t="s">
        <v>717</v>
      </c>
      <c r="M5" s="6" t="s">
        <v>718</v>
      </c>
      <c r="N5" s="6" t="s">
        <v>719</v>
      </c>
    </row>
    <row r="6" spans="1:14" x14ac:dyDescent="0.25">
      <c r="A6" s="8" t="s">
        <v>728</v>
      </c>
      <c r="B6" s="8" t="s">
        <v>729</v>
      </c>
      <c r="C6" s="8" t="s">
        <v>722</v>
      </c>
      <c r="D6" s="6">
        <v>10</v>
      </c>
      <c r="E6" s="7" t="s">
        <v>730</v>
      </c>
      <c r="F6" s="8" t="s">
        <v>786</v>
      </c>
      <c r="G6" s="8" t="s">
        <v>787</v>
      </c>
      <c r="H6" s="13" t="b">
        <v>1</v>
      </c>
      <c r="I6" s="13" t="b">
        <v>1</v>
      </c>
      <c r="J6" s="12">
        <v>0.1</v>
      </c>
      <c r="K6" s="12">
        <v>0</v>
      </c>
      <c r="L6" s="12">
        <v>0</v>
      </c>
      <c r="M6" s="12">
        <v>0.4</v>
      </c>
      <c r="N6" s="12">
        <v>0.2</v>
      </c>
    </row>
    <row r="7" spans="1:14" x14ac:dyDescent="0.25">
      <c r="A7" s="8" t="s">
        <v>733</v>
      </c>
      <c r="B7" s="8" t="s">
        <v>734</v>
      </c>
      <c r="C7" s="8" t="s">
        <v>722</v>
      </c>
      <c r="D7" s="6">
        <v>10</v>
      </c>
      <c r="E7" s="7" t="s">
        <v>730</v>
      </c>
      <c r="F7" s="8" t="s">
        <v>784</v>
      </c>
      <c r="G7" s="8" t="s">
        <v>785</v>
      </c>
      <c r="H7" s="13" t="b">
        <v>1</v>
      </c>
      <c r="I7" s="13" t="b">
        <v>1</v>
      </c>
      <c r="J7" s="12">
        <v>0.1</v>
      </c>
      <c r="K7" s="12">
        <v>0</v>
      </c>
      <c r="L7" s="12">
        <v>0</v>
      </c>
      <c r="M7" s="12">
        <v>0.4</v>
      </c>
      <c r="N7" s="12">
        <v>0.2</v>
      </c>
    </row>
    <row r="8" spans="1:14" x14ac:dyDescent="0.25">
      <c r="A8" s="8" t="s">
        <v>740</v>
      </c>
      <c r="B8" s="8" t="s">
        <v>741</v>
      </c>
      <c r="C8" s="8" t="s">
        <v>722</v>
      </c>
      <c r="D8" s="6">
        <v>10</v>
      </c>
      <c r="E8" s="7" t="s">
        <v>730</v>
      </c>
      <c r="F8" s="8" t="s">
        <v>786</v>
      </c>
      <c r="G8" s="8" t="s">
        <v>787</v>
      </c>
      <c r="H8" s="13" t="b">
        <v>1</v>
      </c>
      <c r="I8" s="13" t="b">
        <v>1</v>
      </c>
      <c r="J8" s="12">
        <v>0.1</v>
      </c>
      <c r="K8" s="12">
        <v>0</v>
      </c>
      <c r="L8" s="12">
        <v>0</v>
      </c>
      <c r="M8" s="12">
        <v>0.4</v>
      </c>
      <c r="N8" s="12">
        <v>0.2</v>
      </c>
    </row>
    <row r="9" spans="1:14" x14ac:dyDescent="0.25">
      <c r="A9" s="8" t="s">
        <v>754</v>
      </c>
      <c r="B9" s="8" t="s">
        <v>755</v>
      </c>
      <c r="C9" s="8" t="s">
        <v>722</v>
      </c>
      <c r="D9" s="6">
        <v>10</v>
      </c>
      <c r="E9" s="7" t="s">
        <v>730</v>
      </c>
      <c r="F9" s="8" t="s">
        <v>784</v>
      </c>
      <c r="G9" s="8" t="s">
        <v>785</v>
      </c>
      <c r="H9" s="13" t="b">
        <v>1</v>
      </c>
      <c r="I9" s="13" t="b">
        <v>1</v>
      </c>
      <c r="J9" s="12">
        <v>0.1</v>
      </c>
      <c r="K9" s="12">
        <v>0</v>
      </c>
      <c r="L9" s="12">
        <v>0</v>
      </c>
      <c r="M9" s="12">
        <v>0.4</v>
      </c>
      <c r="N9" s="12">
        <v>0.2</v>
      </c>
    </row>
    <row r="10" spans="1:14" x14ac:dyDescent="0.25">
      <c r="A10" s="8" t="s">
        <v>778</v>
      </c>
      <c r="B10" s="8" t="s">
        <v>779</v>
      </c>
      <c r="C10" s="8" t="s">
        <v>722</v>
      </c>
      <c r="D10" s="6">
        <v>10</v>
      </c>
      <c r="E10" s="7" t="s">
        <v>730</v>
      </c>
      <c r="F10" s="8" t="s">
        <v>790</v>
      </c>
      <c r="G10" s="8" t="s">
        <v>791</v>
      </c>
      <c r="H10" s="13" t="b">
        <v>1</v>
      </c>
      <c r="I10" s="13" t="b">
        <v>1</v>
      </c>
      <c r="J10" s="12">
        <v>0.1</v>
      </c>
      <c r="K10" s="12">
        <v>0</v>
      </c>
      <c r="L10" s="12">
        <v>0</v>
      </c>
      <c r="M10" s="12">
        <v>0.4</v>
      </c>
      <c r="N10" s="12">
        <v>0.2</v>
      </c>
    </row>
    <row r="11" spans="1:14" x14ac:dyDescent="0.25">
      <c r="A11" s="8" t="s">
        <v>764</v>
      </c>
      <c r="B11" s="8" t="s">
        <v>765</v>
      </c>
      <c r="C11" s="8" t="s">
        <v>722</v>
      </c>
      <c r="D11" s="6">
        <v>10</v>
      </c>
      <c r="E11" s="7" t="s">
        <v>730</v>
      </c>
      <c r="F11" s="8" t="s">
        <v>790</v>
      </c>
      <c r="G11" s="8" t="s">
        <v>791</v>
      </c>
      <c r="H11" s="13" t="b">
        <v>1</v>
      </c>
      <c r="I11" s="13" t="b">
        <v>0</v>
      </c>
      <c r="J11" s="12">
        <v>0</v>
      </c>
      <c r="K11" s="12">
        <v>0</v>
      </c>
      <c r="L11" s="12">
        <v>0</v>
      </c>
      <c r="M11" s="12">
        <v>0</v>
      </c>
      <c r="N11" s="12">
        <v>0</v>
      </c>
    </row>
    <row r="12" spans="1:14" x14ac:dyDescent="0.25">
      <c r="A12" s="8" t="s">
        <v>766</v>
      </c>
      <c r="B12" s="8" t="s">
        <v>767</v>
      </c>
      <c r="C12" s="8" t="s">
        <v>722</v>
      </c>
      <c r="D12" s="6">
        <v>10</v>
      </c>
      <c r="E12" s="7" t="s">
        <v>730</v>
      </c>
      <c r="F12" s="8" t="s">
        <v>790</v>
      </c>
      <c r="G12" s="8" t="s">
        <v>791</v>
      </c>
      <c r="H12" s="13" t="b">
        <v>1</v>
      </c>
      <c r="I12" s="13" t="b">
        <v>0</v>
      </c>
      <c r="J12" s="12">
        <v>0</v>
      </c>
      <c r="K12" s="12">
        <v>0</v>
      </c>
      <c r="L12" s="12">
        <v>0</v>
      </c>
      <c r="M12" s="12">
        <v>0</v>
      </c>
      <c r="N12" s="12">
        <v>0</v>
      </c>
    </row>
    <row r="13" spans="1:14" x14ac:dyDescent="0.25">
      <c r="A13" s="8" t="s">
        <v>768</v>
      </c>
      <c r="B13" s="8" t="s">
        <v>769</v>
      </c>
      <c r="C13" s="8" t="s">
        <v>722</v>
      </c>
      <c r="D13" s="6">
        <v>10</v>
      </c>
      <c r="E13" s="7" t="s">
        <v>730</v>
      </c>
      <c r="F13" s="8" t="s">
        <v>784</v>
      </c>
      <c r="G13" s="8" t="s">
        <v>785</v>
      </c>
      <c r="H13" s="13" t="b">
        <v>1</v>
      </c>
      <c r="I13" s="13" t="b">
        <v>0</v>
      </c>
      <c r="J13" s="12">
        <v>0</v>
      </c>
      <c r="K13" s="12">
        <v>0</v>
      </c>
      <c r="L13" s="12">
        <v>0</v>
      </c>
      <c r="M13" s="12">
        <v>0</v>
      </c>
      <c r="N13" s="12">
        <v>0</v>
      </c>
    </row>
    <row r="14" spans="1:14" x14ac:dyDescent="0.25">
      <c r="A14" s="8" t="s">
        <v>770</v>
      </c>
      <c r="B14" s="8" t="s">
        <v>771</v>
      </c>
      <c r="C14" s="8" t="s">
        <v>722</v>
      </c>
      <c r="D14" s="6">
        <v>10</v>
      </c>
      <c r="E14" s="7" t="s">
        <v>730</v>
      </c>
      <c r="F14" s="8" t="s">
        <v>786</v>
      </c>
      <c r="G14" s="8" t="s">
        <v>787</v>
      </c>
      <c r="H14" s="13" t="b">
        <v>1</v>
      </c>
      <c r="I14" s="13" t="b">
        <v>0</v>
      </c>
      <c r="J14" s="12">
        <v>0</v>
      </c>
      <c r="K14" s="12">
        <v>0</v>
      </c>
      <c r="L14" s="12">
        <v>0</v>
      </c>
      <c r="M14" s="12">
        <v>0</v>
      </c>
      <c r="N14" s="12">
        <v>0</v>
      </c>
    </row>
    <row r="15" spans="1:14" x14ac:dyDescent="0.25">
      <c r="A15" s="8" t="s">
        <v>737</v>
      </c>
      <c r="B15" s="8" t="s">
        <v>738</v>
      </c>
      <c r="C15" s="8" t="s">
        <v>722</v>
      </c>
      <c r="D15" s="6">
        <v>30</v>
      </c>
      <c r="E15" s="7" t="s">
        <v>739</v>
      </c>
      <c r="F15" s="8" t="s">
        <v>784</v>
      </c>
      <c r="G15" s="8" t="s">
        <v>785</v>
      </c>
      <c r="H15" s="13" t="b">
        <v>1</v>
      </c>
      <c r="I15" s="13" t="b">
        <v>1</v>
      </c>
      <c r="J15" s="12">
        <v>0.05</v>
      </c>
      <c r="K15" s="12">
        <v>0.15</v>
      </c>
      <c r="L15" s="12">
        <v>0.15</v>
      </c>
      <c r="M15" s="12">
        <v>0.2</v>
      </c>
      <c r="N15" s="12">
        <v>0.15</v>
      </c>
    </row>
    <row r="16" spans="1:14" x14ac:dyDescent="0.25">
      <c r="A16" s="8" t="s">
        <v>780</v>
      </c>
      <c r="B16" s="8" t="s">
        <v>781</v>
      </c>
      <c r="C16" s="8" t="s">
        <v>722</v>
      </c>
      <c r="D16" s="6">
        <v>30</v>
      </c>
      <c r="E16" s="7" t="s">
        <v>739</v>
      </c>
      <c r="F16" s="8" t="s">
        <v>790</v>
      </c>
      <c r="G16" s="8" t="s">
        <v>791</v>
      </c>
      <c r="H16" s="13" t="b">
        <v>1</v>
      </c>
      <c r="I16" s="13" t="b">
        <v>1</v>
      </c>
      <c r="J16" s="12">
        <v>0.05</v>
      </c>
      <c r="K16" s="12">
        <v>0.15</v>
      </c>
      <c r="L16" s="12">
        <v>0.15</v>
      </c>
      <c r="M16" s="12">
        <v>0.2</v>
      </c>
      <c r="N16" s="12">
        <v>0.15</v>
      </c>
    </row>
    <row r="17" spans="1:14" x14ac:dyDescent="0.25">
      <c r="A17" s="8" t="s">
        <v>720</v>
      </c>
      <c r="B17" s="8" t="s">
        <v>721</v>
      </c>
      <c r="C17" s="8" t="s">
        <v>722</v>
      </c>
      <c r="D17" s="6">
        <v>20</v>
      </c>
      <c r="E17" s="7" t="s">
        <v>723</v>
      </c>
      <c r="F17" s="8" t="s">
        <v>784</v>
      </c>
      <c r="G17" s="8" t="s">
        <v>785</v>
      </c>
      <c r="H17" s="13" t="b">
        <v>1</v>
      </c>
      <c r="I17" s="13" t="b">
        <v>1</v>
      </c>
      <c r="J17" s="12">
        <v>0</v>
      </c>
      <c r="K17" s="12">
        <v>0.25</v>
      </c>
      <c r="L17" s="12">
        <v>0.25</v>
      </c>
      <c r="M17" s="12">
        <v>0</v>
      </c>
      <c r="N17" s="12">
        <v>0.2</v>
      </c>
    </row>
    <row r="18" spans="1:14" x14ac:dyDescent="0.25">
      <c r="A18" s="8" t="s">
        <v>724</v>
      </c>
      <c r="B18" s="8" t="s">
        <v>725</v>
      </c>
      <c r="C18" s="8" t="s">
        <v>722</v>
      </c>
      <c r="D18" s="6">
        <v>20</v>
      </c>
      <c r="E18" s="7" t="s">
        <v>723</v>
      </c>
      <c r="F18" s="8" t="s">
        <v>786</v>
      </c>
      <c r="G18" s="8" t="s">
        <v>787</v>
      </c>
      <c r="H18" s="13" t="b">
        <v>1</v>
      </c>
      <c r="I18" s="13" t="b">
        <v>1</v>
      </c>
      <c r="J18" s="12">
        <v>0</v>
      </c>
      <c r="K18" s="12">
        <v>0.25</v>
      </c>
      <c r="L18" s="12">
        <v>0.25</v>
      </c>
      <c r="M18" s="12">
        <v>0</v>
      </c>
      <c r="N18" s="12">
        <v>0.2</v>
      </c>
    </row>
    <row r="19" spans="1:14" x14ac:dyDescent="0.25">
      <c r="A19" s="8" t="s">
        <v>726</v>
      </c>
      <c r="B19" s="8" t="s">
        <v>727</v>
      </c>
      <c r="C19" s="8" t="s">
        <v>722</v>
      </c>
      <c r="D19" s="6">
        <v>20</v>
      </c>
      <c r="E19" s="7" t="s">
        <v>723</v>
      </c>
      <c r="F19" s="8" t="s">
        <v>786</v>
      </c>
      <c r="G19" s="8" t="s">
        <v>787</v>
      </c>
      <c r="H19" s="13" t="b">
        <v>1</v>
      </c>
      <c r="I19" s="13" t="b">
        <v>1</v>
      </c>
      <c r="J19" s="12">
        <v>0</v>
      </c>
      <c r="K19" s="12">
        <v>0.25</v>
      </c>
      <c r="L19" s="12">
        <v>0.25</v>
      </c>
      <c r="M19" s="12">
        <v>0</v>
      </c>
      <c r="N19" s="12">
        <v>0.2</v>
      </c>
    </row>
    <row r="20" spans="1:14" x14ac:dyDescent="0.25">
      <c r="A20" s="8" t="s">
        <v>735</v>
      </c>
      <c r="B20" s="8" t="s">
        <v>736</v>
      </c>
      <c r="C20" s="8" t="s">
        <v>722</v>
      </c>
      <c r="D20" s="6">
        <v>20</v>
      </c>
      <c r="E20" s="7" t="s">
        <v>723</v>
      </c>
      <c r="F20" s="8" t="s">
        <v>784</v>
      </c>
      <c r="G20" s="8" t="s">
        <v>785</v>
      </c>
      <c r="H20" s="13" t="b">
        <v>1</v>
      </c>
      <c r="I20" s="13" t="b">
        <v>1</v>
      </c>
      <c r="J20" s="12">
        <v>0</v>
      </c>
      <c r="K20" s="12">
        <v>0.25</v>
      </c>
      <c r="L20" s="12">
        <v>0.25</v>
      </c>
      <c r="M20" s="12">
        <v>0</v>
      </c>
      <c r="N20" s="12">
        <v>0.2</v>
      </c>
    </row>
    <row r="21" spans="1:14" x14ac:dyDescent="0.25">
      <c r="A21" s="8" t="s">
        <v>742</v>
      </c>
      <c r="B21" s="8" t="s">
        <v>743</v>
      </c>
      <c r="C21" s="8" t="s">
        <v>722</v>
      </c>
      <c r="D21" s="6">
        <v>20</v>
      </c>
      <c r="E21" s="7" t="s">
        <v>723</v>
      </c>
      <c r="F21" s="8" t="s">
        <v>790</v>
      </c>
      <c r="G21" s="8" t="s">
        <v>791</v>
      </c>
      <c r="H21" s="13" t="b">
        <v>1</v>
      </c>
      <c r="I21" s="13" t="b">
        <v>1</v>
      </c>
      <c r="J21" s="12">
        <v>0</v>
      </c>
      <c r="K21" s="12">
        <v>0.25</v>
      </c>
      <c r="L21" s="12">
        <v>0.25</v>
      </c>
      <c r="M21" s="12">
        <v>0</v>
      </c>
      <c r="N21" s="12">
        <v>0.2</v>
      </c>
    </row>
    <row r="22" spans="1:14" x14ac:dyDescent="0.25">
      <c r="A22" s="8" t="s">
        <v>744</v>
      </c>
      <c r="B22" s="8" t="s">
        <v>745</v>
      </c>
      <c r="C22" s="8" t="s">
        <v>722</v>
      </c>
      <c r="D22" s="6">
        <v>20</v>
      </c>
      <c r="E22" s="7" t="s">
        <v>723</v>
      </c>
      <c r="F22" s="8" t="s">
        <v>790</v>
      </c>
      <c r="G22" s="8" t="s">
        <v>791</v>
      </c>
      <c r="H22" s="13" t="b">
        <v>1</v>
      </c>
      <c r="I22" s="13" t="b">
        <v>1</v>
      </c>
      <c r="J22" s="12">
        <v>0</v>
      </c>
      <c r="K22" s="12">
        <v>0.25</v>
      </c>
      <c r="L22" s="12">
        <v>0.25</v>
      </c>
      <c r="M22" s="12">
        <v>0</v>
      </c>
      <c r="N22" s="12">
        <v>0.2</v>
      </c>
    </row>
    <row r="23" spans="1:14" x14ac:dyDescent="0.25">
      <c r="A23" s="8" t="s">
        <v>746</v>
      </c>
      <c r="B23" s="8" t="s">
        <v>747</v>
      </c>
      <c r="C23" s="8" t="s">
        <v>722</v>
      </c>
      <c r="D23" s="6">
        <v>20</v>
      </c>
      <c r="E23" s="7" t="s">
        <v>723</v>
      </c>
      <c r="F23" s="8" t="s">
        <v>790</v>
      </c>
      <c r="G23" s="8" t="s">
        <v>791</v>
      </c>
      <c r="H23" s="13" t="b">
        <v>1</v>
      </c>
      <c r="I23" s="13" t="b">
        <v>1</v>
      </c>
      <c r="J23" s="12">
        <v>0</v>
      </c>
      <c r="K23" s="12">
        <v>0.25</v>
      </c>
      <c r="L23" s="12">
        <v>0.25</v>
      </c>
      <c r="M23" s="12">
        <v>0</v>
      </c>
      <c r="N23" s="12">
        <v>0.2</v>
      </c>
    </row>
    <row r="24" spans="1:14" x14ac:dyDescent="0.25">
      <c r="A24" s="8" t="s">
        <v>748</v>
      </c>
      <c r="B24" s="8" t="s">
        <v>749</v>
      </c>
      <c r="C24" s="8" t="s">
        <v>722</v>
      </c>
      <c r="D24" s="6">
        <v>20</v>
      </c>
      <c r="E24" s="7" t="s">
        <v>723</v>
      </c>
      <c r="F24" s="8" t="s">
        <v>790</v>
      </c>
      <c r="G24" s="8" t="s">
        <v>791</v>
      </c>
      <c r="H24" s="13" t="b">
        <v>1</v>
      </c>
      <c r="I24" s="13" t="b">
        <v>1</v>
      </c>
      <c r="J24" s="12">
        <v>0</v>
      </c>
      <c r="K24" s="12">
        <v>0.25</v>
      </c>
      <c r="L24" s="12">
        <v>0.25</v>
      </c>
      <c r="M24" s="12">
        <v>0</v>
      </c>
      <c r="N24" s="12">
        <v>0.2</v>
      </c>
    </row>
    <row r="25" spans="1:14" x14ac:dyDescent="0.25">
      <c r="A25" s="8" t="s">
        <v>752</v>
      </c>
      <c r="B25" s="8" t="s">
        <v>753</v>
      </c>
      <c r="C25" s="8" t="s">
        <v>722</v>
      </c>
      <c r="D25" s="6">
        <v>20</v>
      </c>
      <c r="E25" s="7" t="s">
        <v>723</v>
      </c>
      <c r="F25" s="8" t="s">
        <v>784</v>
      </c>
      <c r="G25" s="8" t="s">
        <v>785</v>
      </c>
      <c r="H25" s="13" t="b">
        <v>1</v>
      </c>
      <c r="I25" s="13" t="b">
        <v>1</v>
      </c>
      <c r="J25" s="12">
        <v>0</v>
      </c>
      <c r="K25" s="12">
        <v>0.25</v>
      </c>
      <c r="L25" s="12">
        <v>0.25</v>
      </c>
      <c r="M25" s="12">
        <v>0</v>
      </c>
      <c r="N25" s="12">
        <v>0.2</v>
      </c>
    </row>
    <row r="26" spans="1:14" x14ac:dyDescent="0.25">
      <c r="A26" s="8" t="s">
        <v>756</v>
      </c>
      <c r="B26" s="8" t="s">
        <v>757</v>
      </c>
      <c r="C26" s="8" t="s">
        <v>722</v>
      </c>
      <c r="D26" s="6">
        <v>20</v>
      </c>
      <c r="E26" s="7" t="s">
        <v>723</v>
      </c>
      <c r="F26" s="8" t="s">
        <v>786</v>
      </c>
      <c r="G26" s="8" t="s">
        <v>787</v>
      </c>
      <c r="H26" s="13" t="b">
        <v>1</v>
      </c>
      <c r="I26" s="13" t="b">
        <v>1</v>
      </c>
      <c r="J26" s="12">
        <v>0</v>
      </c>
      <c r="K26" s="12">
        <v>0.25</v>
      </c>
      <c r="L26" s="12">
        <v>0.25</v>
      </c>
      <c r="M26" s="12">
        <v>0</v>
      </c>
      <c r="N26" s="12">
        <v>0.2</v>
      </c>
    </row>
    <row r="27" spans="1:14" x14ac:dyDescent="0.25">
      <c r="A27" s="8" t="s">
        <v>760</v>
      </c>
      <c r="B27" s="8" t="s">
        <v>761</v>
      </c>
      <c r="C27" s="8" t="s">
        <v>722</v>
      </c>
      <c r="D27" s="6">
        <v>20</v>
      </c>
      <c r="E27" s="7" t="s">
        <v>723</v>
      </c>
      <c r="F27" s="8" t="s">
        <v>784</v>
      </c>
      <c r="G27" s="8" t="s">
        <v>785</v>
      </c>
      <c r="H27" s="13" t="b">
        <v>1</v>
      </c>
      <c r="I27" s="13" t="b">
        <v>1</v>
      </c>
      <c r="J27" s="12">
        <v>0</v>
      </c>
      <c r="K27" s="12">
        <v>0.25</v>
      </c>
      <c r="L27" s="12">
        <v>0.25</v>
      </c>
      <c r="M27" s="12">
        <v>0</v>
      </c>
      <c r="N27" s="12">
        <v>0.2</v>
      </c>
    </row>
    <row r="28" spans="1:14" x14ac:dyDescent="0.25">
      <c r="A28" s="8" t="s">
        <v>762</v>
      </c>
      <c r="B28" s="8" t="s">
        <v>763</v>
      </c>
      <c r="C28" s="8" t="s">
        <v>722</v>
      </c>
      <c r="D28" s="6">
        <v>20</v>
      </c>
      <c r="E28" s="7" t="s">
        <v>723</v>
      </c>
      <c r="F28" s="8" t="s">
        <v>786</v>
      </c>
      <c r="G28" s="8" t="s">
        <v>787</v>
      </c>
      <c r="H28" s="13" t="b">
        <v>1</v>
      </c>
      <c r="I28" s="13" t="b">
        <v>1</v>
      </c>
      <c r="J28" s="12">
        <v>0</v>
      </c>
      <c r="K28" s="12">
        <v>0.25</v>
      </c>
      <c r="L28" s="12">
        <v>0.25</v>
      </c>
      <c r="M28" s="12">
        <v>0</v>
      </c>
      <c r="N28" s="12">
        <v>0.2</v>
      </c>
    </row>
    <row r="29" spans="1:14" x14ac:dyDescent="0.25">
      <c r="A29" s="8" t="s">
        <v>772</v>
      </c>
      <c r="B29" s="8" t="s">
        <v>773</v>
      </c>
      <c r="C29" s="8" t="s">
        <v>722</v>
      </c>
      <c r="D29" s="6">
        <v>20</v>
      </c>
      <c r="E29" s="7" t="s">
        <v>723</v>
      </c>
      <c r="F29" s="8" t="s">
        <v>790</v>
      </c>
      <c r="G29" s="8" t="s">
        <v>791</v>
      </c>
      <c r="H29" s="13" t="b">
        <v>1</v>
      </c>
      <c r="I29" s="13" t="b">
        <v>0</v>
      </c>
      <c r="J29" s="12">
        <v>0</v>
      </c>
      <c r="K29" s="12">
        <v>0</v>
      </c>
      <c r="L29" s="12">
        <v>0</v>
      </c>
      <c r="M29" s="12">
        <v>0</v>
      </c>
      <c r="N29" s="12">
        <v>0</v>
      </c>
    </row>
    <row r="30" spans="1:14" x14ac:dyDescent="0.25">
      <c r="A30" s="8" t="s">
        <v>774</v>
      </c>
      <c r="B30" s="8" t="s">
        <v>775</v>
      </c>
      <c r="C30" s="8" t="s">
        <v>722</v>
      </c>
      <c r="D30" s="6">
        <v>20</v>
      </c>
      <c r="E30" s="7" t="s">
        <v>723</v>
      </c>
      <c r="F30" s="8" t="s">
        <v>784</v>
      </c>
      <c r="G30" s="8" t="s">
        <v>785</v>
      </c>
      <c r="H30" s="13" t="b">
        <v>1</v>
      </c>
      <c r="I30" s="13" t="b">
        <v>0</v>
      </c>
      <c r="J30" s="12">
        <v>0</v>
      </c>
      <c r="K30" s="12">
        <v>0</v>
      </c>
      <c r="L30" s="12">
        <v>0</v>
      </c>
      <c r="M30" s="12">
        <v>0</v>
      </c>
      <c r="N30" s="12">
        <v>0</v>
      </c>
    </row>
    <row r="31" spans="1:14" x14ac:dyDescent="0.25">
      <c r="A31" s="8" t="s">
        <v>776</v>
      </c>
      <c r="B31" s="8" t="s">
        <v>777</v>
      </c>
      <c r="C31" s="8" t="s">
        <v>722</v>
      </c>
      <c r="D31" s="6">
        <v>20</v>
      </c>
      <c r="E31" s="7" t="s">
        <v>723</v>
      </c>
      <c r="F31" s="8" t="s">
        <v>786</v>
      </c>
      <c r="G31" s="8" t="s">
        <v>787</v>
      </c>
      <c r="H31" s="13" t="b">
        <v>1</v>
      </c>
      <c r="I31" s="13" t="b">
        <v>0</v>
      </c>
      <c r="J31" s="12">
        <v>0</v>
      </c>
      <c r="K31" s="12">
        <v>0</v>
      </c>
      <c r="L31" s="12">
        <v>0</v>
      </c>
      <c r="M31" s="12">
        <v>0</v>
      </c>
      <c r="N31" s="12">
        <v>0</v>
      </c>
    </row>
    <row r="32" spans="1:14" x14ac:dyDescent="0.25">
      <c r="A32" s="8" t="s">
        <v>758</v>
      </c>
      <c r="B32" s="8" t="s">
        <v>759</v>
      </c>
      <c r="C32" s="8" t="s">
        <v>722</v>
      </c>
      <c r="D32" s="6"/>
      <c r="E32" s="7"/>
      <c r="F32" s="8" t="s">
        <v>788</v>
      </c>
      <c r="G32" s="8" t="s">
        <v>789</v>
      </c>
      <c r="H32" s="13" t="b">
        <v>1</v>
      </c>
      <c r="I32" s="13" t="b">
        <v>0</v>
      </c>
      <c r="J32" s="12">
        <v>0</v>
      </c>
      <c r="K32" s="12">
        <v>0</v>
      </c>
      <c r="L32" s="12">
        <v>0</v>
      </c>
      <c r="M32" s="12">
        <v>0</v>
      </c>
      <c r="N32" s="12">
        <v>0</v>
      </c>
    </row>
    <row r="33" spans="1:14" x14ac:dyDescent="0.25">
      <c r="A33" s="8" t="s">
        <v>731</v>
      </c>
      <c r="B33" s="8" t="s">
        <v>732</v>
      </c>
      <c r="C33" s="8" t="s">
        <v>722</v>
      </c>
      <c r="D33" s="6"/>
      <c r="E33" s="7"/>
      <c r="F33" s="8" t="s">
        <v>788</v>
      </c>
      <c r="G33" s="8" t="s">
        <v>789</v>
      </c>
      <c r="H33" s="13" t="b">
        <v>1</v>
      </c>
      <c r="I33" s="13" t="b">
        <v>0</v>
      </c>
      <c r="J33" s="12">
        <v>0</v>
      </c>
      <c r="K33" s="12">
        <v>0</v>
      </c>
      <c r="L33" s="12">
        <v>0</v>
      </c>
      <c r="M33" s="12">
        <v>0</v>
      </c>
      <c r="N33" s="12">
        <v>0</v>
      </c>
    </row>
    <row r="34" spans="1:14" x14ac:dyDescent="0.25">
      <c r="A34" s="8" t="s">
        <v>750</v>
      </c>
      <c r="B34" s="8" t="s">
        <v>751</v>
      </c>
      <c r="C34" s="8" t="s">
        <v>722</v>
      </c>
      <c r="D34" s="6"/>
      <c r="E34" s="7"/>
      <c r="F34" s="8" t="s">
        <v>784</v>
      </c>
      <c r="G34" s="8" t="s">
        <v>785</v>
      </c>
      <c r="H34" s="13" t="b">
        <v>0</v>
      </c>
      <c r="I34" s="13" t="b">
        <v>0</v>
      </c>
      <c r="J34" s="12">
        <v>0</v>
      </c>
      <c r="K34" s="12">
        <v>0</v>
      </c>
      <c r="L34" s="12">
        <v>0</v>
      </c>
      <c r="M34" s="12">
        <v>0</v>
      </c>
      <c r="N34" s="12">
        <v>0</v>
      </c>
    </row>
  </sheetData>
  <conditionalFormatting sqref="H6:I34">
    <cfRule type="cellIs" dxfId="156" priority="6" operator="equal">
      <formula>FALSE</formula>
    </cfRule>
    <cfRule type="cellIs" dxfId="155" priority="7" operator="equal">
      <formula>TRUE</formula>
    </cfRule>
  </conditionalFormatting>
  <conditionalFormatting sqref="J6:N34">
    <cfRule type="cellIs" dxfId="154" priority="4" operator="greaterThan">
      <formula>0</formula>
    </cfRule>
    <cfRule type="cellIs" dxfId="153" priority="5" operator="equal">
      <formula>0</formula>
    </cfRule>
  </conditionalFormatting>
  <conditionalFormatting sqref="E6:E34">
    <cfRule type="cellIs" dxfId="152" priority="1" operator="equal">
      <formula>"Hosp-Esp"</formula>
    </cfRule>
    <cfRule type="cellIs" dxfId="151" priority="2" operator="equal">
      <formula>"Hospitalar"</formula>
    </cfRule>
    <cfRule type="cellIs" dxfId="150" priority="3" operator="equal">
      <formula>"Especialidade"</formula>
    </cfRule>
  </conditionalFormatting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254565-9EF3-4539-80DF-17FF90A945E3}">
  <sheetPr>
    <tabColor theme="9" tint="-0.249977111117893"/>
  </sheetPr>
  <dimension ref="A1:AJ11"/>
  <sheetViews>
    <sheetView showGridLines="0" workbookViewId="0">
      <pane xSplit="5" ySplit="5" topLeftCell="Q6" activePane="bottomRight" state="frozen"/>
      <selection pane="topRight" activeCell="F1" sqref="F1"/>
      <selection pane="bottomLeft" activeCell="A6" sqref="A6"/>
      <selection pane="bottomRight" activeCell="D11" sqref="D11"/>
    </sheetView>
  </sheetViews>
  <sheetFormatPr defaultRowHeight="15" x14ac:dyDescent="0.25"/>
  <cols>
    <col min="1" max="1" width="21.42578125" style="3" bestFit="1" customWidth="1"/>
    <col min="2" max="2" width="11" style="3" bestFit="1" customWidth="1"/>
    <col min="3" max="3" width="11.140625" style="3" bestFit="1" customWidth="1"/>
    <col min="4" max="4" width="27.140625" style="3" bestFit="1" customWidth="1"/>
    <col min="5" max="5" width="24.85546875" style="3" bestFit="1" customWidth="1"/>
    <col min="6" max="6" width="16.85546875" style="6" bestFit="1" customWidth="1"/>
    <col min="7" max="7" width="16.5703125" style="3" bestFit="1" customWidth="1"/>
    <col min="8" max="8" width="15.5703125" style="3" bestFit="1" customWidth="1"/>
    <col min="9" max="9" width="17.140625" style="3" bestFit="1" customWidth="1"/>
    <col min="10" max="10" width="16.85546875" style="3" bestFit="1" customWidth="1"/>
    <col min="11" max="11" width="20.85546875" style="3" bestFit="1" customWidth="1"/>
    <col min="12" max="12" width="20.5703125" style="3" bestFit="1" customWidth="1"/>
    <col min="13" max="13" width="19.5703125" style="3" bestFit="1" customWidth="1"/>
    <col min="14" max="14" width="21.140625" style="3" bestFit="1" customWidth="1"/>
    <col min="15" max="15" width="20.85546875" style="3" bestFit="1" customWidth="1"/>
    <col min="16" max="16" width="19.140625" style="3" bestFit="1" customWidth="1"/>
    <col min="17" max="17" width="18.85546875" style="3" bestFit="1" customWidth="1"/>
    <col min="18" max="18" width="17.85546875" style="3" bestFit="1" customWidth="1"/>
    <col min="19" max="19" width="19.5703125" style="3" bestFit="1" customWidth="1"/>
    <col min="20" max="21" width="19.140625" style="3" bestFit="1" customWidth="1"/>
    <col min="22" max="22" width="18.85546875" style="3" bestFit="1" customWidth="1"/>
    <col min="23" max="23" width="17.85546875" style="3" bestFit="1" customWidth="1"/>
    <col min="24" max="24" width="19.42578125" style="3" bestFit="1" customWidth="1"/>
    <col min="25" max="25" width="19.140625" style="3" bestFit="1" customWidth="1"/>
    <col min="26" max="26" width="18.28515625" bestFit="1" customWidth="1"/>
    <col min="27" max="27" width="18" bestFit="1" customWidth="1"/>
    <col min="28" max="28" width="17" style="3" bestFit="1" customWidth="1"/>
    <col min="29" max="29" width="18.5703125" style="3" bestFit="1" customWidth="1"/>
    <col min="30" max="30" width="18.28515625" style="3" bestFit="1" customWidth="1"/>
    <col min="31" max="31" width="23.140625" style="3" bestFit="1" customWidth="1"/>
    <col min="32" max="32" width="22.85546875" style="3" bestFit="1" customWidth="1"/>
    <col min="33" max="33" width="21.85546875" style="3" bestFit="1" customWidth="1"/>
    <col min="34" max="34" width="23.42578125" style="3" bestFit="1" customWidth="1"/>
    <col min="35" max="35" width="23.140625" style="3" bestFit="1" customWidth="1"/>
    <col min="36" max="36" width="19.7109375" style="3" bestFit="1" customWidth="1"/>
    <col min="37" max="16384" width="9.140625" style="3"/>
  </cols>
  <sheetData>
    <row r="1" spans="1:36" ht="15.75" x14ac:dyDescent="0.25">
      <c r="A1" s="49" t="s">
        <v>887</v>
      </c>
      <c r="F1" s="6" t="str">
        <f>IF(F2&lt;&gt;'IV Demanda GR Mensal'!G2,"Erro","Ok")</f>
        <v>Ok</v>
      </c>
      <c r="G1" s="6" t="str">
        <f>IF(G2&lt;&gt;'IV Demanda GR Mensal'!H2,"Erro","Ok")</f>
        <v>Ok</v>
      </c>
      <c r="H1" s="6" t="str">
        <f>IF(H2&lt;&gt;'IV Demanda GR Mensal'!I2,"Erro","Ok")</f>
        <v>Ok</v>
      </c>
      <c r="I1" s="6" t="str">
        <f>IF(I2&lt;&gt;'IV Demanda GR Mensal'!J2,"Erro","Ok")</f>
        <v>Ok</v>
      </c>
      <c r="J1" s="6" t="str">
        <f>IF(J2&lt;&gt;'IV Demanda GR Mensal'!K2,"Erro","Ok")</f>
        <v>Ok</v>
      </c>
      <c r="K1" s="6" t="str">
        <f>IF(K2&lt;&gt;'IV Demanda GR Mensal'!L2,"Erro","Ok")</f>
        <v>Ok</v>
      </c>
      <c r="L1" s="6" t="str">
        <f>IF(L2&lt;&gt;'IV Demanda GR Mensal'!M2,"Erro","Ok")</f>
        <v>Ok</v>
      </c>
      <c r="M1" s="6" t="str">
        <f>IF(M2&lt;&gt;'IV Demanda GR Mensal'!N2,"Erro","Ok")</f>
        <v>Ok</v>
      </c>
      <c r="N1" s="6" t="str">
        <f>IF(N2&lt;&gt;'IV Demanda GR Mensal'!O2,"Erro","Ok")</f>
        <v>Ok</v>
      </c>
      <c r="O1" s="6" t="str">
        <f>IF(O2&lt;&gt;'IV Demanda GR Mensal'!P2,"Erro","Ok")</f>
        <v>Ok</v>
      </c>
      <c r="U1" s="57">
        <v>0.03</v>
      </c>
      <c r="V1" s="57">
        <v>0.1</v>
      </c>
      <c r="W1" s="57">
        <v>0.1</v>
      </c>
      <c r="X1" s="57">
        <v>0.15</v>
      </c>
      <c r="Y1" s="57">
        <v>0.12</v>
      </c>
      <c r="Z1" s="6" t="str">
        <f>IF(Z2&lt;&gt;'IV Demanda GR Mensal'!V2,"Erro","Ok")</f>
        <v>Ok</v>
      </c>
      <c r="AA1" s="6" t="str">
        <f>IF(AA2&lt;&gt;'IV Demanda GR Mensal'!W2,"Erro","Ok")</f>
        <v>Ok</v>
      </c>
      <c r="AB1" s="6" t="str">
        <f>IF(AB2&lt;&gt;'IV Demanda GR Mensal'!X2,"Erro","Ok")</f>
        <v>Ok</v>
      </c>
      <c r="AC1" s="6" t="str">
        <f>IF(AC2&lt;&gt;'IV Demanda GR Mensal'!Y2,"Erro","Ok")</f>
        <v>Ok</v>
      </c>
      <c r="AD1" s="6" t="str">
        <f>IF(AD2&lt;&gt;'IV Demanda GR Mensal'!Z2,"Erro","Ok")</f>
        <v>Ok</v>
      </c>
    </row>
    <row r="2" spans="1:36" ht="12.75" x14ac:dyDescent="0.25">
      <c r="A2" s="3" t="s">
        <v>848</v>
      </c>
      <c r="E2" s="52" t="s">
        <v>850</v>
      </c>
      <c r="F2" s="50">
        <f>SUM(VIEW_IV_2019_GR_COTA_DEMANDA_TRI[Cota.BERINERT])</f>
        <v>1838</v>
      </c>
      <c r="G2" s="50">
        <f>SUM(VIEW_IV_2019_GR_COTA_DEMANDA_TRI[Cota.BERIPLEX])</f>
        <v>11100</v>
      </c>
      <c r="H2" s="50">
        <f>SUM(VIEW_IV_2019_GR_COTA_DEMANDA_TRI[Cota.HAEMO])</f>
        <v>8200</v>
      </c>
      <c r="I2" s="50">
        <f>SUM(VIEW_IV_2019_GR_COTA_DEMANDA_TRI[Cota.HIZENTRA])</f>
        <v>40439</v>
      </c>
      <c r="J2" s="50">
        <f>SUM(VIEW_IV_2019_GR_COTA_DEMANDA_TRI[Cota.PRIVIGEN])</f>
        <v>291000</v>
      </c>
      <c r="K2" s="50">
        <f>SUM(VIEW_IV_2019_GR_COTA_DEMANDA_TRI[Demanda.BERINERT])</f>
        <v>939</v>
      </c>
      <c r="L2" s="50">
        <f>SUM(VIEW_IV_2019_GR_COTA_DEMANDA_TRI[Demanda.BERIPLEX])</f>
        <v>6302</v>
      </c>
      <c r="M2" s="50">
        <f>SUM(VIEW_IV_2019_GR_COTA_DEMANDA_TRI[Demanda.HAEMO])</f>
        <v>5347</v>
      </c>
      <c r="N2" s="50">
        <f>SUM(VIEW_IV_2019_GR_COTA_DEMANDA_TRI[Demanda.HIZENTRA])</f>
        <v>13602</v>
      </c>
      <c r="O2" s="50">
        <f>SUM(VIEW_IV_2019_GR_COTA_DEMANDA_TRI[Demanda.PRIVIGEN])</f>
        <v>238222</v>
      </c>
      <c r="P2" s="53">
        <f>IFERROR(K2/F2,0)</f>
        <v>0.51088139281828071</v>
      </c>
      <c r="Q2" s="53">
        <f t="shared" ref="Q2:T3" si="0">IFERROR(L2/G2,0)</f>
        <v>0.56774774774774772</v>
      </c>
      <c r="R2" s="53">
        <f t="shared" si="0"/>
        <v>0.65207317073170734</v>
      </c>
      <c r="S2" s="53">
        <f t="shared" si="0"/>
        <v>0.33635846583743417</v>
      </c>
      <c r="T2" s="53">
        <f t="shared" si="0"/>
        <v>0.81863230240549834</v>
      </c>
      <c r="U2" s="59">
        <f>SUM(VIEW_IV_2019_GR_COTA_DEMANDA_TRI[Premio.BERINERT])</f>
        <v>2200.249890719052</v>
      </c>
      <c r="V2" s="59">
        <f>SUM(VIEW_IV_2019_GR_COTA_DEMANDA_TRI[Premio.BERIPLEX])</f>
        <v>5976.0474539220186</v>
      </c>
      <c r="W2" s="59">
        <f>SUM(VIEW_IV_2019_GR_COTA_DEMANDA_TRI[Premio.HAEMO])</f>
        <v>7215.635141248581</v>
      </c>
      <c r="X2" s="59">
        <f>SUM(VIEW_IV_2019_GR_COTA_DEMANDA_TRI[Premio.HIZENTRA])</f>
        <v>1047.7959933125528</v>
      </c>
      <c r="Y2" s="59">
        <f>SUM(VIEW_IV_2019_GR_COTA_DEMANDA_TRI[Premio.PRIVIGEN])</f>
        <v>12639.465954529989</v>
      </c>
      <c r="Z2" s="59">
        <f>SUM(VIEW_IV_2019_GR_COTA_DEMANDA_TRI[Recebido.BERINERT])</f>
        <v>1637.8556339910106</v>
      </c>
      <c r="AA2" s="59">
        <f>SUM(VIEW_IV_2019_GR_COTA_DEMANDA_TRI[Recebido.BERIPLEX])</f>
        <v>4934.0538895248083</v>
      </c>
      <c r="AB2" s="59">
        <f>SUM(VIEW_IV_2019_GR_COTA_DEMANDA_TRI[Recebido.HAEMO])</f>
        <v>6025.5633529499064</v>
      </c>
      <c r="AC2" s="59">
        <f>SUM(VIEW_IV_2019_GR_COTA_DEMANDA_TRI[Recebido.HIZENTRA])</f>
        <v>943.13808921861676</v>
      </c>
      <c r="AD2" s="59">
        <f>SUM(VIEW_IV_2019_GR_COTA_DEMANDA_TRI[Recebido.PRIVIGEN])</f>
        <v>10664.931846700489</v>
      </c>
      <c r="AE2" s="59">
        <f>SUM(VIEW_IV_2019_GR_COTA_DEMANDA_TRI[Recuperavel.BERINERT])</f>
        <v>562.39425672804146</v>
      </c>
      <c r="AF2" s="59">
        <f>SUM(VIEW_IV_2019_GR_COTA_DEMANDA_TRI[Recuperavel.BERIPLEX])</f>
        <v>1084.304564508117</v>
      </c>
      <c r="AG2" s="59">
        <f>SUM(VIEW_IV_2019_GR_COTA_DEMANDA_TRI[Recuperavel.HAEMO])</f>
        <v>1244.6448005217987</v>
      </c>
      <c r="AH2" s="59">
        <f>SUM(VIEW_IV_2019_GR_COTA_DEMANDA_TRI[Recuperavel.HIZENTRA])</f>
        <v>104.65790409393605</v>
      </c>
      <c r="AI2" s="59">
        <f>SUM(VIEW_IV_2019_GR_COTA_DEMANDA_TRI[Recuperavel.PRIVIGEN])</f>
        <v>1974.5341078294996</v>
      </c>
      <c r="AJ2" s="59">
        <f>SUM(VIEW_IV_2019_GR_COTA_DEMANDA_TRI[Recuperavel-Total])</f>
        <v>4970.5356336813929</v>
      </c>
    </row>
    <row r="3" spans="1:36" ht="12.75" x14ac:dyDescent="0.25">
      <c r="A3" s="3" t="s">
        <v>862</v>
      </c>
      <c r="E3" s="51" t="s">
        <v>851</v>
      </c>
      <c r="F3" s="58">
        <f>SUBTOTAL(9,VIEW_IV_2019_GR_COTA_DEMANDA_TRI[Cota.BERINERT])</f>
        <v>1838</v>
      </c>
      <c r="G3" s="58">
        <f>SUBTOTAL(9,VIEW_IV_2019_GR_COTA_DEMANDA_TRI[Cota.BERIPLEX])</f>
        <v>11100</v>
      </c>
      <c r="H3" s="58">
        <f>SUBTOTAL(9,VIEW_IV_2019_GR_COTA_DEMANDA_TRI[Cota.HAEMO])</f>
        <v>8200</v>
      </c>
      <c r="I3" s="58">
        <f>SUBTOTAL(9,VIEW_IV_2019_GR_COTA_DEMANDA_TRI[Cota.HIZENTRA])</f>
        <v>40439</v>
      </c>
      <c r="J3" s="58">
        <f>SUBTOTAL(9,VIEW_IV_2019_GR_COTA_DEMANDA_TRI[Cota.PRIVIGEN])</f>
        <v>291000</v>
      </c>
      <c r="K3" s="58">
        <f>SUBTOTAL(9,VIEW_IV_2019_GR_COTA_DEMANDA_TRI[Demanda.BERINERT])</f>
        <v>939</v>
      </c>
      <c r="L3" s="58">
        <f>SUBTOTAL(9,VIEW_IV_2019_GR_COTA_DEMANDA_TRI[Demanda.BERIPLEX])</f>
        <v>6302</v>
      </c>
      <c r="M3" s="58">
        <f>SUBTOTAL(9,VIEW_IV_2019_GR_COTA_DEMANDA_TRI[Demanda.HAEMO])</f>
        <v>5347</v>
      </c>
      <c r="N3" s="58">
        <f>SUBTOTAL(9,VIEW_IV_2019_GR_COTA_DEMANDA_TRI[Demanda.HIZENTRA])</f>
        <v>13602</v>
      </c>
      <c r="O3" s="58">
        <f>SUBTOTAL(9,VIEW_IV_2019_GR_COTA_DEMANDA_TRI[Demanda.PRIVIGEN])</f>
        <v>238222</v>
      </c>
      <c r="P3" s="54">
        <f>IFERROR(K3/F3,0)</f>
        <v>0.51088139281828071</v>
      </c>
      <c r="Q3" s="54">
        <f t="shared" si="0"/>
        <v>0.56774774774774772</v>
      </c>
      <c r="R3" s="54">
        <f t="shared" si="0"/>
        <v>0.65207317073170734</v>
      </c>
      <c r="S3" s="54">
        <f t="shared" si="0"/>
        <v>0.33635846583743417</v>
      </c>
      <c r="T3" s="54">
        <f t="shared" si="0"/>
        <v>0.81863230240549834</v>
      </c>
      <c r="U3" s="60">
        <f>SUBTOTAL(9,VIEW_IV_2019_GR_COTA_DEMANDA_TRI[Premio.BERINERT])</f>
        <v>2200.249890719052</v>
      </c>
      <c r="V3" s="60">
        <f>SUBTOTAL(9,VIEW_IV_2019_GR_COTA_DEMANDA_TRI[Premio.BERIPLEX])</f>
        <v>5976.0474539220186</v>
      </c>
      <c r="W3" s="60">
        <f>SUBTOTAL(9,VIEW_IV_2019_GR_COTA_DEMANDA_TRI[Premio.HAEMO])</f>
        <v>7215.635141248581</v>
      </c>
      <c r="X3" s="60">
        <f>SUBTOTAL(9,VIEW_IV_2019_GR_COTA_DEMANDA_TRI[Premio.HIZENTRA])</f>
        <v>1047.7959933125528</v>
      </c>
      <c r="Y3" s="60">
        <f>SUBTOTAL(9,VIEW_IV_2019_GR_COTA_DEMANDA_TRI[Premio.PRIVIGEN])</f>
        <v>12639.465954529989</v>
      </c>
      <c r="Z3" s="60">
        <f>SUBTOTAL(9,VIEW_IV_2019_GR_COTA_DEMANDA_TRI[Recebido.BERINERT])</f>
        <v>1637.8556339910106</v>
      </c>
      <c r="AA3" s="60">
        <f>SUBTOTAL(9,VIEW_IV_2019_GR_COTA_DEMANDA_TRI[Recebido.BERIPLEX])</f>
        <v>4934.0538895248083</v>
      </c>
      <c r="AB3" s="60">
        <f>SUBTOTAL(9,VIEW_IV_2019_GR_COTA_DEMANDA_TRI[Recebido.HAEMO])</f>
        <v>6025.5633529499064</v>
      </c>
      <c r="AC3" s="60">
        <f>SUBTOTAL(9,VIEW_IV_2019_GR_COTA_DEMANDA_TRI[Recebido.HIZENTRA])</f>
        <v>943.13808921861676</v>
      </c>
      <c r="AD3" s="60">
        <f>SUBTOTAL(9,VIEW_IV_2019_GR_COTA_DEMANDA_TRI[Recebido.PRIVIGEN])</f>
        <v>10664.931846700489</v>
      </c>
      <c r="AE3" s="60">
        <f>SUBTOTAL(9,VIEW_IV_2019_GR_COTA_DEMANDA_TRI[Recuperavel.BERINERT])</f>
        <v>562.39425672804146</v>
      </c>
      <c r="AF3" s="60">
        <f>SUBTOTAL(9,VIEW_IV_2019_GR_COTA_DEMANDA_TRI[Recuperavel.BERIPLEX])</f>
        <v>1084.304564508117</v>
      </c>
      <c r="AG3" s="60">
        <f>SUBTOTAL(9,VIEW_IV_2019_GR_COTA_DEMANDA_TRI[Recuperavel.HAEMO])</f>
        <v>1244.6448005217987</v>
      </c>
      <c r="AH3" s="60">
        <f>SUBTOTAL(9,VIEW_IV_2019_GR_COTA_DEMANDA_TRI[Recuperavel.HIZENTRA])</f>
        <v>104.65790409393605</v>
      </c>
      <c r="AI3" s="60">
        <f>SUBTOTAL(9,VIEW_IV_2019_GR_COTA_DEMANDA_TRI[Recuperavel.PRIVIGEN])</f>
        <v>1974.5341078294996</v>
      </c>
      <c r="AJ3" s="60">
        <f>SUBTOTAL(9,VIEW_IV_2019_GR_COTA_DEMANDA_TRI[Recuperavel-Total])</f>
        <v>4970.5356336813929</v>
      </c>
    </row>
    <row r="4" spans="1:36" x14ac:dyDescent="0.25">
      <c r="A4" s="63" t="s">
        <v>891</v>
      </c>
    </row>
    <row r="5" spans="1:36" x14ac:dyDescent="0.25">
      <c r="A5" s="3" t="s">
        <v>849</v>
      </c>
      <c r="B5" s="3" t="s">
        <v>2</v>
      </c>
      <c r="C5" t="s">
        <v>4</v>
      </c>
      <c r="D5" s="3" t="s">
        <v>782</v>
      </c>
      <c r="E5" s="3" t="s">
        <v>783</v>
      </c>
      <c r="F5" s="6" t="s">
        <v>857</v>
      </c>
      <c r="G5" s="6" t="s">
        <v>858</v>
      </c>
      <c r="H5" s="6" t="s">
        <v>859</v>
      </c>
      <c r="I5" s="6" t="s">
        <v>860</v>
      </c>
      <c r="J5" s="6" t="s">
        <v>861</v>
      </c>
      <c r="K5" s="6" t="s">
        <v>852</v>
      </c>
      <c r="L5" s="6" t="s">
        <v>853</v>
      </c>
      <c r="M5" s="6" t="s">
        <v>854</v>
      </c>
      <c r="N5" s="6" t="s">
        <v>855</v>
      </c>
      <c r="O5" s="6" t="s">
        <v>856</v>
      </c>
      <c r="P5" s="3" t="s">
        <v>863</v>
      </c>
      <c r="Q5" s="3" t="s">
        <v>864</v>
      </c>
      <c r="R5" s="3" t="s">
        <v>865</v>
      </c>
      <c r="S5" s="3" t="s">
        <v>866</v>
      </c>
      <c r="T5" s="3" t="s">
        <v>867</v>
      </c>
      <c r="U5" s="36" t="s">
        <v>868</v>
      </c>
      <c r="V5" s="36" t="s">
        <v>869</v>
      </c>
      <c r="W5" s="36" t="s">
        <v>870</v>
      </c>
      <c r="X5" s="36" t="s">
        <v>871</v>
      </c>
      <c r="Y5" s="36" t="s">
        <v>872</v>
      </c>
      <c r="Z5" s="3" t="s">
        <v>874</v>
      </c>
      <c r="AA5" s="3" t="s">
        <v>875</v>
      </c>
      <c r="AB5" s="3" t="s">
        <v>876</v>
      </c>
      <c r="AC5" s="3" t="s">
        <v>877</v>
      </c>
      <c r="AD5" s="3" t="s">
        <v>878</v>
      </c>
      <c r="AE5" s="36" t="s">
        <v>879</v>
      </c>
      <c r="AF5" s="36" t="s">
        <v>880</v>
      </c>
      <c r="AG5" s="36" t="s">
        <v>881</v>
      </c>
      <c r="AH5" s="36" t="s">
        <v>882</v>
      </c>
      <c r="AI5" s="36" t="s">
        <v>883</v>
      </c>
      <c r="AJ5" s="36" t="s">
        <v>975</v>
      </c>
    </row>
    <row r="6" spans="1:36" x14ac:dyDescent="0.25">
      <c r="A6" s="3" t="s">
        <v>884</v>
      </c>
      <c r="B6" s="8" t="s">
        <v>16</v>
      </c>
      <c r="C6" s="1" t="s">
        <v>18</v>
      </c>
      <c r="D6" s="8" t="s">
        <v>786</v>
      </c>
      <c r="E6" s="8" t="s">
        <v>787</v>
      </c>
      <c r="F6" s="10">
        <v>204</v>
      </c>
      <c r="G6" s="10">
        <v>1450</v>
      </c>
      <c r="H6" s="10">
        <v>1360</v>
      </c>
      <c r="I6" s="10">
        <v>7683</v>
      </c>
      <c r="J6" s="10">
        <v>57605</v>
      </c>
      <c r="K6" s="10">
        <v>70</v>
      </c>
      <c r="L6" s="10">
        <v>1227</v>
      </c>
      <c r="M6" s="10">
        <v>1271</v>
      </c>
      <c r="N6" s="10">
        <v>4624</v>
      </c>
      <c r="O6" s="10">
        <v>95303</v>
      </c>
      <c r="P6" s="55">
        <f>IFERROR(VIEW_IV_2019_GR_COTA_DEMANDA_TRI[[#This Row],[Demanda.BERINERT]]/VIEW_IV_2019_GR_COTA_DEMANDA_TRI[[#This Row],[Cota.BERINERT]],0)</f>
        <v>0.34313725490196079</v>
      </c>
      <c r="Q6" s="55">
        <f>IFERROR(VIEW_IV_2019_GR_COTA_DEMANDA_TRI[[#This Row],[Demanda.BERIPLEX]]/VIEW_IV_2019_GR_COTA_DEMANDA_TRI[[#This Row],[Cota.BERIPLEX]],0)</f>
        <v>0.8462068965517241</v>
      </c>
      <c r="R6" s="55">
        <f>IFERROR(VIEW_IV_2019_GR_COTA_DEMANDA_TRI[[#This Row],[Demanda.HAEMO]]/VIEW_IV_2019_GR_COTA_DEMANDA_TRI[[#This Row],[Cota.HAEMO]],0)</f>
        <v>0.93455882352941178</v>
      </c>
      <c r="S6" s="55">
        <f>IFERROR(VIEW_IV_2019_GR_COTA_DEMANDA_TRI[[#This Row],[Demanda.HIZENTRA]]/VIEW_IV_2019_GR_COTA_DEMANDA_TRI[[#This Row],[Cota.HIZENTRA]],0)</f>
        <v>0.60184823636600282</v>
      </c>
      <c r="T6" s="55">
        <f>IFERROR(VIEW_IV_2019_GR_COTA_DEMANDA_TRI[[#This Row],[Demanda.PRIVIGEN]]/VIEW_IV_2019_GR_COTA_DEMANDA_TRI[[#This Row],[Cota.PRIVIGEN]],0)</f>
        <v>1.654422359170211</v>
      </c>
      <c r="U6" s="61">
        <f>IF(VIEW_IV_2019_GR_COTA_DEMANDA_TRI[[#This Row],[Cobertura.BERINERT]]&lt;Cob_Min_GR,0,IF(VIEW_IV_2019_GR_COTA_DEMANDA_TRI[[#This Row],[Cobertura.BERINERT]]&gt;=Cob_Max_GR,(Vlr_Max_GR*U$1),(VLOOKUP(VIEW_IV_2019_GR_COTA_DEMANDA_TRI[[#This Row],[Cobertura.BERINERT]],Tabela_Valores_GR,2,1))*U$1))*3</f>
        <v>0</v>
      </c>
      <c r="V6" s="61">
        <f>IF(VIEW_IV_2019_GR_COTA_DEMANDA_TRI[[#This Row],[Cobertura.BERIPLEX]]&lt;Cob_Min_GR,0,IF(VIEW_IV_2019_GR_COTA_DEMANDA_TRI[[#This Row],[Cobertura.BERIPLEX]]&gt;=Cob_Max_GR,(Vlr_Max_GR*V$1),(VLOOKUP(VIEW_IV_2019_GR_COTA_DEMANDA_TRI[[#This Row],[Cobertura.BERIPLEX]],Tabela_Valores_GR,2,1))*V$1))*3</f>
        <v>686.36113847651552</v>
      </c>
      <c r="W6" s="61">
        <f>IF(VIEW_IV_2019_GR_COTA_DEMANDA_TRI[[#This Row],[Cobertura.HAEMO]]&lt;Cob_Min_GR,0,IF(VIEW_IV_2019_GR_COTA_DEMANDA_TRI[[#This Row],[Cobertura.HAEMO]]&gt;=Cob_Max_GR,(Vlr_Max_GR*W$1),(VLOOKUP(VIEW_IV_2019_GR_COTA_DEMANDA_TRI[[#This Row],[Cobertura.HAEMO]],Tabela_Valores_GR,2,1))*W$1))*3</f>
        <v>1136.6335165550813</v>
      </c>
      <c r="X6" s="61">
        <f>IF(VIEW_IV_2019_GR_COTA_DEMANDA_TRI[[#This Row],[Cobertura.HIZENTRA]]&lt;Cob_Min_GR,0,IF(VIEW_IV_2019_GR_COTA_DEMANDA_TRI[[#This Row],[Cobertura.HIZENTRA]]&gt;=Cob_Max_GR,(Vlr_Max_GR*X$1),(VLOOKUP(VIEW_IV_2019_GR_COTA_DEMANDA_TRI[[#This Row],[Cobertura.HIZENTRA]],Tabela_Valores_GR,2,1))*X$1))*3</f>
        <v>0</v>
      </c>
      <c r="Y6" s="61">
        <f>IF(VIEW_IV_2019_GR_COTA_DEMANDA_TRI[[#This Row],[Cobertura.PRIVIGEN]]&lt;Cob_Min_GR,0,IF(VIEW_IV_2019_GR_COTA_DEMANDA_TRI[[#This Row],[Cobertura.PRIVIGEN]]&gt;=Cob_Max_GR,(Vlr_Max_GR*Y$1),(VLOOKUP(VIEW_IV_2019_GR_COTA_DEMANDA_TRI[[#This Row],[Cobertura.PRIVIGEN]],Tabela_Valores_GR,2,1))*Y$1))*3</f>
        <v>4400.499781438104</v>
      </c>
      <c r="Z6" s="46">
        <f>SUMIFS(VIEW_IV_2019_GR_COTA_DEMANDA[Premio.BERINERT],VIEW_IV_2019_GR_COTA_DEMANDA[Ano-Fiscal],VIEW_IV_2019_GR_COTA_DEMANDA_TRI[[#This Row],[Ano-Fiscal]],VIEW_IV_2019_GR_COTA_DEMANDA[Tri-Fiscal],VIEW_IV_2019_GR_COTA_DEMANDA_TRI[[#This Row],[Tri-Fiscal]],VIEW_IV_2019_GR_COTA_DEMANDA[Gerente],VIEW_IV_2019_GR_COTA_DEMANDA_TRI[[#This Row],[Gerente]])</f>
        <v>0</v>
      </c>
      <c r="AA6" s="46">
        <f>SUMIFS(VIEW_IV_2019_GR_COTA_DEMANDA[Premio.BERIPLEX],VIEW_IV_2019_GR_COTA_DEMANDA[Ano-Fiscal],VIEW_IV_2019_GR_COTA_DEMANDA_TRI[[#This Row],[Ano-Fiscal]],VIEW_IV_2019_GR_COTA_DEMANDA[Tri-Fiscal],VIEW_IV_2019_GR_COTA_DEMANDA_TRI[[#This Row],[Tri-Fiscal]],VIEW_IV_2019_GR_COTA_DEMANDA[Gerente],VIEW_IV_2019_GR_COTA_DEMANDA_TRI[[#This Row],[Gerente]])</f>
        <v>595.63057820903316</v>
      </c>
      <c r="AB6" s="46">
        <f>SUMIFS(VIEW_IV_2019_GR_COTA_DEMANDA[Premio.HAEMO],VIEW_IV_2019_GR_COTA_DEMANDA[Ano-Fiscal],VIEW_IV_2019_GR_COTA_DEMANDA_TRI[[#This Row],[Ano-Fiscal]],VIEW_IV_2019_GR_COTA_DEMANDA[Tri-Fiscal],VIEW_IV_2019_GR_COTA_DEMANDA_TRI[[#This Row],[Tri-Fiscal]],VIEW_IV_2019_GR_COTA_DEMANDA[Gerente],VIEW_IV_2019_GR_COTA_DEMANDA_TRI[[#This Row],[Gerente]])</f>
        <v>1114.3497664327558</v>
      </c>
      <c r="AC6" s="46">
        <f>SUMIFS(VIEW_IV_2019_GR_COTA_DEMANDA[Premio.HIZENTRA],VIEW_IV_2019_GR_COTA_DEMANDA[Ano-Fiscal],VIEW_IV_2019_GR_COTA_DEMANDA_TRI[[#This Row],[Ano-Fiscal]],VIEW_IV_2019_GR_COTA_DEMANDA[Tri-Fiscal],VIEW_IV_2019_GR_COTA_DEMANDA_TRI[[#This Row],[Tri-Fiscal]],VIEW_IV_2019_GR_COTA_DEMANDA[Gerente],VIEW_IV_2019_GR_COTA_DEMANDA_TRI[[#This Row],[Gerente]])</f>
        <v>0</v>
      </c>
      <c r="AD6" s="46">
        <f>SUMIFS(VIEW_IV_2019_GR_COTA_DEMANDA[Premio.PRIVIGEN],VIEW_IV_2019_GR_COTA_DEMANDA[Ano-Fiscal],VIEW_IV_2019_GR_COTA_DEMANDA_TRI[[#This Row],[Ano-Fiscal]],VIEW_IV_2019_GR_COTA_DEMANDA[Tri-Fiscal],VIEW_IV_2019_GR_COTA_DEMANDA_TRI[[#This Row],[Tri-Fiscal]],VIEW_IV_2019_GR_COTA_DEMANDA[Gerente],VIEW_IV_2019_GR_COTA_DEMANDA_TRI[[#This Row],[Gerente]])</f>
        <v>3787.6931915206997</v>
      </c>
      <c r="AE6" s="46">
        <f>IF(VIEW_IV_2019_GR_COTA_DEMANDA_TRI[[#This Row],[Premio.BERINERT]]-VIEW_IV_2019_GR_COTA_DEMANDA_TRI[[#This Row],[Recebido.BERINERT]]&lt;=0,0,VIEW_IV_2019_GR_COTA_DEMANDA_TRI[[#This Row],[Premio.BERINERT]]-VIEW_IV_2019_GR_COTA_DEMANDA_TRI[[#This Row],[Recebido.BERINERT]])</f>
        <v>0</v>
      </c>
      <c r="AF6" s="46">
        <f>IF(VIEW_IV_2019_GR_COTA_DEMANDA_TRI[[#This Row],[Premio.BERIPLEX]]-VIEW_IV_2019_GR_COTA_DEMANDA_TRI[[#This Row],[Recebido.BERIPLEX]]&lt;=0,0,VIEW_IV_2019_GR_COTA_DEMANDA_TRI[[#This Row],[Premio.BERIPLEX]]-VIEW_IV_2019_GR_COTA_DEMANDA_TRI[[#This Row],[Recebido.BERIPLEX]])</f>
        <v>90.73056026748236</v>
      </c>
      <c r="AG6" s="46">
        <f>IF(VIEW_IV_2019_GR_COTA_DEMANDA_TRI[[#This Row],[Premio.HAEMO]]-VIEW_IV_2019_GR_COTA_DEMANDA_TRI[[#This Row],[Recebido.HAEMO]]&lt;=0,0,VIEW_IV_2019_GR_COTA_DEMANDA_TRI[[#This Row],[Premio.HAEMO]]-VIEW_IV_2019_GR_COTA_DEMANDA_TRI[[#This Row],[Recebido.HAEMO]])</f>
        <v>22.2837501223255</v>
      </c>
      <c r="AH6" s="46">
        <f>IF(VIEW_IV_2019_GR_COTA_DEMANDA_TRI[[#This Row],[Premio.HIZENTRA]]-VIEW_IV_2019_GR_COTA_DEMANDA_TRI[[#This Row],[Recebido.HIZENTRA]]&lt;=0,0,VIEW_IV_2019_GR_COTA_DEMANDA_TRI[[#This Row],[Premio.HIZENTRA]]-VIEW_IV_2019_GR_COTA_DEMANDA_TRI[[#This Row],[Recebido.HIZENTRA]])</f>
        <v>0</v>
      </c>
      <c r="AI6" s="46">
        <f>IF(VIEW_IV_2019_GR_COTA_DEMANDA_TRI[[#This Row],[Premio.PRIVIGEN]]-VIEW_IV_2019_GR_COTA_DEMANDA_TRI[[#This Row],[Recebido.PRIVIGEN]]&lt;=0,0,VIEW_IV_2019_GR_COTA_DEMANDA_TRI[[#This Row],[Premio.PRIVIGEN]]-VIEW_IV_2019_GR_COTA_DEMANDA_TRI[[#This Row],[Recebido.PRIVIGEN]])</f>
        <v>612.80658991740438</v>
      </c>
      <c r="AJ6" s="103">
        <f>SUM(VIEW_IV_2019_GR_COTA_DEMANDA_TRI[[#This Row],[Recuperavel.BERINERT]:[Recuperavel.PRIVIGEN]])</f>
        <v>725.82090030721224</v>
      </c>
    </row>
    <row r="7" spans="1:36" x14ac:dyDescent="0.25">
      <c r="A7" s="3" t="s">
        <v>884</v>
      </c>
      <c r="B7" s="8" t="s">
        <v>16</v>
      </c>
      <c r="C7" s="1" t="s">
        <v>18</v>
      </c>
      <c r="D7" s="8" t="s">
        <v>790</v>
      </c>
      <c r="E7" s="8" t="s">
        <v>791</v>
      </c>
      <c r="F7" s="10">
        <v>237</v>
      </c>
      <c r="G7" s="10">
        <v>2000</v>
      </c>
      <c r="H7" s="10">
        <v>1200</v>
      </c>
      <c r="I7" s="10">
        <v>4310</v>
      </c>
      <c r="J7" s="10">
        <v>28100</v>
      </c>
      <c r="K7" s="10">
        <v>459</v>
      </c>
      <c r="L7" s="10">
        <v>3157</v>
      </c>
      <c r="M7" s="10">
        <v>2031</v>
      </c>
      <c r="N7" s="10">
        <v>2435</v>
      </c>
      <c r="O7" s="10">
        <v>36993</v>
      </c>
      <c r="P7" s="62">
        <f>IFERROR(VIEW_IV_2019_GR_COTA_DEMANDA_TRI[[#This Row],[Demanda.BERINERT]]/VIEW_IV_2019_GR_COTA_DEMANDA_TRI[[#This Row],[Cota.BERINERT]],0)</f>
        <v>1.9367088607594938</v>
      </c>
      <c r="Q7" s="62">
        <f>IFERROR(VIEW_IV_2019_GR_COTA_DEMANDA_TRI[[#This Row],[Demanda.BERIPLEX]]/VIEW_IV_2019_GR_COTA_DEMANDA_TRI[[#This Row],[Cota.BERIPLEX]],0)</f>
        <v>1.5785</v>
      </c>
      <c r="R7" s="62">
        <f>IFERROR(VIEW_IV_2019_GR_COTA_DEMANDA_TRI[[#This Row],[Demanda.HAEMO]]/VIEW_IV_2019_GR_COTA_DEMANDA_TRI[[#This Row],[Cota.HAEMO]],0)</f>
        <v>1.6924999999999999</v>
      </c>
      <c r="S7" s="62">
        <f>IFERROR(VIEW_IV_2019_GR_COTA_DEMANDA_TRI[[#This Row],[Demanda.HIZENTRA]]/VIEW_IV_2019_GR_COTA_DEMANDA_TRI[[#This Row],[Cota.HIZENTRA]],0)</f>
        <v>0.56496519721577731</v>
      </c>
      <c r="T7" s="62">
        <f>IFERROR(VIEW_IV_2019_GR_COTA_DEMANDA_TRI[[#This Row],[Demanda.PRIVIGEN]]/VIEW_IV_2019_GR_COTA_DEMANDA_TRI[[#This Row],[Cota.PRIVIGEN]],0)</f>
        <v>1.3164768683274022</v>
      </c>
      <c r="U7" s="46">
        <f>IF(VIEW_IV_2019_GR_COTA_DEMANDA_TRI[[#This Row],[Cobertura.BERINERT]]&lt;Cob_Min_GR,0,IF(VIEW_IV_2019_GR_COTA_DEMANDA_TRI[[#This Row],[Cobertura.BERINERT]]&gt;=Cob_Max_GR,(Vlr_Max_GR*U$1),(VLOOKUP(VIEW_IV_2019_GR_COTA_DEMANDA_TRI[[#This Row],[Cobertura.BERINERT]],Tabela_Valores_GR,2,1))*U$1))*3</f>
        <v>1100.124945359526</v>
      </c>
      <c r="V7" s="46">
        <f>IF(VIEW_IV_2019_GR_COTA_DEMANDA_TRI[[#This Row],[Cobertura.BERIPLEX]]&lt;Cob_Min_GR,0,IF(VIEW_IV_2019_GR_COTA_DEMANDA_TRI[[#This Row],[Cobertura.BERIPLEX]]&gt;=Cob_Max_GR,(Vlr_Max_GR*V$1),(VLOOKUP(VIEW_IV_2019_GR_COTA_DEMANDA_TRI[[#This Row],[Cobertura.BERIPLEX]],Tabela_Valores_GR,2,1))*V$1))*3</f>
        <v>3667.0831511984197</v>
      </c>
      <c r="W7" s="46">
        <f>IF(VIEW_IV_2019_GR_COTA_DEMANDA_TRI[[#This Row],[Cobertura.HAEMO]]&lt;Cob_Min_GR,0,IF(VIEW_IV_2019_GR_COTA_DEMANDA_TRI[[#This Row],[Cobertura.HAEMO]]&gt;=Cob_Max_GR,(Vlr_Max_GR*W$1),(VLOOKUP(VIEW_IV_2019_GR_COTA_DEMANDA_TRI[[#This Row],[Cobertura.HAEMO]],Tabela_Valores_GR,2,1))*W$1))*3</f>
        <v>3667.0831511984197</v>
      </c>
      <c r="X7" s="46">
        <f>IF(VIEW_IV_2019_GR_COTA_DEMANDA_TRI[[#This Row],[Cobertura.HIZENTRA]]&lt;Cob_Min_GR,0,IF(VIEW_IV_2019_GR_COTA_DEMANDA_TRI[[#This Row],[Cobertura.HIZENTRA]]&gt;=Cob_Max_GR,(Vlr_Max_GR*X$1),(VLOOKUP(VIEW_IV_2019_GR_COTA_DEMANDA_TRI[[#This Row],[Cobertura.HIZENTRA]],Tabela_Valores_GR,2,1))*X$1))*3</f>
        <v>0</v>
      </c>
      <c r="Y7" s="46">
        <f>IF(VIEW_IV_2019_GR_COTA_DEMANDA_TRI[[#This Row],[Cobertura.PRIVIGEN]]&lt;Cob_Min_GR,0,IF(VIEW_IV_2019_GR_COTA_DEMANDA_TRI[[#This Row],[Cobertura.PRIVIGEN]]&gt;=Cob_Max_GR,(Vlr_Max_GR*Y$1),(VLOOKUP(VIEW_IV_2019_GR_COTA_DEMANDA_TRI[[#This Row],[Cobertura.PRIVIGEN]],Tabela_Valores_GR,2,1))*Y$1))*3</f>
        <v>3838.4663916537811</v>
      </c>
      <c r="Z7" s="46">
        <f>SUMIFS(VIEW_IV_2019_GR_COTA_DEMANDA[Premio.BERINERT],VIEW_IV_2019_GR_COTA_DEMANDA[Ano-Fiscal],VIEW_IV_2019_GR_COTA_DEMANDA_TRI[[#This Row],[Ano-Fiscal]],VIEW_IV_2019_GR_COTA_DEMANDA[Tri-Fiscal],VIEW_IV_2019_GR_COTA_DEMANDA_TRI[[#This Row],[Tri-Fiscal]],VIEW_IV_2019_GR_COTA_DEMANDA[Gerente],VIEW_IV_2019_GR_COTA_DEMANDA_TRI[[#This Row],[Gerente]])</f>
        <v>733.41663023968397</v>
      </c>
      <c r="AA7" s="46">
        <f>SUMIFS(VIEW_IV_2019_GR_COTA_DEMANDA[Premio.BERIPLEX],VIEW_IV_2019_GR_COTA_DEMANDA[Ano-Fiscal],VIEW_IV_2019_GR_COTA_DEMANDA_TRI[[#This Row],[Ano-Fiscal]],VIEW_IV_2019_GR_COTA_DEMANDA[Tri-Fiscal],VIEW_IV_2019_GR_COTA_DEMANDA_TRI[[#This Row],[Tri-Fiscal]],VIEW_IV_2019_GR_COTA_DEMANDA[Gerente],VIEW_IV_2019_GR_COTA_DEMANDA_TRI[[#This Row],[Gerente]])</f>
        <v>2673.5091469577851</v>
      </c>
      <c r="AB7" s="46">
        <f>SUMIFS(VIEW_IV_2019_GR_COTA_DEMANDA[Premio.HAEMO],VIEW_IV_2019_GR_COTA_DEMANDA[Ano-Fiscal],VIEW_IV_2019_GR_COTA_DEMANDA_TRI[[#This Row],[Ano-Fiscal]],VIEW_IV_2019_GR_COTA_DEMANDA[Tri-Fiscal],VIEW_IV_2019_GR_COTA_DEMANDA_TRI[[#This Row],[Tri-Fiscal]],VIEW_IV_2019_GR_COTA_DEMANDA[Gerente],VIEW_IV_2019_GR_COTA_DEMANDA_TRI[[#This Row],[Gerente]])</f>
        <v>2444.7221007989465</v>
      </c>
      <c r="AC7" s="46">
        <f>SUMIFS(VIEW_IV_2019_GR_COTA_DEMANDA[Premio.HIZENTRA],VIEW_IV_2019_GR_COTA_DEMANDA[Ano-Fiscal],VIEW_IV_2019_GR_COTA_DEMANDA_TRI[[#This Row],[Ano-Fiscal]],VIEW_IV_2019_GR_COTA_DEMANDA[Tri-Fiscal],VIEW_IV_2019_GR_COTA_DEMANDA_TRI[[#This Row],[Tri-Fiscal]],VIEW_IV_2019_GR_COTA_DEMANDA[Gerente],VIEW_IV_2019_GR_COTA_DEMANDA_TRI[[#This Row],[Gerente]])</f>
        <v>0</v>
      </c>
      <c r="AD7" s="46">
        <f>SUMIFS(VIEW_IV_2019_GR_COTA_DEMANDA[Premio.PRIVIGEN],VIEW_IV_2019_GR_COTA_DEMANDA[Ano-Fiscal],VIEW_IV_2019_GR_COTA_DEMANDA_TRI[[#This Row],[Ano-Fiscal]],VIEW_IV_2019_GR_COTA_DEMANDA[Tri-Fiscal],VIEW_IV_2019_GR_COTA_DEMANDA_TRI[[#This Row],[Tri-Fiscal]],VIEW_IV_2019_GR_COTA_DEMANDA[Gerente],VIEW_IV_2019_GR_COTA_DEMANDA_TRI[[#This Row],[Gerente]])</f>
        <v>2563.5182871306861</v>
      </c>
      <c r="AE7" s="46">
        <f>IF(VIEW_IV_2019_GR_COTA_DEMANDA_TRI[[#This Row],[Premio.BERINERT]]-VIEW_IV_2019_GR_COTA_DEMANDA_TRI[[#This Row],[Recebido.BERINERT]]&lt;=0,0,VIEW_IV_2019_GR_COTA_DEMANDA_TRI[[#This Row],[Premio.BERINERT]]-VIEW_IV_2019_GR_COTA_DEMANDA_TRI[[#This Row],[Recebido.BERINERT]])</f>
        <v>366.70831511984204</v>
      </c>
      <c r="AF7" s="46">
        <f>IF(VIEW_IV_2019_GR_COTA_DEMANDA_TRI[[#This Row],[Premio.BERIPLEX]]-VIEW_IV_2019_GR_COTA_DEMANDA_TRI[[#This Row],[Recebido.BERIPLEX]]&lt;=0,0,VIEW_IV_2019_GR_COTA_DEMANDA_TRI[[#This Row],[Premio.BERIPLEX]]-VIEW_IV_2019_GR_COTA_DEMANDA_TRI[[#This Row],[Recebido.BERIPLEX]])</f>
        <v>993.57400424063462</v>
      </c>
      <c r="AG7" s="46">
        <f>IF(VIEW_IV_2019_GR_COTA_DEMANDA_TRI[[#This Row],[Premio.HAEMO]]-VIEW_IV_2019_GR_COTA_DEMANDA_TRI[[#This Row],[Recebido.HAEMO]]&lt;=0,0,VIEW_IV_2019_GR_COTA_DEMANDA_TRI[[#This Row],[Premio.HAEMO]]-VIEW_IV_2019_GR_COTA_DEMANDA_TRI[[#This Row],[Recebido.HAEMO]])</f>
        <v>1222.3610503994732</v>
      </c>
      <c r="AH7" s="46">
        <f>IF(VIEW_IV_2019_GR_COTA_DEMANDA_TRI[[#This Row],[Premio.HIZENTRA]]-VIEW_IV_2019_GR_COTA_DEMANDA_TRI[[#This Row],[Recebido.HIZENTRA]]&lt;=0,0,VIEW_IV_2019_GR_COTA_DEMANDA_TRI[[#This Row],[Premio.HIZENTRA]]-VIEW_IV_2019_GR_COTA_DEMANDA_TRI[[#This Row],[Recebido.HIZENTRA]])</f>
        <v>0</v>
      </c>
      <c r="AI7" s="46">
        <f>IF(VIEW_IV_2019_GR_COTA_DEMANDA_TRI[[#This Row],[Premio.PRIVIGEN]]-VIEW_IV_2019_GR_COTA_DEMANDA_TRI[[#This Row],[Recebido.PRIVIGEN]]&lt;=0,0,VIEW_IV_2019_GR_COTA_DEMANDA_TRI[[#This Row],[Premio.PRIVIGEN]]-VIEW_IV_2019_GR_COTA_DEMANDA_TRI[[#This Row],[Recebido.PRIVIGEN]])</f>
        <v>1274.948104523095</v>
      </c>
      <c r="AJ7" s="103">
        <f>SUM(VIEW_IV_2019_GR_COTA_DEMANDA_TRI[[#This Row],[Recuperavel.BERINERT]:[Recuperavel.PRIVIGEN]])</f>
        <v>3857.591474283045</v>
      </c>
    </row>
    <row r="8" spans="1:36" x14ac:dyDescent="0.25">
      <c r="A8" s="3" t="s">
        <v>884</v>
      </c>
      <c r="B8" s="8" t="s">
        <v>16</v>
      </c>
      <c r="C8" s="1" t="s">
        <v>18</v>
      </c>
      <c r="D8" s="8" t="s">
        <v>784</v>
      </c>
      <c r="E8" s="8" t="s">
        <v>785</v>
      </c>
      <c r="F8" s="10">
        <v>237</v>
      </c>
      <c r="G8" s="10">
        <v>1550</v>
      </c>
      <c r="H8" s="10">
        <v>1440</v>
      </c>
      <c r="I8" s="10">
        <v>6746</v>
      </c>
      <c r="J8" s="10">
        <v>54795</v>
      </c>
      <c r="K8" s="10">
        <v>373</v>
      </c>
      <c r="L8" s="10">
        <v>1550</v>
      </c>
      <c r="M8" s="10">
        <v>1707</v>
      </c>
      <c r="N8" s="10">
        <v>5809</v>
      </c>
      <c r="O8" s="10">
        <v>92831</v>
      </c>
      <c r="P8" s="62">
        <f>IFERROR(VIEW_IV_2019_GR_COTA_DEMANDA_TRI[[#This Row],[Demanda.BERINERT]]/VIEW_IV_2019_GR_COTA_DEMANDA_TRI[[#This Row],[Cota.BERINERT]],0)</f>
        <v>1.5738396624472575</v>
      </c>
      <c r="Q8" s="62">
        <f>IFERROR(VIEW_IV_2019_GR_COTA_DEMANDA_TRI[[#This Row],[Demanda.BERIPLEX]]/VIEW_IV_2019_GR_COTA_DEMANDA_TRI[[#This Row],[Cota.BERIPLEX]],0)</f>
        <v>1</v>
      </c>
      <c r="R8" s="62">
        <f>IFERROR(VIEW_IV_2019_GR_COTA_DEMANDA_TRI[[#This Row],[Demanda.HAEMO]]/VIEW_IV_2019_GR_COTA_DEMANDA_TRI[[#This Row],[Cota.HAEMO]],0)</f>
        <v>1.1854166666666666</v>
      </c>
      <c r="S8" s="62">
        <f>IFERROR(VIEW_IV_2019_GR_COTA_DEMANDA_TRI[[#This Row],[Demanda.HIZENTRA]]/VIEW_IV_2019_GR_COTA_DEMANDA_TRI[[#This Row],[Cota.HIZENTRA]],0)</f>
        <v>0.86110287577823896</v>
      </c>
      <c r="T8" s="62">
        <f>IFERROR(VIEW_IV_2019_GR_COTA_DEMANDA_TRI[[#This Row],[Demanda.PRIVIGEN]]/VIEW_IV_2019_GR_COTA_DEMANDA_TRI[[#This Row],[Cota.PRIVIGEN]],0)</f>
        <v>1.6941509261793959</v>
      </c>
      <c r="U8" s="46">
        <f>IF(VIEW_IV_2019_GR_COTA_DEMANDA_TRI[[#This Row],[Cobertura.BERINERT]]&lt;Cob_Min_GR,0,IF(VIEW_IV_2019_GR_COTA_DEMANDA_TRI[[#This Row],[Cobertura.BERINERT]]&gt;=Cob_Max_GR,(Vlr_Max_GR*U$1),(VLOOKUP(VIEW_IV_2019_GR_COTA_DEMANDA_TRI[[#This Row],[Cobertura.BERINERT]],Tabela_Valores_GR,2,1))*U$1))*3</f>
        <v>1100.124945359526</v>
      </c>
      <c r="V8" s="46">
        <f>IF(VIEW_IV_2019_GR_COTA_DEMANDA_TRI[[#This Row],[Cobertura.BERIPLEX]]&lt;Cob_Min_GR,0,IF(VIEW_IV_2019_GR_COTA_DEMANDA_TRI[[#This Row],[Cobertura.BERIPLEX]]&gt;=Cob_Max_GR,(Vlr_Max_GR*V$1),(VLOOKUP(VIEW_IV_2019_GR_COTA_DEMANDA_TRI[[#This Row],[Cobertura.BERIPLEX]],Tabela_Valores_GR,2,1))*V$1))*3</f>
        <v>1622.6031642470834</v>
      </c>
      <c r="W8" s="46">
        <f>IF(VIEW_IV_2019_GR_COTA_DEMANDA_TRI[[#This Row],[Cobertura.HAEMO]]&lt;Cob_Min_GR,0,IF(VIEW_IV_2019_GR_COTA_DEMANDA_TRI[[#This Row],[Cobertura.HAEMO]]&gt;=Cob_Max_GR,(Vlr_Max_GR*W$1),(VLOOKUP(VIEW_IV_2019_GR_COTA_DEMANDA_TRI[[#This Row],[Cobertura.HAEMO]],Tabela_Valores_GR,2,1))*W$1))*3</f>
        <v>2411.9184734950804</v>
      </c>
      <c r="X8" s="46">
        <f>IF(VIEW_IV_2019_GR_COTA_DEMANDA_TRI[[#This Row],[Cobertura.HIZENTRA]]&lt;Cob_Min_GR,0,IF(VIEW_IV_2019_GR_COTA_DEMANDA_TRI[[#This Row],[Cobertura.HIZENTRA]]&gt;=Cob_Max_GR,(Vlr_Max_GR*X$1),(VLOOKUP(VIEW_IV_2019_GR_COTA_DEMANDA_TRI[[#This Row],[Cobertura.HIZENTRA]],Tabela_Valores_GR,2,1))*X$1))*3</f>
        <v>1047.7959933125528</v>
      </c>
      <c r="Y8" s="46">
        <f>IF(VIEW_IV_2019_GR_COTA_DEMANDA_TRI[[#This Row],[Cobertura.PRIVIGEN]]&lt;Cob_Min_GR,0,IF(VIEW_IV_2019_GR_COTA_DEMANDA_TRI[[#This Row],[Cobertura.PRIVIGEN]]&gt;=Cob_Max_GR,(Vlr_Max_GR*Y$1),(VLOOKUP(VIEW_IV_2019_GR_COTA_DEMANDA_TRI[[#This Row],[Cobertura.PRIVIGEN]],Tabela_Valores_GR,2,1))*Y$1))*3</f>
        <v>4400.499781438104</v>
      </c>
      <c r="Z8" s="46">
        <f>SUMIFS(VIEW_IV_2019_GR_COTA_DEMANDA[Premio.BERINERT],VIEW_IV_2019_GR_COTA_DEMANDA[Ano-Fiscal],VIEW_IV_2019_GR_COTA_DEMANDA_TRI[[#This Row],[Ano-Fiscal]],VIEW_IV_2019_GR_COTA_DEMANDA[Tri-Fiscal],VIEW_IV_2019_GR_COTA_DEMANDA_TRI[[#This Row],[Tri-Fiscal]],VIEW_IV_2019_GR_COTA_DEMANDA[Gerente],VIEW_IV_2019_GR_COTA_DEMANDA_TRI[[#This Row],[Gerente]])</f>
        <v>904.4390037513266</v>
      </c>
      <c r="AA8" s="46">
        <f>SUMIFS(VIEW_IV_2019_GR_COTA_DEMANDA[Premio.BERIPLEX],VIEW_IV_2019_GR_COTA_DEMANDA[Ano-Fiscal],VIEW_IV_2019_GR_COTA_DEMANDA_TRI[[#This Row],[Ano-Fiscal]],VIEW_IV_2019_GR_COTA_DEMANDA[Tri-Fiscal],VIEW_IV_2019_GR_COTA_DEMANDA_TRI[[#This Row],[Tri-Fiscal]],VIEW_IV_2019_GR_COTA_DEMANDA[Gerente],VIEW_IV_2019_GR_COTA_DEMANDA_TRI[[#This Row],[Gerente]])</f>
        <v>1664.9141643579903</v>
      </c>
      <c r="AB8" s="46">
        <f>SUMIFS(VIEW_IV_2019_GR_COTA_DEMANDA[Premio.HAEMO],VIEW_IV_2019_GR_COTA_DEMANDA[Ano-Fiscal],VIEW_IV_2019_GR_COTA_DEMANDA_TRI[[#This Row],[Ano-Fiscal]],VIEW_IV_2019_GR_COTA_DEMANDA[Tri-Fiscal],VIEW_IV_2019_GR_COTA_DEMANDA_TRI[[#This Row],[Tri-Fiscal]],VIEW_IV_2019_GR_COTA_DEMANDA[Gerente],VIEW_IV_2019_GR_COTA_DEMANDA_TRI[[#This Row],[Gerente]])</f>
        <v>2466.4914857182039</v>
      </c>
      <c r="AC8" s="46">
        <f>SUMIFS(VIEW_IV_2019_GR_COTA_DEMANDA[Premio.HIZENTRA],VIEW_IV_2019_GR_COTA_DEMANDA[Ano-Fiscal],VIEW_IV_2019_GR_COTA_DEMANDA_TRI[[#This Row],[Ano-Fiscal]],VIEW_IV_2019_GR_COTA_DEMANDA[Tri-Fiscal],VIEW_IV_2019_GR_COTA_DEMANDA_TRI[[#This Row],[Tri-Fiscal]],VIEW_IV_2019_GR_COTA_DEMANDA[Gerente],VIEW_IV_2019_GR_COTA_DEMANDA_TRI[[#This Row],[Gerente]])</f>
        <v>943.13808921861676</v>
      </c>
      <c r="AD8" s="46">
        <f>SUMIFS(VIEW_IV_2019_GR_COTA_DEMANDA[Premio.PRIVIGEN],VIEW_IV_2019_GR_COTA_DEMANDA[Ano-Fiscal],VIEW_IV_2019_GR_COTA_DEMANDA_TRI[[#This Row],[Ano-Fiscal]],VIEW_IV_2019_GR_COTA_DEMANDA[Tri-Fiscal],VIEW_IV_2019_GR_COTA_DEMANDA_TRI[[#This Row],[Tri-Fiscal]],VIEW_IV_2019_GR_COTA_DEMANDA[Gerente],VIEW_IV_2019_GR_COTA_DEMANDA_TRI[[#This Row],[Gerente]])</f>
        <v>4313.7203680491039</v>
      </c>
      <c r="AE8" s="46">
        <f>IF(VIEW_IV_2019_GR_COTA_DEMANDA_TRI[[#This Row],[Premio.BERINERT]]-VIEW_IV_2019_GR_COTA_DEMANDA_TRI[[#This Row],[Recebido.BERINERT]]&lt;=0,0,VIEW_IV_2019_GR_COTA_DEMANDA_TRI[[#This Row],[Premio.BERINERT]]-VIEW_IV_2019_GR_COTA_DEMANDA_TRI[[#This Row],[Recebido.BERINERT]])</f>
        <v>195.68594160819941</v>
      </c>
      <c r="AF8" s="46">
        <f>IF(VIEW_IV_2019_GR_COTA_DEMANDA_TRI[[#This Row],[Premio.BERIPLEX]]-VIEW_IV_2019_GR_COTA_DEMANDA_TRI[[#This Row],[Recebido.BERIPLEX]]&lt;=0,0,VIEW_IV_2019_GR_COTA_DEMANDA_TRI[[#This Row],[Premio.BERIPLEX]]-VIEW_IV_2019_GR_COTA_DEMANDA_TRI[[#This Row],[Recebido.BERIPLEX]])</f>
        <v>0</v>
      </c>
      <c r="AG8" s="46">
        <f>IF(VIEW_IV_2019_GR_COTA_DEMANDA_TRI[[#This Row],[Premio.HAEMO]]-VIEW_IV_2019_GR_COTA_DEMANDA_TRI[[#This Row],[Recebido.HAEMO]]&lt;=0,0,VIEW_IV_2019_GR_COTA_DEMANDA_TRI[[#This Row],[Premio.HAEMO]]-VIEW_IV_2019_GR_COTA_DEMANDA_TRI[[#This Row],[Recebido.HAEMO]])</f>
        <v>0</v>
      </c>
      <c r="AH8" s="46">
        <f>IF(VIEW_IV_2019_GR_COTA_DEMANDA_TRI[[#This Row],[Premio.HIZENTRA]]-VIEW_IV_2019_GR_COTA_DEMANDA_TRI[[#This Row],[Recebido.HIZENTRA]]&lt;=0,0,VIEW_IV_2019_GR_COTA_DEMANDA_TRI[[#This Row],[Premio.HIZENTRA]]-VIEW_IV_2019_GR_COTA_DEMANDA_TRI[[#This Row],[Recebido.HIZENTRA]])</f>
        <v>104.65790409393605</v>
      </c>
      <c r="AI8" s="46">
        <f>IF(VIEW_IV_2019_GR_COTA_DEMANDA_TRI[[#This Row],[Premio.PRIVIGEN]]-VIEW_IV_2019_GR_COTA_DEMANDA_TRI[[#This Row],[Recebido.PRIVIGEN]]&lt;=0,0,VIEW_IV_2019_GR_COTA_DEMANDA_TRI[[#This Row],[Premio.PRIVIGEN]]-VIEW_IV_2019_GR_COTA_DEMANDA_TRI[[#This Row],[Recebido.PRIVIGEN]])</f>
        <v>86.779413389000183</v>
      </c>
      <c r="AJ8" s="103">
        <f>SUM(VIEW_IV_2019_GR_COTA_DEMANDA_TRI[[#This Row],[Recuperavel.BERINERT]:[Recuperavel.PRIVIGEN]])</f>
        <v>387.12325909113565</v>
      </c>
    </row>
    <row r="9" spans="1:36" x14ac:dyDescent="0.25">
      <c r="A9" s="3" t="s">
        <v>884</v>
      </c>
      <c r="B9" s="8" t="s">
        <v>16</v>
      </c>
      <c r="C9" s="1" t="s">
        <v>66</v>
      </c>
      <c r="D9" s="8" t="s">
        <v>786</v>
      </c>
      <c r="E9" s="8" t="s">
        <v>787</v>
      </c>
      <c r="F9" s="10">
        <v>348</v>
      </c>
      <c r="G9" s="10">
        <v>1769</v>
      </c>
      <c r="H9" s="10">
        <v>1428</v>
      </c>
      <c r="I9" s="10">
        <v>8897</v>
      </c>
      <c r="J9" s="10">
        <v>61705</v>
      </c>
      <c r="K9" s="10">
        <v>0</v>
      </c>
      <c r="L9" s="10">
        <v>39</v>
      </c>
      <c r="M9" s="10">
        <v>118</v>
      </c>
      <c r="N9" s="10">
        <v>338</v>
      </c>
      <c r="O9" s="10">
        <v>4950</v>
      </c>
      <c r="P9" s="62">
        <f>IFERROR(VIEW_IV_2019_GR_COTA_DEMANDA_TRI[[#This Row],[Demanda.BERINERT]]/VIEW_IV_2019_GR_COTA_DEMANDA_TRI[[#This Row],[Cota.BERINERT]],0)</f>
        <v>0</v>
      </c>
      <c r="Q9" s="62">
        <f>IFERROR(VIEW_IV_2019_GR_COTA_DEMANDA_TRI[[#This Row],[Demanda.BERIPLEX]]/VIEW_IV_2019_GR_COTA_DEMANDA_TRI[[#This Row],[Cota.BERIPLEX]],0)</f>
        <v>2.2046353872244205E-2</v>
      </c>
      <c r="R9" s="62">
        <f>IFERROR(VIEW_IV_2019_GR_COTA_DEMANDA_TRI[[#This Row],[Demanda.HAEMO]]/VIEW_IV_2019_GR_COTA_DEMANDA_TRI[[#This Row],[Cota.HAEMO]],0)</f>
        <v>8.2633053221288513E-2</v>
      </c>
      <c r="S9" s="62">
        <f>IFERROR(VIEW_IV_2019_GR_COTA_DEMANDA_TRI[[#This Row],[Demanda.HIZENTRA]]/VIEW_IV_2019_GR_COTA_DEMANDA_TRI[[#This Row],[Cota.HIZENTRA]],0)</f>
        <v>3.7990333820388897E-2</v>
      </c>
      <c r="T9" s="62">
        <f>IFERROR(VIEW_IV_2019_GR_COTA_DEMANDA_TRI[[#This Row],[Demanda.PRIVIGEN]]/VIEW_IV_2019_GR_COTA_DEMANDA_TRI[[#This Row],[Cota.PRIVIGEN]],0)</f>
        <v>8.022040353293898E-2</v>
      </c>
      <c r="U9" s="46">
        <f>IF(VIEW_IV_2019_GR_COTA_DEMANDA_TRI[[#This Row],[Cobertura.BERINERT]]&lt;Cob_Min_GR,0,IF(VIEW_IV_2019_GR_COTA_DEMANDA_TRI[[#This Row],[Cobertura.BERINERT]]&gt;=Cob_Max_GR,(Vlr_Max_GR*U$1),(VLOOKUP(VIEW_IV_2019_GR_COTA_DEMANDA_TRI[[#This Row],[Cobertura.BERINERT]],Tabela_Valores_GR,2,1))*U$1))*3</f>
        <v>0</v>
      </c>
      <c r="V9" s="46">
        <f>IF(VIEW_IV_2019_GR_COTA_DEMANDA_TRI[[#This Row],[Cobertura.BERIPLEX]]&lt;Cob_Min_GR,0,IF(VIEW_IV_2019_GR_COTA_DEMANDA_TRI[[#This Row],[Cobertura.BERIPLEX]]&gt;=Cob_Max_GR,(Vlr_Max_GR*V$1),(VLOOKUP(VIEW_IV_2019_GR_COTA_DEMANDA_TRI[[#This Row],[Cobertura.BERIPLEX]],Tabela_Valores_GR,2,1))*V$1))*3</f>
        <v>0</v>
      </c>
      <c r="W9" s="46">
        <f>IF(VIEW_IV_2019_GR_COTA_DEMANDA_TRI[[#This Row],[Cobertura.HAEMO]]&lt;Cob_Min_GR,0,IF(VIEW_IV_2019_GR_COTA_DEMANDA_TRI[[#This Row],[Cobertura.HAEMO]]&gt;=Cob_Max_GR,(Vlr_Max_GR*W$1),(VLOOKUP(VIEW_IV_2019_GR_COTA_DEMANDA_TRI[[#This Row],[Cobertura.HAEMO]],Tabela_Valores_GR,2,1))*W$1))*3</f>
        <v>0</v>
      </c>
      <c r="X9" s="46">
        <f>IF(VIEW_IV_2019_GR_COTA_DEMANDA_TRI[[#This Row],[Cobertura.HIZENTRA]]&lt;Cob_Min_GR,0,IF(VIEW_IV_2019_GR_COTA_DEMANDA_TRI[[#This Row],[Cobertura.HIZENTRA]]&gt;=Cob_Max_GR,(Vlr_Max_GR*X$1),(VLOOKUP(VIEW_IV_2019_GR_COTA_DEMANDA_TRI[[#This Row],[Cobertura.HIZENTRA]],Tabela_Valores_GR,2,1))*X$1))*3</f>
        <v>0</v>
      </c>
      <c r="Y9" s="46">
        <f>IF(VIEW_IV_2019_GR_COTA_DEMANDA_TRI[[#This Row],[Cobertura.PRIVIGEN]]&lt;Cob_Min_GR,0,IF(VIEW_IV_2019_GR_COTA_DEMANDA_TRI[[#This Row],[Cobertura.PRIVIGEN]]&gt;=Cob_Max_GR,(Vlr_Max_GR*Y$1),(VLOOKUP(VIEW_IV_2019_GR_COTA_DEMANDA_TRI[[#This Row],[Cobertura.PRIVIGEN]],Tabela_Valores_GR,2,1))*Y$1))*3</f>
        <v>0</v>
      </c>
      <c r="Z9" s="46">
        <f>SUMIFS(VIEW_IV_2019_GR_COTA_DEMANDA[Premio.BERINERT],VIEW_IV_2019_GR_COTA_DEMANDA[Ano-Fiscal],VIEW_IV_2019_GR_COTA_DEMANDA_TRI[[#This Row],[Ano-Fiscal]],VIEW_IV_2019_GR_COTA_DEMANDA[Tri-Fiscal],VIEW_IV_2019_GR_COTA_DEMANDA_TRI[[#This Row],[Tri-Fiscal]],VIEW_IV_2019_GR_COTA_DEMANDA[Gerente],VIEW_IV_2019_GR_COTA_DEMANDA_TRI[[#This Row],[Gerente]])</f>
        <v>0</v>
      </c>
      <c r="AA9" s="46">
        <f>SUMIFS(VIEW_IV_2019_GR_COTA_DEMANDA[Premio.BERIPLEX],VIEW_IV_2019_GR_COTA_DEMANDA[Ano-Fiscal],VIEW_IV_2019_GR_COTA_DEMANDA_TRI[[#This Row],[Ano-Fiscal]],VIEW_IV_2019_GR_COTA_DEMANDA[Tri-Fiscal],VIEW_IV_2019_GR_COTA_DEMANDA_TRI[[#This Row],[Tri-Fiscal]],VIEW_IV_2019_GR_COTA_DEMANDA[Gerente],VIEW_IV_2019_GR_COTA_DEMANDA_TRI[[#This Row],[Gerente]])</f>
        <v>0</v>
      </c>
      <c r="AB9" s="46">
        <f>SUMIFS(VIEW_IV_2019_GR_COTA_DEMANDA[Premio.HAEMO],VIEW_IV_2019_GR_COTA_DEMANDA[Ano-Fiscal],VIEW_IV_2019_GR_COTA_DEMANDA_TRI[[#This Row],[Ano-Fiscal]],VIEW_IV_2019_GR_COTA_DEMANDA[Tri-Fiscal],VIEW_IV_2019_GR_COTA_DEMANDA_TRI[[#This Row],[Tri-Fiscal]],VIEW_IV_2019_GR_COTA_DEMANDA[Gerente],VIEW_IV_2019_GR_COTA_DEMANDA_TRI[[#This Row],[Gerente]])</f>
        <v>0</v>
      </c>
      <c r="AC9" s="46">
        <f>SUMIFS(VIEW_IV_2019_GR_COTA_DEMANDA[Premio.HIZENTRA],VIEW_IV_2019_GR_COTA_DEMANDA[Ano-Fiscal],VIEW_IV_2019_GR_COTA_DEMANDA_TRI[[#This Row],[Ano-Fiscal]],VIEW_IV_2019_GR_COTA_DEMANDA[Tri-Fiscal],VIEW_IV_2019_GR_COTA_DEMANDA_TRI[[#This Row],[Tri-Fiscal]],VIEW_IV_2019_GR_COTA_DEMANDA[Gerente],VIEW_IV_2019_GR_COTA_DEMANDA_TRI[[#This Row],[Gerente]])</f>
        <v>0</v>
      </c>
      <c r="AD9" s="46">
        <f>SUMIFS(VIEW_IV_2019_GR_COTA_DEMANDA[Premio.PRIVIGEN],VIEW_IV_2019_GR_COTA_DEMANDA[Ano-Fiscal],VIEW_IV_2019_GR_COTA_DEMANDA_TRI[[#This Row],[Ano-Fiscal]],VIEW_IV_2019_GR_COTA_DEMANDA[Tri-Fiscal],VIEW_IV_2019_GR_COTA_DEMANDA_TRI[[#This Row],[Tri-Fiscal]],VIEW_IV_2019_GR_COTA_DEMANDA[Gerente],VIEW_IV_2019_GR_COTA_DEMANDA_TRI[[#This Row],[Gerente]])</f>
        <v>0</v>
      </c>
      <c r="AE9" s="46">
        <f>IF(VIEW_IV_2019_GR_COTA_DEMANDA_TRI[[#This Row],[Premio.BERINERT]]-VIEW_IV_2019_GR_COTA_DEMANDA_TRI[[#This Row],[Recebido.BERINERT]]&lt;=0,0,VIEW_IV_2019_GR_COTA_DEMANDA_TRI[[#This Row],[Premio.BERINERT]]-VIEW_IV_2019_GR_COTA_DEMANDA_TRI[[#This Row],[Recebido.BERINERT]])</f>
        <v>0</v>
      </c>
      <c r="AF9" s="46">
        <f>IF(VIEW_IV_2019_GR_COTA_DEMANDA_TRI[[#This Row],[Premio.BERIPLEX]]-VIEW_IV_2019_GR_COTA_DEMANDA_TRI[[#This Row],[Recebido.BERIPLEX]]&lt;=0,0,VIEW_IV_2019_GR_COTA_DEMANDA_TRI[[#This Row],[Premio.BERIPLEX]]-VIEW_IV_2019_GR_COTA_DEMANDA_TRI[[#This Row],[Recebido.BERIPLEX]])</f>
        <v>0</v>
      </c>
      <c r="AG9" s="46">
        <f>IF(VIEW_IV_2019_GR_COTA_DEMANDA_TRI[[#This Row],[Premio.HAEMO]]-VIEW_IV_2019_GR_COTA_DEMANDA_TRI[[#This Row],[Recebido.HAEMO]]&lt;=0,0,VIEW_IV_2019_GR_COTA_DEMANDA_TRI[[#This Row],[Premio.HAEMO]]-VIEW_IV_2019_GR_COTA_DEMANDA_TRI[[#This Row],[Recebido.HAEMO]])</f>
        <v>0</v>
      </c>
      <c r="AH9" s="46">
        <f>IF(VIEW_IV_2019_GR_COTA_DEMANDA_TRI[[#This Row],[Premio.HIZENTRA]]-VIEW_IV_2019_GR_COTA_DEMANDA_TRI[[#This Row],[Recebido.HIZENTRA]]&lt;=0,0,VIEW_IV_2019_GR_COTA_DEMANDA_TRI[[#This Row],[Premio.HIZENTRA]]-VIEW_IV_2019_GR_COTA_DEMANDA_TRI[[#This Row],[Recebido.HIZENTRA]])</f>
        <v>0</v>
      </c>
      <c r="AI9" s="46">
        <f>IF(VIEW_IV_2019_GR_COTA_DEMANDA_TRI[[#This Row],[Premio.PRIVIGEN]]-VIEW_IV_2019_GR_COTA_DEMANDA_TRI[[#This Row],[Recebido.PRIVIGEN]]&lt;=0,0,VIEW_IV_2019_GR_COTA_DEMANDA_TRI[[#This Row],[Premio.PRIVIGEN]]-VIEW_IV_2019_GR_COTA_DEMANDA_TRI[[#This Row],[Recebido.PRIVIGEN]])</f>
        <v>0</v>
      </c>
      <c r="AJ9" s="103">
        <f>SUM(VIEW_IV_2019_GR_COTA_DEMANDA_TRI[[#This Row],[Recuperavel.BERINERT]:[Recuperavel.PRIVIGEN]])</f>
        <v>0</v>
      </c>
    </row>
    <row r="10" spans="1:36" x14ac:dyDescent="0.25">
      <c r="A10" s="3" t="s">
        <v>884</v>
      </c>
      <c r="B10" s="8" t="s">
        <v>16</v>
      </c>
      <c r="C10" s="1" t="s">
        <v>66</v>
      </c>
      <c r="D10" s="8" t="s">
        <v>790</v>
      </c>
      <c r="E10" s="8" t="s">
        <v>791</v>
      </c>
      <c r="F10" s="10">
        <v>406</v>
      </c>
      <c r="G10" s="10">
        <v>2440</v>
      </c>
      <c r="H10" s="10">
        <v>1260</v>
      </c>
      <c r="I10" s="10">
        <v>4991</v>
      </c>
      <c r="J10" s="10">
        <v>30100</v>
      </c>
      <c r="K10" s="10">
        <v>0</v>
      </c>
      <c r="L10" s="10">
        <v>245</v>
      </c>
      <c r="M10" s="10">
        <v>162</v>
      </c>
      <c r="N10" s="10">
        <v>307</v>
      </c>
      <c r="O10" s="10">
        <v>2230</v>
      </c>
      <c r="P10" s="62">
        <f>IFERROR(VIEW_IV_2019_GR_COTA_DEMANDA_TRI[[#This Row],[Demanda.BERINERT]]/VIEW_IV_2019_GR_COTA_DEMANDA_TRI[[#This Row],[Cota.BERINERT]],0)</f>
        <v>0</v>
      </c>
      <c r="Q10" s="62">
        <f>IFERROR(VIEW_IV_2019_GR_COTA_DEMANDA_TRI[[#This Row],[Demanda.BERIPLEX]]/VIEW_IV_2019_GR_COTA_DEMANDA_TRI[[#This Row],[Cota.BERIPLEX]],0)</f>
        <v>0.10040983606557377</v>
      </c>
      <c r="R10" s="62">
        <f>IFERROR(VIEW_IV_2019_GR_COTA_DEMANDA_TRI[[#This Row],[Demanda.HAEMO]]/VIEW_IV_2019_GR_COTA_DEMANDA_TRI[[#This Row],[Cota.HAEMO]],0)</f>
        <v>0.12857142857142856</v>
      </c>
      <c r="S10" s="62">
        <f>IFERROR(VIEW_IV_2019_GR_COTA_DEMANDA_TRI[[#This Row],[Demanda.HIZENTRA]]/VIEW_IV_2019_GR_COTA_DEMANDA_TRI[[#This Row],[Cota.HIZENTRA]],0)</f>
        <v>6.1510719294730516E-2</v>
      </c>
      <c r="T10" s="62">
        <f>IFERROR(VIEW_IV_2019_GR_COTA_DEMANDA_TRI[[#This Row],[Demanda.PRIVIGEN]]/VIEW_IV_2019_GR_COTA_DEMANDA_TRI[[#This Row],[Cota.PRIVIGEN]],0)</f>
        <v>7.4086378737541522E-2</v>
      </c>
      <c r="U10" s="46">
        <f>IF(VIEW_IV_2019_GR_COTA_DEMANDA_TRI[[#This Row],[Cobertura.BERINERT]]&lt;Cob_Min_GR,0,IF(VIEW_IV_2019_GR_COTA_DEMANDA_TRI[[#This Row],[Cobertura.BERINERT]]&gt;=Cob_Max_GR,(Vlr_Max_GR*U$1),(VLOOKUP(VIEW_IV_2019_GR_COTA_DEMANDA_TRI[[#This Row],[Cobertura.BERINERT]],Tabela_Valores_GR,2,1))*U$1))*3</f>
        <v>0</v>
      </c>
      <c r="V10" s="46">
        <f>IF(VIEW_IV_2019_GR_COTA_DEMANDA_TRI[[#This Row],[Cobertura.BERIPLEX]]&lt;Cob_Min_GR,0,IF(VIEW_IV_2019_GR_COTA_DEMANDA_TRI[[#This Row],[Cobertura.BERIPLEX]]&gt;=Cob_Max_GR,(Vlr_Max_GR*V$1),(VLOOKUP(VIEW_IV_2019_GR_COTA_DEMANDA_TRI[[#This Row],[Cobertura.BERIPLEX]],Tabela_Valores_GR,2,1))*V$1))*3</f>
        <v>0</v>
      </c>
      <c r="W10" s="46">
        <f>IF(VIEW_IV_2019_GR_COTA_DEMANDA_TRI[[#This Row],[Cobertura.HAEMO]]&lt;Cob_Min_GR,0,IF(VIEW_IV_2019_GR_COTA_DEMANDA_TRI[[#This Row],[Cobertura.HAEMO]]&gt;=Cob_Max_GR,(Vlr_Max_GR*W$1),(VLOOKUP(VIEW_IV_2019_GR_COTA_DEMANDA_TRI[[#This Row],[Cobertura.HAEMO]],Tabela_Valores_GR,2,1))*W$1))*3</f>
        <v>0</v>
      </c>
      <c r="X10" s="46">
        <f>IF(VIEW_IV_2019_GR_COTA_DEMANDA_TRI[[#This Row],[Cobertura.HIZENTRA]]&lt;Cob_Min_GR,0,IF(VIEW_IV_2019_GR_COTA_DEMANDA_TRI[[#This Row],[Cobertura.HIZENTRA]]&gt;=Cob_Max_GR,(Vlr_Max_GR*X$1),(VLOOKUP(VIEW_IV_2019_GR_COTA_DEMANDA_TRI[[#This Row],[Cobertura.HIZENTRA]],Tabela_Valores_GR,2,1))*X$1))*3</f>
        <v>0</v>
      </c>
      <c r="Y10" s="46">
        <f>IF(VIEW_IV_2019_GR_COTA_DEMANDA_TRI[[#This Row],[Cobertura.PRIVIGEN]]&lt;Cob_Min_GR,0,IF(VIEW_IV_2019_GR_COTA_DEMANDA_TRI[[#This Row],[Cobertura.PRIVIGEN]]&gt;=Cob_Max_GR,(Vlr_Max_GR*Y$1),(VLOOKUP(VIEW_IV_2019_GR_COTA_DEMANDA_TRI[[#This Row],[Cobertura.PRIVIGEN]],Tabela_Valores_GR,2,1))*Y$1))*3</f>
        <v>0</v>
      </c>
      <c r="Z10" s="46">
        <f>SUMIFS(VIEW_IV_2019_GR_COTA_DEMANDA[Premio.BERINERT],VIEW_IV_2019_GR_COTA_DEMANDA[Ano-Fiscal],VIEW_IV_2019_GR_COTA_DEMANDA_TRI[[#This Row],[Ano-Fiscal]],VIEW_IV_2019_GR_COTA_DEMANDA[Tri-Fiscal],VIEW_IV_2019_GR_COTA_DEMANDA_TRI[[#This Row],[Tri-Fiscal]],VIEW_IV_2019_GR_COTA_DEMANDA[Gerente],VIEW_IV_2019_GR_COTA_DEMANDA_TRI[[#This Row],[Gerente]])</f>
        <v>0</v>
      </c>
      <c r="AA10" s="46">
        <f>SUMIFS(VIEW_IV_2019_GR_COTA_DEMANDA[Premio.BERIPLEX],VIEW_IV_2019_GR_COTA_DEMANDA[Ano-Fiscal],VIEW_IV_2019_GR_COTA_DEMANDA_TRI[[#This Row],[Ano-Fiscal]],VIEW_IV_2019_GR_COTA_DEMANDA[Tri-Fiscal],VIEW_IV_2019_GR_COTA_DEMANDA_TRI[[#This Row],[Tri-Fiscal]],VIEW_IV_2019_GR_COTA_DEMANDA[Gerente],VIEW_IV_2019_GR_COTA_DEMANDA_TRI[[#This Row],[Gerente]])</f>
        <v>0</v>
      </c>
      <c r="AB10" s="46">
        <f>SUMIFS(VIEW_IV_2019_GR_COTA_DEMANDA[Premio.HAEMO],VIEW_IV_2019_GR_COTA_DEMANDA[Ano-Fiscal],VIEW_IV_2019_GR_COTA_DEMANDA_TRI[[#This Row],[Ano-Fiscal]],VIEW_IV_2019_GR_COTA_DEMANDA[Tri-Fiscal],VIEW_IV_2019_GR_COTA_DEMANDA_TRI[[#This Row],[Tri-Fiscal]],VIEW_IV_2019_GR_COTA_DEMANDA[Gerente],VIEW_IV_2019_GR_COTA_DEMANDA_TRI[[#This Row],[Gerente]])</f>
        <v>0</v>
      </c>
      <c r="AC10" s="46">
        <f>SUMIFS(VIEW_IV_2019_GR_COTA_DEMANDA[Premio.HIZENTRA],VIEW_IV_2019_GR_COTA_DEMANDA[Ano-Fiscal],VIEW_IV_2019_GR_COTA_DEMANDA_TRI[[#This Row],[Ano-Fiscal]],VIEW_IV_2019_GR_COTA_DEMANDA[Tri-Fiscal],VIEW_IV_2019_GR_COTA_DEMANDA_TRI[[#This Row],[Tri-Fiscal]],VIEW_IV_2019_GR_COTA_DEMANDA[Gerente],VIEW_IV_2019_GR_COTA_DEMANDA_TRI[[#This Row],[Gerente]])</f>
        <v>0</v>
      </c>
      <c r="AD10" s="46">
        <f>SUMIFS(VIEW_IV_2019_GR_COTA_DEMANDA[Premio.PRIVIGEN],VIEW_IV_2019_GR_COTA_DEMANDA[Ano-Fiscal],VIEW_IV_2019_GR_COTA_DEMANDA_TRI[[#This Row],[Ano-Fiscal]],VIEW_IV_2019_GR_COTA_DEMANDA[Tri-Fiscal],VIEW_IV_2019_GR_COTA_DEMANDA_TRI[[#This Row],[Tri-Fiscal]],VIEW_IV_2019_GR_COTA_DEMANDA[Gerente],VIEW_IV_2019_GR_COTA_DEMANDA_TRI[[#This Row],[Gerente]])</f>
        <v>0</v>
      </c>
      <c r="AE10" s="46">
        <f>IF(VIEW_IV_2019_GR_COTA_DEMANDA_TRI[[#This Row],[Premio.BERINERT]]-VIEW_IV_2019_GR_COTA_DEMANDA_TRI[[#This Row],[Recebido.BERINERT]]&lt;=0,0,VIEW_IV_2019_GR_COTA_DEMANDA_TRI[[#This Row],[Premio.BERINERT]]-VIEW_IV_2019_GR_COTA_DEMANDA_TRI[[#This Row],[Recebido.BERINERT]])</f>
        <v>0</v>
      </c>
      <c r="AF10" s="46">
        <f>IF(VIEW_IV_2019_GR_COTA_DEMANDA_TRI[[#This Row],[Premio.BERIPLEX]]-VIEW_IV_2019_GR_COTA_DEMANDA_TRI[[#This Row],[Recebido.BERIPLEX]]&lt;=0,0,VIEW_IV_2019_GR_COTA_DEMANDA_TRI[[#This Row],[Premio.BERIPLEX]]-VIEW_IV_2019_GR_COTA_DEMANDA_TRI[[#This Row],[Recebido.BERIPLEX]])</f>
        <v>0</v>
      </c>
      <c r="AG10" s="46">
        <f>IF(VIEW_IV_2019_GR_COTA_DEMANDA_TRI[[#This Row],[Premio.HAEMO]]-VIEW_IV_2019_GR_COTA_DEMANDA_TRI[[#This Row],[Recebido.HAEMO]]&lt;=0,0,VIEW_IV_2019_GR_COTA_DEMANDA_TRI[[#This Row],[Premio.HAEMO]]-VIEW_IV_2019_GR_COTA_DEMANDA_TRI[[#This Row],[Recebido.HAEMO]])</f>
        <v>0</v>
      </c>
      <c r="AH10" s="46">
        <f>IF(VIEW_IV_2019_GR_COTA_DEMANDA_TRI[[#This Row],[Premio.HIZENTRA]]-VIEW_IV_2019_GR_COTA_DEMANDA_TRI[[#This Row],[Recebido.HIZENTRA]]&lt;=0,0,VIEW_IV_2019_GR_COTA_DEMANDA_TRI[[#This Row],[Premio.HIZENTRA]]-VIEW_IV_2019_GR_COTA_DEMANDA_TRI[[#This Row],[Recebido.HIZENTRA]])</f>
        <v>0</v>
      </c>
      <c r="AI10" s="46">
        <f>IF(VIEW_IV_2019_GR_COTA_DEMANDA_TRI[[#This Row],[Premio.PRIVIGEN]]-VIEW_IV_2019_GR_COTA_DEMANDA_TRI[[#This Row],[Recebido.PRIVIGEN]]&lt;=0,0,VIEW_IV_2019_GR_COTA_DEMANDA_TRI[[#This Row],[Premio.PRIVIGEN]]-VIEW_IV_2019_GR_COTA_DEMANDA_TRI[[#This Row],[Recebido.PRIVIGEN]])</f>
        <v>0</v>
      </c>
      <c r="AJ10" s="103">
        <f>SUM(VIEW_IV_2019_GR_COTA_DEMANDA_TRI[[#This Row],[Recuperavel.BERINERT]:[Recuperavel.PRIVIGEN]])</f>
        <v>0</v>
      </c>
    </row>
    <row r="11" spans="1:36" x14ac:dyDescent="0.25">
      <c r="A11" s="3" t="s">
        <v>884</v>
      </c>
      <c r="B11" s="8" t="s">
        <v>16</v>
      </c>
      <c r="C11" s="1" t="s">
        <v>66</v>
      </c>
      <c r="D11" s="8" t="s">
        <v>784</v>
      </c>
      <c r="E11" s="8" t="s">
        <v>785</v>
      </c>
      <c r="F11" s="10">
        <v>406</v>
      </c>
      <c r="G11" s="10">
        <v>1891</v>
      </c>
      <c r="H11" s="10">
        <v>1512</v>
      </c>
      <c r="I11" s="10">
        <v>7812</v>
      </c>
      <c r="J11" s="10">
        <v>58695</v>
      </c>
      <c r="K11" s="10">
        <v>37</v>
      </c>
      <c r="L11" s="10">
        <v>84</v>
      </c>
      <c r="M11" s="10">
        <v>58</v>
      </c>
      <c r="N11" s="10">
        <v>89</v>
      </c>
      <c r="O11" s="10">
        <v>5915</v>
      </c>
      <c r="P11" s="62">
        <f>IFERROR(VIEW_IV_2019_GR_COTA_DEMANDA_TRI[[#This Row],[Demanda.BERINERT]]/VIEW_IV_2019_GR_COTA_DEMANDA_TRI[[#This Row],[Cota.BERINERT]],0)</f>
        <v>9.1133004926108374E-2</v>
      </c>
      <c r="Q11" s="62">
        <f>IFERROR(VIEW_IV_2019_GR_COTA_DEMANDA_TRI[[#This Row],[Demanda.BERIPLEX]]/VIEW_IV_2019_GR_COTA_DEMANDA_TRI[[#This Row],[Cota.BERIPLEX]],0)</f>
        <v>4.4420941300898999E-2</v>
      </c>
      <c r="R11" s="62">
        <f>IFERROR(VIEW_IV_2019_GR_COTA_DEMANDA_TRI[[#This Row],[Demanda.HAEMO]]/VIEW_IV_2019_GR_COTA_DEMANDA_TRI[[#This Row],[Cota.HAEMO]],0)</f>
        <v>3.8359788359788358E-2</v>
      </c>
      <c r="S11" s="62">
        <f>IFERROR(VIEW_IV_2019_GR_COTA_DEMANDA_TRI[[#This Row],[Demanda.HIZENTRA]]/VIEW_IV_2019_GR_COTA_DEMANDA_TRI[[#This Row],[Cota.HIZENTRA]],0)</f>
        <v>1.1392729134664619E-2</v>
      </c>
      <c r="T11" s="62">
        <f>IFERROR(VIEW_IV_2019_GR_COTA_DEMANDA_TRI[[#This Row],[Demanda.PRIVIGEN]]/VIEW_IV_2019_GR_COTA_DEMANDA_TRI[[#This Row],[Cota.PRIVIGEN]],0)</f>
        <v>0.10077519379844961</v>
      </c>
      <c r="U11" s="46">
        <f>IF(VIEW_IV_2019_GR_COTA_DEMANDA_TRI[[#This Row],[Cobertura.BERINERT]]&lt;Cob_Min_GR,0,IF(VIEW_IV_2019_GR_COTA_DEMANDA_TRI[[#This Row],[Cobertura.BERINERT]]&gt;=Cob_Max_GR,(Vlr_Max_GR*U$1),(VLOOKUP(VIEW_IV_2019_GR_COTA_DEMANDA_TRI[[#This Row],[Cobertura.BERINERT]],Tabela_Valores_GR,2,1))*U$1))*3</f>
        <v>0</v>
      </c>
      <c r="V11" s="46">
        <f>IF(VIEW_IV_2019_GR_COTA_DEMANDA_TRI[[#This Row],[Cobertura.BERIPLEX]]&lt;Cob_Min_GR,0,IF(VIEW_IV_2019_GR_COTA_DEMANDA_TRI[[#This Row],[Cobertura.BERIPLEX]]&gt;=Cob_Max_GR,(Vlr_Max_GR*V$1),(VLOOKUP(VIEW_IV_2019_GR_COTA_DEMANDA_TRI[[#This Row],[Cobertura.BERIPLEX]],Tabela_Valores_GR,2,1))*V$1))*3</f>
        <v>0</v>
      </c>
      <c r="W11" s="46">
        <f>IF(VIEW_IV_2019_GR_COTA_DEMANDA_TRI[[#This Row],[Cobertura.HAEMO]]&lt;Cob_Min_GR,0,IF(VIEW_IV_2019_GR_COTA_DEMANDA_TRI[[#This Row],[Cobertura.HAEMO]]&gt;=Cob_Max_GR,(Vlr_Max_GR*W$1),(VLOOKUP(VIEW_IV_2019_GR_COTA_DEMANDA_TRI[[#This Row],[Cobertura.HAEMO]],Tabela_Valores_GR,2,1))*W$1))*3</f>
        <v>0</v>
      </c>
      <c r="X11" s="46">
        <f>IF(VIEW_IV_2019_GR_COTA_DEMANDA_TRI[[#This Row],[Cobertura.HIZENTRA]]&lt;Cob_Min_GR,0,IF(VIEW_IV_2019_GR_COTA_DEMANDA_TRI[[#This Row],[Cobertura.HIZENTRA]]&gt;=Cob_Max_GR,(Vlr_Max_GR*X$1),(VLOOKUP(VIEW_IV_2019_GR_COTA_DEMANDA_TRI[[#This Row],[Cobertura.HIZENTRA]],Tabela_Valores_GR,2,1))*X$1))*3</f>
        <v>0</v>
      </c>
      <c r="Y11" s="46">
        <f>IF(VIEW_IV_2019_GR_COTA_DEMANDA_TRI[[#This Row],[Cobertura.PRIVIGEN]]&lt;Cob_Min_GR,0,IF(VIEW_IV_2019_GR_COTA_DEMANDA_TRI[[#This Row],[Cobertura.PRIVIGEN]]&gt;=Cob_Max_GR,(Vlr_Max_GR*Y$1),(VLOOKUP(VIEW_IV_2019_GR_COTA_DEMANDA_TRI[[#This Row],[Cobertura.PRIVIGEN]],Tabela_Valores_GR,2,1))*Y$1))*3</f>
        <v>0</v>
      </c>
      <c r="Z11" s="46">
        <f>SUMIFS(VIEW_IV_2019_GR_COTA_DEMANDA[Premio.BERINERT],VIEW_IV_2019_GR_COTA_DEMANDA[Ano-Fiscal],VIEW_IV_2019_GR_COTA_DEMANDA_TRI[[#This Row],[Ano-Fiscal]],VIEW_IV_2019_GR_COTA_DEMANDA[Tri-Fiscal],VIEW_IV_2019_GR_COTA_DEMANDA_TRI[[#This Row],[Tri-Fiscal]],VIEW_IV_2019_GR_COTA_DEMANDA[Gerente],VIEW_IV_2019_GR_COTA_DEMANDA_TRI[[#This Row],[Gerente]])</f>
        <v>0</v>
      </c>
      <c r="AA11" s="46">
        <f>SUMIFS(VIEW_IV_2019_GR_COTA_DEMANDA[Premio.BERIPLEX],VIEW_IV_2019_GR_COTA_DEMANDA[Ano-Fiscal],VIEW_IV_2019_GR_COTA_DEMANDA_TRI[[#This Row],[Ano-Fiscal]],VIEW_IV_2019_GR_COTA_DEMANDA[Tri-Fiscal],VIEW_IV_2019_GR_COTA_DEMANDA_TRI[[#This Row],[Tri-Fiscal]],VIEW_IV_2019_GR_COTA_DEMANDA[Gerente],VIEW_IV_2019_GR_COTA_DEMANDA_TRI[[#This Row],[Gerente]])</f>
        <v>0</v>
      </c>
      <c r="AB11" s="46">
        <f>SUMIFS(VIEW_IV_2019_GR_COTA_DEMANDA[Premio.HAEMO],VIEW_IV_2019_GR_COTA_DEMANDA[Ano-Fiscal],VIEW_IV_2019_GR_COTA_DEMANDA_TRI[[#This Row],[Ano-Fiscal]],VIEW_IV_2019_GR_COTA_DEMANDA[Tri-Fiscal],VIEW_IV_2019_GR_COTA_DEMANDA_TRI[[#This Row],[Tri-Fiscal]],VIEW_IV_2019_GR_COTA_DEMANDA[Gerente],VIEW_IV_2019_GR_COTA_DEMANDA_TRI[[#This Row],[Gerente]])</f>
        <v>0</v>
      </c>
      <c r="AC11" s="46">
        <f>SUMIFS(VIEW_IV_2019_GR_COTA_DEMANDA[Premio.HIZENTRA],VIEW_IV_2019_GR_COTA_DEMANDA[Ano-Fiscal],VIEW_IV_2019_GR_COTA_DEMANDA_TRI[[#This Row],[Ano-Fiscal]],VIEW_IV_2019_GR_COTA_DEMANDA[Tri-Fiscal],VIEW_IV_2019_GR_COTA_DEMANDA_TRI[[#This Row],[Tri-Fiscal]],VIEW_IV_2019_GR_COTA_DEMANDA[Gerente],VIEW_IV_2019_GR_COTA_DEMANDA_TRI[[#This Row],[Gerente]])</f>
        <v>0</v>
      </c>
      <c r="AD11" s="46">
        <f>SUMIFS(VIEW_IV_2019_GR_COTA_DEMANDA[Premio.PRIVIGEN],VIEW_IV_2019_GR_COTA_DEMANDA[Ano-Fiscal],VIEW_IV_2019_GR_COTA_DEMANDA_TRI[[#This Row],[Ano-Fiscal]],VIEW_IV_2019_GR_COTA_DEMANDA[Tri-Fiscal],VIEW_IV_2019_GR_COTA_DEMANDA_TRI[[#This Row],[Tri-Fiscal]],VIEW_IV_2019_GR_COTA_DEMANDA[Gerente],VIEW_IV_2019_GR_COTA_DEMANDA_TRI[[#This Row],[Gerente]])</f>
        <v>0</v>
      </c>
      <c r="AE11" s="46">
        <f>IF(VIEW_IV_2019_GR_COTA_DEMANDA_TRI[[#This Row],[Premio.BERINERT]]-VIEW_IV_2019_GR_COTA_DEMANDA_TRI[[#This Row],[Recebido.BERINERT]]&lt;=0,0,VIEW_IV_2019_GR_COTA_DEMANDA_TRI[[#This Row],[Premio.BERINERT]]-VIEW_IV_2019_GR_COTA_DEMANDA_TRI[[#This Row],[Recebido.BERINERT]])</f>
        <v>0</v>
      </c>
      <c r="AF11" s="46">
        <f>IF(VIEW_IV_2019_GR_COTA_DEMANDA_TRI[[#This Row],[Premio.BERIPLEX]]-VIEW_IV_2019_GR_COTA_DEMANDA_TRI[[#This Row],[Recebido.BERIPLEX]]&lt;=0,0,VIEW_IV_2019_GR_COTA_DEMANDA_TRI[[#This Row],[Premio.BERIPLEX]]-VIEW_IV_2019_GR_COTA_DEMANDA_TRI[[#This Row],[Recebido.BERIPLEX]])</f>
        <v>0</v>
      </c>
      <c r="AG11" s="46">
        <f>IF(VIEW_IV_2019_GR_COTA_DEMANDA_TRI[[#This Row],[Premio.HAEMO]]-VIEW_IV_2019_GR_COTA_DEMANDA_TRI[[#This Row],[Recebido.HAEMO]]&lt;=0,0,VIEW_IV_2019_GR_COTA_DEMANDA_TRI[[#This Row],[Premio.HAEMO]]-VIEW_IV_2019_GR_COTA_DEMANDA_TRI[[#This Row],[Recebido.HAEMO]])</f>
        <v>0</v>
      </c>
      <c r="AH11" s="46">
        <f>IF(VIEW_IV_2019_GR_COTA_DEMANDA_TRI[[#This Row],[Premio.HIZENTRA]]-VIEW_IV_2019_GR_COTA_DEMANDA_TRI[[#This Row],[Recebido.HIZENTRA]]&lt;=0,0,VIEW_IV_2019_GR_COTA_DEMANDA_TRI[[#This Row],[Premio.HIZENTRA]]-VIEW_IV_2019_GR_COTA_DEMANDA_TRI[[#This Row],[Recebido.HIZENTRA]])</f>
        <v>0</v>
      </c>
      <c r="AI11" s="46">
        <f>IF(VIEW_IV_2019_GR_COTA_DEMANDA_TRI[[#This Row],[Premio.PRIVIGEN]]-VIEW_IV_2019_GR_COTA_DEMANDA_TRI[[#This Row],[Recebido.PRIVIGEN]]&lt;=0,0,VIEW_IV_2019_GR_COTA_DEMANDA_TRI[[#This Row],[Premio.PRIVIGEN]]-VIEW_IV_2019_GR_COTA_DEMANDA_TRI[[#This Row],[Recebido.PRIVIGEN]])</f>
        <v>0</v>
      </c>
      <c r="AJ11" s="103">
        <f>SUM(VIEW_IV_2019_GR_COTA_DEMANDA_TRI[[#This Row],[Recuperavel.BERINERT]:[Recuperavel.PRIVIGEN]])</f>
        <v>0</v>
      </c>
    </row>
  </sheetData>
  <conditionalFormatting sqref="F1:O1">
    <cfRule type="cellIs" dxfId="133" priority="3" operator="equal">
      <formula>"erro"</formula>
    </cfRule>
    <cfRule type="cellIs" dxfId="132" priority="4" operator="equal">
      <formula>"ok"</formula>
    </cfRule>
  </conditionalFormatting>
  <conditionalFormatting sqref="Z1:AD1">
    <cfRule type="cellIs" dxfId="131" priority="1" operator="equal">
      <formula>"erro"</formula>
    </cfRule>
    <cfRule type="cellIs" dxfId="130" priority="2" operator="equal">
      <formula>"ok"</formula>
    </cfRule>
  </conditionalFormatting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5BB307-480D-42FF-9520-6D45D0E15BF2}">
  <sheetPr>
    <tabColor theme="9" tint="-0.249977111117893"/>
  </sheetPr>
  <dimension ref="A1:AA23"/>
  <sheetViews>
    <sheetView showGridLines="0" workbookViewId="0">
      <pane xSplit="6" ySplit="5" topLeftCell="S6" activePane="bottomRight" state="frozen"/>
      <selection pane="topRight" activeCell="G1" sqref="G1"/>
      <selection pane="bottomLeft" activeCell="A6" sqref="A6"/>
      <selection pane="bottomRight" activeCell="V1" sqref="V1"/>
    </sheetView>
  </sheetViews>
  <sheetFormatPr defaultRowHeight="12.75" x14ac:dyDescent="0.25"/>
  <cols>
    <col min="1" max="1" width="21.140625" style="3" bestFit="1" customWidth="1"/>
    <col min="2" max="2" width="13.28515625" style="3" bestFit="1" customWidth="1"/>
    <col min="3" max="3" width="13.42578125" style="3" bestFit="1" customWidth="1"/>
    <col min="4" max="4" width="12.140625" style="3" bestFit="1" customWidth="1"/>
    <col min="5" max="5" width="27.140625" style="3" bestFit="1" customWidth="1"/>
    <col min="6" max="6" width="24.85546875" style="3" bestFit="1" customWidth="1"/>
    <col min="7" max="7" width="16.85546875" style="3" bestFit="1" customWidth="1"/>
    <col min="8" max="8" width="16.5703125" style="3" bestFit="1" customWidth="1"/>
    <col min="9" max="9" width="15.5703125" style="3" bestFit="1" customWidth="1"/>
    <col min="10" max="10" width="17.140625" style="3" bestFit="1" customWidth="1"/>
    <col min="11" max="11" width="16.85546875" style="3" bestFit="1" customWidth="1"/>
    <col min="12" max="12" width="20.85546875" style="3" bestFit="1" customWidth="1"/>
    <col min="13" max="13" width="20.5703125" style="3" bestFit="1" customWidth="1"/>
    <col min="14" max="14" width="19.5703125" style="3" bestFit="1" customWidth="1"/>
    <col min="15" max="15" width="21.140625" style="3" bestFit="1" customWidth="1"/>
    <col min="16" max="16" width="20.85546875" style="3" bestFit="1" customWidth="1"/>
    <col min="17" max="17" width="21.42578125" style="3" bestFit="1" customWidth="1"/>
    <col min="18" max="18" width="21.140625" style="3" bestFit="1" customWidth="1"/>
    <col min="19" max="19" width="20.140625" style="3" bestFit="1" customWidth="1"/>
    <col min="20" max="20" width="21.85546875" style="3" bestFit="1" customWidth="1"/>
    <col min="21" max="21" width="21.42578125" style="3" bestFit="1" customWidth="1"/>
    <col min="22" max="22" width="19.140625" style="3" bestFit="1" customWidth="1"/>
    <col min="23" max="23" width="18.85546875" style="3" bestFit="1" customWidth="1"/>
    <col min="24" max="24" width="17.85546875" style="3" bestFit="1" customWidth="1"/>
    <col min="25" max="25" width="19.42578125" style="3" bestFit="1" customWidth="1"/>
    <col min="26" max="26" width="19.140625" style="3" bestFit="1" customWidth="1"/>
    <col min="27" max="27" width="15.5703125" style="3" bestFit="1" customWidth="1"/>
    <col min="28" max="28" width="11.85546875" style="3" bestFit="1" customWidth="1"/>
    <col min="29" max="16384" width="9.140625" style="3"/>
  </cols>
  <sheetData>
    <row r="1" spans="1:27" ht="15.75" x14ac:dyDescent="0.25">
      <c r="A1" s="49" t="s">
        <v>888</v>
      </c>
      <c r="V1" s="57">
        <v>0.03</v>
      </c>
      <c r="W1" s="57">
        <v>0.1</v>
      </c>
      <c r="X1" s="57">
        <v>0.1</v>
      </c>
      <c r="Y1" s="57">
        <v>0.15</v>
      </c>
      <c r="Z1" s="57">
        <v>0.12</v>
      </c>
    </row>
    <row r="2" spans="1:27" x14ac:dyDescent="0.25">
      <c r="A2" s="3" t="s">
        <v>848</v>
      </c>
      <c r="F2" s="52" t="s">
        <v>850</v>
      </c>
      <c r="G2" s="50">
        <f>SUM(VIEW_IV_2019_GR_COTA_DEMANDA[Cota.BERINERT])</f>
        <v>1838</v>
      </c>
      <c r="H2" s="50">
        <f>SUM(VIEW_IV_2019_GR_COTA_DEMANDA[Cota.BERIPLEX])</f>
        <v>11100</v>
      </c>
      <c r="I2" s="50">
        <f>SUM(VIEW_IV_2019_GR_COTA_DEMANDA[Cota.HAEMO])</f>
        <v>8200</v>
      </c>
      <c r="J2" s="50">
        <f>SUM(VIEW_IV_2019_GR_COTA_DEMANDA[Cota.HIZENTRA])</f>
        <v>40439</v>
      </c>
      <c r="K2" s="50">
        <f>SUM(VIEW_IV_2019_GR_COTA_DEMANDA[Cota.PRIVIGEN])</f>
        <v>291000</v>
      </c>
      <c r="L2" s="50">
        <f>SUM(VIEW_IV_2019_GR_COTA_DEMANDA[Demanda.BERINERT])</f>
        <v>939</v>
      </c>
      <c r="M2" s="50">
        <f>SUM(VIEW_IV_2019_GR_COTA_DEMANDA[Demanda.BERIPLEX])</f>
        <v>6302</v>
      </c>
      <c r="N2" s="50">
        <f>SUM(VIEW_IV_2019_GR_COTA_DEMANDA[Demanda.HAEMO])</f>
        <v>5347</v>
      </c>
      <c r="O2" s="50">
        <f>SUM(VIEW_IV_2019_GR_COTA_DEMANDA[Demanda.HIZENTRA])</f>
        <v>13602</v>
      </c>
      <c r="P2" s="50">
        <f>SUM(VIEW_IV_2019_GR_COTA_DEMANDA[Demanda.PRIVIGEN])</f>
        <v>238222</v>
      </c>
      <c r="Q2" s="53">
        <f>IFERROR(L2/G2,0)</f>
        <v>0.51088139281828071</v>
      </c>
      <c r="R2" s="53">
        <f t="shared" ref="R2:R3" si="0">IFERROR(M2/H2,0)</f>
        <v>0.56774774774774772</v>
      </c>
      <c r="S2" s="53">
        <f t="shared" ref="S2:S3" si="1">IFERROR(N2/I2,0)</f>
        <v>0.65207317073170734</v>
      </c>
      <c r="T2" s="53">
        <f t="shared" ref="T2:T3" si="2">IFERROR(O2/J2,0)</f>
        <v>0.33635846583743417</v>
      </c>
      <c r="U2" s="53">
        <f t="shared" ref="U2:U3" si="3">IFERROR(P2/K2,0)</f>
        <v>0.81863230240549834</v>
      </c>
      <c r="V2" s="59">
        <f>SUM(VIEW_IV_2019_GR_COTA_DEMANDA[Premio.BERINERT])</f>
        <v>1637.8556339910106</v>
      </c>
      <c r="W2" s="59">
        <f>SUM(VIEW_IV_2019_GR_COTA_DEMANDA[Premio.BERIPLEX])</f>
        <v>4934.0538895248083</v>
      </c>
      <c r="X2" s="59">
        <f>SUM(VIEW_IV_2019_GR_COTA_DEMANDA[Premio.HAEMO])</f>
        <v>6025.5633529499064</v>
      </c>
      <c r="Y2" s="59">
        <f>SUM(VIEW_IV_2019_GR_COTA_DEMANDA[Premio.HIZENTRA])</f>
        <v>943.13808921861676</v>
      </c>
      <c r="Z2" s="59">
        <f>SUM(VIEW_IV_2019_GR_COTA_DEMANDA[Premio.PRIVIGEN])</f>
        <v>10664.931846700489</v>
      </c>
      <c r="AA2" s="59">
        <f>SUM(VIEW_IV_2019_GR_COTA_DEMANDA[Premio.Total])</f>
        <v>24205.542812384829</v>
      </c>
    </row>
    <row r="3" spans="1:27" x14ac:dyDescent="0.25">
      <c r="A3" s="3" t="s">
        <v>862</v>
      </c>
      <c r="F3" s="51" t="s">
        <v>851</v>
      </c>
      <c r="G3" s="58">
        <f>SUBTOTAL(9,VIEW_IV_2019_GR_COTA_DEMANDA[Cota.BERINERT])</f>
        <v>1838</v>
      </c>
      <c r="H3" s="58">
        <f>SUBTOTAL(9,VIEW_IV_2019_GR_COTA_DEMANDA[Cota.BERIPLEX])</f>
        <v>11100</v>
      </c>
      <c r="I3" s="58">
        <f>SUBTOTAL(9,VIEW_IV_2019_GR_COTA_DEMANDA[Cota.HAEMO])</f>
        <v>8200</v>
      </c>
      <c r="J3" s="58">
        <f>SUBTOTAL(9,VIEW_IV_2019_GR_COTA_DEMANDA[Cota.HIZENTRA])</f>
        <v>40439</v>
      </c>
      <c r="K3" s="58">
        <f>SUBTOTAL(9,VIEW_IV_2019_GR_COTA_DEMANDA[Cota.PRIVIGEN])</f>
        <v>291000</v>
      </c>
      <c r="L3" s="58">
        <f>SUBTOTAL(9,VIEW_IV_2019_GR_COTA_DEMANDA[Demanda.BERINERT])</f>
        <v>939</v>
      </c>
      <c r="M3" s="58">
        <f>SUBTOTAL(9,VIEW_IV_2019_GR_COTA_DEMANDA[Demanda.BERIPLEX])</f>
        <v>6302</v>
      </c>
      <c r="N3" s="58">
        <f>SUBTOTAL(9,VIEW_IV_2019_GR_COTA_DEMANDA[Demanda.HAEMO])</f>
        <v>5347</v>
      </c>
      <c r="O3" s="58">
        <f>SUBTOTAL(9,VIEW_IV_2019_GR_COTA_DEMANDA[Demanda.HIZENTRA])</f>
        <v>13602</v>
      </c>
      <c r="P3" s="58">
        <f>SUBTOTAL(9,VIEW_IV_2019_GR_COTA_DEMANDA[Demanda.PRIVIGEN])</f>
        <v>238222</v>
      </c>
      <c r="Q3" s="54">
        <f t="shared" ref="Q3" si="4">IFERROR(L3/G3,0)</f>
        <v>0.51088139281828071</v>
      </c>
      <c r="R3" s="54">
        <f t="shared" si="0"/>
        <v>0.56774774774774772</v>
      </c>
      <c r="S3" s="54">
        <f t="shared" si="1"/>
        <v>0.65207317073170734</v>
      </c>
      <c r="T3" s="54">
        <f t="shared" si="2"/>
        <v>0.33635846583743417</v>
      </c>
      <c r="U3" s="54">
        <f t="shared" si="3"/>
        <v>0.81863230240549834</v>
      </c>
      <c r="V3" s="60">
        <f>SUBTOTAL(9,VIEW_IV_2019_GR_COTA_DEMANDA[Premio.BERINERT])</f>
        <v>1637.8556339910106</v>
      </c>
      <c r="W3" s="60">
        <f>SUBTOTAL(9,VIEW_IV_2019_GR_COTA_DEMANDA[Premio.BERIPLEX])</f>
        <v>4934.0538895248083</v>
      </c>
      <c r="X3" s="60">
        <f>SUBTOTAL(9,VIEW_IV_2019_GR_COTA_DEMANDA[Premio.HAEMO])</f>
        <v>6025.5633529499064</v>
      </c>
      <c r="Y3" s="60">
        <f>SUBTOTAL(9,VIEW_IV_2019_GR_COTA_DEMANDA[Premio.HIZENTRA])</f>
        <v>943.13808921861676</v>
      </c>
      <c r="Z3" s="60">
        <f>SUBTOTAL(9,VIEW_IV_2019_GR_COTA_DEMANDA[Premio.PRIVIGEN])</f>
        <v>10664.931846700489</v>
      </c>
      <c r="AA3" s="60">
        <f>SUBTOTAL(9,VIEW_IV_2019_GR_COTA_DEMANDA[Premio.Total])</f>
        <v>24205.542812384829</v>
      </c>
    </row>
    <row r="4" spans="1:27" x14ac:dyDescent="0.25">
      <c r="A4" s="63" t="s">
        <v>891</v>
      </c>
    </row>
    <row r="5" spans="1:27" ht="15" x14ac:dyDescent="0.25">
      <c r="A5" t="s">
        <v>849</v>
      </c>
      <c r="B5" s="6" t="s">
        <v>2</v>
      </c>
      <c r="C5" s="6" t="s">
        <v>3</v>
      </c>
      <c r="D5" s="6" t="s">
        <v>4</v>
      </c>
      <c r="E5" s="3" t="s">
        <v>782</v>
      </c>
      <c r="F5" s="3" t="s">
        <v>783</v>
      </c>
      <c r="G5" s="6" t="s">
        <v>857</v>
      </c>
      <c r="H5" s="6" t="s">
        <v>858</v>
      </c>
      <c r="I5" s="6" t="s">
        <v>859</v>
      </c>
      <c r="J5" s="6" t="s">
        <v>860</v>
      </c>
      <c r="K5" s="6" t="s">
        <v>861</v>
      </c>
      <c r="L5" s="6" t="s">
        <v>852</v>
      </c>
      <c r="M5" s="6" t="s">
        <v>853</v>
      </c>
      <c r="N5" s="6" t="s">
        <v>854</v>
      </c>
      <c r="O5" s="6" t="s">
        <v>855</v>
      </c>
      <c r="P5" s="6" t="s">
        <v>856</v>
      </c>
      <c r="Q5" s="6" t="s">
        <v>863</v>
      </c>
      <c r="R5" s="6" t="s">
        <v>864</v>
      </c>
      <c r="S5" s="6" t="s">
        <v>865</v>
      </c>
      <c r="T5" s="6" t="s">
        <v>866</v>
      </c>
      <c r="U5" s="6" t="s">
        <v>867</v>
      </c>
      <c r="V5" s="36" t="s">
        <v>868</v>
      </c>
      <c r="W5" s="36" t="s">
        <v>869</v>
      </c>
      <c r="X5" s="36" t="s">
        <v>870</v>
      </c>
      <c r="Y5" s="36" t="s">
        <v>871</v>
      </c>
      <c r="Z5" s="36" t="s">
        <v>872</v>
      </c>
      <c r="AA5" s="36" t="s">
        <v>978</v>
      </c>
    </row>
    <row r="6" spans="1:27" x14ac:dyDescent="0.2">
      <c r="A6" s="11" t="s">
        <v>873</v>
      </c>
      <c r="B6" s="7" t="s">
        <v>16</v>
      </c>
      <c r="C6" s="7" t="s">
        <v>17</v>
      </c>
      <c r="D6" s="7" t="s">
        <v>18</v>
      </c>
      <c r="E6" s="8" t="s">
        <v>786</v>
      </c>
      <c r="F6" s="8" t="s">
        <v>787</v>
      </c>
      <c r="G6" s="10">
        <v>45</v>
      </c>
      <c r="H6" s="10">
        <v>406</v>
      </c>
      <c r="I6" s="10">
        <v>408</v>
      </c>
      <c r="J6" s="10">
        <v>2091</v>
      </c>
      <c r="K6" s="10">
        <v>17835</v>
      </c>
      <c r="L6" s="10">
        <v>2</v>
      </c>
      <c r="M6" s="10">
        <v>336</v>
      </c>
      <c r="N6" s="10">
        <v>285</v>
      </c>
      <c r="O6" s="10">
        <v>1592</v>
      </c>
      <c r="P6" s="10">
        <v>24955</v>
      </c>
      <c r="Q6" s="55">
        <f>IFERROR(VIEW_IV_2019_GR_COTA_DEMANDA[[#This Row],[Demanda.BERINERT]]/VIEW_IV_2019_GR_COTA_DEMANDA[[#This Row],[Cota.BERINERT]],0)</f>
        <v>4.4444444444444446E-2</v>
      </c>
      <c r="R6" s="55">
        <f>IFERROR(VIEW_IV_2019_GR_COTA_DEMANDA[[#This Row],[Demanda.BERIPLEX]]/VIEW_IV_2019_GR_COTA_DEMANDA[[#This Row],[Cota.BERIPLEX]],0)</f>
        <v>0.82758620689655171</v>
      </c>
      <c r="S6" s="55">
        <f>IFERROR(VIEW_IV_2019_GR_COTA_DEMANDA[[#This Row],[Demanda.HAEMO]]/VIEW_IV_2019_GR_COTA_DEMANDA[[#This Row],[Cota.HAEMO]],0)</f>
        <v>0.69852941176470584</v>
      </c>
      <c r="T6" s="55">
        <f>IFERROR(VIEW_IV_2019_GR_COTA_DEMANDA[[#This Row],[Demanda.HIZENTRA]]/VIEW_IV_2019_GR_COTA_DEMANDA[[#This Row],[Cota.HIZENTRA]],0)</f>
        <v>0.76135820181731229</v>
      </c>
      <c r="U6" s="55">
        <f>IFERROR(VIEW_IV_2019_GR_COTA_DEMANDA[[#This Row],[Demanda.PRIVIGEN]]/VIEW_IV_2019_GR_COTA_DEMANDA[[#This Row],[Cota.PRIVIGEN]],0)</f>
        <v>1.399215026633025</v>
      </c>
      <c r="V6" s="56">
        <f>IF(VIEW_IV_2019_GR_COTA_DEMANDA[[#This Row],[Cobertura.BERINERT]]&lt;Cob_Min_GR,0,IF(VIEW_IV_2019_GR_COTA_DEMANDA[[#This Row],[Cobertura.BERINERT]]&gt;=Cob_Max_GR,(Vlr_Max_GR*V$1),(VLOOKUP(VIEW_IV_2019_GR_COTA_DEMANDA[[#This Row],[Cobertura.BERINERT]],Tabela_Valores_GR,2,1))*V$1))</f>
        <v>0</v>
      </c>
      <c r="W6" s="56">
        <f>IF(VIEW_IV_2019_GR_COTA_DEMANDA[[#This Row],[Cobertura.BERIPLEX]]&lt;Cob_Min_GR,0,IF(VIEW_IV_2019_GR_COTA_DEMANDA[[#This Row],[Cobertura.BERIPLEX]]&gt;=Cob_Max_GR,(Vlr_Max_GR*W$1),(VLOOKUP(VIEW_IV_2019_GR_COTA_DEMANDA[[#This Row],[Cobertura.BERIPLEX]],Tabela_Valores_GR,2,1))*W$1))</f>
        <v>223.64880280538944</v>
      </c>
      <c r="X6" s="56">
        <f>IF(VIEW_IV_2019_GR_COTA_DEMANDA[[#This Row],[Cobertura.HAEMO]]&lt;Cob_Min_GR,0,IF(VIEW_IV_2019_GR_COTA_DEMANDA[[#This Row],[Cobertura.HAEMO]]&gt;=Cob_Max_GR,(Vlr_Max_GR*X$1),(VLOOKUP(VIEW_IV_2019_GR_COTA_DEMANDA[[#This Row],[Cobertura.HAEMO]],Tabela_Valores_GR,2,1))*X$1))</f>
        <v>0</v>
      </c>
      <c r="Y6" s="56">
        <f>IF(VIEW_IV_2019_GR_COTA_DEMANDA[[#This Row],[Cobertura.HIZENTRA]]&lt;Cob_Min_GR,0,IF(VIEW_IV_2019_GR_COTA_DEMANDA[[#This Row],[Cobertura.HIZENTRA]]&gt;=Cob_Max_GR,(Vlr_Max_GR*Y$1),(VLOOKUP(VIEW_IV_2019_GR_COTA_DEMANDA[[#This Row],[Cobertura.HIZENTRA]],Tabela_Valores_GR,2,1))*Y$1))</f>
        <v>0</v>
      </c>
      <c r="Z6" s="56">
        <f>IF(VIEW_IV_2019_GR_COTA_DEMANDA[[#This Row],[Cobertura.PRIVIGEN]]&lt;Cob_Min_GR,0,IF(VIEW_IV_2019_GR_COTA_DEMANDA[[#This Row],[Cobertura.PRIVIGEN]]&gt;=Cob_Max_GR,(Vlr_Max_GR*Z$1),(VLOOKUP(VIEW_IV_2019_GR_COTA_DEMANDA[[#This Row],[Cobertura.PRIVIGEN]],Tabela_Valores_GR,2,1))*Z$1))</f>
        <v>1356.0925416432995</v>
      </c>
      <c r="AA6" s="104">
        <f>SUM(VIEW_IV_2019_GR_COTA_DEMANDA[[#This Row],[Premio.BERINERT]:[Premio.PRIVIGEN]])</f>
        <v>1579.7413444486888</v>
      </c>
    </row>
    <row r="7" spans="1:27" x14ac:dyDescent="0.2">
      <c r="A7" s="11" t="s">
        <v>873</v>
      </c>
      <c r="B7" s="7" t="s">
        <v>16</v>
      </c>
      <c r="C7" s="7" t="s">
        <v>17</v>
      </c>
      <c r="D7" s="7" t="s">
        <v>18</v>
      </c>
      <c r="E7" s="8" t="s">
        <v>790</v>
      </c>
      <c r="F7" s="8" t="s">
        <v>791</v>
      </c>
      <c r="G7" s="10">
        <v>52</v>
      </c>
      <c r="H7" s="10">
        <v>560</v>
      </c>
      <c r="I7" s="10">
        <v>360</v>
      </c>
      <c r="J7" s="10">
        <v>1173</v>
      </c>
      <c r="K7" s="10">
        <v>8700</v>
      </c>
      <c r="L7" s="10">
        <v>98</v>
      </c>
      <c r="M7" s="10">
        <v>940</v>
      </c>
      <c r="N7" s="10">
        <v>595</v>
      </c>
      <c r="O7" s="10">
        <v>727</v>
      </c>
      <c r="P7" s="10">
        <v>8770</v>
      </c>
      <c r="Q7" s="55">
        <f>IFERROR(VIEW_IV_2019_GR_COTA_DEMANDA[[#This Row],[Demanda.BERINERT]]/VIEW_IV_2019_GR_COTA_DEMANDA[[#This Row],[Cota.BERINERT]],0)</f>
        <v>1.8846153846153846</v>
      </c>
      <c r="R7" s="55">
        <f>IFERROR(VIEW_IV_2019_GR_COTA_DEMANDA[[#This Row],[Demanda.BERIPLEX]]/VIEW_IV_2019_GR_COTA_DEMANDA[[#This Row],[Cota.BERIPLEX]],0)</f>
        <v>1.6785714285714286</v>
      </c>
      <c r="S7" s="55">
        <f>IFERROR(VIEW_IV_2019_GR_COTA_DEMANDA[[#This Row],[Demanda.HAEMO]]/VIEW_IV_2019_GR_COTA_DEMANDA[[#This Row],[Cota.HAEMO]],0)</f>
        <v>1.6527777777777777</v>
      </c>
      <c r="T7" s="55">
        <f>IFERROR(VIEW_IV_2019_GR_COTA_DEMANDA[[#This Row],[Demanda.HIZENTRA]]/VIEW_IV_2019_GR_COTA_DEMANDA[[#This Row],[Cota.HIZENTRA]],0)</f>
        <v>0.61977834612105709</v>
      </c>
      <c r="U7" s="55">
        <f>IFERROR(VIEW_IV_2019_GR_COTA_DEMANDA[[#This Row],[Demanda.PRIVIGEN]]/VIEW_IV_2019_GR_COTA_DEMANDA[[#This Row],[Cota.PRIVIGEN]],0)</f>
        <v>1.0080459770114942</v>
      </c>
      <c r="V7" s="56">
        <f>IF(VIEW_IV_2019_GR_COTA_DEMANDA[[#This Row],[Cobertura.BERINERT]]&lt;Cob_Min_GR,0,IF(VIEW_IV_2019_GR_COTA_DEMANDA[[#This Row],[Cobertura.BERINERT]]&gt;=Cob_Max_GR,(Vlr_Max_GR*V$1),(VLOOKUP(VIEW_IV_2019_GR_COTA_DEMANDA[[#This Row],[Cobertura.BERINERT]],Tabela_Valores_GR,2,1))*V$1))</f>
        <v>366.70831511984198</v>
      </c>
      <c r="W7" s="56">
        <f>IF(VIEW_IV_2019_GR_COTA_DEMANDA[[#This Row],[Cobertura.BERIPLEX]]&lt;Cob_Min_GR,0,IF(VIEW_IV_2019_GR_COTA_DEMANDA[[#This Row],[Cobertura.BERIPLEX]]&gt;=Cob_Max_GR,(Vlr_Max_GR*W$1),(VLOOKUP(VIEW_IV_2019_GR_COTA_DEMANDA[[#This Row],[Cobertura.BERIPLEX]],Tabela_Valores_GR,2,1))*W$1))</f>
        <v>1222.3610503994732</v>
      </c>
      <c r="X7" s="56">
        <f>IF(VIEW_IV_2019_GR_COTA_DEMANDA[[#This Row],[Cobertura.HAEMO]]&lt;Cob_Min_GR,0,IF(VIEW_IV_2019_GR_COTA_DEMANDA[[#This Row],[Cobertura.HAEMO]]&gt;=Cob_Max_GR,(Vlr_Max_GR*X$1),(VLOOKUP(VIEW_IV_2019_GR_COTA_DEMANDA[[#This Row],[Cobertura.HAEMO]],Tabela_Valores_GR,2,1))*X$1))</f>
        <v>1222.3610503994732</v>
      </c>
      <c r="Y7" s="56">
        <f>IF(VIEW_IV_2019_GR_COTA_DEMANDA[[#This Row],[Cobertura.HIZENTRA]]&lt;Cob_Min_GR,0,IF(VIEW_IV_2019_GR_COTA_DEMANDA[[#This Row],[Cobertura.HIZENTRA]]&gt;=Cob_Max_GR,(Vlr_Max_GR*Y$1),(VLOOKUP(VIEW_IV_2019_GR_COTA_DEMANDA[[#This Row],[Cobertura.HIZENTRA]],Tabela_Valores_GR,2,1))*Y$1))</f>
        <v>0</v>
      </c>
      <c r="Z7" s="56">
        <f>IF(VIEW_IV_2019_GR_COTA_DEMANDA[[#This Row],[Cobertura.PRIVIGEN]]&lt;Cob_Min_GR,0,IF(VIEW_IV_2019_GR_COTA_DEMANDA[[#This Row],[Cobertura.PRIVIGEN]]&gt;=Cob_Max_GR,(Vlr_Max_GR*Z$1),(VLOOKUP(VIEW_IV_2019_GR_COTA_DEMANDA[[#This Row],[Cobertura.PRIVIGEN]],Tabela_Valores_GR,2,1))*Z$1))</f>
        <v>653.71436281186493</v>
      </c>
      <c r="AA7" s="104">
        <f>SUM(VIEW_IV_2019_GR_COTA_DEMANDA[[#This Row],[Premio.BERINERT]:[Premio.PRIVIGEN]])</f>
        <v>3465.1447787306533</v>
      </c>
    </row>
    <row r="8" spans="1:27" x14ac:dyDescent="0.2">
      <c r="A8" s="11" t="s">
        <v>873</v>
      </c>
      <c r="B8" s="7" t="s">
        <v>16</v>
      </c>
      <c r="C8" s="7" t="s">
        <v>17</v>
      </c>
      <c r="D8" s="7" t="s">
        <v>18</v>
      </c>
      <c r="E8" s="8" t="s">
        <v>784</v>
      </c>
      <c r="F8" s="8" t="s">
        <v>785</v>
      </c>
      <c r="G8" s="10">
        <v>52</v>
      </c>
      <c r="H8" s="10">
        <v>434</v>
      </c>
      <c r="I8" s="10">
        <v>432</v>
      </c>
      <c r="J8" s="10">
        <v>1836</v>
      </c>
      <c r="K8" s="10">
        <v>16965</v>
      </c>
      <c r="L8" s="10">
        <v>112</v>
      </c>
      <c r="M8" s="10">
        <v>575</v>
      </c>
      <c r="N8" s="10">
        <v>677</v>
      </c>
      <c r="O8" s="10">
        <v>1822</v>
      </c>
      <c r="P8" s="10">
        <v>37263</v>
      </c>
      <c r="Q8" s="55">
        <f>IFERROR(VIEW_IV_2019_GR_COTA_DEMANDA[[#This Row],[Demanda.BERINERT]]/VIEW_IV_2019_GR_COTA_DEMANDA[[#This Row],[Cota.BERINERT]],0)</f>
        <v>2.1538461538461537</v>
      </c>
      <c r="R8" s="55">
        <f>IFERROR(VIEW_IV_2019_GR_COTA_DEMANDA[[#This Row],[Demanda.BERIPLEX]]/VIEW_IV_2019_GR_COTA_DEMANDA[[#This Row],[Cota.BERIPLEX]],0)</f>
        <v>1.3248847926267282</v>
      </c>
      <c r="S8" s="55">
        <f>IFERROR(VIEW_IV_2019_GR_COTA_DEMANDA[[#This Row],[Demanda.HAEMO]]/VIEW_IV_2019_GR_COTA_DEMANDA[[#This Row],[Cota.HAEMO]],0)</f>
        <v>1.5671296296296295</v>
      </c>
      <c r="T8" s="55">
        <f>IFERROR(VIEW_IV_2019_GR_COTA_DEMANDA[[#This Row],[Demanda.HIZENTRA]]/VIEW_IV_2019_GR_COTA_DEMANDA[[#This Row],[Cota.HIZENTRA]],0)</f>
        <v>0.99237472766884527</v>
      </c>
      <c r="U8" s="55">
        <f>IFERROR(VIEW_IV_2019_GR_COTA_DEMANDA[[#This Row],[Demanda.PRIVIGEN]]/VIEW_IV_2019_GR_COTA_DEMANDA[[#This Row],[Cota.PRIVIGEN]],0)</f>
        <v>2.1964633068081345</v>
      </c>
      <c r="V8" s="56">
        <f>IF(VIEW_IV_2019_GR_COTA_DEMANDA[[#This Row],[Cobertura.BERINERT]]&lt;Cob_Min_GR,0,IF(VIEW_IV_2019_GR_COTA_DEMANDA[[#This Row],[Cobertura.BERINERT]]&gt;=Cob_Max_GR,(Vlr_Max_GR*V$1),(VLOOKUP(VIEW_IV_2019_GR_COTA_DEMANDA[[#This Row],[Cobertura.BERINERT]],Tabela_Valores_GR,2,1))*V$1))</f>
        <v>366.70831511984198</v>
      </c>
      <c r="W8" s="56">
        <f>IF(VIEW_IV_2019_GR_COTA_DEMANDA[[#This Row],[Cobertura.BERIPLEX]]&lt;Cob_Min_GR,0,IF(VIEW_IV_2019_GR_COTA_DEMANDA[[#This Row],[Cobertura.BERIPLEX]]&gt;=Cob_Max_GR,(Vlr_Max_GR*W$1),(VLOOKUP(VIEW_IV_2019_GR_COTA_DEMANDA[[#This Row],[Cobertura.BERIPLEX]],Tabela_Valores_GR,2,1))*W$1))</f>
        <v>1072.3935755470975</v>
      </c>
      <c r="X8" s="56">
        <f>IF(VIEW_IV_2019_GR_COTA_DEMANDA[[#This Row],[Cobertura.HAEMO]]&lt;Cob_Min_GR,0,IF(VIEW_IV_2019_GR_COTA_DEMANDA[[#This Row],[Cobertura.HAEMO]]&gt;=Cob_Max_GR,(Vlr_Max_GR*X$1),(VLOOKUP(VIEW_IV_2019_GR_COTA_DEMANDA[[#This Row],[Cobertura.HAEMO]],Tabela_Valores_GR,2,1))*X$1))</f>
        <v>1222.3610503994732</v>
      </c>
      <c r="Y8" s="56">
        <f>IF(VIEW_IV_2019_GR_COTA_DEMANDA[[#This Row],[Cobertura.HIZENTRA]]&lt;Cob_Min_GR,0,IF(VIEW_IV_2019_GR_COTA_DEMANDA[[#This Row],[Cobertura.HIZENTRA]]&gt;=Cob_Max_GR,(Vlr_Max_GR*Y$1),(VLOOKUP(VIEW_IV_2019_GR_COTA_DEMANDA[[#This Row],[Cobertura.HIZENTRA]],Tabela_Valores_GR,2,1))*Y$1))</f>
        <v>603.60837709991506</v>
      </c>
      <c r="Z8" s="56">
        <f>IF(VIEW_IV_2019_GR_COTA_DEMANDA[[#This Row],[Cobertura.PRIVIGEN]]&lt;Cob_Min_GR,0,IF(VIEW_IV_2019_GR_COTA_DEMANDA[[#This Row],[Cobertura.PRIVIGEN]]&gt;=Cob_Max_GR,(Vlr_Max_GR*Z$1),(VLOOKUP(VIEW_IV_2019_GR_COTA_DEMANDA[[#This Row],[Cobertura.PRIVIGEN]],Tabela_Valores_GR,2,1))*Z$1))</f>
        <v>1466.8332604793679</v>
      </c>
      <c r="AA8" s="104">
        <f>SUM(VIEW_IV_2019_GR_COTA_DEMANDA[[#This Row],[Premio.BERINERT]:[Premio.PRIVIGEN]])</f>
        <v>4731.9045786456954</v>
      </c>
    </row>
    <row r="9" spans="1:27" x14ac:dyDescent="0.2">
      <c r="A9" s="11" t="s">
        <v>873</v>
      </c>
      <c r="B9" s="7" t="s">
        <v>16</v>
      </c>
      <c r="C9" s="7" t="s">
        <v>55</v>
      </c>
      <c r="D9" s="7" t="s">
        <v>18</v>
      </c>
      <c r="E9" s="8" t="s">
        <v>786</v>
      </c>
      <c r="F9" s="8" t="s">
        <v>787</v>
      </c>
      <c r="G9" s="10">
        <v>45</v>
      </c>
      <c r="H9" s="10">
        <v>464</v>
      </c>
      <c r="I9" s="10">
        <v>510</v>
      </c>
      <c r="J9" s="10">
        <v>2476</v>
      </c>
      <c r="K9" s="10">
        <v>17835</v>
      </c>
      <c r="L9" s="10">
        <v>27</v>
      </c>
      <c r="M9" s="10">
        <v>359</v>
      </c>
      <c r="N9" s="10">
        <v>537</v>
      </c>
      <c r="O9" s="10">
        <v>1219</v>
      </c>
      <c r="P9" s="10">
        <v>44343</v>
      </c>
      <c r="Q9" s="55">
        <f>IFERROR(VIEW_IV_2019_GR_COTA_DEMANDA[[#This Row],[Demanda.BERINERT]]/VIEW_IV_2019_GR_COTA_DEMANDA[[#This Row],[Cota.BERINERT]],0)</f>
        <v>0.6</v>
      </c>
      <c r="R9" s="55">
        <f>IFERROR(VIEW_IV_2019_GR_COTA_DEMANDA[[#This Row],[Demanda.BERIPLEX]]/VIEW_IV_2019_GR_COTA_DEMANDA[[#This Row],[Cota.BERIPLEX]],0)</f>
        <v>0.77370689655172409</v>
      </c>
      <c r="S9" s="55">
        <f>IFERROR(VIEW_IV_2019_GR_COTA_DEMANDA[[#This Row],[Demanda.HAEMO]]/VIEW_IV_2019_GR_COTA_DEMANDA[[#This Row],[Cota.HAEMO]],0)</f>
        <v>1.0529411764705883</v>
      </c>
      <c r="T9" s="55">
        <f>IFERROR(VIEW_IV_2019_GR_COTA_DEMANDA[[#This Row],[Demanda.HIZENTRA]]/VIEW_IV_2019_GR_COTA_DEMANDA[[#This Row],[Cota.HIZENTRA]],0)</f>
        <v>0.49232633279483035</v>
      </c>
      <c r="U9" s="55">
        <f>IFERROR(VIEW_IV_2019_GR_COTA_DEMANDA[[#This Row],[Demanda.PRIVIGEN]]/VIEW_IV_2019_GR_COTA_DEMANDA[[#This Row],[Cota.PRIVIGEN]],0)</f>
        <v>2.4862910008410428</v>
      </c>
      <c r="V9" s="56">
        <f>IF(VIEW_IV_2019_GR_COTA_DEMANDA[[#This Row],[Cobertura.BERINERT]]&lt;Cob_Min_GR,0,IF(VIEW_IV_2019_GR_COTA_DEMANDA[[#This Row],[Cobertura.BERINERT]]&gt;=Cob_Max_GR,(Vlr_Max_GR*V$1),(VLOOKUP(VIEW_IV_2019_GR_COTA_DEMANDA[[#This Row],[Cobertura.BERINERT]],Tabela_Valores_GR,2,1))*V$1))</f>
        <v>0</v>
      </c>
      <c r="W9" s="56">
        <f>IF(VIEW_IV_2019_GR_COTA_DEMANDA[[#This Row],[Cobertura.BERIPLEX]]&lt;Cob_Min_GR,0,IF(VIEW_IV_2019_GR_COTA_DEMANDA[[#This Row],[Cobertura.BERIPLEX]]&gt;=Cob_Max_GR,(Vlr_Max_GR*W$1),(VLOOKUP(VIEW_IV_2019_GR_COTA_DEMANDA[[#This Row],[Cobertura.BERIPLEX]],Tabela_Valores_GR,2,1))*W$1))</f>
        <v>0</v>
      </c>
      <c r="X9" s="56">
        <f>IF(VIEW_IV_2019_GR_COTA_DEMANDA[[#This Row],[Cobertura.HAEMO]]&lt;Cob_Min_GR,0,IF(VIEW_IV_2019_GR_COTA_DEMANDA[[#This Row],[Cobertura.HAEMO]]&gt;=Cob_Max_GR,(Vlr_Max_GR*X$1),(VLOOKUP(VIEW_IV_2019_GR_COTA_DEMANDA[[#This Row],[Cobertura.HAEMO]],Tabela_Valores_GR,2,1))*X$1))</f>
        <v>566.18033077794951</v>
      </c>
      <c r="Y9" s="56">
        <f>IF(VIEW_IV_2019_GR_COTA_DEMANDA[[#This Row],[Cobertura.HIZENTRA]]&lt;Cob_Min_GR,0,IF(VIEW_IV_2019_GR_COTA_DEMANDA[[#This Row],[Cobertura.HIZENTRA]]&gt;=Cob_Max_GR,(Vlr_Max_GR*Y$1),(VLOOKUP(VIEW_IV_2019_GR_COTA_DEMANDA[[#This Row],[Cobertura.HIZENTRA]],Tabela_Valores_GR,2,1))*Y$1))</f>
        <v>0</v>
      </c>
      <c r="Z9" s="56">
        <f>IF(VIEW_IV_2019_GR_COTA_DEMANDA[[#This Row],[Cobertura.PRIVIGEN]]&lt;Cob_Min_GR,0,IF(VIEW_IV_2019_GR_COTA_DEMANDA[[#This Row],[Cobertura.PRIVIGEN]]&gt;=Cob_Max_GR,(Vlr_Max_GR*Z$1),(VLOOKUP(VIEW_IV_2019_GR_COTA_DEMANDA[[#This Row],[Cobertura.PRIVIGEN]],Tabela_Valores_GR,2,1))*Z$1))</f>
        <v>1466.8332604793679</v>
      </c>
      <c r="AA9" s="104">
        <f>SUM(VIEW_IV_2019_GR_COTA_DEMANDA[[#This Row],[Premio.BERINERT]:[Premio.PRIVIGEN]])</f>
        <v>2033.0135912573173</v>
      </c>
    </row>
    <row r="10" spans="1:27" x14ac:dyDescent="0.2">
      <c r="A10" s="11" t="s">
        <v>873</v>
      </c>
      <c r="B10" s="7" t="s">
        <v>16</v>
      </c>
      <c r="C10" s="7" t="s">
        <v>55</v>
      </c>
      <c r="D10" s="7" t="s">
        <v>18</v>
      </c>
      <c r="E10" s="8" t="s">
        <v>790</v>
      </c>
      <c r="F10" s="8" t="s">
        <v>791</v>
      </c>
      <c r="G10" s="10">
        <v>52</v>
      </c>
      <c r="H10" s="10">
        <v>640</v>
      </c>
      <c r="I10" s="10">
        <v>450</v>
      </c>
      <c r="J10" s="10">
        <v>1389</v>
      </c>
      <c r="K10" s="10">
        <v>8700</v>
      </c>
      <c r="L10" s="10">
        <v>26</v>
      </c>
      <c r="M10" s="10">
        <v>1540</v>
      </c>
      <c r="N10" s="10">
        <v>92</v>
      </c>
      <c r="O10" s="10">
        <v>806</v>
      </c>
      <c r="P10" s="10">
        <v>18483</v>
      </c>
      <c r="Q10" s="55">
        <f>IFERROR(VIEW_IV_2019_GR_COTA_DEMANDA[[#This Row],[Demanda.BERINERT]]/VIEW_IV_2019_GR_COTA_DEMANDA[[#This Row],[Cota.BERINERT]],0)</f>
        <v>0.5</v>
      </c>
      <c r="R10" s="55">
        <f>IFERROR(VIEW_IV_2019_GR_COTA_DEMANDA[[#This Row],[Demanda.BERIPLEX]]/VIEW_IV_2019_GR_COTA_DEMANDA[[#This Row],[Cota.BERIPLEX]],0)</f>
        <v>2.40625</v>
      </c>
      <c r="S10" s="55">
        <f>IFERROR(VIEW_IV_2019_GR_COTA_DEMANDA[[#This Row],[Demanda.HAEMO]]/VIEW_IV_2019_GR_COTA_DEMANDA[[#This Row],[Cota.HAEMO]],0)</f>
        <v>0.20444444444444446</v>
      </c>
      <c r="T10" s="55">
        <f>IFERROR(VIEW_IV_2019_GR_COTA_DEMANDA[[#This Row],[Demanda.HIZENTRA]]/VIEW_IV_2019_GR_COTA_DEMANDA[[#This Row],[Cota.HIZENTRA]],0)</f>
        <v>0.58027357811375091</v>
      </c>
      <c r="U10" s="55">
        <f>IFERROR(VIEW_IV_2019_GR_COTA_DEMANDA[[#This Row],[Demanda.PRIVIGEN]]/VIEW_IV_2019_GR_COTA_DEMANDA[[#This Row],[Cota.PRIVIGEN]],0)</f>
        <v>2.1244827586206898</v>
      </c>
      <c r="V10" s="56">
        <f>IF(VIEW_IV_2019_GR_COTA_DEMANDA[[#This Row],[Cobertura.BERINERT]]&lt;Cob_Min_GR,0,IF(VIEW_IV_2019_GR_COTA_DEMANDA[[#This Row],[Cobertura.BERINERT]]&gt;=Cob_Max_GR,(Vlr_Max_GR*V$1),(VLOOKUP(VIEW_IV_2019_GR_COTA_DEMANDA[[#This Row],[Cobertura.BERINERT]],Tabela_Valores_GR,2,1))*V$1))</f>
        <v>0</v>
      </c>
      <c r="W10" s="56">
        <f>IF(VIEW_IV_2019_GR_COTA_DEMANDA[[#This Row],[Cobertura.BERIPLEX]]&lt;Cob_Min_GR,0,IF(VIEW_IV_2019_GR_COTA_DEMANDA[[#This Row],[Cobertura.BERIPLEX]]&gt;=Cob_Max_GR,(Vlr_Max_GR*W$1),(VLOOKUP(VIEW_IV_2019_GR_COTA_DEMANDA[[#This Row],[Cobertura.BERIPLEX]],Tabela_Valores_GR,2,1))*W$1))</f>
        <v>1222.3610503994732</v>
      </c>
      <c r="X10" s="56">
        <f>IF(VIEW_IV_2019_GR_COTA_DEMANDA[[#This Row],[Cobertura.HAEMO]]&lt;Cob_Min_GR,0,IF(VIEW_IV_2019_GR_COTA_DEMANDA[[#This Row],[Cobertura.HAEMO]]&gt;=Cob_Max_GR,(Vlr_Max_GR*X$1),(VLOOKUP(VIEW_IV_2019_GR_COTA_DEMANDA[[#This Row],[Cobertura.HAEMO]],Tabela_Valores_GR,2,1))*X$1))</f>
        <v>0</v>
      </c>
      <c r="Y10" s="56">
        <f>IF(VIEW_IV_2019_GR_COTA_DEMANDA[[#This Row],[Cobertura.HIZENTRA]]&lt;Cob_Min_GR,0,IF(VIEW_IV_2019_GR_COTA_DEMANDA[[#This Row],[Cobertura.HIZENTRA]]&gt;=Cob_Max_GR,(Vlr_Max_GR*Y$1),(VLOOKUP(VIEW_IV_2019_GR_COTA_DEMANDA[[#This Row],[Cobertura.HIZENTRA]],Tabela_Valores_GR,2,1))*Y$1))</f>
        <v>0</v>
      </c>
      <c r="Z10" s="56">
        <f>IF(VIEW_IV_2019_GR_COTA_DEMANDA[[#This Row],[Cobertura.PRIVIGEN]]&lt;Cob_Min_GR,0,IF(VIEW_IV_2019_GR_COTA_DEMANDA[[#This Row],[Cobertura.PRIVIGEN]]&gt;=Cob_Max_GR,(Vlr_Max_GR*Z$1),(VLOOKUP(VIEW_IV_2019_GR_COTA_DEMANDA[[#This Row],[Cobertura.PRIVIGEN]],Tabela_Valores_GR,2,1))*Z$1))</f>
        <v>1466.8332604793679</v>
      </c>
      <c r="AA10" s="104">
        <f>SUM(VIEW_IV_2019_GR_COTA_DEMANDA[[#This Row],[Premio.BERINERT]:[Premio.PRIVIGEN]])</f>
        <v>2689.194310878841</v>
      </c>
    </row>
    <row r="11" spans="1:27" x14ac:dyDescent="0.2">
      <c r="A11" s="11" t="s">
        <v>873</v>
      </c>
      <c r="B11" s="7" t="s">
        <v>16</v>
      </c>
      <c r="C11" s="7" t="s">
        <v>55</v>
      </c>
      <c r="D11" s="7" t="s">
        <v>18</v>
      </c>
      <c r="E11" s="8" t="s">
        <v>784</v>
      </c>
      <c r="F11" s="8" t="s">
        <v>785</v>
      </c>
      <c r="G11" s="10">
        <v>52</v>
      </c>
      <c r="H11" s="10">
        <v>496</v>
      </c>
      <c r="I11" s="10">
        <v>540</v>
      </c>
      <c r="J11" s="10">
        <v>2174</v>
      </c>
      <c r="K11" s="10">
        <v>16965</v>
      </c>
      <c r="L11" s="10">
        <v>120</v>
      </c>
      <c r="M11" s="10">
        <v>413</v>
      </c>
      <c r="N11" s="10">
        <v>434</v>
      </c>
      <c r="O11" s="10">
        <v>1821</v>
      </c>
      <c r="P11" s="10">
        <v>26023</v>
      </c>
      <c r="Q11" s="55">
        <f>IFERROR(VIEW_IV_2019_GR_COTA_DEMANDA[[#This Row],[Demanda.BERINERT]]/VIEW_IV_2019_GR_COTA_DEMANDA[[#This Row],[Cota.BERINERT]],0)</f>
        <v>2.3076923076923075</v>
      </c>
      <c r="R11" s="55">
        <f>IFERROR(VIEW_IV_2019_GR_COTA_DEMANDA[[#This Row],[Demanda.BERIPLEX]]/VIEW_IV_2019_GR_COTA_DEMANDA[[#This Row],[Cota.BERIPLEX]],0)</f>
        <v>0.83266129032258063</v>
      </c>
      <c r="S11" s="55">
        <f>IFERROR(VIEW_IV_2019_GR_COTA_DEMANDA[[#This Row],[Demanda.HAEMO]]/VIEW_IV_2019_GR_COTA_DEMANDA[[#This Row],[Cota.HAEMO]],0)</f>
        <v>0.8037037037037037</v>
      </c>
      <c r="T11" s="55">
        <f>IFERROR(VIEW_IV_2019_GR_COTA_DEMANDA[[#This Row],[Demanda.HIZENTRA]]/VIEW_IV_2019_GR_COTA_DEMANDA[[#This Row],[Cota.HIZENTRA]],0)</f>
        <v>0.83762649494020236</v>
      </c>
      <c r="U11" s="55">
        <f>IFERROR(VIEW_IV_2019_GR_COTA_DEMANDA[[#This Row],[Demanda.PRIVIGEN]]/VIEW_IV_2019_GR_COTA_DEMANDA[[#This Row],[Cota.PRIVIGEN]],0)</f>
        <v>1.5339227821986443</v>
      </c>
      <c r="V11" s="56">
        <f>IF(VIEW_IV_2019_GR_COTA_DEMANDA[[#This Row],[Cobertura.BERINERT]]&lt;Cob_Min_GR,0,IF(VIEW_IV_2019_GR_COTA_DEMANDA[[#This Row],[Cobertura.BERINERT]]&gt;=Cob_Max_GR,(Vlr_Max_GR*V$1),(VLOOKUP(VIEW_IV_2019_GR_COTA_DEMANDA[[#This Row],[Cobertura.BERINERT]],Tabela_Valores_GR,2,1))*V$1))</f>
        <v>366.70831511984198</v>
      </c>
      <c r="W11" s="56">
        <f>IF(VIEW_IV_2019_GR_COTA_DEMANDA[[#This Row],[Cobertura.BERIPLEX]]&lt;Cob_Min_GR,0,IF(VIEW_IV_2019_GR_COTA_DEMANDA[[#This Row],[Cobertura.BERIPLEX]]&gt;=Cob_Max_GR,(Vlr_Max_GR*W$1),(VLOOKUP(VIEW_IV_2019_GR_COTA_DEMANDA[[#This Row],[Cobertura.BERIPLEX]],Tabela_Valores_GR,2,1))*W$1))</f>
        <v>225.00097210892864</v>
      </c>
      <c r="X11" s="56">
        <f>IF(VIEW_IV_2019_GR_COTA_DEMANDA[[#This Row],[Cobertura.HAEMO]]&lt;Cob_Min_GR,0,IF(VIEW_IV_2019_GR_COTA_DEMANDA[[#This Row],[Cobertura.HAEMO]]&gt;=Cob_Max_GR,(Vlr_Max_GR*X$1),(VLOOKUP(VIEW_IV_2019_GR_COTA_DEMANDA[[#This Row],[Cobertura.HAEMO]],Tabela_Valores_GR,2,1))*X$1))</f>
        <v>217.15839014840114</v>
      </c>
      <c r="Y11" s="56">
        <f>IF(VIEW_IV_2019_GR_COTA_DEMANDA[[#This Row],[Cobertura.HIZENTRA]]&lt;Cob_Min_GR,0,IF(VIEW_IV_2019_GR_COTA_DEMANDA[[#This Row],[Cobertura.HIZENTRA]]&gt;=Cob_Max_GR,(Vlr_Max_GR*Y$1),(VLOOKUP(VIEW_IV_2019_GR_COTA_DEMANDA[[#This Row],[Cobertura.HIZENTRA]],Tabela_Valores_GR,2,1))*Y$1))</f>
        <v>339.5297121187017</v>
      </c>
      <c r="Z11" s="56">
        <f>IF(VIEW_IV_2019_GR_COTA_DEMANDA[[#This Row],[Cobertura.PRIVIGEN]]&lt;Cob_Min_GR,0,IF(VIEW_IV_2019_GR_COTA_DEMANDA[[#This Row],[Cobertura.PRIVIGEN]]&gt;=Cob_Max_GR,(Vlr_Max_GR*Z$1),(VLOOKUP(VIEW_IV_2019_GR_COTA_DEMANDA[[#This Row],[Cobertura.PRIVIGEN]],Tabela_Valores_GR,2,1))*Z$1))</f>
        <v>1466.8332604793679</v>
      </c>
      <c r="AA11" s="104">
        <f>SUM(VIEW_IV_2019_GR_COTA_DEMANDA[[#This Row],[Premio.BERINERT]:[Premio.PRIVIGEN]])</f>
        <v>2615.2306499752412</v>
      </c>
    </row>
    <row r="12" spans="1:27" x14ac:dyDescent="0.2">
      <c r="A12" s="11" t="s">
        <v>873</v>
      </c>
      <c r="B12" s="7" t="s">
        <v>16</v>
      </c>
      <c r="C12" s="7" t="s">
        <v>60</v>
      </c>
      <c r="D12" s="7" t="s">
        <v>18</v>
      </c>
      <c r="E12" s="8" t="s">
        <v>786</v>
      </c>
      <c r="F12" s="8" t="s">
        <v>787</v>
      </c>
      <c r="G12" s="10">
        <v>114</v>
      </c>
      <c r="H12" s="10">
        <v>580</v>
      </c>
      <c r="I12" s="10">
        <v>442</v>
      </c>
      <c r="J12" s="10">
        <v>3116</v>
      </c>
      <c r="K12" s="10">
        <v>21935</v>
      </c>
      <c r="L12" s="10">
        <v>41</v>
      </c>
      <c r="M12" s="10">
        <v>532</v>
      </c>
      <c r="N12" s="10">
        <v>449</v>
      </c>
      <c r="O12" s="10">
        <v>1813</v>
      </c>
      <c r="P12" s="10">
        <v>26005</v>
      </c>
      <c r="Q12" s="55">
        <f>IFERROR(VIEW_IV_2019_GR_COTA_DEMANDA[[#This Row],[Demanda.BERINERT]]/VIEW_IV_2019_GR_COTA_DEMANDA[[#This Row],[Cota.BERINERT]],0)</f>
        <v>0.35964912280701755</v>
      </c>
      <c r="R12" s="55">
        <f>IFERROR(VIEW_IV_2019_GR_COTA_DEMANDA[[#This Row],[Demanda.BERIPLEX]]/VIEW_IV_2019_GR_COTA_DEMANDA[[#This Row],[Cota.BERIPLEX]],0)</f>
        <v>0.91724137931034477</v>
      </c>
      <c r="S12" s="55">
        <f>IFERROR(VIEW_IV_2019_GR_COTA_DEMANDA[[#This Row],[Demanda.HAEMO]]/VIEW_IV_2019_GR_COTA_DEMANDA[[#This Row],[Cota.HAEMO]],0)</f>
        <v>1.0158371040723981</v>
      </c>
      <c r="T12" s="55">
        <f>IFERROR(VIEW_IV_2019_GR_COTA_DEMANDA[[#This Row],[Demanda.HIZENTRA]]/VIEW_IV_2019_GR_COTA_DEMANDA[[#This Row],[Cota.HIZENTRA]],0)</f>
        <v>0.58183568677792041</v>
      </c>
      <c r="U12" s="55">
        <f>IFERROR(VIEW_IV_2019_GR_COTA_DEMANDA[[#This Row],[Demanda.PRIVIGEN]]/VIEW_IV_2019_GR_COTA_DEMANDA[[#This Row],[Cota.PRIVIGEN]],0)</f>
        <v>1.1855482106222932</v>
      </c>
      <c r="V12" s="56">
        <f>IF(VIEW_IV_2019_GR_COTA_DEMANDA[[#This Row],[Cobertura.BERINERT]]&lt;Cob_Min_GR,0,IF(VIEW_IV_2019_GR_COTA_DEMANDA[[#This Row],[Cobertura.BERINERT]]&gt;=Cob_Max_GR,(Vlr_Max_GR*V$1),(VLOOKUP(VIEW_IV_2019_GR_COTA_DEMANDA[[#This Row],[Cobertura.BERINERT]],Tabela_Valores_GR,2,1))*V$1))</f>
        <v>0</v>
      </c>
      <c r="W12" s="56">
        <f>IF(VIEW_IV_2019_GR_COTA_DEMANDA[[#This Row],[Cobertura.BERIPLEX]]&lt;Cob_Min_GR,0,IF(VIEW_IV_2019_GR_COTA_DEMANDA[[#This Row],[Cobertura.BERIPLEX]]&gt;=Cob_Max_GR,(Vlr_Max_GR*W$1),(VLOOKUP(VIEW_IV_2019_GR_COTA_DEMANDA[[#This Row],[Cobertura.BERIPLEX]],Tabela_Valores_GR,2,1))*W$1))</f>
        <v>371.98177540364372</v>
      </c>
      <c r="X12" s="56">
        <f>IF(VIEW_IV_2019_GR_COTA_DEMANDA[[#This Row],[Cobertura.HAEMO]]&lt;Cob_Min_GR,0,IF(VIEW_IV_2019_GR_COTA_DEMANDA[[#This Row],[Cobertura.HAEMO]]&gt;=Cob_Max_GR,(Vlr_Max_GR*X$1),(VLOOKUP(VIEW_IV_2019_GR_COTA_DEMANDA[[#This Row],[Cobertura.HAEMO]],Tabela_Valores_GR,2,1))*X$1))</f>
        <v>548.16943565480631</v>
      </c>
      <c r="Y12" s="56">
        <f>IF(VIEW_IV_2019_GR_COTA_DEMANDA[[#This Row],[Cobertura.HIZENTRA]]&lt;Cob_Min_GR,0,IF(VIEW_IV_2019_GR_COTA_DEMANDA[[#This Row],[Cobertura.HIZENTRA]]&gt;=Cob_Max_GR,(Vlr_Max_GR*Y$1),(VLOOKUP(VIEW_IV_2019_GR_COTA_DEMANDA[[#This Row],[Cobertura.HIZENTRA]],Tabela_Valores_GR,2,1))*Y$1))</f>
        <v>0</v>
      </c>
      <c r="Z12" s="56">
        <f>IF(VIEW_IV_2019_GR_COTA_DEMANDA[[#This Row],[Cobertura.PRIVIGEN]]&lt;Cob_Min_GR,0,IF(VIEW_IV_2019_GR_COTA_DEMANDA[[#This Row],[Cobertura.PRIVIGEN]]&gt;=Cob_Max_GR,(Vlr_Max_GR*Z$1),(VLOOKUP(VIEW_IV_2019_GR_COTA_DEMANDA[[#This Row],[Cobertura.PRIVIGEN]],Tabela_Valores_GR,2,1))*Z$1))</f>
        <v>964.76738939803204</v>
      </c>
      <c r="AA12" s="104">
        <f>SUM(VIEW_IV_2019_GR_COTA_DEMANDA[[#This Row],[Premio.BERINERT]:[Premio.PRIVIGEN]])</f>
        <v>1884.9186004564822</v>
      </c>
    </row>
    <row r="13" spans="1:27" x14ac:dyDescent="0.2">
      <c r="A13" s="11" t="s">
        <v>873</v>
      </c>
      <c r="B13" s="7" t="s">
        <v>16</v>
      </c>
      <c r="C13" s="7" t="s">
        <v>60</v>
      </c>
      <c r="D13" s="7" t="s">
        <v>18</v>
      </c>
      <c r="E13" s="8" t="s">
        <v>790</v>
      </c>
      <c r="F13" s="8" t="s">
        <v>791</v>
      </c>
      <c r="G13" s="10">
        <v>133</v>
      </c>
      <c r="H13" s="10">
        <v>800</v>
      </c>
      <c r="I13" s="10">
        <v>390</v>
      </c>
      <c r="J13" s="10">
        <v>1748</v>
      </c>
      <c r="K13" s="10">
        <v>10700</v>
      </c>
      <c r="L13" s="10">
        <v>335</v>
      </c>
      <c r="M13" s="10">
        <v>677</v>
      </c>
      <c r="N13" s="10">
        <v>1344</v>
      </c>
      <c r="O13" s="10">
        <v>902</v>
      </c>
      <c r="P13" s="10">
        <v>9740</v>
      </c>
      <c r="Q13" s="55">
        <f>IFERROR(VIEW_IV_2019_GR_COTA_DEMANDA[[#This Row],[Demanda.BERINERT]]/VIEW_IV_2019_GR_COTA_DEMANDA[[#This Row],[Cota.BERINERT]],0)</f>
        <v>2.518796992481203</v>
      </c>
      <c r="R13" s="55">
        <f>IFERROR(VIEW_IV_2019_GR_COTA_DEMANDA[[#This Row],[Demanda.BERIPLEX]]/VIEW_IV_2019_GR_COTA_DEMANDA[[#This Row],[Cota.BERIPLEX]],0)</f>
        <v>0.84624999999999995</v>
      </c>
      <c r="S13" s="55">
        <f>IFERROR(VIEW_IV_2019_GR_COTA_DEMANDA[[#This Row],[Demanda.HAEMO]]/VIEW_IV_2019_GR_COTA_DEMANDA[[#This Row],[Cota.HAEMO]],0)</f>
        <v>3.4461538461538463</v>
      </c>
      <c r="T13" s="55">
        <f>IFERROR(VIEW_IV_2019_GR_COTA_DEMANDA[[#This Row],[Demanda.HIZENTRA]]/VIEW_IV_2019_GR_COTA_DEMANDA[[#This Row],[Cota.HIZENTRA]],0)</f>
        <v>0.51601830663615555</v>
      </c>
      <c r="U13" s="55">
        <f>IFERROR(VIEW_IV_2019_GR_COTA_DEMANDA[[#This Row],[Demanda.PRIVIGEN]]/VIEW_IV_2019_GR_COTA_DEMANDA[[#This Row],[Cota.PRIVIGEN]],0)</f>
        <v>0.91028037383177574</v>
      </c>
      <c r="V13" s="56">
        <f>IF(VIEW_IV_2019_GR_COTA_DEMANDA[[#This Row],[Cobertura.BERINERT]]&lt;Cob_Min_GR,0,IF(VIEW_IV_2019_GR_COTA_DEMANDA[[#This Row],[Cobertura.BERINERT]]&gt;=Cob_Max_GR,(Vlr_Max_GR*V$1),(VLOOKUP(VIEW_IV_2019_GR_COTA_DEMANDA[[#This Row],[Cobertura.BERINERT]],Tabela_Valores_GR,2,1))*V$1))</f>
        <v>366.70831511984198</v>
      </c>
      <c r="W13" s="56">
        <f>IF(VIEW_IV_2019_GR_COTA_DEMANDA[[#This Row],[Cobertura.BERIPLEX]]&lt;Cob_Min_GR,0,IF(VIEW_IV_2019_GR_COTA_DEMANDA[[#This Row],[Cobertura.BERIPLEX]]&gt;=Cob_Max_GR,(Vlr_Max_GR*W$1),(VLOOKUP(VIEW_IV_2019_GR_COTA_DEMANDA[[#This Row],[Cobertura.BERIPLEX]],Tabela_Valores_GR,2,1))*W$1))</f>
        <v>228.78704615883851</v>
      </c>
      <c r="X13" s="56">
        <f>IF(VIEW_IV_2019_GR_COTA_DEMANDA[[#This Row],[Cobertura.HAEMO]]&lt;Cob_Min_GR,0,IF(VIEW_IV_2019_GR_COTA_DEMANDA[[#This Row],[Cobertura.HAEMO]]&gt;=Cob_Max_GR,(Vlr_Max_GR*X$1),(VLOOKUP(VIEW_IV_2019_GR_COTA_DEMANDA[[#This Row],[Cobertura.HAEMO]],Tabela_Valores_GR,2,1))*X$1))</f>
        <v>1222.3610503994732</v>
      </c>
      <c r="Y13" s="56">
        <f>IF(VIEW_IV_2019_GR_COTA_DEMANDA[[#This Row],[Cobertura.HIZENTRA]]&lt;Cob_Min_GR,0,IF(VIEW_IV_2019_GR_COTA_DEMANDA[[#This Row],[Cobertura.HIZENTRA]]&gt;=Cob_Max_GR,(Vlr_Max_GR*Y$1),(VLOOKUP(VIEW_IV_2019_GR_COTA_DEMANDA[[#This Row],[Cobertura.HIZENTRA]],Tabela_Valores_GR,2,1))*Y$1))</f>
        <v>0</v>
      </c>
      <c r="Z13" s="56">
        <f>IF(VIEW_IV_2019_GR_COTA_DEMANDA[[#This Row],[Cobertura.PRIVIGEN]]&lt;Cob_Min_GR,0,IF(VIEW_IV_2019_GR_COTA_DEMANDA[[#This Row],[Cobertura.PRIVIGEN]]&gt;=Cob_Max_GR,(Vlr_Max_GR*Z$1),(VLOOKUP(VIEW_IV_2019_GR_COTA_DEMANDA[[#This Row],[Cobertura.PRIVIGEN]],Tabela_Valores_GR,2,1))*Z$1))</f>
        <v>442.97066383945338</v>
      </c>
      <c r="AA13" s="104">
        <f>SUM(VIEW_IV_2019_GR_COTA_DEMANDA[[#This Row],[Premio.BERINERT]:[Premio.PRIVIGEN]])</f>
        <v>2260.8270755176072</v>
      </c>
    </row>
    <row r="14" spans="1:27" x14ac:dyDescent="0.2">
      <c r="A14" s="11" t="s">
        <v>873</v>
      </c>
      <c r="B14" s="7" t="s">
        <v>16</v>
      </c>
      <c r="C14" s="7" t="s">
        <v>60</v>
      </c>
      <c r="D14" s="7" t="s">
        <v>18</v>
      </c>
      <c r="E14" s="8" t="s">
        <v>784</v>
      </c>
      <c r="F14" s="8" t="s">
        <v>785</v>
      </c>
      <c r="G14" s="10">
        <v>133</v>
      </c>
      <c r="H14" s="10">
        <v>620</v>
      </c>
      <c r="I14" s="10">
        <v>468</v>
      </c>
      <c r="J14" s="10">
        <v>2736</v>
      </c>
      <c r="K14" s="10">
        <v>20865</v>
      </c>
      <c r="L14" s="10">
        <v>141</v>
      </c>
      <c r="M14" s="10">
        <v>562</v>
      </c>
      <c r="N14" s="10">
        <v>596</v>
      </c>
      <c r="O14" s="10">
        <v>2166</v>
      </c>
      <c r="P14" s="10">
        <v>29545</v>
      </c>
      <c r="Q14" s="55">
        <f>IFERROR(VIEW_IV_2019_GR_COTA_DEMANDA[[#This Row],[Demanda.BERINERT]]/VIEW_IV_2019_GR_COTA_DEMANDA[[#This Row],[Cota.BERINERT]],0)</f>
        <v>1.0601503759398496</v>
      </c>
      <c r="R14" s="55">
        <f>IFERROR(VIEW_IV_2019_GR_COTA_DEMANDA[[#This Row],[Demanda.BERIPLEX]]/VIEW_IV_2019_GR_COTA_DEMANDA[[#This Row],[Cota.BERIPLEX]],0)</f>
        <v>0.90645161290322585</v>
      </c>
      <c r="S14" s="55">
        <f>IFERROR(VIEW_IV_2019_GR_COTA_DEMANDA[[#This Row],[Demanda.HAEMO]]/VIEW_IV_2019_GR_COTA_DEMANDA[[#This Row],[Cota.HAEMO]],0)</f>
        <v>1.2735042735042734</v>
      </c>
      <c r="T14" s="55">
        <f>IFERROR(VIEW_IV_2019_GR_COTA_DEMANDA[[#This Row],[Demanda.HIZENTRA]]/VIEW_IV_2019_GR_COTA_DEMANDA[[#This Row],[Cota.HIZENTRA]],0)</f>
        <v>0.79166666666666663</v>
      </c>
      <c r="U14" s="55">
        <f>IFERROR(VIEW_IV_2019_GR_COTA_DEMANDA[[#This Row],[Demanda.PRIVIGEN]]/VIEW_IV_2019_GR_COTA_DEMANDA[[#This Row],[Cota.PRIVIGEN]],0)</f>
        <v>1.416007668344117</v>
      </c>
      <c r="V14" s="56">
        <f>IF(VIEW_IV_2019_GR_COTA_DEMANDA[[#This Row],[Cobertura.BERINERT]]&lt;Cob_Min_GR,0,IF(VIEW_IV_2019_GR_COTA_DEMANDA[[#This Row],[Cobertura.BERINERT]]&gt;=Cob_Max_GR,(Vlr_Max_GR*V$1),(VLOOKUP(VIEW_IV_2019_GR_COTA_DEMANDA[[#This Row],[Cobertura.BERINERT]],Tabela_Valores_GR,2,1))*V$1))</f>
        <v>171.02237351164266</v>
      </c>
      <c r="W14" s="56">
        <f>IF(VIEW_IV_2019_GR_COTA_DEMANDA[[#This Row],[Cobertura.BERIPLEX]]&lt;Cob_Min_GR,0,IF(VIEW_IV_2019_GR_COTA_DEMANDA[[#This Row],[Cobertura.BERIPLEX]]&gt;=Cob_Max_GR,(Vlr_Max_GR*W$1),(VLOOKUP(VIEW_IV_2019_GR_COTA_DEMANDA[[#This Row],[Cobertura.BERIPLEX]],Tabela_Valores_GR,2,1))*W$1))</f>
        <v>367.51961670196414</v>
      </c>
      <c r="X14" s="56">
        <f>IF(VIEW_IV_2019_GR_COTA_DEMANDA[[#This Row],[Cobertura.HAEMO]]&lt;Cob_Min_GR,0,IF(VIEW_IV_2019_GR_COTA_DEMANDA[[#This Row],[Cobertura.HAEMO]]&gt;=Cob_Max_GR,(Vlr_Max_GR*X$1),(VLOOKUP(VIEW_IV_2019_GR_COTA_DEMANDA[[#This Row],[Cobertura.HAEMO]],Tabela_Valores_GR,2,1))*X$1))</f>
        <v>1026.9720451703295</v>
      </c>
      <c r="Y14" s="56">
        <f>IF(VIEW_IV_2019_GR_COTA_DEMANDA[[#This Row],[Cobertura.HIZENTRA]]&lt;Cob_Min_GR,0,IF(VIEW_IV_2019_GR_COTA_DEMANDA[[#This Row],[Cobertura.HIZENTRA]]&gt;=Cob_Max_GR,(Vlr_Max_GR*Y$1),(VLOOKUP(VIEW_IV_2019_GR_COTA_DEMANDA[[#This Row],[Cobertura.HIZENTRA]],Tabela_Valores_GR,2,1))*Y$1))</f>
        <v>0</v>
      </c>
      <c r="Z14" s="56">
        <f>IF(VIEW_IV_2019_GR_COTA_DEMANDA[[#This Row],[Cobertura.PRIVIGEN]]&lt;Cob_Min_GR,0,IF(VIEW_IV_2019_GR_COTA_DEMANDA[[#This Row],[Cobertura.PRIVIGEN]]&gt;=Cob_Max_GR,(Vlr_Max_GR*Z$1),(VLOOKUP(VIEW_IV_2019_GR_COTA_DEMANDA[[#This Row],[Cobertura.PRIVIGEN]],Tabela_Valores_GR,2,1))*Z$1))</f>
        <v>1380.0538470903682</v>
      </c>
      <c r="AA14" s="104">
        <f>SUM(VIEW_IV_2019_GR_COTA_DEMANDA[[#This Row],[Premio.BERINERT]:[Premio.PRIVIGEN]])</f>
        <v>2945.5678824743045</v>
      </c>
    </row>
    <row r="15" spans="1:27" x14ac:dyDescent="0.2">
      <c r="A15" s="11" t="s">
        <v>873</v>
      </c>
      <c r="B15" s="7" t="s">
        <v>16</v>
      </c>
      <c r="C15" s="7" t="s">
        <v>65</v>
      </c>
      <c r="D15" s="7" t="s">
        <v>66</v>
      </c>
      <c r="E15" s="8" t="s">
        <v>786</v>
      </c>
      <c r="F15" s="8" t="s">
        <v>787</v>
      </c>
      <c r="G15" s="10">
        <v>144</v>
      </c>
      <c r="H15" s="10">
        <v>638</v>
      </c>
      <c r="I15" s="10">
        <v>510</v>
      </c>
      <c r="J15" s="10">
        <v>3198</v>
      </c>
      <c r="K15" s="10">
        <v>21935</v>
      </c>
      <c r="L15" s="10">
        <v>0</v>
      </c>
      <c r="M15" s="10">
        <v>39</v>
      </c>
      <c r="N15" s="10">
        <v>118</v>
      </c>
      <c r="O15" s="10">
        <v>338</v>
      </c>
      <c r="P15" s="10">
        <v>4950</v>
      </c>
      <c r="Q15" s="55">
        <f>IFERROR(VIEW_IV_2019_GR_COTA_DEMANDA[[#This Row],[Demanda.BERINERT]]/VIEW_IV_2019_GR_COTA_DEMANDA[[#This Row],[Cota.BERINERT]],0)</f>
        <v>0</v>
      </c>
      <c r="R15" s="55">
        <f>IFERROR(VIEW_IV_2019_GR_COTA_DEMANDA[[#This Row],[Demanda.BERIPLEX]]/VIEW_IV_2019_GR_COTA_DEMANDA[[#This Row],[Cota.BERIPLEX]],0)</f>
        <v>6.1128526645768025E-2</v>
      </c>
      <c r="S15" s="55">
        <f>IFERROR(VIEW_IV_2019_GR_COTA_DEMANDA[[#This Row],[Demanda.HAEMO]]/VIEW_IV_2019_GR_COTA_DEMANDA[[#This Row],[Cota.HAEMO]],0)</f>
        <v>0.23137254901960785</v>
      </c>
      <c r="T15" s="55">
        <f>IFERROR(VIEW_IV_2019_GR_COTA_DEMANDA[[#This Row],[Demanda.HIZENTRA]]/VIEW_IV_2019_GR_COTA_DEMANDA[[#This Row],[Cota.HIZENTRA]],0)</f>
        <v>0.10569105691056911</v>
      </c>
      <c r="U15" s="55">
        <f>IFERROR(VIEW_IV_2019_GR_COTA_DEMANDA[[#This Row],[Demanda.PRIVIGEN]]/VIEW_IV_2019_GR_COTA_DEMANDA[[#This Row],[Cota.PRIVIGEN]],0)</f>
        <v>0.2256667426487349</v>
      </c>
      <c r="V15" s="56">
        <f>IF(VIEW_IV_2019_GR_COTA_DEMANDA[[#This Row],[Cobertura.BERINERT]]&lt;Cob_Min_GR,0,IF(VIEW_IV_2019_GR_COTA_DEMANDA[[#This Row],[Cobertura.BERINERT]]&gt;=Cob_Max_GR,(Vlr_Max_GR*V$1),(VLOOKUP(VIEW_IV_2019_GR_COTA_DEMANDA[[#This Row],[Cobertura.BERINERT]],Tabela_Valores_GR,2,1))*V$1))</f>
        <v>0</v>
      </c>
      <c r="W15" s="56">
        <f>IF(VIEW_IV_2019_GR_COTA_DEMANDA[[#This Row],[Cobertura.BERIPLEX]]&lt;Cob_Min_GR,0,IF(VIEW_IV_2019_GR_COTA_DEMANDA[[#This Row],[Cobertura.BERIPLEX]]&gt;=Cob_Max_GR,(Vlr_Max_GR*W$1),(VLOOKUP(VIEW_IV_2019_GR_COTA_DEMANDA[[#This Row],[Cobertura.BERIPLEX]],Tabela_Valores_GR,2,1))*W$1))</f>
        <v>0</v>
      </c>
      <c r="X15" s="56">
        <f>IF(VIEW_IV_2019_GR_COTA_DEMANDA[[#This Row],[Cobertura.HAEMO]]&lt;Cob_Min_GR,0,IF(VIEW_IV_2019_GR_COTA_DEMANDA[[#This Row],[Cobertura.HAEMO]]&gt;=Cob_Max_GR,(Vlr_Max_GR*X$1),(VLOOKUP(VIEW_IV_2019_GR_COTA_DEMANDA[[#This Row],[Cobertura.HAEMO]],Tabela_Valores_GR,2,1))*X$1))</f>
        <v>0</v>
      </c>
      <c r="Y15" s="56">
        <f>IF(VIEW_IV_2019_GR_COTA_DEMANDA[[#This Row],[Cobertura.HIZENTRA]]&lt;Cob_Min_GR,0,IF(VIEW_IV_2019_GR_COTA_DEMANDA[[#This Row],[Cobertura.HIZENTRA]]&gt;=Cob_Max_GR,(Vlr_Max_GR*Y$1),(VLOOKUP(VIEW_IV_2019_GR_COTA_DEMANDA[[#This Row],[Cobertura.HIZENTRA]],Tabela_Valores_GR,2,1))*Y$1))</f>
        <v>0</v>
      </c>
      <c r="Z15" s="56">
        <f>IF(VIEW_IV_2019_GR_COTA_DEMANDA[[#This Row],[Cobertura.PRIVIGEN]]&lt;Cob_Min_GR,0,IF(VIEW_IV_2019_GR_COTA_DEMANDA[[#This Row],[Cobertura.PRIVIGEN]]&gt;=Cob_Max_GR,(Vlr_Max_GR*Z$1),(VLOOKUP(VIEW_IV_2019_GR_COTA_DEMANDA[[#This Row],[Cobertura.PRIVIGEN]],Tabela_Valores_GR,2,1))*Z$1))</f>
        <v>0</v>
      </c>
      <c r="AA15" s="104">
        <f>SUM(VIEW_IV_2019_GR_COTA_DEMANDA[[#This Row],[Premio.BERINERT]:[Premio.PRIVIGEN]])</f>
        <v>0</v>
      </c>
    </row>
    <row r="16" spans="1:27" x14ac:dyDescent="0.2">
      <c r="A16" s="11" t="s">
        <v>873</v>
      </c>
      <c r="B16" s="7" t="s">
        <v>16</v>
      </c>
      <c r="C16" s="7" t="s">
        <v>65</v>
      </c>
      <c r="D16" s="7" t="s">
        <v>66</v>
      </c>
      <c r="E16" s="8" t="s">
        <v>790</v>
      </c>
      <c r="F16" s="8" t="s">
        <v>791</v>
      </c>
      <c r="G16" s="10">
        <v>168</v>
      </c>
      <c r="H16" s="10">
        <v>880</v>
      </c>
      <c r="I16" s="10">
        <v>450</v>
      </c>
      <c r="J16" s="10">
        <v>1794</v>
      </c>
      <c r="K16" s="10">
        <v>10700</v>
      </c>
      <c r="L16" s="10">
        <v>0</v>
      </c>
      <c r="M16" s="10">
        <v>245</v>
      </c>
      <c r="N16" s="10">
        <v>162</v>
      </c>
      <c r="O16" s="10">
        <v>307</v>
      </c>
      <c r="P16" s="10">
        <v>2230</v>
      </c>
      <c r="Q16" s="55">
        <f>IFERROR(VIEW_IV_2019_GR_COTA_DEMANDA[[#This Row],[Demanda.BERINERT]]/VIEW_IV_2019_GR_COTA_DEMANDA[[#This Row],[Cota.BERINERT]],0)</f>
        <v>0</v>
      </c>
      <c r="R16" s="55">
        <f>IFERROR(VIEW_IV_2019_GR_COTA_DEMANDA[[#This Row],[Demanda.BERIPLEX]]/VIEW_IV_2019_GR_COTA_DEMANDA[[#This Row],[Cota.BERIPLEX]],0)</f>
        <v>0.27840909090909088</v>
      </c>
      <c r="S16" s="55">
        <f>IFERROR(VIEW_IV_2019_GR_COTA_DEMANDA[[#This Row],[Demanda.HAEMO]]/VIEW_IV_2019_GR_COTA_DEMANDA[[#This Row],[Cota.HAEMO]],0)</f>
        <v>0.36</v>
      </c>
      <c r="T16" s="55">
        <f>IFERROR(VIEW_IV_2019_GR_COTA_DEMANDA[[#This Row],[Demanda.HIZENTRA]]/VIEW_IV_2019_GR_COTA_DEMANDA[[#This Row],[Cota.HIZENTRA]],0)</f>
        <v>0.17112597547380157</v>
      </c>
      <c r="U16" s="55">
        <f>IFERROR(VIEW_IV_2019_GR_COTA_DEMANDA[[#This Row],[Demanda.PRIVIGEN]]/VIEW_IV_2019_GR_COTA_DEMANDA[[#This Row],[Cota.PRIVIGEN]],0)</f>
        <v>0.20841121495327103</v>
      </c>
      <c r="V16" s="56">
        <f>IF(VIEW_IV_2019_GR_COTA_DEMANDA[[#This Row],[Cobertura.BERINERT]]&lt;Cob_Min_GR,0,IF(VIEW_IV_2019_GR_COTA_DEMANDA[[#This Row],[Cobertura.BERINERT]]&gt;=Cob_Max_GR,(Vlr_Max_GR*V$1),(VLOOKUP(VIEW_IV_2019_GR_COTA_DEMANDA[[#This Row],[Cobertura.BERINERT]],Tabela_Valores_GR,2,1))*V$1))</f>
        <v>0</v>
      </c>
      <c r="W16" s="56">
        <f>IF(VIEW_IV_2019_GR_COTA_DEMANDA[[#This Row],[Cobertura.BERIPLEX]]&lt;Cob_Min_GR,0,IF(VIEW_IV_2019_GR_COTA_DEMANDA[[#This Row],[Cobertura.BERIPLEX]]&gt;=Cob_Max_GR,(Vlr_Max_GR*W$1),(VLOOKUP(VIEW_IV_2019_GR_COTA_DEMANDA[[#This Row],[Cobertura.BERIPLEX]],Tabela_Valores_GR,2,1))*W$1))</f>
        <v>0</v>
      </c>
      <c r="X16" s="56">
        <f>IF(VIEW_IV_2019_GR_COTA_DEMANDA[[#This Row],[Cobertura.HAEMO]]&lt;Cob_Min_GR,0,IF(VIEW_IV_2019_GR_COTA_DEMANDA[[#This Row],[Cobertura.HAEMO]]&gt;=Cob_Max_GR,(Vlr_Max_GR*X$1),(VLOOKUP(VIEW_IV_2019_GR_COTA_DEMANDA[[#This Row],[Cobertura.HAEMO]],Tabela_Valores_GR,2,1))*X$1))</f>
        <v>0</v>
      </c>
      <c r="Y16" s="56">
        <f>IF(VIEW_IV_2019_GR_COTA_DEMANDA[[#This Row],[Cobertura.HIZENTRA]]&lt;Cob_Min_GR,0,IF(VIEW_IV_2019_GR_COTA_DEMANDA[[#This Row],[Cobertura.HIZENTRA]]&gt;=Cob_Max_GR,(Vlr_Max_GR*Y$1),(VLOOKUP(VIEW_IV_2019_GR_COTA_DEMANDA[[#This Row],[Cobertura.HIZENTRA]],Tabela_Valores_GR,2,1))*Y$1))</f>
        <v>0</v>
      </c>
      <c r="Z16" s="56">
        <f>IF(VIEW_IV_2019_GR_COTA_DEMANDA[[#This Row],[Cobertura.PRIVIGEN]]&lt;Cob_Min_GR,0,IF(VIEW_IV_2019_GR_COTA_DEMANDA[[#This Row],[Cobertura.PRIVIGEN]]&gt;=Cob_Max_GR,(Vlr_Max_GR*Z$1),(VLOOKUP(VIEW_IV_2019_GR_COTA_DEMANDA[[#This Row],[Cobertura.PRIVIGEN]],Tabela_Valores_GR,2,1))*Z$1))</f>
        <v>0</v>
      </c>
      <c r="AA16" s="104">
        <f>SUM(VIEW_IV_2019_GR_COTA_DEMANDA[[#This Row],[Premio.BERINERT]:[Premio.PRIVIGEN]])</f>
        <v>0</v>
      </c>
    </row>
    <row r="17" spans="1:27" x14ac:dyDescent="0.2">
      <c r="A17" s="11" t="s">
        <v>873</v>
      </c>
      <c r="B17" s="7" t="s">
        <v>16</v>
      </c>
      <c r="C17" s="7" t="s">
        <v>65</v>
      </c>
      <c r="D17" s="7" t="s">
        <v>66</v>
      </c>
      <c r="E17" s="8" t="s">
        <v>784</v>
      </c>
      <c r="F17" s="8" t="s">
        <v>785</v>
      </c>
      <c r="G17" s="10">
        <v>168</v>
      </c>
      <c r="H17" s="10">
        <v>682</v>
      </c>
      <c r="I17" s="10">
        <v>540</v>
      </c>
      <c r="J17" s="10">
        <v>2808</v>
      </c>
      <c r="K17" s="10">
        <v>20865</v>
      </c>
      <c r="L17" s="10">
        <v>37</v>
      </c>
      <c r="M17" s="10">
        <v>84</v>
      </c>
      <c r="N17" s="10">
        <v>58</v>
      </c>
      <c r="O17" s="10">
        <v>89</v>
      </c>
      <c r="P17" s="10">
        <v>5915</v>
      </c>
      <c r="Q17" s="55">
        <f>IFERROR(VIEW_IV_2019_GR_COTA_DEMANDA[[#This Row],[Demanda.BERINERT]]/VIEW_IV_2019_GR_COTA_DEMANDA[[#This Row],[Cota.BERINERT]],0)</f>
        <v>0.22023809523809523</v>
      </c>
      <c r="R17" s="55">
        <f>IFERROR(VIEW_IV_2019_GR_COTA_DEMANDA[[#This Row],[Demanda.BERIPLEX]]/VIEW_IV_2019_GR_COTA_DEMANDA[[#This Row],[Cota.BERIPLEX]],0)</f>
        <v>0.12316715542521994</v>
      </c>
      <c r="S17" s="55">
        <f>IFERROR(VIEW_IV_2019_GR_COTA_DEMANDA[[#This Row],[Demanda.HAEMO]]/VIEW_IV_2019_GR_COTA_DEMANDA[[#This Row],[Cota.HAEMO]],0)</f>
        <v>0.10740740740740741</v>
      </c>
      <c r="T17" s="55">
        <f>IFERROR(VIEW_IV_2019_GR_COTA_DEMANDA[[#This Row],[Demanda.HIZENTRA]]/VIEW_IV_2019_GR_COTA_DEMANDA[[#This Row],[Cota.HIZENTRA]],0)</f>
        <v>3.1695156695156698E-2</v>
      </c>
      <c r="U17" s="55">
        <f>IFERROR(VIEW_IV_2019_GR_COTA_DEMANDA[[#This Row],[Demanda.PRIVIGEN]]/VIEW_IV_2019_GR_COTA_DEMANDA[[#This Row],[Cota.PRIVIGEN]],0)</f>
        <v>0.2834890965732087</v>
      </c>
      <c r="V17" s="56">
        <f>IF(VIEW_IV_2019_GR_COTA_DEMANDA[[#This Row],[Cobertura.BERINERT]]&lt;Cob_Min_GR,0,IF(VIEW_IV_2019_GR_COTA_DEMANDA[[#This Row],[Cobertura.BERINERT]]&gt;=Cob_Max_GR,(Vlr_Max_GR*V$1),(VLOOKUP(VIEW_IV_2019_GR_COTA_DEMANDA[[#This Row],[Cobertura.BERINERT]],Tabela_Valores_GR,2,1))*V$1))</f>
        <v>0</v>
      </c>
      <c r="W17" s="56">
        <f>IF(VIEW_IV_2019_GR_COTA_DEMANDA[[#This Row],[Cobertura.BERIPLEX]]&lt;Cob_Min_GR,0,IF(VIEW_IV_2019_GR_COTA_DEMANDA[[#This Row],[Cobertura.BERIPLEX]]&gt;=Cob_Max_GR,(Vlr_Max_GR*W$1),(VLOOKUP(VIEW_IV_2019_GR_COTA_DEMANDA[[#This Row],[Cobertura.BERIPLEX]],Tabela_Valores_GR,2,1))*W$1))</f>
        <v>0</v>
      </c>
      <c r="X17" s="56">
        <f>IF(VIEW_IV_2019_GR_COTA_DEMANDA[[#This Row],[Cobertura.HAEMO]]&lt;Cob_Min_GR,0,IF(VIEW_IV_2019_GR_COTA_DEMANDA[[#This Row],[Cobertura.HAEMO]]&gt;=Cob_Max_GR,(Vlr_Max_GR*X$1),(VLOOKUP(VIEW_IV_2019_GR_COTA_DEMANDA[[#This Row],[Cobertura.HAEMO]],Tabela_Valores_GR,2,1))*X$1))</f>
        <v>0</v>
      </c>
      <c r="Y17" s="56">
        <f>IF(VIEW_IV_2019_GR_COTA_DEMANDA[[#This Row],[Cobertura.HIZENTRA]]&lt;Cob_Min_GR,0,IF(VIEW_IV_2019_GR_COTA_DEMANDA[[#This Row],[Cobertura.HIZENTRA]]&gt;=Cob_Max_GR,(Vlr_Max_GR*Y$1),(VLOOKUP(VIEW_IV_2019_GR_COTA_DEMANDA[[#This Row],[Cobertura.HIZENTRA]],Tabela_Valores_GR,2,1))*Y$1))</f>
        <v>0</v>
      </c>
      <c r="Z17" s="56">
        <f>IF(VIEW_IV_2019_GR_COTA_DEMANDA[[#This Row],[Cobertura.PRIVIGEN]]&lt;Cob_Min_GR,0,IF(VIEW_IV_2019_GR_COTA_DEMANDA[[#This Row],[Cobertura.PRIVIGEN]]&gt;=Cob_Max_GR,(Vlr_Max_GR*Z$1),(VLOOKUP(VIEW_IV_2019_GR_COTA_DEMANDA[[#This Row],[Cobertura.PRIVIGEN]],Tabela_Valores_GR,2,1))*Z$1))</f>
        <v>0</v>
      </c>
      <c r="AA17" s="104">
        <f>SUM(VIEW_IV_2019_GR_COTA_DEMANDA[[#This Row],[Premio.BERINERT]:[Premio.PRIVIGEN]])</f>
        <v>0</v>
      </c>
    </row>
    <row r="18" spans="1:27" x14ac:dyDescent="0.2">
      <c r="A18" s="11" t="s">
        <v>873</v>
      </c>
      <c r="B18" s="7" t="s">
        <v>16</v>
      </c>
      <c r="C18" s="7" t="s">
        <v>813</v>
      </c>
      <c r="D18" s="7" t="s">
        <v>66</v>
      </c>
      <c r="E18" s="8" t="s">
        <v>786</v>
      </c>
      <c r="F18" s="8" t="s">
        <v>787</v>
      </c>
      <c r="G18" s="10">
        <v>144</v>
      </c>
      <c r="H18" s="10">
        <v>638</v>
      </c>
      <c r="I18" s="10">
        <v>510</v>
      </c>
      <c r="J18" s="10">
        <v>3198</v>
      </c>
      <c r="K18" s="10">
        <v>21935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55">
        <f>IFERROR(VIEW_IV_2019_GR_COTA_DEMANDA[[#This Row],[Demanda.BERINERT]]/VIEW_IV_2019_GR_COTA_DEMANDA[[#This Row],[Cota.BERINERT]],0)</f>
        <v>0</v>
      </c>
      <c r="R18" s="55">
        <f>IFERROR(VIEW_IV_2019_GR_COTA_DEMANDA[[#This Row],[Demanda.BERIPLEX]]/VIEW_IV_2019_GR_COTA_DEMANDA[[#This Row],[Cota.BERIPLEX]],0)</f>
        <v>0</v>
      </c>
      <c r="S18" s="55">
        <f>IFERROR(VIEW_IV_2019_GR_COTA_DEMANDA[[#This Row],[Demanda.HAEMO]]/VIEW_IV_2019_GR_COTA_DEMANDA[[#This Row],[Cota.HAEMO]],0)</f>
        <v>0</v>
      </c>
      <c r="T18" s="55">
        <f>IFERROR(VIEW_IV_2019_GR_COTA_DEMANDA[[#This Row],[Demanda.HIZENTRA]]/VIEW_IV_2019_GR_COTA_DEMANDA[[#This Row],[Cota.HIZENTRA]],0)</f>
        <v>0</v>
      </c>
      <c r="U18" s="55">
        <f>IFERROR(VIEW_IV_2019_GR_COTA_DEMANDA[[#This Row],[Demanda.PRIVIGEN]]/VIEW_IV_2019_GR_COTA_DEMANDA[[#This Row],[Cota.PRIVIGEN]],0)</f>
        <v>0</v>
      </c>
      <c r="V18" s="56">
        <f>IF(VIEW_IV_2019_GR_COTA_DEMANDA[[#This Row],[Cobertura.BERINERT]]&lt;Cob_Min_GR,0,IF(VIEW_IV_2019_GR_COTA_DEMANDA[[#This Row],[Cobertura.BERINERT]]&gt;=Cob_Max_GR,(Vlr_Max_GR*V$1),(VLOOKUP(VIEW_IV_2019_GR_COTA_DEMANDA[[#This Row],[Cobertura.BERINERT]],Tabela_Valores_GR,2,1))*V$1))</f>
        <v>0</v>
      </c>
      <c r="W18" s="56">
        <f>IF(VIEW_IV_2019_GR_COTA_DEMANDA[[#This Row],[Cobertura.BERIPLEX]]&lt;Cob_Min_GR,0,IF(VIEW_IV_2019_GR_COTA_DEMANDA[[#This Row],[Cobertura.BERIPLEX]]&gt;=Cob_Max_GR,(Vlr_Max_GR*W$1),(VLOOKUP(VIEW_IV_2019_GR_COTA_DEMANDA[[#This Row],[Cobertura.BERIPLEX]],Tabela_Valores_GR,2,1))*W$1))</f>
        <v>0</v>
      </c>
      <c r="X18" s="56">
        <f>IF(VIEW_IV_2019_GR_COTA_DEMANDA[[#This Row],[Cobertura.HAEMO]]&lt;Cob_Min_GR,0,IF(VIEW_IV_2019_GR_COTA_DEMANDA[[#This Row],[Cobertura.HAEMO]]&gt;=Cob_Max_GR,(Vlr_Max_GR*X$1),(VLOOKUP(VIEW_IV_2019_GR_COTA_DEMANDA[[#This Row],[Cobertura.HAEMO]],Tabela_Valores_GR,2,1))*X$1))</f>
        <v>0</v>
      </c>
      <c r="Y18" s="56">
        <f>IF(VIEW_IV_2019_GR_COTA_DEMANDA[[#This Row],[Cobertura.HIZENTRA]]&lt;Cob_Min_GR,0,IF(VIEW_IV_2019_GR_COTA_DEMANDA[[#This Row],[Cobertura.HIZENTRA]]&gt;=Cob_Max_GR,(Vlr_Max_GR*Y$1),(VLOOKUP(VIEW_IV_2019_GR_COTA_DEMANDA[[#This Row],[Cobertura.HIZENTRA]],Tabela_Valores_GR,2,1))*Y$1))</f>
        <v>0</v>
      </c>
      <c r="Z18" s="56">
        <f>IF(VIEW_IV_2019_GR_COTA_DEMANDA[[#This Row],[Cobertura.PRIVIGEN]]&lt;Cob_Min_GR,0,IF(VIEW_IV_2019_GR_COTA_DEMANDA[[#This Row],[Cobertura.PRIVIGEN]]&gt;=Cob_Max_GR,(Vlr_Max_GR*Z$1),(VLOOKUP(VIEW_IV_2019_GR_COTA_DEMANDA[[#This Row],[Cobertura.PRIVIGEN]],Tabela_Valores_GR,2,1))*Z$1))</f>
        <v>0</v>
      </c>
      <c r="AA18" s="104">
        <f>SUM(VIEW_IV_2019_GR_COTA_DEMANDA[[#This Row],[Premio.BERINERT]:[Premio.PRIVIGEN]])</f>
        <v>0</v>
      </c>
    </row>
    <row r="19" spans="1:27" x14ac:dyDescent="0.2">
      <c r="A19" s="11" t="s">
        <v>873</v>
      </c>
      <c r="B19" s="7" t="s">
        <v>16</v>
      </c>
      <c r="C19" s="7" t="s">
        <v>813</v>
      </c>
      <c r="D19" s="7" t="s">
        <v>66</v>
      </c>
      <c r="E19" s="8" t="s">
        <v>790</v>
      </c>
      <c r="F19" s="8" t="s">
        <v>791</v>
      </c>
      <c r="G19" s="10">
        <v>168</v>
      </c>
      <c r="H19" s="10">
        <v>880</v>
      </c>
      <c r="I19" s="10">
        <v>450</v>
      </c>
      <c r="J19" s="10">
        <v>1794</v>
      </c>
      <c r="K19" s="10">
        <v>10700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55">
        <f>IFERROR(VIEW_IV_2019_GR_COTA_DEMANDA[[#This Row],[Demanda.BERINERT]]/VIEW_IV_2019_GR_COTA_DEMANDA[[#This Row],[Cota.BERINERT]],0)</f>
        <v>0</v>
      </c>
      <c r="R19" s="55">
        <f>IFERROR(VIEW_IV_2019_GR_COTA_DEMANDA[[#This Row],[Demanda.BERIPLEX]]/VIEW_IV_2019_GR_COTA_DEMANDA[[#This Row],[Cota.BERIPLEX]],0)</f>
        <v>0</v>
      </c>
      <c r="S19" s="55">
        <f>IFERROR(VIEW_IV_2019_GR_COTA_DEMANDA[[#This Row],[Demanda.HAEMO]]/VIEW_IV_2019_GR_COTA_DEMANDA[[#This Row],[Cota.HAEMO]],0)</f>
        <v>0</v>
      </c>
      <c r="T19" s="55">
        <f>IFERROR(VIEW_IV_2019_GR_COTA_DEMANDA[[#This Row],[Demanda.HIZENTRA]]/VIEW_IV_2019_GR_COTA_DEMANDA[[#This Row],[Cota.HIZENTRA]],0)</f>
        <v>0</v>
      </c>
      <c r="U19" s="55">
        <f>IFERROR(VIEW_IV_2019_GR_COTA_DEMANDA[[#This Row],[Demanda.PRIVIGEN]]/VIEW_IV_2019_GR_COTA_DEMANDA[[#This Row],[Cota.PRIVIGEN]],0)</f>
        <v>0</v>
      </c>
      <c r="V19" s="56">
        <f>IF(VIEW_IV_2019_GR_COTA_DEMANDA[[#This Row],[Cobertura.BERINERT]]&lt;Cob_Min_GR,0,IF(VIEW_IV_2019_GR_COTA_DEMANDA[[#This Row],[Cobertura.BERINERT]]&gt;=Cob_Max_GR,(Vlr_Max_GR*V$1),(VLOOKUP(VIEW_IV_2019_GR_COTA_DEMANDA[[#This Row],[Cobertura.BERINERT]],Tabela_Valores_GR,2,1))*V$1))</f>
        <v>0</v>
      </c>
      <c r="W19" s="56">
        <f>IF(VIEW_IV_2019_GR_COTA_DEMANDA[[#This Row],[Cobertura.BERIPLEX]]&lt;Cob_Min_GR,0,IF(VIEW_IV_2019_GR_COTA_DEMANDA[[#This Row],[Cobertura.BERIPLEX]]&gt;=Cob_Max_GR,(Vlr_Max_GR*W$1),(VLOOKUP(VIEW_IV_2019_GR_COTA_DEMANDA[[#This Row],[Cobertura.BERIPLEX]],Tabela_Valores_GR,2,1))*W$1))</f>
        <v>0</v>
      </c>
      <c r="X19" s="56">
        <f>IF(VIEW_IV_2019_GR_COTA_DEMANDA[[#This Row],[Cobertura.HAEMO]]&lt;Cob_Min_GR,0,IF(VIEW_IV_2019_GR_COTA_DEMANDA[[#This Row],[Cobertura.HAEMO]]&gt;=Cob_Max_GR,(Vlr_Max_GR*X$1),(VLOOKUP(VIEW_IV_2019_GR_COTA_DEMANDA[[#This Row],[Cobertura.HAEMO]],Tabela_Valores_GR,2,1))*X$1))</f>
        <v>0</v>
      </c>
      <c r="Y19" s="56">
        <f>IF(VIEW_IV_2019_GR_COTA_DEMANDA[[#This Row],[Cobertura.HIZENTRA]]&lt;Cob_Min_GR,0,IF(VIEW_IV_2019_GR_COTA_DEMANDA[[#This Row],[Cobertura.HIZENTRA]]&gt;=Cob_Max_GR,(Vlr_Max_GR*Y$1),(VLOOKUP(VIEW_IV_2019_GR_COTA_DEMANDA[[#This Row],[Cobertura.HIZENTRA]],Tabela_Valores_GR,2,1))*Y$1))</f>
        <v>0</v>
      </c>
      <c r="Z19" s="56">
        <f>IF(VIEW_IV_2019_GR_COTA_DEMANDA[[#This Row],[Cobertura.PRIVIGEN]]&lt;Cob_Min_GR,0,IF(VIEW_IV_2019_GR_COTA_DEMANDA[[#This Row],[Cobertura.PRIVIGEN]]&gt;=Cob_Max_GR,(Vlr_Max_GR*Z$1),(VLOOKUP(VIEW_IV_2019_GR_COTA_DEMANDA[[#This Row],[Cobertura.PRIVIGEN]],Tabela_Valores_GR,2,1))*Z$1))</f>
        <v>0</v>
      </c>
      <c r="AA19" s="104">
        <f>SUM(VIEW_IV_2019_GR_COTA_DEMANDA[[#This Row],[Premio.BERINERT]:[Premio.PRIVIGEN]])</f>
        <v>0</v>
      </c>
    </row>
    <row r="20" spans="1:27" x14ac:dyDescent="0.2">
      <c r="A20" s="11" t="s">
        <v>873</v>
      </c>
      <c r="B20" s="7" t="s">
        <v>16</v>
      </c>
      <c r="C20" s="7" t="s">
        <v>813</v>
      </c>
      <c r="D20" s="7" t="s">
        <v>66</v>
      </c>
      <c r="E20" s="8" t="s">
        <v>784</v>
      </c>
      <c r="F20" s="8" t="s">
        <v>785</v>
      </c>
      <c r="G20" s="10">
        <v>168</v>
      </c>
      <c r="H20" s="10">
        <v>682</v>
      </c>
      <c r="I20" s="10">
        <v>540</v>
      </c>
      <c r="J20" s="10">
        <v>2808</v>
      </c>
      <c r="K20" s="10">
        <v>20865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55">
        <f>IFERROR(VIEW_IV_2019_GR_COTA_DEMANDA[[#This Row],[Demanda.BERINERT]]/VIEW_IV_2019_GR_COTA_DEMANDA[[#This Row],[Cota.BERINERT]],0)</f>
        <v>0</v>
      </c>
      <c r="R20" s="55">
        <f>IFERROR(VIEW_IV_2019_GR_COTA_DEMANDA[[#This Row],[Demanda.BERIPLEX]]/VIEW_IV_2019_GR_COTA_DEMANDA[[#This Row],[Cota.BERIPLEX]],0)</f>
        <v>0</v>
      </c>
      <c r="S20" s="55">
        <f>IFERROR(VIEW_IV_2019_GR_COTA_DEMANDA[[#This Row],[Demanda.HAEMO]]/VIEW_IV_2019_GR_COTA_DEMANDA[[#This Row],[Cota.HAEMO]],0)</f>
        <v>0</v>
      </c>
      <c r="T20" s="55">
        <f>IFERROR(VIEW_IV_2019_GR_COTA_DEMANDA[[#This Row],[Demanda.HIZENTRA]]/VIEW_IV_2019_GR_COTA_DEMANDA[[#This Row],[Cota.HIZENTRA]],0)</f>
        <v>0</v>
      </c>
      <c r="U20" s="55">
        <f>IFERROR(VIEW_IV_2019_GR_COTA_DEMANDA[[#This Row],[Demanda.PRIVIGEN]]/VIEW_IV_2019_GR_COTA_DEMANDA[[#This Row],[Cota.PRIVIGEN]],0)</f>
        <v>0</v>
      </c>
      <c r="V20" s="56">
        <f>IF(VIEW_IV_2019_GR_COTA_DEMANDA[[#This Row],[Cobertura.BERINERT]]&lt;Cob_Min_GR,0,IF(VIEW_IV_2019_GR_COTA_DEMANDA[[#This Row],[Cobertura.BERINERT]]&gt;=Cob_Max_GR,(Vlr_Max_GR*V$1),(VLOOKUP(VIEW_IV_2019_GR_COTA_DEMANDA[[#This Row],[Cobertura.BERINERT]],Tabela_Valores_GR,2,1))*V$1))</f>
        <v>0</v>
      </c>
      <c r="W20" s="56">
        <f>IF(VIEW_IV_2019_GR_COTA_DEMANDA[[#This Row],[Cobertura.BERIPLEX]]&lt;Cob_Min_GR,0,IF(VIEW_IV_2019_GR_COTA_DEMANDA[[#This Row],[Cobertura.BERIPLEX]]&gt;=Cob_Max_GR,(Vlr_Max_GR*W$1),(VLOOKUP(VIEW_IV_2019_GR_COTA_DEMANDA[[#This Row],[Cobertura.BERIPLEX]],Tabela_Valores_GR,2,1))*W$1))</f>
        <v>0</v>
      </c>
      <c r="X20" s="56">
        <f>IF(VIEW_IV_2019_GR_COTA_DEMANDA[[#This Row],[Cobertura.HAEMO]]&lt;Cob_Min_GR,0,IF(VIEW_IV_2019_GR_COTA_DEMANDA[[#This Row],[Cobertura.HAEMO]]&gt;=Cob_Max_GR,(Vlr_Max_GR*X$1),(VLOOKUP(VIEW_IV_2019_GR_COTA_DEMANDA[[#This Row],[Cobertura.HAEMO]],Tabela_Valores_GR,2,1))*X$1))</f>
        <v>0</v>
      </c>
      <c r="Y20" s="56">
        <f>IF(VIEW_IV_2019_GR_COTA_DEMANDA[[#This Row],[Cobertura.HIZENTRA]]&lt;Cob_Min_GR,0,IF(VIEW_IV_2019_GR_COTA_DEMANDA[[#This Row],[Cobertura.HIZENTRA]]&gt;=Cob_Max_GR,(Vlr_Max_GR*Y$1),(VLOOKUP(VIEW_IV_2019_GR_COTA_DEMANDA[[#This Row],[Cobertura.HIZENTRA]],Tabela_Valores_GR,2,1))*Y$1))</f>
        <v>0</v>
      </c>
      <c r="Z20" s="56">
        <f>IF(VIEW_IV_2019_GR_COTA_DEMANDA[[#This Row],[Cobertura.PRIVIGEN]]&lt;Cob_Min_GR,0,IF(VIEW_IV_2019_GR_COTA_DEMANDA[[#This Row],[Cobertura.PRIVIGEN]]&gt;=Cob_Max_GR,(Vlr_Max_GR*Z$1),(VLOOKUP(VIEW_IV_2019_GR_COTA_DEMANDA[[#This Row],[Cobertura.PRIVIGEN]],Tabela_Valores_GR,2,1))*Z$1))</f>
        <v>0</v>
      </c>
      <c r="AA20" s="104">
        <f>SUM(VIEW_IV_2019_GR_COTA_DEMANDA[[#This Row],[Premio.BERINERT]:[Premio.PRIVIGEN]])</f>
        <v>0</v>
      </c>
    </row>
    <row r="21" spans="1:27" x14ac:dyDescent="0.2">
      <c r="A21" s="11" t="s">
        <v>873</v>
      </c>
      <c r="B21" s="7" t="s">
        <v>16</v>
      </c>
      <c r="C21" s="7" t="s">
        <v>814</v>
      </c>
      <c r="D21" s="7" t="s">
        <v>66</v>
      </c>
      <c r="E21" s="8" t="s">
        <v>786</v>
      </c>
      <c r="F21" s="8" t="s">
        <v>787</v>
      </c>
      <c r="G21" s="10">
        <v>60</v>
      </c>
      <c r="H21" s="10">
        <v>493</v>
      </c>
      <c r="I21" s="10">
        <v>408</v>
      </c>
      <c r="J21" s="10">
        <v>2501</v>
      </c>
      <c r="K21" s="10">
        <v>17835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55">
        <f>IFERROR(VIEW_IV_2019_GR_COTA_DEMANDA[[#This Row],[Demanda.BERINERT]]/VIEW_IV_2019_GR_COTA_DEMANDA[[#This Row],[Cota.BERINERT]],0)</f>
        <v>0</v>
      </c>
      <c r="R21" s="55">
        <f>IFERROR(VIEW_IV_2019_GR_COTA_DEMANDA[[#This Row],[Demanda.BERIPLEX]]/VIEW_IV_2019_GR_COTA_DEMANDA[[#This Row],[Cota.BERIPLEX]],0)</f>
        <v>0</v>
      </c>
      <c r="S21" s="55">
        <f>IFERROR(VIEW_IV_2019_GR_COTA_DEMANDA[[#This Row],[Demanda.HAEMO]]/VIEW_IV_2019_GR_COTA_DEMANDA[[#This Row],[Cota.HAEMO]],0)</f>
        <v>0</v>
      </c>
      <c r="T21" s="55">
        <f>IFERROR(VIEW_IV_2019_GR_COTA_DEMANDA[[#This Row],[Demanda.HIZENTRA]]/VIEW_IV_2019_GR_COTA_DEMANDA[[#This Row],[Cota.HIZENTRA]],0)</f>
        <v>0</v>
      </c>
      <c r="U21" s="55">
        <f>IFERROR(VIEW_IV_2019_GR_COTA_DEMANDA[[#This Row],[Demanda.PRIVIGEN]]/VIEW_IV_2019_GR_COTA_DEMANDA[[#This Row],[Cota.PRIVIGEN]],0)</f>
        <v>0</v>
      </c>
      <c r="V21" s="56">
        <f>IF(VIEW_IV_2019_GR_COTA_DEMANDA[[#This Row],[Cobertura.BERINERT]]&lt;Cob_Min_GR,0,IF(VIEW_IV_2019_GR_COTA_DEMANDA[[#This Row],[Cobertura.BERINERT]]&gt;=Cob_Max_GR,(Vlr_Max_GR*V$1),(VLOOKUP(VIEW_IV_2019_GR_COTA_DEMANDA[[#This Row],[Cobertura.BERINERT]],Tabela_Valores_GR,2,1))*V$1))</f>
        <v>0</v>
      </c>
      <c r="W21" s="56">
        <f>IF(VIEW_IV_2019_GR_COTA_DEMANDA[[#This Row],[Cobertura.BERIPLEX]]&lt;Cob_Min_GR,0,IF(VIEW_IV_2019_GR_COTA_DEMANDA[[#This Row],[Cobertura.BERIPLEX]]&gt;=Cob_Max_GR,(Vlr_Max_GR*W$1),(VLOOKUP(VIEW_IV_2019_GR_COTA_DEMANDA[[#This Row],[Cobertura.BERIPLEX]],Tabela_Valores_GR,2,1))*W$1))</f>
        <v>0</v>
      </c>
      <c r="X21" s="56">
        <f>IF(VIEW_IV_2019_GR_COTA_DEMANDA[[#This Row],[Cobertura.HAEMO]]&lt;Cob_Min_GR,0,IF(VIEW_IV_2019_GR_COTA_DEMANDA[[#This Row],[Cobertura.HAEMO]]&gt;=Cob_Max_GR,(Vlr_Max_GR*X$1),(VLOOKUP(VIEW_IV_2019_GR_COTA_DEMANDA[[#This Row],[Cobertura.HAEMO]],Tabela_Valores_GR,2,1))*X$1))</f>
        <v>0</v>
      </c>
      <c r="Y21" s="56">
        <f>IF(VIEW_IV_2019_GR_COTA_DEMANDA[[#This Row],[Cobertura.HIZENTRA]]&lt;Cob_Min_GR,0,IF(VIEW_IV_2019_GR_COTA_DEMANDA[[#This Row],[Cobertura.HIZENTRA]]&gt;=Cob_Max_GR,(Vlr_Max_GR*Y$1),(VLOOKUP(VIEW_IV_2019_GR_COTA_DEMANDA[[#This Row],[Cobertura.HIZENTRA]],Tabela_Valores_GR,2,1))*Y$1))</f>
        <v>0</v>
      </c>
      <c r="Z21" s="56">
        <f>IF(VIEW_IV_2019_GR_COTA_DEMANDA[[#This Row],[Cobertura.PRIVIGEN]]&lt;Cob_Min_GR,0,IF(VIEW_IV_2019_GR_COTA_DEMANDA[[#This Row],[Cobertura.PRIVIGEN]]&gt;=Cob_Max_GR,(Vlr_Max_GR*Z$1),(VLOOKUP(VIEW_IV_2019_GR_COTA_DEMANDA[[#This Row],[Cobertura.PRIVIGEN]],Tabela_Valores_GR,2,1))*Z$1))</f>
        <v>0</v>
      </c>
      <c r="AA21" s="104">
        <f>SUM(VIEW_IV_2019_GR_COTA_DEMANDA[[#This Row],[Premio.BERINERT]:[Premio.PRIVIGEN]])</f>
        <v>0</v>
      </c>
    </row>
    <row r="22" spans="1:27" x14ac:dyDescent="0.2">
      <c r="A22" s="11" t="s">
        <v>873</v>
      </c>
      <c r="B22" s="7" t="s">
        <v>16</v>
      </c>
      <c r="C22" s="7" t="s">
        <v>814</v>
      </c>
      <c r="D22" s="7" t="s">
        <v>66</v>
      </c>
      <c r="E22" s="8" t="s">
        <v>790</v>
      </c>
      <c r="F22" s="8" t="s">
        <v>791</v>
      </c>
      <c r="G22" s="10">
        <v>70</v>
      </c>
      <c r="H22" s="10">
        <v>680</v>
      </c>
      <c r="I22" s="10">
        <v>360</v>
      </c>
      <c r="J22" s="10">
        <v>1403</v>
      </c>
      <c r="K22" s="10">
        <v>8700</v>
      </c>
      <c r="L22" s="10">
        <v>0</v>
      </c>
      <c r="M22" s="10">
        <v>0</v>
      </c>
      <c r="N22" s="10">
        <v>0</v>
      </c>
      <c r="O22" s="10">
        <v>0</v>
      </c>
      <c r="P22" s="10">
        <v>0</v>
      </c>
      <c r="Q22" s="55">
        <f>IFERROR(VIEW_IV_2019_GR_COTA_DEMANDA[[#This Row],[Demanda.BERINERT]]/VIEW_IV_2019_GR_COTA_DEMANDA[[#This Row],[Cota.BERINERT]],0)</f>
        <v>0</v>
      </c>
      <c r="R22" s="55">
        <f>IFERROR(VIEW_IV_2019_GR_COTA_DEMANDA[[#This Row],[Demanda.BERIPLEX]]/VIEW_IV_2019_GR_COTA_DEMANDA[[#This Row],[Cota.BERIPLEX]],0)</f>
        <v>0</v>
      </c>
      <c r="S22" s="55">
        <f>IFERROR(VIEW_IV_2019_GR_COTA_DEMANDA[[#This Row],[Demanda.HAEMO]]/VIEW_IV_2019_GR_COTA_DEMANDA[[#This Row],[Cota.HAEMO]],0)</f>
        <v>0</v>
      </c>
      <c r="T22" s="55">
        <f>IFERROR(VIEW_IV_2019_GR_COTA_DEMANDA[[#This Row],[Demanda.HIZENTRA]]/VIEW_IV_2019_GR_COTA_DEMANDA[[#This Row],[Cota.HIZENTRA]],0)</f>
        <v>0</v>
      </c>
      <c r="U22" s="55">
        <f>IFERROR(VIEW_IV_2019_GR_COTA_DEMANDA[[#This Row],[Demanda.PRIVIGEN]]/VIEW_IV_2019_GR_COTA_DEMANDA[[#This Row],[Cota.PRIVIGEN]],0)</f>
        <v>0</v>
      </c>
      <c r="V22" s="56">
        <f>IF(VIEW_IV_2019_GR_COTA_DEMANDA[[#This Row],[Cobertura.BERINERT]]&lt;Cob_Min_GR,0,IF(VIEW_IV_2019_GR_COTA_DEMANDA[[#This Row],[Cobertura.BERINERT]]&gt;=Cob_Max_GR,(Vlr_Max_GR*V$1),(VLOOKUP(VIEW_IV_2019_GR_COTA_DEMANDA[[#This Row],[Cobertura.BERINERT]],Tabela_Valores_GR,2,1))*V$1))</f>
        <v>0</v>
      </c>
      <c r="W22" s="56">
        <f>IF(VIEW_IV_2019_GR_COTA_DEMANDA[[#This Row],[Cobertura.BERIPLEX]]&lt;Cob_Min_GR,0,IF(VIEW_IV_2019_GR_COTA_DEMANDA[[#This Row],[Cobertura.BERIPLEX]]&gt;=Cob_Max_GR,(Vlr_Max_GR*W$1),(VLOOKUP(VIEW_IV_2019_GR_COTA_DEMANDA[[#This Row],[Cobertura.BERIPLEX]],Tabela_Valores_GR,2,1))*W$1))</f>
        <v>0</v>
      </c>
      <c r="X22" s="56">
        <f>IF(VIEW_IV_2019_GR_COTA_DEMANDA[[#This Row],[Cobertura.HAEMO]]&lt;Cob_Min_GR,0,IF(VIEW_IV_2019_GR_COTA_DEMANDA[[#This Row],[Cobertura.HAEMO]]&gt;=Cob_Max_GR,(Vlr_Max_GR*X$1),(VLOOKUP(VIEW_IV_2019_GR_COTA_DEMANDA[[#This Row],[Cobertura.HAEMO]],Tabela_Valores_GR,2,1))*X$1))</f>
        <v>0</v>
      </c>
      <c r="Y22" s="56">
        <f>IF(VIEW_IV_2019_GR_COTA_DEMANDA[[#This Row],[Cobertura.HIZENTRA]]&lt;Cob_Min_GR,0,IF(VIEW_IV_2019_GR_COTA_DEMANDA[[#This Row],[Cobertura.HIZENTRA]]&gt;=Cob_Max_GR,(Vlr_Max_GR*Y$1),(VLOOKUP(VIEW_IV_2019_GR_COTA_DEMANDA[[#This Row],[Cobertura.HIZENTRA]],Tabela_Valores_GR,2,1))*Y$1))</f>
        <v>0</v>
      </c>
      <c r="Z22" s="56">
        <f>IF(VIEW_IV_2019_GR_COTA_DEMANDA[[#This Row],[Cobertura.PRIVIGEN]]&lt;Cob_Min_GR,0,IF(VIEW_IV_2019_GR_COTA_DEMANDA[[#This Row],[Cobertura.PRIVIGEN]]&gt;=Cob_Max_GR,(Vlr_Max_GR*Z$1),(VLOOKUP(VIEW_IV_2019_GR_COTA_DEMANDA[[#This Row],[Cobertura.PRIVIGEN]],Tabela_Valores_GR,2,1))*Z$1))</f>
        <v>0</v>
      </c>
      <c r="AA22" s="104">
        <f>SUM(VIEW_IV_2019_GR_COTA_DEMANDA[[#This Row],[Premio.BERINERT]:[Premio.PRIVIGEN]])</f>
        <v>0</v>
      </c>
    </row>
    <row r="23" spans="1:27" x14ac:dyDescent="0.2">
      <c r="A23" s="11" t="s">
        <v>873</v>
      </c>
      <c r="B23" s="7" t="s">
        <v>16</v>
      </c>
      <c r="C23" s="7" t="s">
        <v>814</v>
      </c>
      <c r="D23" s="7" t="s">
        <v>66</v>
      </c>
      <c r="E23" s="8" t="s">
        <v>784</v>
      </c>
      <c r="F23" s="8" t="s">
        <v>785</v>
      </c>
      <c r="G23" s="10">
        <v>70</v>
      </c>
      <c r="H23" s="10">
        <v>527</v>
      </c>
      <c r="I23" s="10">
        <v>432</v>
      </c>
      <c r="J23" s="10">
        <v>2196</v>
      </c>
      <c r="K23" s="10">
        <v>16965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55">
        <f>IFERROR(VIEW_IV_2019_GR_COTA_DEMANDA[[#This Row],[Demanda.BERINERT]]/VIEW_IV_2019_GR_COTA_DEMANDA[[#This Row],[Cota.BERINERT]],0)</f>
        <v>0</v>
      </c>
      <c r="R23" s="55">
        <f>IFERROR(VIEW_IV_2019_GR_COTA_DEMANDA[[#This Row],[Demanda.BERIPLEX]]/VIEW_IV_2019_GR_COTA_DEMANDA[[#This Row],[Cota.BERIPLEX]],0)</f>
        <v>0</v>
      </c>
      <c r="S23" s="55">
        <f>IFERROR(VIEW_IV_2019_GR_COTA_DEMANDA[[#This Row],[Demanda.HAEMO]]/VIEW_IV_2019_GR_COTA_DEMANDA[[#This Row],[Cota.HAEMO]],0)</f>
        <v>0</v>
      </c>
      <c r="T23" s="55">
        <f>IFERROR(VIEW_IV_2019_GR_COTA_DEMANDA[[#This Row],[Demanda.HIZENTRA]]/VIEW_IV_2019_GR_COTA_DEMANDA[[#This Row],[Cota.HIZENTRA]],0)</f>
        <v>0</v>
      </c>
      <c r="U23" s="55">
        <f>IFERROR(VIEW_IV_2019_GR_COTA_DEMANDA[[#This Row],[Demanda.PRIVIGEN]]/VIEW_IV_2019_GR_COTA_DEMANDA[[#This Row],[Cota.PRIVIGEN]],0)</f>
        <v>0</v>
      </c>
      <c r="V23" s="56">
        <f>IF(VIEW_IV_2019_GR_COTA_DEMANDA[[#This Row],[Cobertura.BERINERT]]&lt;Cob_Min_GR,0,IF(VIEW_IV_2019_GR_COTA_DEMANDA[[#This Row],[Cobertura.BERINERT]]&gt;=Cob_Max_GR,(Vlr_Max_GR*V$1),(VLOOKUP(VIEW_IV_2019_GR_COTA_DEMANDA[[#This Row],[Cobertura.BERINERT]],Tabela_Valores_GR,2,1))*V$1))</f>
        <v>0</v>
      </c>
      <c r="W23" s="56">
        <f>IF(VIEW_IV_2019_GR_COTA_DEMANDA[[#This Row],[Cobertura.BERIPLEX]]&lt;Cob_Min_GR,0,IF(VIEW_IV_2019_GR_COTA_DEMANDA[[#This Row],[Cobertura.BERIPLEX]]&gt;=Cob_Max_GR,(Vlr_Max_GR*W$1),(VLOOKUP(VIEW_IV_2019_GR_COTA_DEMANDA[[#This Row],[Cobertura.BERIPLEX]],Tabela_Valores_GR,2,1))*W$1))</f>
        <v>0</v>
      </c>
      <c r="X23" s="56">
        <f>IF(VIEW_IV_2019_GR_COTA_DEMANDA[[#This Row],[Cobertura.HAEMO]]&lt;Cob_Min_GR,0,IF(VIEW_IV_2019_GR_COTA_DEMANDA[[#This Row],[Cobertura.HAEMO]]&gt;=Cob_Max_GR,(Vlr_Max_GR*X$1),(VLOOKUP(VIEW_IV_2019_GR_COTA_DEMANDA[[#This Row],[Cobertura.HAEMO]],Tabela_Valores_GR,2,1))*X$1))</f>
        <v>0</v>
      </c>
      <c r="Y23" s="56">
        <f>IF(VIEW_IV_2019_GR_COTA_DEMANDA[[#This Row],[Cobertura.HIZENTRA]]&lt;Cob_Min_GR,0,IF(VIEW_IV_2019_GR_COTA_DEMANDA[[#This Row],[Cobertura.HIZENTRA]]&gt;=Cob_Max_GR,(Vlr_Max_GR*Y$1),(VLOOKUP(VIEW_IV_2019_GR_COTA_DEMANDA[[#This Row],[Cobertura.HIZENTRA]],Tabela_Valores_GR,2,1))*Y$1))</f>
        <v>0</v>
      </c>
      <c r="Z23" s="56">
        <f>IF(VIEW_IV_2019_GR_COTA_DEMANDA[[#This Row],[Cobertura.PRIVIGEN]]&lt;Cob_Min_GR,0,IF(VIEW_IV_2019_GR_COTA_DEMANDA[[#This Row],[Cobertura.PRIVIGEN]]&gt;=Cob_Max_GR,(Vlr_Max_GR*Z$1),(VLOOKUP(VIEW_IV_2019_GR_COTA_DEMANDA[[#This Row],[Cobertura.PRIVIGEN]],Tabela_Valores_GR,2,1))*Z$1))</f>
        <v>0</v>
      </c>
      <c r="AA23" s="104">
        <f>SUM(VIEW_IV_2019_GR_COTA_DEMANDA[[#This Row],[Premio.BERINERT]:[Premio.PRIVIGEN]])</f>
        <v>0</v>
      </c>
    </row>
  </sheetData>
  <phoneticPr fontId="5" type="noConversion"/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F26D2D-6DEC-4FC7-ABAD-1BAA328A0DA1}">
  <sheetPr>
    <tabColor theme="9" tint="-0.249977111117893"/>
  </sheetPr>
  <dimension ref="A1:I16"/>
  <sheetViews>
    <sheetView showGridLines="0" workbookViewId="0">
      <pane ySplit="5" topLeftCell="A6" activePane="bottomLeft" state="frozen"/>
      <selection pane="bottomLeft" activeCell="I14" sqref="I14"/>
    </sheetView>
  </sheetViews>
  <sheetFormatPr defaultRowHeight="12.75" x14ac:dyDescent="0.25"/>
  <cols>
    <col min="1" max="1" width="11" style="3" bestFit="1" customWidth="1"/>
    <col min="2" max="2" width="11.140625" style="3" bestFit="1" customWidth="1"/>
    <col min="3" max="3" width="9.85546875" style="3" bestFit="1" customWidth="1"/>
    <col min="4" max="4" width="27.140625" style="3" bestFit="1" customWidth="1"/>
    <col min="5" max="5" width="24.85546875" style="3" bestFit="1" customWidth="1"/>
    <col min="6" max="6" width="14.85546875" style="3" bestFit="1" customWidth="1"/>
    <col min="7" max="7" width="16.85546875" style="3" bestFit="1" customWidth="1"/>
    <col min="8" max="8" width="17" style="3" bestFit="1" customWidth="1"/>
    <col min="9" max="9" width="16.85546875" style="3" bestFit="1" customWidth="1"/>
    <col min="10" max="10" width="15.7109375" style="3" bestFit="1" customWidth="1"/>
    <col min="11" max="11" width="30.7109375" style="3" bestFit="1" customWidth="1"/>
    <col min="12" max="12" width="29.140625" style="3" bestFit="1" customWidth="1"/>
    <col min="13" max="13" width="17" style="3" bestFit="1" customWidth="1"/>
    <col min="14" max="14" width="19.28515625" style="3" bestFit="1" customWidth="1"/>
    <col min="15" max="16384" width="9.140625" style="3"/>
  </cols>
  <sheetData>
    <row r="1" spans="1:9" ht="15.75" x14ac:dyDescent="0.25">
      <c r="A1" s="49" t="s">
        <v>952</v>
      </c>
      <c r="I1" s="79">
        <v>0.05</v>
      </c>
    </row>
    <row r="2" spans="1:9" x14ac:dyDescent="0.25">
      <c r="A2" s="63" t="s">
        <v>901</v>
      </c>
      <c r="I2" s="78">
        <f>SUM(VIEW_IV_2019_VISITAS_GR[Visitas-Premio])</f>
        <v>1113.7818553252687</v>
      </c>
    </row>
    <row r="3" spans="1:9" x14ac:dyDescent="0.25">
      <c r="I3" s="60">
        <f>SUBTOTAL(9,VIEW_IV_2019_VISITAS_GR[Visitas-Premio])</f>
        <v>1113.7818553252687</v>
      </c>
    </row>
    <row r="5" spans="1:9" x14ac:dyDescent="0.25">
      <c r="A5" s="3" t="s">
        <v>2</v>
      </c>
      <c r="B5" s="3" t="s">
        <v>3</v>
      </c>
      <c r="C5" s="3" t="s">
        <v>4</v>
      </c>
      <c r="D5" s="3" t="s">
        <v>782</v>
      </c>
      <c r="E5" s="3" t="s">
        <v>783</v>
      </c>
      <c r="F5" s="3" t="s">
        <v>942</v>
      </c>
      <c r="G5" s="3" t="s">
        <v>943</v>
      </c>
      <c r="H5" s="3" t="s">
        <v>949</v>
      </c>
      <c r="I5" s="36" t="s">
        <v>951</v>
      </c>
    </row>
    <row r="6" spans="1:9" x14ac:dyDescent="0.25">
      <c r="A6" s="7" t="s">
        <v>16</v>
      </c>
      <c r="B6" s="7" t="s">
        <v>17</v>
      </c>
      <c r="C6" s="7" t="s">
        <v>18</v>
      </c>
      <c r="D6" s="8" t="s">
        <v>944</v>
      </c>
      <c r="E6" s="8" t="s">
        <v>944</v>
      </c>
      <c r="F6" s="10">
        <v>184</v>
      </c>
      <c r="G6" s="10"/>
      <c r="H6" s="12">
        <f>IFERROR(VIEW_IV_2019_VISITAS_GR[[#This Row],[Visitas-Realizadas]]/VIEW_IV_2019_VISITAS_GR[[#This Row],[Visitas-Realizar]],0)</f>
        <v>0</v>
      </c>
      <c r="I6" s="102">
        <f>IF(VIEW_IV_2019_VISITAS_GR[[#This Row],[Visitas-Cobertura]]&lt;Cob_Min_GR,0,IF(VIEW_IV_2019_VISITAS_GR[[#This Row],[Visitas-Cobertura]]&gt;=Cob_100_GR,(Vlr_100_GR*I$1),(VLOOKUP(VIEW_IV_2019_VISITAS_GR[[#This Row],[Visitas-Cobertura]],Tabela_Valores_GR,2,1))*I$1))</f>
        <v>0</v>
      </c>
    </row>
    <row r="7" spans="1:9" x14ac:dyDescent="0.25">
      <c r="A7" s="7" t="s">
        <v>16</v>
      </c>
      <c r="B7" s="7" t="s">
        <v>17</v>
      </c>
      <c r="C7" s="7" t="s">
        <v>18</v>
      </c>
      <c r="D7" s="8" t="s">
        <v>786</v>
      </c>
      <c r="E7" s="8" t="s">
        <v>787</v>
      </c>
      <c r="F7" s="10">
        <v>784</v>
      </c>
      <c r="G7" s="10">
        <v>601</v>
      </c>
      <c r="H7" s="12">
        <f>IFERROR(VIEW_IV_2019_VISITAS_GR[[#This Row],[Visitas-Realizadas]]/VIEW_IV_2019_VISITAS_GR[[#This Row],[Visitas-Realizar]],0)</f>
        <v>0.76658163265306123</v>
      </c>
      <c r="I7" s="102">
        <f>IF(VIEW_IV_2019_VISITAS_GR[[#This Row],[Visitas-Cobertura]]&lt;Cob_Min_GR,0,IF(VIEW_IV_2019_VISITAS_GR[[#This Row],[Visitas-Cobertura]]&gt;=Cob_100_GR,(Vlr_100_GR*I$1),(VLOOKUP(VIEW_IV_2019_VISITAS_GR[[#This Row],[Visitas-Cobertura]],Tabela_Valores_GR,2,1))*I$1))</f>
        <v>0</v>
      </c>
    </row>
    <row r="8" spans="1:9" x14ac:dyDescent="0.25">
      <c r="A8" s="7" t="s">
        <v>16</v>
      </c>
      <c r="B8" s="7" t="s">
        <v>17</v>
      </c>
      <c r="C8" s="7" t="s">
        <v>18</v>
      </c>
      <c r="D8" s="8" t="s">
        <v>790</v>
      </c>
      <c r="E8" s="8" t="s">
        <v>791</v>
      </c>
      <c r="F8" s="10">
        <v>862</v>
      </c>
      <c r="G8" s="10">
        <v>494</v>
      </c>
      <c r="H8" s="12">
        <f>IFERROR(VIEW_IV_2019_VISITAS_GR[[#This Row],[Visitas-Realizadas]]/VIEW_IV_2019_VISITAS_GR[[#This Row],[Visitas-Realizar]],0)</f>
        <v>0.57308584686774944</v>
      </c>
      <c r="I8" s="102">
        <f>IF(VIEW_IV_2019_VISITAS_GR[[#This Row],[Visitas-Cobertura]]&lt;Cob_Min_GR,0,IF(VIEW_IV_2019_VISITAS_GR[[#This Row],[Visitas-Cobertura]]&gt;=Cob_100_GR,(Vlr_100_GR*I$1),(VLOOKUP(VIEW_IV_2019_VISITAS_GR[[#This Row],[Visitas-Cobertura]],Tabela_Valores_GR,2,1))*I$1))</f>
        <v>0</v>
      </c>
    </row>
    <row r="9" spans="1:9" x14ac:dyDescent="0.25">
      <c r="A9" s="7" t="s">
        <v>16</v>
      </c>
      <c r="B9" s="7" t="s">
        <v>17</v>
      </c>
      <c r="C9" s="7" t="s">
        <v>18</v>
      </c>
      <c r="D9" s="8" t="s">
        <v>784</v>
      </c>
      <c r="E9" s="8" t="s">
        <v>785</v>
      </c>
      <c r="F9" s="10">
        <v>980</v>
      </c>
      <c r="G9" s="10">
        <v>325</v>
      </c>
      <c r="H9" s="12">
        <f>IFERROR(VIEW_IV_2019_VISITAS_GR[[#This Row],[Visitas-Realizadas]]/VIEW_IV_2019_VISITAS_GR[[#This Row],[Visitas-Realizar]],0)</f>
        <v>0.33163265306122447</v>
      </c>
      <c r="I9" s="102">
        <f>IF(VIEW_IV_2019_VISITAS_GR[[#This Row],[Visitas-Cobertura]]&lt;Cob_Min_GR,0,IF(VIEW_IV_2019_VISITAS_GR[[#This Row],[Visitas-Cobertura]]&gt;=Cob_100_GR,(Vlr_100_GR*I$1),(VLOOKUP(VIEW_IV_2019_VISITAS_GR[[#This Row],[Visitas-Cobertura]],Tabela_Valores_GR,2,1))*I$1))</f>
        <v>0</v>
      </c>
    </row>
    <row r="10" spans="1:9" x14ac:dyDescent="0.25">
      <c r="A10" s="7" t="s">
        <v>16</v>
      </c>
      <c r="B10" s="7" t="s">
        <v>55</v>
      </c>
      <c r="C10" s="7" t="s">
        <v>18</v>
      </c>
      <c r="D10" s="8" t="s">
        <v>786</v>
      </c>
      <c r="E10" s="8" t="s">
        <v>787</v>
      </c>
      <c r="F10" s="10">
        <v>814</v>
      </c>
      <c r="G10" s="10">
        <v>865</v>
      </c>
      <c r="H10" s="12">
        <f>IFERROR(VIEW_IV_2019_VISITAS_GR[[#This Row],[Visitas-Realizadas]]/VIEW_IV_2019_VISITAS_GR[[#This Row],[Visitas-Realizar]],0)</f>
        <v>1.0626535626535627</v>
      </c>
      <c r="I10" s="102">
        <f>IF(VIEW_IV_2019_VISITAS_GR[[#This Row],[Visitas-Cobertura]]&lt;Cob_Min_GR,0,IF(VIEW_IV_2019_VISITAS_GR[[#This Row],[Visitas-Cobertura]]&gt;=Cob_100_GR,(Vlr_100_GR*I$1),(VLOOKUP(VIEW_IV_2019_VISITAS_GR[[#This Row],[Visitas-Cobertura]],Tabela_Valores_GR,2,1))*I$1))</f>
        <v>270.43386070784726</v>
      </c>
    </row>
    <row r="11" spans="1:9" x14ac:dyDescent="0.25">
      <c r="A11" s="7" t="s">
        <v>16</v>
      </c>
      <c r="B11" s="7" t="s">
        <v>55</v>
      </c>
      <c r="C11" s="7" t="s">
        <v>18</v>
      </c>
      <c r="D11" s="8" t="s">
        <v>790</v>
      </c>
      <c r="E11" s="8" t="s">
        <v>791</v>
      </c>
      <c r="F11" s="10">
        <v>838</v>
      </c>
      <c r="G11" s="10">
        <v>678</v>
      </c>
      <c r="H11" s="12">
        <f>IFERROR(VIEW_IV_2019_VISITAS_GR[[#This Row],[Visitas-Realizadas]]/VIEW_IV_2019_VISITAS_GR[[#This Row],[Visitas-Realizar]],0)</f>
        <v>0.80906921241050123</v>
      </c>
      <c r="I11" s="102">
        <f>IF(VIEW_IV_2019_VISITAS_GR[[#This Row],[Visitas-Cobertura]]&lt;Cob_Min_GR,0,IF(VIEW_IV_2019_VISITAS_GR[[#This Row],[Visitas-Cobertura]]&gt;=Cob_100_GR,(Vlr_100_GR*I$1),(VLOOKUP(VIEW_IV_2019_VISITAS_GR[[#This Row],[Visitas-Cobertura]],Tabela_Valores_GR,2,1))*I$1))</f>
        <v>109.3904966563241</v>
      </c>
    </row>
    <row r="12" spans="1:9" x14ac:dyDescent="0.25">
      <c r="A12" s="7" t="s">
        <v>16</v>
      </c>
      <c r="B12" s="7" t="s">
        <v>55</v>
      </c>
      <c r="C12" s="7" t="s">
        <v>18</v>
      </c>
      <c r="D12" s="8" t="s">
        <v>784</v>
      </c>
      <c r="E12" s="8" t="s">
        <v>785</v>
      </c>
      <c r="F12" s="10">
        <v>744</v>
      </c>
      <c r="G12" s="10">
        <v>523</v>
      </c>
      <c r="H12" s="12">
        <f>IFERROR(VIEW_IV_2019_VISITAS_GR[[#This Row],[Visitas-Realizadas]]/VIEW_IV_2019_VISITAS_GR[[#This Row],[Visitas-Realizar]],0)</f>
        <v>0.70295698924731187</v>
      </c>
      <c r="I12" s="102">
        <f>IF(VIEW_IV_2019_VISITAS_GR[[#This Row],[Visitas-Cobertura]]&lt;Cob_Min_GR,0,IF(VIEW_IV_2019_VISITAS_GR[[#This Row],[Visitas-Cobertura]]&gt;=Cob_100_GR,(Vlr_100_GR*I$1),(VLOOKUP(VIEW_IV_2019_VISITAS_GR[[#This Row],[Visitas-Cobertura]],Tabela_Valores_GR,2,1))*I$1))</f>
        <v>0</v>
      </c>
    </row>
    <row r="13" spans="1:9" x14ac:dyDescent="0.25">
      <c r="A13" s="7" t="s">
        <v>16</v>
      </c>
      <c r="B13" s="7" t="s">
        <v>60</v>
      </c>
      <c r="C13" s="7" t="s">
        <v>18</v>
      </c>
      <c r="D13" s="8" t="s">
        <v>944</v>
      </c>
      <c r="E13" s="8" t="s">
        <v>944</v>
      </c>
      <c r="F13" s="10">
        <v>168</v>
      </c>
      <c r="G13" s="10">
        <v>170</v>
      </c>
      <c r="H13" s="12">
        <f>IFERROR(VIEW_IV_2019_VISITAS_GR[[#This Row],[Visitas-Realizadas]]/VIEW_IV_2019_VISITAS_GR[[#This Row],[Visitas-Realizar]],0)</f>
        <v>1.0119047619047619</v>
      </c>
      <c r="I13" s="102">
        <f>IF(VIEW_IV_2019_VISITAS_GR[[#This Row],[Visitas-Cobertura]]&lt;Cob_Min_GR,0,IF(VIEW_IV_2019_VISITAS_GR[[#This Row],[Visitas-Cobertura]]&gt;=Cob_100_GR,(Vlr_100_GR*I$1),(VLOOKUP(VIEW_IV_2019_VISITAS_GR[[#This Row],[Visitas-Cobertura]],Tabela_Valores_GR,2,1))*I$1))</f>
        <v>270.43386070784726</v>
      </c>
    </row>
    <row r="14" spans="1:9" x14ac:dyDescent="0.25">
      <c r="A14" s="7" t="s">
        <v>16</v>
      </c>
      <c r="B14" s="7" t="s">
        <v>60</v>
      </c>
      <c r="C14" s="7" t="s">
        <v>18</v>
      </c>
      <c r="D14" s="8" t="s">
        <v>786</v>
      </c>
      <c r="E14" s="8" t="s">
        <v>787</v>
      </c>
      <c r="F14" s="10">
        <v>794</v>
      </c>
      <c r="G14" s="10">
        <v>843</v>
      </c>
      <c r="H14" s="12">
        <f>IFERROR(VIEW_IV_2019_VISITAS_GR[[#This Row],[Visitas-Realizadas]]/VIEW_IV_2019_VISITAS_GR[[#This Row],[Visitas-Realizar]],0)</f>
        <v>1.0617128463476071</v>
      </c>
      <c r="I14" s="102">
        <f>IF(VIEW_IV_2019_VISITAS_GR[[#This Row],[Visitas-Cobertura]]&lt;Cob_Min_GR,0,IF(VIEW_IV_2019_VISITAS_GR[[#This Row],[Visitas-Cobertura]]&gt;=Cob_100_GR,(Vlr_100_GR*I$1),(VLOOKUP(VIEW_IV_2019_VISITAS_GR[[#This Row],[Visitas-Cobertura]],Tabela_Valores_GR,2,1))*I$1))</f>
        <v>270.43386070784726</v>
      </c>
    </row>
    <row r="15" spans="1:9" x14ac:dyDescent="0.25">
      <c r="A15" s="7" t="s">
        <v>16</v>
      </c>
      <c r="B15" s="7" t="s">
        <v>60</v>
      </c>
      <c r="C15" s="7" t="s">
        <v>18</v>
      </c>
      <c r="D15" s="8" t="s">
        <v>790</v>
      </c>
      <c r="E15" s="8" t="s">
        <v>791</v>
      </c>
      <c r="F15" s="10">
        <v>860</v>
      </c>
      <c r="G15" s="10">
        <v>819</v>
      </c>
      <c r="H15" s="12">
        <f>IFERROR(VIEW_IV_2019_VISITAS_GR[[#This Row],[Visitas-Realizadas]]/VIEW_IV_2019_VISITAS_GR[[#This Row],[Visitas-Realizar]],0)</f>
        <v>0.95232558139534884</v>
      </c>
      <c r="I15" s="102">
        <f>IF(VIEW_IV_2019_VISITAS_GR[[#This Row],[Visitas-Cobertura]]&lt;Cob_Min_GR,0,IF(VIEW_IV_2019_VISITAS_GR[[#This Row],[Visitas-Cobertura]]&gt;=Cob_100_GR,(Vlr_100_GR*I$1),(VLOOKUP(VIEW_IV_2019_VISITAS_GR[[#This Row],[Visitas-Cobertura]],Tabela_Valores_GR,2,1))*I$1))</f>
        <v>193.08977654540288</v>
      </c>
    </row>
    <row r="16" spans="1:9" x14ac:dyDescent="0.25">
      <c r="A16" s="7" t="s">
        <v>16</v>
      </c>
      <c r="B16" s="7" t="s">
        <v>60</v>
      </c>
      <c r="C16" s="7" t="s">
        <v>18</v>
      </c>
      <c r="D16" s="8" t="s">
        <v>784</v>
      </c>
      <c r="E16" s="8" t="s">
        <v>785</v>
      </c>
      <c r="F16" s="10">
        <v>820</v>
      </c>
      <c r="G16" s="10">
        <v>578</v>
      </c>
      <c r="H16" s="12">
        <f>IFERROR(VIEW_IV_2019_VISITAS_GR[[#This Row],[Visitas-Realizadas]]/VIEW_IV_2019_VISITAS_GR[[#This Row],[Visitas-Realizar]],0)</f>
        <v>0.70487804878048776</v>
      </c>
      <c r="I16" s="102">
        <f>IF(VIEW_IV_2019_VISITAS_GR[[#This Row],[Visitas-Cobertura]]&lt;Cob_Min_GR,0,IF(VIEW_IV_2019_VISITAS_GR[[#This Row],[Visitas-Cobertura]]&gt;=Cob_100_GR,(Vlr_100_GR*I$1),(VLOOKUP(VIEW_IV_2019_VISITAS_GR[[#This Row],[Visitas-Cobertura]],Tabela_Valores_GR,2,1))*I$1))</f>
        <v>0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88BF36-FAF3-4322-9549-A8F5939C6B75}">
  <sheetPr codeName="Planilha8">
    <tabColor theme="9" tint="-0.249977111117893"/>
  </sheetPr>
  <dimension ref="A1:CC1534"/>
  <sheetViews>
    <sheetView showGridLines="0" workbookViewId="0">
      <pane ySplit="5" topLeftCell="A6" activePane="bottomLeft" state="frozen"/>
      <selection pane="bottomLeft" activeCell="A6" sqref="A6"/>
    </sheetView>
  </sheetViews>
  <sheetFormatPr defaultRowHeight="12.75" x14ac:dyDescent="0.25"/>
  <cols>
    <col min="1" max="1" width="13.28515625" style="6" bestFit="1" customWidth="1"/>
    <col min="2" max="2" width="13.42578125" style="6" bestFit="1" customWidth="1"/>
    <col min="3" max="3" width="12.140625" style="6" bestFit="1" customWidth="1"/>
    <col min="4" max="4" width="15.140625" style="6" bestFit="1" customWidth="1"/>
    <col min="5" max="5" width="81.140625" style="6" bestFit="1" customWidth="1"/>
    <col min="6" max="6" width="23.5703125" style="6" bestFit="1" customWidth="1"/>
    <col min="7" max="7" width="7.5703125" style="6" bestFit="1" customWidth="1"/>
    <col min="8" max="8" width="27.140625" style="6" bestFit="1" customWidth="1"/>
    <col min="9" max="9" width="24.85546875" style="6" bestFit="1" customWidth="1"/>
    <col min="10" max="10" width="13.28515625" style="4" bestFit="1" customWidth="1"/>
    <col min="11" max="11" width="17.42578125" style="3" bestFit="1" customWidth="1"/>
    <col min="12" max="12" width="7.7109375" style="3" bestFit="1" customWidth="1"/>
    <col min="13" max="13" width="7.5703125" style="3" bestFit="1" customWidth="1"/>
    <col min="14" max="14" width="30.7109375" style="3" bestFit="1" customWidth="1"/>
    <col min="15" max="15" width="29.140625" style="3" bestFit="1" customWidth="1"/>
    <col min="16" max="16" width="13.28515625" style="5" bestFit="1" customWidth="1"/>
    <col min="17" max="17" width="17.42578125" style="5" bestFit="1" customWidth="1"/>
    <col min="18" max="18" width="7.7109375" style="5" customWidth="1"/>
    <col min="19" max="45" width="9.140625" style="3"/>
    <col min="46" max="46" width="15.140625" style="3" bestFit="1" customWidth="1"/>
    <col min="47" max="47" width="9.140625" style="3"/>
    <col min="48" max="48" width="15.140625" style="3" bestFit="1" customWidth="1"/>
    <col min="49" max="16384" width="9.140625" style="3"/>
  </cols>
  <sheetData>
    <row r="1" spans="1:18" ht="15.75" x14ac:dyDescent="0.25">
      <c r="A1" s="49" t="s">
        <v>893</v>
      </c>
    </row>
    <row r="5" spans="1:18" x14ac:dyDescent="0.2">
      <c r="A5" s="6" t="s">
        <v>2</v>
      </c>
      <c r="B5" s="6" t="s">
        <v>3</v>
      </c>
      <c r="C5" s="6" t="s">
        <v>4</v>
      </c>
      <c r="D5" s="9" t="s">
        <v>9</v>
      </c>
      <c r="E5" s="6" t="s">
        <v>10</v>
      </c>
      <c r="F5" s="6" t="s">
        <v>11</v>
      </c>
      <c r="G5" s="6" t="s">
        <v>12</v>
      </c>
      <c r="H5" s="11" t="s">
        <v>782</v>
      </c>
      <c r="I5" s="11" t="s">
        <v>783</v>
      </c>
      <c r="J5" s="6" t="s">
        <v>13</v>
      </c>
      <c r="K5" s="6" t="s">
        <v>14</v>
      </c>
      <c r="L5" s="10" t="s">
        <v>15</v>
      </c>
      <c r="P5" s="3"/>
      <c r="Q5" s="3"/>
      <c r="R5" s="3"/>
    </row>
    <row r="6" spans="1:18" x14ac:dyDescent="0.2">
      <c r="A6" s="7" t="s">
        <v>16</v>
      </c>
      <c r="B6" s="7" t="s">
        <v>17</v>
      </c>
      <c r="C6" s="7" t="s">
        <v>18</v>
      </c>
      <c r="D6" s="4">
        <v>461479004584</v>
      </c>
      <c r="E6" s="8" t="s">
        <v>19</v>
      </c>
      <c r="F6" s="8" t="s">
        <v>20</v>
      </c>
      <c r="G6" s="7" t="s">
        <v>21</v>
      </c>
      <c r="H6" s="47" t="s">
        <v>786</v>
      </c>
      <c r="I6" s="47" t="s">
        <v>787</v>
      </c>
      <c r="J6" s="6">
        <v>70</v>
      </c>
      <c r="K6" s="8" t="s">
        <v>22</v>
      </c>
      <c r="L6" s="5">
        <v>225</v>
      </c>
      <c r="P6" s="3"/>
      <c r="Q6" s="3"/>
      <c r="R6" s="3"/>
    </row>
    <row r="7" spans="1:18" x14ac:dyDescent="0.2">
      <c r="A7" s="7" t="s">
        <v>16</v>
      </c>
      <c r="B7" s="7" t="s">
        <v>55</v>
      </c>
      <c r="C7" s="7" t="s">
        <v>18</v>
      </c>
      <c r="D7" s="4">
        <v>2383508000494</v>
      </c>
      <c r="E7" s="8" t="s">
        <v>56</v>
      </c>
      <c r="F7" s="8" t="s">
        <v>20</v>
      </c>
      <c r="G7" s="7" t="s">
        <v>21</v>
      </c>
      <c r="H7" s="47" t="s">
        <v>786</v>
      </c>
      <c r="I7" s="47" t="s">
        <v>787</v>
      </c>
      <c r="J7" s="6">
        <v>70</v>
      </c>
      <c r="K7" s="8" t="s">
        <v>22</v>
      </c>
      <c r="L7" s="5">
        <v>280</v>
      </c>
      <c r="P7" s="3"/>
      <c r="Q7" s="3"/>
      <c r="R7" s="3"/>
    </row>
    <row r="8" spans="1:18" x14ac:dyDescent="0.2">
      <c r="A8" s="7" t="s">
        <v>16</v>
      </c>
      <c r="B8" s="7" t="s">
        <v>17</v>
      </c>
      <c r="C8" s="7" t="s">
        <v>18</v>
      </c>
      <c r="D8" s="4">
        <v>4036348000190</v>
      </c>
      <c r="E8" s="8" t="s">
        <v>23</v>
      </c>
      <c r="F8" s="8" t="s">
        <v>20</v>
      </c>
      <c r="G8" s="7" t="s">
        <v>21</v>
      </c>
      <c r="H8" s="47" t="s">
        <v>786</v>
      </c>
      <c r="I8" s="47" t="s">
        <v>787</v>
      </c>
      <c r="J8" s="6">
        <v>70</v>
      </c>
      <c r="K8" s="8" t="s">
        <v>22</v>
      </c>
      <c r="L8" s="5">
        <v>515</v>
      </c>
      <c r="P8" s="3"/>
      <c r="Q8" s="3"/>
      <c r="R8" s="3"/>
    </row>
    <row r="9" spans="1:18" x14ac:dyDescent="0.2">
      <c r="A9" s="7" t="s">
        <v>16</v>
      </c>
      <c r="B9" s="7" t="s">
        <v>55</v>
      </c>
      <c r="C9" s="7" t="s">
        <v>18</v>
      </c>
      <c r="D9" s="4">
        <v>4036348000190</v>
      </c>
      <c r="E9" s="8" t="s">
        <v>23</v>
      </c>
      <c r="F9" s="8" t="s">
        <v>20</v>
      </c>
      <c r="G9" s="7" t="s">
        <v>21</v>
      </c>
      <c r="H9" s="47" t="s">
        <v>786</v>
      </c>
      <c r="I9" s="47" t="s">
        <v>787</v>
      </c>
      <c r="J9" s="6">
        <v>70</v>
      </c>
      <c r="K9" s="8" t="s">
        <v>22</v>
      </c>
      <c r="L9" s="5">
        <v>320</v>
      </c>
      <c r="P9" s="3"/>
      <c r="Q9" s="3"/>
      <c r="R9" s="3"/>
    </row>
    <row r="10" spans="1:18" x14ac:dyDescent="0.2">
      <c r="A10" s="7" t="s">
        <v>16</v>
      </c>
      <c r="B10" s="7" t="s">
        <v>17</v>
      </c>
      <c r="C10" s="7" t="s">
        <v>18</v>
      </c>
      <c r="D10" s="4">
        <v>5831510000124</v>
      </c>
      <c r="E10" s="8" t="s">
        <v>24</v>
      </c>
      <c r="F10" s="8" t="s">
        <v>20</v>
      </c>
      <c r="G10" s="7" t="s">
        <v>21</v>
      </c>
      <c r="H10" s="47" t="s">
        <v>786</v>
      </c>
      <c r="I10" s="47" t="s">
        <v>787</v>
      </c>
      <c r="J10" s="6">
        <v>70</v>
      </c>
      <c r="K10" s="8" t="s">
        <v>22</v>
      </c>
      <c r="L10" s="5">
        <v>195</v>
      </c>
      <c r="P10" s="3"/>
      <c r="Q10" s="3"/>
      <c r="R10" s="3"/>
    </row>
    <row r="11" spans="1:18" x14ac:dyDescent="0.2">
      <c r="A11" s="7" t="s">
        <v>16</v>
      </c>
      <c r="B11" s="7" t="s">
        <v>17</v>
      </c>
      <c r="C11" s="7" t="s">
        <v>18</v>
      </c>
      <c r="D11" s="4">
        <v>8100676000592</v>
      </c>
      <c r="E11" s="8" t="s">
        <v>25</v>
      </c>
      <c r="F11" s="8" t="s">
        <v>20</v>
      </c>
      <c r="G11" s="7" t="s">
        <v>21</v>
      </c>
      <c r="H11" s="47" t="s">
        <v>786</v>
      </c>
      <c r="I11" s="47" t="s">
        <v>787</v>
      </c>
      <c r="J11" s="6">
        <v>70</v>
      </c>
      <c r="K11" s="8" t="s">
        <v>22</v>
      </c>
      <c r="L11" s="5">
        <v>130</v>
      </c>
      <c r="P11" s="3"/>
      <c r="Q11" s="3"/>
      <c r="R11" s="3"/>
    </row>
    <row r="12" spans="1:18" x14ac:dyDescent="0.2">
      <c r="A12" s="7" t="s">
        <v>16</v>
      </c>
      <c r="B12" s="7" t="s">
        <v>17</v>
      </c>
      <c r="C12" s="7" t="s">
        <v>18</v>
      </c>
      <c r="D12" s="4">
        <v>8100676000835</v>
      </c>
      <c r="E12" s="8" t="s">
        <v>26</v>
      </c>
      <c r="F12" s="8" t="s">
        <v>20</v>
      </c>
      <c r="G12" s="7" t="s">
        <v>21</v>
      </c>
      <c r="H12" s="47" t="s">
        <v>786</v>
      </c>
      <c r="I12" s="47" t="s">
        <v>787</v>
      </c>
      <c r="J12" s="6">
        <v>70</v>
      </c>
      <c r="K12" s="8" t="s">
        <v>22</v>
      </c>
      <c r="L12" s="5">
        <v>25</v>
      </c>
      <c r="P12" s="3"/>
      <c r="Q12" s="3"/>
      <c r="R12" s="3"/>
    </row>
    <row r="13" spans="1:18" x14ac:dyDescent="0.2">
      <c r="A13" s="7" t="s">
        <v>16</v>
      </c>
      <c r="B13" s="7" t="s">
        <v>17</v>
      </c>
      <c r="C13" s="7" t="s">
        <v>18</v>
      </c>
      <c r="D13" s="4">
        <v>8100676002455</v>
      </c>
      <c r="E13" s="8" t="s">
        <v>27</v>
      </c>
      <c r="F13" s="8" t="s">
        <v>20</v>
      </c>
      <c r="G13" s="7" t="s">
        <v>21</v>
      </c>
      <c r="H13" s="47" t="s">
        <v>786</v>
      </c>
      <c r="I13" s="47" t="s">
        <v>787</v>
      </c>
      <c r="J13" s="6">
        <v>70</v>
      </c>
      <c r="K13" s="8" t="s">
        <v>22</v>
      </c>
      <c r="L13" s="5">
        <v>340</v>
      </c>
      <c r="P13" s="3"/>
      <c r="Q13" s="3"/>
      <c r="R13" s="3"/>
    </row>
    <row r="14" spans="1:18" x14ac:dyDescent="0.2">
      <c r="A14" s="7" t="s">
        <v>16</v>
      </c>
      <c r="B14" s="7" t="s">
        <v>17</v>
      </c>
      <c r="C14" s="7" t="s">
        <v>18</v>
      </c>
      <c r="D14" s="4">
        <v>8871521000126</v>
      </c>
      <c r="E14" s="8" t="s">
        <v>28</v>
      </c>
      <c r="F14" s="8" t="s">
        <v>20</v>
      </c>
      <c r="G14" s="7" t="s">
        <v>21</v>
      </c>
      <c r="H14" s="47" t="s">
        <v>786</v>
      </c>
      <c r="I14" s="47" t="s">
        <v>787</v>
      </c>
      <c r="J14" s="6">
        <v>70</v>
      </c>
      <c r="K14" s="8" t="s">
        <v>22</v>
      </c>
      <c r="L14" s="5">
        <v>60</v>
      </c>
      <c r="P14" s="3"/>
      <c r="Q14" s="3"/>
      <c r="R14" s="3"/>
    </row>
    <row r="15" spans="1:18" x14ac:dyDescent="0.2">
      <c r="A15" s="7" t="s">
        <v>16</v>
      </c>
      <c r="B15" s="7" t="s">
        <v>17</v>
      </c>
      <c r="C15" s="7" t="s">
        <v>18</v>
      </c>
      <c r="D15" s="4">
        <v>10468341000140</v>
      </c>
      <c r="E15" s="8" t="s">
        <v>29</v>
      </c>
      <c r="F15" s="8" t="s">
        <v>20</v>
      </c>
      <c r="G15" s="7" t="s">
        <v>21</v>
      </c>
      <c r="H15" s="47" t="s">
        <v>786</v>
      </c>
      <c r="I15" s="47" t="s">
        <v>787</v>
      </c>
      <c r="J15" s="6">
        <v>70</v>
      </c>
      <c r="K15" s="8" t="s">
        <v>22</v>
      </c>
      <c r="L15" s="5">
        <v>2065</v>
      </c>
      <c r="P15" s="3"/>
      <c r="Q15" s="3"/>
      <c r="R15" s="3"/>
    </row>
    <row r="16" spans="1:18" x14ac:dyDescent="0.2">
      <c r="A16" s="7" t="s">
        <v>16</v>
      </c>
      <c r="B16" s="7" t="s">
        <v>17</v>
      </c>
      <c r="C16" s="7" t="s">
        <v>18</v>
      </c>
      <c r="D16" s="4">
        <v>10468341000220</v>
      </c>
      <c r="E16" s="8" t="s">
        <v>30</v>
      </c>
      <c r="F16" s="8" t="s">
        <v>20</v>
      </c>
      <c r="G16" s="7" t="s">
        <v>21</v>
      </c>
      <c r="H16" s="47" t="s">
        <v>786</v>
      </c>
      <c r="I16" s="47" t="s">
        <v>787</v>
      </c>
      <c r="J16" s="6">
        <v>70</v>
      </c>
      <c r="K16" s="8" t="s">
        <v>22</v>
      </c>
      <c r="L16" s="5">
        <v>635</v>
      </c>
      <c r="P16" s="3"/>
      <c r="Q16" s="3"/>
      <c r="R16" s="3"/>
    </row>
    <row r="17" spans="1:18" x14ac:dyDescent="0.2">
      <c r="A17" s="7" t="s">
        <v>16</v>
      </c>
      <c r="B17" s="7" t="s">
        <v>17</v>
      </c>
      <c r="C17" s="7" t="s">
        <v>18</v>
      </c>
      <c r="D17" s="4">
        <v>10475230000160</v>
      </c>
      <c r="E17" s="8" t="s">
        <v>31</v>
      </c>
      <c r="F17" s="8" t="s">
        <v>20</v>
      </c>
      <c r="G17" s="7" t="s">
        <v>21</v>
      </c>
      <c r="H17" s="47" t="s">
        <v>786</v>
      </c>
      <c r="I17" s="47" t="s">
        <v>787</v>
      </c>
      <c r="J17" s="6">
        <v>70</v>
      </c>
      <c r="K17" s="8" t="s">
        <v>22</v>
      </c>
      <c r="L17" s="5">
        <v>45</v>
      </c>
      <c r="P17" s="3"/>
      <c r="Q17" s="3"/>
      <c r="R17" s="3"/>
    </row>
    <row r="18" spans="1:18" x14ac:dyDescent="0.2">
      <c r="A18" s="7" t="s">
        <v>16</v>
      </c>
      <c r="B18" s="7" t="s">
        <v>17</v>
      </c>
      <c r="C18" s="7" t="s">
        <v>18</v>
      </c>
      <c r="D18" s="4">
        <v>19803199000114</v>
      </c>
      <c r="E18" s="8" t="s">
        <v>32</v>
      </c>
      <c r="F18" s="8" t="s">
        <v>20</v>
      </c>
      <c r="G18" s="7" t="s">
        <v>21</v>
      </c>
      <c r="H18" s="47" t="s">
        <v>786</v>
      </c>
      <c r="I18" s="47" t="s">
        <v>787</v>
      </c>
      <c r="J18" s="6">
        <v>70</v>
      </c>
      <c r="K18" s="8" t="s">
        <v>22</v>
      </c>
      <c r="L18" s="5">
        <v>50</v>
      </c>
      <c r="P18" s="3"/>
      <c r="Q18" s="3"/>
      <c r="R18" s="3"/>
    </row>
    <row r="19" spans="1:18" x14ac:dyDescent="0.2">
      <c r="A19" s="7" t="s">
        <v>16</v>
      </c>
      <c r="B19" s="7" t="s">
        <v>17</v>
      </c>
      <c r="C19" s="7" t="s">
        <v>18</v>
      </c>
      <c r="D19" s="4">
        <v>21371777000132</v>
      </c>
      <c r="E19" s="8" t="s">
        <v>33</v>
      </c>
      <c r="F19" s="8" t="s">
        <v>20</v>
      </c>
      <c r="G19" s="7" t="s">
        <v>21</v>
      </c>
      <c r="H19" s="47" t="s">
        <v>786</v>
      </c>
      <c r="I19" s="47" t="s">
        <v>787</v>
      </c>
      <c r="J19" s="6">
        <v>70</v>
      </c>
      <c r="K19" s="8" t="s">
        <v>22</v>
      </c>
      <c r="L19" s="5">
        <v>175</v>
      </c>
      <c r="P19" s="3"/>
      <c r="Q19" s="3"/>
      <c r="R19" s="3"/>
    </row>
    <row r="20" spans="1:18" x14ac:dyDescent="0.2">
      <c r="A20" s="7" t="s">
        <v>16</v>
      </c>
      <c r="B20" s="7" t="s">
        <v>17</v>
      </c>
      <c r="C20" s="7" t="s">
        <v>18</v>
      </c>
      <c r="D20" s="4">
        <v>29435005002687</v>
      </c>
      <c r="E20" s="8" t="s">
        <v>34</v>
      </c>
      <c r="F20" s="8" t="s">
        <v>20</v>
      </c>
      <c r="G20" s="7" t="s">
        <v>21</v>
      </c>
      <c r="H20" s="47" t="s">
        <v>786</v>
      </c>
      <c r="I20" s="47" t="s">
        <v>787</v>
      </c>
      <c r="J20" s="6">
        <v>70</v>
      </c>
      <c r="K20" s="8" t="s">
        <v>22</v>
      </c>
      <c r="L20" s="5">
        <v>500</v>
      </c>
      <c r="P20" s="3"/>
      <c r="Q20" s="3"/>
      <c r="R20" s="3"/>
    </row>
    <row r="21" spans="1:18" x14ac:dyDescent="0.2">
      <c r="A21" s="7" t="s">
        <v>16</v>
      </c>
      <c r="B21" s="7" t="s">
        <v>17</v>
      </c>
      <c r="C21" s="7" t="s">
        <v>18</v>
      </c>
      <c r="D21" s="4">
        <v>29435005004540</v>
      </c>
      <c r="E21" s="8" t="s">
        <v>35</v>
      </c>
      <c r="F21" s="8" t="s">
        <v>20</v>
      </c>
      <c r="G21" s="7" t="s">
        <v>21</v>
      </c>
      <c r="H21" s="47" t="s">
        <v>786</v>
      </c>
      <c r="I21" s="47" t="s">
        <v>787</v>
      </c>
      <c r="J21" s="6">
        <v>70</v>
      </c>
      <c r="K21" s="8" t="s">
        <v>22</v>
      </c>
      <c r="L21" s="5">
        <v>500</v>
      </c>
      <c r="P21" s="3"/>
      <c r="Q21" s="3"/>
      <c r="R21" s="3"/>
    </row>
    <row r="22" spans="1:18" x14ac:dyDescent="0.2">
      <c r="A22" s="7" t="s">
        <v>16</v>
      </c>
      <c r="B22" s="7" t="s">
        <v>17</v>
      </c>
      <c r="C22" s="7" t="s">
        <v>18</v>
      </c>
      <c r="D22" s="4">
        <v>29435005009932</v>
      </c>
      <c r="E22" s="8" t="s">
        <v>36</v>
      </c>
      <c r="F22" s="8" t="s">
        <v>20</v>
      </c>
      <c r="G22" s="7" t="s">
        <v>21</v>
      </c>
      <c r="H22" s="47" t="s">
        <v>786</v>
      </c>
      <c r="I22" s="47" t="s">
        <v>787</v>
      </c>
      <c r="J22" s="6">
        <v>70</v>
      </c>
      <c r="K22" s="8" t="s">
        <v>22</v>
      </c>
      <c r="L22" s="5">
        <v>350</v>
      </c>
      <c r="P22" s="3"/>
      <c r="Q22" s="3"/>
      <c r="R22" s="3"/>
    </row>
    <row r="23" spans="1:18" x14ac:dyDescent="0.2">
      <c r="A23" s="7" t="s">
        <v>16</v>
      </c>
      <c r="B23" s="7" t="s">
        <v>17</v>
      </c>
      <c r="C23" s="7" t="s">
        <v>18</v>
      </c>
      <c r="D23" s="4">
        <v>43643139000409</v>
      </c>
      <c r="E23" s="8" t="s">
        <v>37</v>
      </c>
      <c r="F23" s="8" t="s">
        <v>20</v>
      </c>
      <c r="G23" s="7" t="s">
        <v>21</v>
      </c>
      <c r="H23" s="47" t="s">
        <v>786</v>
      </c>
      <c r="I23" s="47" t="s">
        <v>787</v>
      </c>
      <c r="J23" s="6">
        <v>70</v>
      </c>
      <c r="K23" s="8" t="s">
        <v>22</v>
      </c>
      <c r="L23" s="5">
        <v>160</v>
      </c>
      <c r="P23" s="3"/>
      <c r="Q23" s="3"/>
      <c r="R23" s="3"/>
    </row>
    <row r="24" spans="1:18" x14ac:dyDescent="0.2">
      <c r="A24" s="7" t="s">
        <v>16</v>
      </c>
      <c r="B24" s="7" t="s">
        <v>17</v>
      </c>
      <c r="C24" s="7" t="s">
        <v>18</v>
      </c>
      <c r="D24" s="4">
        <v>44649812005520</v>
      </c>
      <c r="E24" s="8" t="s">
        <v>38</v>
      </c>
      <c r="F24" s="8" t="s">
        <v>20</v>
      </c>
      <c r="G24" s="7" t="s">
        <v>21</v>
      </c>
      <c r="H24" s="47" t="s">
        <v>786</v>
      </c>
      <c r="I24" s="47" t="s">
        <v>787</v>
      </c>
      <c r="J24" s="6">
        <v>70</v>
      </c>
      <c r="K24" s="8" t="s">
        <v>22</v>
      </c>
      <c r="L24" s="5">
        <v>10</v>
      </c>
      <c r="P24" s="3"/>
      <c r="Q24" s="3"/>
      <c r="R24" s="3"/>
    </row>
    <row r="25" spans="1:18" x14ac:dyDescent="0.2">
      <c r="A25" s="7" t="s">
        <v>16</v>
      </c>
      <c r="B25" s="7" t="s">
        <v>17</v>
      </c>
      <c r="C25" s="7" t="s">
        <v>18</v>
      </c>
      <c r="D25" s="4">
        <v>51722957010226</v>
      </c>
      <c r="E25" s="8" t="s">
        <v>39</v>
      </c>
      <c r="F25" s="8" t="s">
        <v>20</v>
      </c>
      <c r="G25" s="7" t="s">
        <v>21</v>
      </c>
      <c r="H25" s="47" t="s">
        <v>786</v>
      </c>
      <c r="I25" s="47" t="s">
        <v>787</v>
      </c>
      <c r="J25" s="6">
        <v>70</v>
      </c>
      <c r="K25" s="8" t="s">
        <v>22</v>
      </c>
      <c r="L25" s="5">
        <v>535</v>
      </c>
      <c r="P25" s="3"/>
      <c r="Q25" s="3"/>
      <c r="R25" s="3"/>
    </row>
    <row r="26" spans="1:18" x14ac:dyDescent="0.2">
      <c r="A26" s="7" t="s">
        <v>16</v>
      </c>
      <c r="B26" s="7" t="s">
        <v>17</v>
      </c>
      <c r="C26" s="7" t="s">
        <v>18</v>
      </c>
      <c r="D26" s="4">
        <v>51722957012512</v>
      </c>
      <c r="E26" s="8" t="s">
        <v>40</v>
      </c>
      <c r="F26" s="8" t="s">
        <v>20</v>
      </c>
      <c r="G26" s="7" t="s">
        <v>21</v>
      </c>
      <c r="H26" s="47" t="s">
        <v>786</v>
      </c>
      <c r="I26" s="47" t="s">
        <v>787</v>
      </c>
      <c r="J26" s="6">
        <v>70</v>
      </c>
      <c r="K26" s="8" t="s">
        <v>22</v>
      </c>
      <c r="L26" s="5">
        <v>65</v>
      </c>
      <c r="P26" s="3"/>
      <c r="Q26" s="3"/>
      <c r="R26" s="3"/>
    </row>
    <row r="27" spans="1:18" x14ac:dyDescent="0.2">
      <c r="A27" s="7" t="s">
        <v>16</v>
      </c>
      <c r="B27" s="7" t="s">
        <v>17</v>
      </c>
      <c r="C27" s="7" t="s">
        <v>18</v>
      </c>
      <c r="D27" s="4">
        <v>57394710000160</v>
      </c>
      <c r="E27" s="8" t="s">
        <v>41</v>
      </c>
      <c r="F27" s="8" t="s">
        <v>20</v>
      </c>
      <c r="G27" s="7" t="s">
        <v>21</v>
      </c>
      <c r="H27" s="47" t="s">
        <v>786</v>
      </c>
      <c r="I27" s="47" t="s">
        <v>787</v>
      </c>
      <c r="J27" s="6">
        <v>70</v>
      </c>
      <c r="K27" s="8" t="s">
        <v>22</v>
      </c>
      <c r="L27" s="5">
        <v>25</v>
      </c>
      <c r="P27" s="3"/>
      <c r="Q27" s="3"/>
      <c r="R27" s="3"/>
    </row>
    <row r="28" spans="1:18" x14ac:dyDescent="0.2">
      <c r="A28" s="7" t="s">
        <v>16</v>
      </c>
      <c r="B28" s="7" t="s">
        <v>17</v>
      </c>
      <c r="C28" s="7" t="s">
        <v>18</v>
      </c>
      <c r="D28" s="4">
        <v>59481028000130</v>
      </c>
      <c r="E28" s="8" t="s">
        <v>42</v>
      </c>
      <c r="F28" s="8" t="s">
        <v>20</v>
      </c>
      <c r="G28" s="7" t="s">
        <v>21</v>
      </c>
      <c r="H28" s="47" t="s">
        <v>786</v>
      </c>
      <c r="I28" s="47" t="s">
        <v>787</v>
      </c>
      <c r="J28" s="6">
        <v>70</v>
      </c>
      <c r="K28" s="8" t="s">
        <v>22</v>
      </c>
      <c r="L28" s="5">
        <v>10</v>
      </c>
      <c r="P28" s="3"/>
      <c r="Q28" s="3"/>
      <c r="R28" s="3"/>
    </row>
    <row r="29" spans="1:18" x14ac:dyDescent="0.2">
      <c r="A29" s="7" t="s">
        <v>16</v>
      </c>
      <c r="B29" s="7" t="s">
        <v>17</v>
      </c>
      <c r="C29" s="7" t="s">
        <v>18</v>
      </c>
      <c r="D29" s="4">
        <v>60552098000111</v>
      </c>
      <c r="E29" s="8" t="s">
        <v>43</v>
      </c>
      <c r="F29" s="8" t="s">
        <v>20</v>
      </c>
      <c r="G29" s="7" t="s">
        <v>21</v>
      </c>
      <c r="H29" s="47" t="s">
        <v>786</v>
      </c>
      <c r="I29" s="47" t="s">
        <v>787</v>
      </c>
      <c r="J29" s="6">
        <v>70</v>
      </c>
      <c r="K29" s="8" t="s">
        <v>22</v>
      </c>
      <c r="L29" s="5">
        <v>225</v>
      </c>
      <c r="P29" s="3"/>
      <c r="Q29" s="3"/>
      <c r="R29" s="3"/>
    </row>
    <row r="30" spans="1:18" x14ac:dyDescent="0.2">
      <c r="A30" s="7" t="s">
        <v>16</v>
      </c>
      <c r="B30" s="7" t="s">
        <v>17</v>
      </c>
      <c r="C30" s="7" t="s">
        <v>18</v>
      </c>
      <c r="D30" s="4">
        <v>60726502000126</v>
      </c>
      <c r="E30" s="8" t="s">
        <v>44</v>
      </c>
      <c r="F30" s="8" t="s">
        <v>20</v>
      </c>
      <c r="G30" s="7" t="s">
        <v>21</v>
      </c>
      <c r="H30" s="47" t="s">
        <v>786</v>
      </c>
      <c r="I30" s="47" t="s">
        <v>787</v>
      </c>
      <c r="J30" s="6">
        <v>70</v>
      </c>
      <c r="K30" s="8" t="s">
        <v>22</v>
      </c>
      <c r="L30" s="5">
        <v>390</v>
      </c>
      <c r="P30" s="3"/>
      <c r="Q30" s="3"/>
      <c r="R30" s="3"/>
    </row>
    <row r="31" spans="1:18" x14ac:dyDescent="0.2">
      <c r="A31" s="7" t="s">
        <v>16</v>
      </c>
      <c r="B31" s="7" t="s">
        <v>17</v>
      </c>
      <c r="C31" s="7" t="s">
        <v>18</v>
      </c>
      <c r="D31" s="4">
        <v>60777901000116</v>
      </c>
      <c r="E31" s="8" t="s">
        <v>45</v>
      </c>
      <c r="F31" s="8" t="s">
        <v>20</v>
      </c>
      <c r="G31" s="7" t="s">
        <v>21</v>
      </c>
      <c r="H31" s="47" t="s">
        <v>786</v>
      </c>
      <c r="I31" s="47" t="s">
        <v>787</v>
      </c>
      <c r="J31" s="6">
        <v>70</v>
      </c>
      <c r="K31" s="8" t="s">
        <v>22</v>
      </c>
      <c r="L31" s="5">
        <v>1650</v>
      </c>
      <c r="P31" s="3"/>
      <c r="Q31" s="3"/>
      <c r="R31" s="3"/>
    </row>
    <row r="32" spans="1:18" x14ac:dyDescent="0.2">
      <c r="A32" s="7" t="s">
        <v>16</v>
      </c>
      <c r="B32" s="7" t="s">
        <v>17</v>
      </c>
      <c r="C32" s="7" t="s">
        <v>18</v>
      </c>
      <c r="D32" s="4">
        <v>60884855000316</v>
      </c>
      <c r="E32" s="8" t="s">
        <v>46</v>
      </c>
      <c r="F32" s="8" t="s">
        <v>20</v>
      </c>
      <c r="G32" s="7" t="s">
        <v>21</v>
      </c>
      <c r="H32" s="47" t="s">
        <v>786</v>
      </c>
      <c r="I32" s="47" t="s">
        <v>787</v>
      </c>
      <c r="J32" s="6">
        <v>70</v>
      </c>
      <c r="K32" s="8" t="s">
        <v>22</v>
      </c>
      <c r="L32" s="5">
        <v>1930</v>
      </c>
      <c r="P32" s="3"/>
      <c r="Q32" s="3"/>
      <c r="R32" s="3"/>
    </row>
    <row r="33" spans="1:18" x14ac:dyDescent="0.2">
      <c r="A33" s="7" t="s">
        <v>16</v>
      </c>
      <c r="B33" s="7" t="s">
        <v>17</v>
      </c>
      <c r="C33" s="7" t="s">
        <v>18</v>
      </c>
      <c r="D33" s="4">
        <v>60922168000771</v>
      </c>
      <c r="E33" s="8" t="s">
        <v>47</v>
      </c>
      <c r="F33" s="8" t="s">
        <v>20</v>
      </c>
      <c r="G33" s="7" t="s">
        <v>21</v>
      </c>
      <c r="H33" s="47" t="s">
        <v>786</v>
      </c>
      <c r="I33" s="47" t="s">
        <v>787</v>
      </c>
      <c r="J33" s="6">
        <v>70</v>
      </c>
      <c r="K33" s="8" t="s">
        <v>22</v>
      </c>
      <c r="L33" s="5">
        <v>350</v>
      </c>
      <c r="P33" s="3"/>
      <c r="Q33" s="3"/>
      <c r="R33" s="3"/>
    </row>
    <row r="34" spans="1:18" x14ac:dyDescent="0.2">
      <c r="A34" s="7" t="s">
        <v>16</v>
      </c>
      <c r="B34" s="7" t="s">
        <v>17</v>
      </c>
      <c r="C34" s="7" t="s">
        <v>18</v>
      </c>
      <c r="D34" s="4">
        <v>60922168004335</v>
      </c>
      <c r="E34" s="8" t="s">
        <v>48</v>
      </c>
      <c r="F34" s="8" t="s">
        <v>20</v>
      </c>
      <c r="G34" s="7" t="s">
        <v>21</v>
      </c>
      <c r="H34" s="47" t="s">
        <v>786</v>
      </c>
      <c r="I34" s="47" t="s">
        <v>787</v>
      </c>
      <c r="J34" s="6">
        <v>70</v>
      </c>
      <c r="K34" s="8" t="s">
        <v>22</v>
      </c>
      <c r="L34" s="5">
        <v>5</v>
      </c>
      <c r="P34" s="3"/>
      <c r="Q34" s="3"/>
      <c r="R34" s="3"/>
    </row>
    <row r="35" spans="1:18" x14ac:dyDescent="0.2">
      <c r="A35" s="7" t="s">
        <v>16</v>
      </c>
      <c r="B35" s="7" t="s">
        <v>17</v>
      </c>
      <c r="C35" s="7" t="s">
        <v>18</v>
      </c>
      <c r="D35" s="4">
        <v>60961422000155</v>
      </c>
      <c r="E35" s="8" t="s">
        <v>49</v>
      </c>
      <c r="F35" s="8" t="s">
        <v>20</v>
      </c>
      <c r="G35" s="7" t="s">
        <v>21</v>
      </c>
      <c r="H35" s="47" t="s">
        <v>786</v>
      </c>
      <c r="I35" s="47" t="s">
        <v>787</v>
      </c>
      <c r="J35" s="6">
        <v>70</v>
      </c>
      <c r="K35" s="8" t="s">
        <v>22</v>
      </c>
      <c r="L35" s="5">
        <v>20</v>
      </c>
      <c r="P35" s="3"/>
      <c r="Q35" s="3"/>
      <c r="R35" s="3"/>
    </row>
    <row r="36" spans="1:18" x14ac:dyDescent="0.2">
      <c r="A36" s="7" t="s">
        <v>16</v>
      </c>
      <c r="B36" s="7" t="s">
        <v>17</v>
      </c>
      <c r="C36" s="7" t="s">
        <v>18</v>
      </c>
      <c r="D36" s="4">
        <v>60961968000106</v>
      </c>
      <c r="E36" s="8" t="s">
        <v>50</v>
      </c>
      <c r="F36" s="8" t="s">
        <v>20</v>
      </c>
      <c r="G36" s="7" t="s">
        <v>21</v>
      </c>
      <c r="H36" s="47" t="s">
        <v>786</v>
      </c>
      <c r="I36" s="47" t="s">
        <v>787</v>
      </c>
      <c r="J36" s="6">
        <v>70</v>
      </c>
      <c r="K36" s="8" t="s">
        <v>22</v>
      </c>
      <c r="L36" s="5">
        <v>1825</v>
      </c>
      <c r="P36" s="3"/>
      <c r="Q36" s="3"/>
      <c r="R36" s="3"/>
    </row>
    <row r="37" spans="1:18" x14ac:dyDescent="0.2">
      <c r="A37" s="7" t="s">
        <v>16</v>
      </c>
      <c r="B37" s="7" t="s">
        <v>17</v>
      </c>
      <c r="C37" s="7" t="s">
        <v>18</v>
      </c>
      <c r="D37" s="4">
        <v>60975174000363</v>
      </c>
      <c r="E37" s="8" t="s">
        <v>51</v>
      </c>
      <c r="F37" s="8" t="s">
        <v>20</v>
      </c>
      <c r="G37" s="7" t="s">
        <v>21</v>
      </c>
      <c r="H37" s="47" t="s">
        <v>786</v>
      </c>
      <c r="I37" s="47" t="s">
        <v>787</v>
      </c>
      <c r="J37" s="6">
        <v>70</v>
      </c>
      <c r="K37" s="8" t="s">
        <v>22</v>
      </c>
      <c r="L37" s="5">
        <v>150</v>
      </c>
      <c r="P37" s="3"/>
      <c r="Q37" s="3"/>
      <c r="R37" s="3"/>
    </row>
    <row r="38" spans="1:18" x14ac:dyDescent="0.2">
      <c r="A38" s="7" t="s">
        <v>16</v>
      </c>
      <c r="B38" s="7" t="s">
        <v>17</v>
      </c>
      <c r="C38" s="7" t="s">
        <v>18</v>
      </c>
      <c r="D38" s="4">
        <v>61213674000240</v>
      </c>
      <c r="E38" s="8" t="s">
        <v>52</v>
      </c>
      <c r="F38" s="8" t="s">
        <v>20</v>
      </c>
      <c r="G38" s="7" t="s">
        <v>21</v>
      </c>
      <c r="H38" s="47" t="s">
        <v>786</v>
      </c>
      <c r="I38" s="47" t="s">
        <v>787</v>
      </c>
      <c r="J38" s="6">
        <v>70</v>
      </c>
      <c r="K38" s="8" t="s">
        <v>22</v>
      </c>
      <c r="L38" s="5">
        <v>5</v>
      </c>
      <c r="P38" s="3"/>
      <c r="Q38" s="3"/>
      <c r="R38" s="3"/>
    </row>
    <row r="39" spans="1:18" x14ac:dyDescent="0.2">
      <c r="A39" s="7" t="s">
        <v>16</v>
      </c>
      <c r="B39" s="7" t="s">
        <v>17</v>
      </c>
      <c r="C39" s="7" t="s">
        <v>18</v>
      </c>
      <c r="D39" s="4">
        <v>61590410000124</v>
      </c>
      <c r="E39" s="8" t="s">
        <v>53</v>
      </c>
      <c r="F39" s="8" t="s">
        <v>20</v>
      </c>
      <c r="G39" s="7" t="s">
        <v>21</v>
      </c>
      <c r="H39" s="47" t="s">
        <v>786</v>
      </c>
      <c r="I39" s="47" t="s">
        <v>787</v>
      </c>
      <c r="J39" s="6">
        <v>70</v>
      </c>
      <c r="K39" s="8" t="s">
        <v>22</v>
      </c>
      <c r="L39" s="5">
        <v>2360</v>
      </c>
      <c r="P39" s="3"/>
      <c r="Q39" s="3"/>
      <c r="R39" s="3"/>
    </row>
    <row r="40" spans="1:18" x14ac:dyDescent="0.2">
      <c r="A40" s="7" t="s">
        <v>16</v>
      </c>
      <c r="B40" s="7" t="s">
        <v>17</v>
      </c>
      <c r="C40" s="7" t="s">
        <v>18</v>
      </c>
      <c r="D40" s="4">
        <v>61849980001087</v>
      </c>
      <c r="E40" s="8" t="s">
        <v>54</v>
      </c>
      <c r="F40" s="8" t="s">
        <v>20</v>
      </c>
      <c r="G40" s="7" t="s">
        <v>21</v>
      </c>
      <c r="H40" s="47" t="s">
        <v>786</v>
      </c>
      <c r="I40" s="47" t="s">
        <v>787</v>
      </c>
      <c r="J40" s="6">
        <v>70</v>
      </c>
      <c r="K40" s="8" t="s">
        <v>22</v>
      </c>
      <c r="L40" s="5">
        <v>40</v>
      </c>
      <c r="P40" s="3"/>
      <c r="Q40" s="3"/>
      <c r="R40" s="3"/>
    </row>
    <row r="41" spans="1:18" x14ac:dyDescent="0.2">
      <c r="A41" s="7" t="s">
        <v>16</v>
      </c>
      <c r="B41" s="7" t="s">
        <v>55</v>
      </c>
      <c r="C41" s="7" t="s">
        <v>18</v>
      </c>
      <c r="D41" s="4">
        <v>5831510000124</v>
      </c>
      <c r="E41" s="8" t="s">
        <v>24</v>
      </c>
      <c r="F41" s="8" t="s">
        <v>20</v>
      </c>
      <c r="G41" s="7" t="s">
        <v>21</v>
      </c>
      <c r="H41" s="47" t="s">
        <v>786</v>
      </c>
      <c r="I41" s="47" t="s">
        <v>787</v>
      </c>
      <c r="J41" s="6">
        <v>70</v>
      </c>
      <c r="K41" s="8" t="s">
        <v>22</v>
      </c>
      <c r="L41" s="5">
        <v>140</v>
      </c>
      <c r="P41" s="3"/>
      <c r="Q41" s="3"/>
      <c r="R41" s="3"/>
    </row>
    <row r="42" spans="1:18" x14ac:dyDescent="0.2">
      <c r="A42" s="7" t="s">
        <v>16</v>
      </c>
      <c r="B42" s="7" t="s">
        <v>55</v>
      </c>
      <c r="C42" s="7" t="s">
        <v>18</v>
      </c>
      <c r="D42" s="4">
        <v>7045325000130</v>
      </c>
      <c r="E42" s="8" t="s">
        <v>57</v>
      </c>
      <c r="F42" s="8" t="s">
        <v>20</v>
      </c>
      <c r="G42" s="7" t="s">
        <v>21</v>
      </c>
      <c r="H42" s="47" t="s">
        <v>786</v>
      </c>
      <c r="I42" s="47" t="s">
        <v>787</v>
      </c>
      <c r="J42" s="6">
        <v>70</v>
      </c>
      <c r="K42" s="8" t="s">
        <v>22</v>
      </c>
      <c r="L42" s="5">
        <v>200</v>
      </c>
      <c r="P42" s="3"/>
      <c r="Q42" s="3"/>
      <c r="R42" s="3"/>
    </row>
    <row r="43" spans="1:18" x14ac:dyDescent="0.2">
      <c r="A43" s="7" t="s">
        <v>16</v>
      </c>
      <c r="B43" s="7" t="s">
        <v>55</v>
      </c>
      <c r="C43" s="7" t="s">
        <v>18</v>
      </c>
      <c r="D43" s="4">
        <v>8100676000592</v>
      </c>
      <c r="E43" s="8" t="s">
        <v>25</v>
      </c>
      <c r="F43" s="8" t="s">
        <v>20</v>
      </c>
      <c r="G43" s="7" t="s">
        <v>21</v>
      </c>
      <c r="H43" s="47" t="s">
        <v>786</v>
      </c>
      <c r="I43" s="47" t="s">
        <v>787</v>
      </c>
      <c r="J43" s="6">
        <v>70</v>
      </c>
      <c r="K43" s="8" t="s">
        <v>22</v>
      </c>
      <c r="L43" s="5">
        <v>220</v>
      </c>
      <c r="P43" s="3"/>
      <c r="Q43" s="3"/>
      <c r="R43" s="3"/>
    </row>
    <row r="44" spans="1:18" x14ac:dyDescent="0.2">
      <c r="A44" s="7" t="s">
        <v>16</v>
      </c>
      <c r="B44" s="7" t="s">
        <v>55</v>
      </c>
      <c r="C44" s="7" t="s">
        <v>18</v>
      </c>
      <c r="D44" s="4">
        <v>8100676002455</v>
      </c>
      <c r="E44" s="8" t="s">
        <v>27</v>
      </c>
      <c r="F44" s="8" t="s">
        <v>20</v>
      </c>
      <c r="G44" s="7" t="s">
        <v>21</v>
      </c>
      <c r="H44" s="47" t="s">
        <v>786</v>
      </c>
      <c r="I44" s="47" t="s">
        <v>787</v>
      </c>
      <c r="J44" s="6">
        <v>70</v>
      </c>
      <c r="K44" s="8" t="s">
        <v>22</v>
      </c>
      <c r="L44" s="5">
        <v>525</v>
      </c>
      <c r="P44" s="3"/>
      <c r="Q44" s="3"/>
      <c r="R44" s="3"/>
    </row>
    <row r="45" spans="1:18" x14ac:dyDescent="0.2">
      <c r="A45" s="7" t="s">
        <v>16</v>
      </c>
      <c r="B45" s="7" t="s">
        <v>55</v>
      </c>
      <c r="C45" s="7" t="s">
        <v>18</v>
      </c>
      <c r="D45" s="4">
        <v>8871521000126</v>
      </c>
      <c r="E45" s="8" t="s">
        <v>28</v>
      </c>
      <c r="F45" s="8" t="s">
        <v>20</v>
      </c>
      <c r="G45" s="7" t="s">
        <v>21</v>
      </c>
      <c r="H45" s="47" t="s">
        <v>786</v>
      </c>
      <c r="I45" s="47" t="s">
        <v>787</v>
      </c>
      <c r="J45" s="6">
        <v>70</v>
      </c>
      <c r="K45" s="8" t="s">
        <v>22</v>
      </c>
      <c r="L45" s="5">
        <v>397.5</v>
      </c>
      <c r="P45" s="3"/>
      <c r="Q45" s="3"/>
      <c r="R45" s="3"/>
    </row>
    <row r="46" spans="1:18" x14ac:dyDescent="0.2">
      <c r="A46" s="7" t="s">
        <v>16</v>
      </c>
      <c r="B46" s="7" t="s">
        <v>55</v>
      </c>
      <c r="C46" s="7" t="s">
        <v>18</v>
      </c>
      <c r="D46" s="4">
        <v>10468341000140</v>
      </c>
      <c r="E46" s="8" t="s">
        <v>29</v>
      </c>
      <c r="F46" s="8" t="s">
        <v>20</v>
      </c>
      <c r="G46" s="7" t="s">
        <v>21</v>
      </c>
      <c r="H46" s="47" t="s">
        <v>786</v>
      </c>
      <c r="I46" s="47" t="s">
        <v>787</v>
      </c>
      <c r="J46" s="6">
        <v>70</v>
      </c>
      <c r="K46" s="8" t="s">
        <v>22</v>
      </c>
      <c r="L46" s="5">
        <v>805</v>
      </c>
      <c r="P46" s="3"/>
      <c r="Q46" s="3"/>
      <c r="R46" s="3"/>
    </row>
    <row r="47" spans="1:18" x14ac:dyDescent="0.2">
      <c r="A47" s="7" t="s">
        <v>16</v>
      </c>
      <c r="B47" s="7" t="s">
        <v>55</v>
      </c>
      <c r="C47" s="7" t="s">
        <v>18</v>
      </c>
      <c r="D47" s="4">
        <v>10468341000220</v>
      </c>
      <c r="E47" s="8" t="s">
        <v>30</v>
      </c>
      <c r="F47" s="8" t="s">
        <v>20</v>
      </c>
      <c r="G47" s="7" t="s">
        <v>21</v>
      </c>
      <c r="H47" s="47" t="s">
        <v>786</v>
      </c>
      <c r="I47" s="47" t="s">
        <v>787</v>
      </c>
      <c r="J47" s="6">
        <v>70</v>
      </c>
      <c r="K47" s="8" t="s">
        <v>22</v>
      </c>
      <c r="L47" s="5">
        <v>550</v>
      </c>
      <c r="P47" s="3"/>
      <c r="Q47" s="3"/>
      <c r="R47" s="3"/>
    </row>
    <row r="48" spans="1:18" x14ac:dyDescent="0.2">
      <c r="A48" s="7" t="s">
        <v>16</v>
      </c>
      <c r="B48" s="7" t="s">
        <v>55</v>
      </c>
      <c r="C48" s="7" t="s">
        <v>18</v>
      </c>
      <c r="D48" s="4">
        <v>10475230000160</v>
      </c>
      <c r="E48" s="8" t="s">
        <v>31</v>
      </c>
      <c r="F48" s="8" t="s">
        <v>20</v>
      </c>
      <c r="G48" s="7" t="s">
        <v>21</v>
      </c>
      <c r="H48" s="47" t="s">
        <v>786</v>
      </c>
      <c r="I48" s="47" t="s">
        <v>787</v>
      </c>
      <c r="J48" s="6">
        <v>70</v>
      </c>
      <c r="K48" s="8" t="s">
        <v>22</v>
      </c>
      <c r="L48" s="5">
        <v>45</v>
      </c>
      <c r="P48" s="3"/>
      <c r="Q48" s="3"/>
      <c r="R48" s="3"/>
    </row>
    <row r="49" spans="1:18" x14ac:dyDescent="0.2">
      <c r="A49" s="7" t="s">
        <v>16</v>
      </c>
      <c r="B49" s="7" t="s">
        <v>55</v>
      </c>
      <c r="C49" s="7" t="s">
        <v>18</v>
      </c>
      <c r="D49" s="4">
        <v>19803199000114</v>
      </c>
      <c r="E49" s="8" t="s">
        <v>32</v>
      </c>
      <c r="F49" s="8" t="s">
        <v>20</v>
      </c>
      <c r="G49" s="7" t="s">
        <v>21</v>
      </c>
      <c r="H49" s="47" t="s">
        <v>786</v>
      </c>
      <c r="I49" s="47" t="s">
        <v>787</v>
      </c>
      <c r="J49" s="6">
        <v>70</v>
      </c>
      <c r="K49" s="8" t="s">
        <v>22</v>
      </c>
      <c r="L49" s="5">
        <v>175</v>
      </c>
      <c r="P49" s="3"/>
      <c r="Q49" s="3"/>
      <c r="R49" s="3"/>
    </row>
    <row r="50" spans="1:18" x14ac:dyDescent="0.2">
      <c r="A50" s="7" t="s">
        <v>16</v>
      </c>
      <c r="B50" s="7" t="s">
        <v>55</v>
      </c>
      <c r="C50" s="7" t="s">
        <v>18</v>
      </c>
      <c r="D50" s="4">
        <v>21371777000132</v>
      </c>
      <c r="E50" s="8" t="s">
        <v>33</v>
      </c>
      <c r="F50" s="8" t="s">
        <v>20</v>
      </c>
      <c r="G50" s="7" t="s">
        <v>21</v>
      </c>
      <c r="H50" s="47" t="s">
        <v>786</v>
      </c>
      <c r="I50" s="47" t="s">
        <v>787</v>
      </c>
      <c r="J50" s="6">
        <v>70</v>
      </c>
      <c r="K50" s="8" t="s">
        <v>22</v>
      </c>
      <c r="L50" s="5">
        <v>600</v>
      </c>
      <c r="P50" s="3"/>
      <c r="Q50" s="3"/>
      <c r="R50" s="3"/>
    </row>
    <row r="51" spans="1:18" x14ac:dyDescent="0.2">
      <c r="A51" s="7" t="s">
        <v>16</v>
      </c>
      <c r="B51" s="7" t="s">
        <v>55</v>
      </c>
      <c r="C51" s="7" t="s">
        <v>18</v>
      </c>
      <c r="D51" s="4">
        <v>29435005002687</v>
      </c>
      <c r="E51" s="8" t="s">
        <v>34</v>
      </c>
      <c r="F51" s="8" t="s">
        <v>20</v>
      </c>
      <c r="G51" s="7" t="s">
        <v>21</v>
      </c>
      <c r="H51" s="47" t="s">
        <v>786</v>
      </c>
      <c r="I51" s="47" t="s">
        <v>787</v>
      </c>
      <c r="J51" s="6">
        <v>70</v>
      </c>
      <c r="K51" s="8" t="s">
        <v>22</v>
      </c>
      <c r="L51" s="5">
        <v>1350</v>
      </c>
      <c r="P51" s="3"/>
      <c r="Q51" s="3"/>
      <c r="R51" s="3"/>
    </row>
    <row r="52" spans="1:18" x14ac:dyDescent="0.2">
      <c r="A52" s="7" t="s">
        <v>16</v>
      </c>
      <c r="B52" s="7" t="s">
        <v>55</v>
      </c>
      <c r="C52" s="7" t="s">
        <v>18</v>
      </c>
      <c r="D52" s="4">
        <v>29435005009932</v>
      </c>
      <c r="E52" s="8" t="s">
        <v>36</v>
      </c>
      <c r="F52" s="8" t="s">
        <v>20</v>
      </c>
      <c r="G52" s="7" t="s">
        <v>21</v>
      </c>
      <c r="H52" s="47" t="s">
        <v>786</v>
      </c>
      <c r="I52" s="47" t="s">
        <v>787</v>
      </c>
      <c r="J52" s="6">
        <v>70</v>
      </c>
      <c r="K52" s="8" t="s">
        <v>22</v>
      </c>
      <c r="L52" s="5">
        <v>1700</v>
      </c>
      <c r="P52" s="3"/>
      <c r="Q52" s="3"/>
      <c r="R52" s="3"/>
    </row>
    <row r="53" spans="1:18" x14ac:dyDescent="0.2">
      <c r="A53" s="7" t="s">
        <v>16</v>
      </c>
      <c r="B53" s="7" t="s">
        <v>55</v>
      </c>
      <c r="C53" s="7" t="s">
        <v>18</v>
      </c>
      <c r="D53" s="4">
        <v>43643139000409</v>
      </c>
      <c r="E53" s="8" t="s">
        <v>37</v>
      </c>
      <c r="F53" s="8" t="s">
        <v>20</v>
      </c>
      <c r="G53" s="7" t="s">
        <v>21</v>
      </c>
      <c r="H53" s="47" t="s">
        <v>786</v>
      </c>
      <c r="I53" s="47" t="s">
        <v>787</v>
      </c>
      <c r="J53" s="6">
        <v>70</v>
      </c>
      <c r="K53" s="8" t="s">
        <v>22</v>
      </c>
      <c r="L53" s="5">
        <v>160</v>
      </c>
      <c r="P53" s="3"/>
      <c r="Q53" s="3"/>
      <c r="R53" s="3"/>
    </row>
    <row r="54" spans="1:18" x14ac:dyDescent="0.2">
      <c r="A54" s="7" t="s">
        <v>16</v>
      </c>
      <c r="B54" s="7" t="s">
        <v>55</v>
      </c>
      <c r="C54" s="7" t="s">
        <v>18</v>
      </c>
      <c r="D54" s="4">
        <v>44649812005520</v>
      </c>
      <c r="E54" s="8" t="s">
        <v>38</v>
      </c>
      <c r="F54" s="8" t="s">
        <v>20</v>
      </c>
      <c r="G54" s="7" t="s">
        <v>21</v>
      </c>
      <c r="H54" s="47" t="s">
        <v>786</v>
      </c>
      <c r="I54" s="47" t="s">
        <v>787</v>
      </c>
      <c r="J54" s="6">
        <v>70</v>
      </c>
      <c r="K54" s="8" t="s">
        <v>22</v>
      </c>
      <c r="L54" s="5">
        <v>150</v>
      </c>
      <c r="P54" s="3"/>
      <c r="Q54" s="3"/>
      <c r="R54" s="3"/>
    </row>
    <row r="55" spans="1:18" x14ac:dyDescent="0.2">
      <c r="A55" s="7" t="s">
        <v>16</v>
      </c>
      <c r="B55" s="7" t="s">
        <v>55</v>
      </c>
      <c r="C55" s="7" t="s">
        <v>18</v>
      </c>
      <c r="D55" s="4">
        <v>46374500026231</v>
      </c>
      <c r="E55" s="8" t="s">
        <v>58</v>
      </c>
      <c r="F55" s="8" t="s">
        <v>20</v>
      </c>
      <c r="G55" s="7" t="s">
        <v>21</v>
      </c>
      <c r="H55" s="47" t="s">
        <v>786</v>
      </c>
      <c r="I55" s="47" t="s">
        <v>787</v>
      </c>
      <c r="J55" s="6">
        <v>70</v>
      </c>
      <c r="K55" s="8" t="s">
        <v>22</v>
      </c>
      <c r="L55" s="5">
        <v>20285</v>
      </c>
      <c r="P55" s="3"/>
      <c r="Q55" s="3"/>
      <c r="R55" s="3"/>
    </row>
    <row r="56" spans="1:18" x14ac:dyDescent="0.2">
      <c r="A56" s="7" t="s">
        <v>16</v>
      </c>
      <c r="B56" s="7" t="s">
        <v>55</v>
      </c>
      <c r="C56" s="7" t="s">
        <v>18</v>
      </c>
      <c r="D56" s="4">
        <v>51722957000506</v>
      </c>
      <c r="E56" s="8" t="s">
        <v>59</v>
      </c>
      <c r="F56" s="8" t="s">
        <v>20</v>
      </c>
      <c r="G56" s="7" t="s">
        <v>21</v>
      </c>
      <c r="H56" s="47" t="s">
        <v>786</v>
      </c>
      <c r="I56" s="47" t="s">
        <v>787</v>
      </c>
      <c r="J56" s="6">
        <v>70</v>
      </c>
      <c r="K56" s="8" t="s">
        <v>22</v>
      </c>
      <c r="L56" s="5">
        <v>400</v>
      </c>
      <c r="P56" s="3"/>
      <c r="Q56" s="3"/>
      <c r="R56" s="3"/>
    </row>
    <row r="57" spans="1:18" x14ac:dyDescent="0.2">
      <c r="A57" s="7" t="s">
        <v>16</v>
      </c>
      <c r="B57" s="7" t="s">
        <v>55</v>
      </c>
      <c r="C57" s="7" t="s">
        <v>18</v>
      </c>
      <c r="D57" s="4">
        <v>51722957010226</v>
      </c>
      <c r="E57" s="8" t="s">
        <v>39</v>
      </c>
      <c r="F57" s="8" t="s">
        <v>20</v>
      </c>
      <c r="G57" s="7" t="s">
        <v>21</v>
      </c>
      <c r="H57" s="47" t="s">
        <v>786</v>
      </c>
      <c r="I57" s="47" t="s">
        <v>787</v>
      </c>
      <c r="J57" s="6">
        <v>70</v>
      </c>
      <c r="K57" s="8" t="s">
        <v>22</v>
      </c>
      <c r="L57" s="5">
        <v>950</v>
      </c>
      <c r="P57" s="3"/>
      <c r="Q57" s="3"/>
      <c r="R57" s="3"/>
    </row>
    <row r="58" spans="1:18" x14ac:dyDescent="0.2">
      <c r="A58" s="7" t="s">
        <v>16</v>
      </c>
      <c r="B58" s="7" t="s">
        <v>55</v>
      </c>
      <c r="C58" s="7" t="s">
        <v>18</v>
      </c>
      <c r="D58" s="4">
        <v>51722957012512</v>
      </c>
      <c r="E58" s="8" t="s">
        <v>40</v>
      </c>
      <c r="F58" s="8" t="s">
        <v>20</v>
      </c>
      <c r="G58" s="7" t="s">
        <v>21</v>
      </c>
      <c r="H58" s="47" t="s">
        <v>786</v>
      </c>
      <c r="I58" s="47" t="s">
        <v>787</v>
      </c>
      <c r="J58" s="6">
        <v>70</v>
      </c>
      <c r="K58" s="8" t="s">
        <v>22</v>
      </c>
      <c r="L58" s="5">
        <v>265</v>
      </c>
      <c r="P58" s="3"/>
      <c r="Q58" s="3"/>
      <c r="R58" s="3"/>
    </row>
    <row r="59" spans="1:18" x14ac:dyDescent="0.2">
      <c r="A59" s="7" t="s">
        <v>16</v>
      </c>
      <c r="B59" s="7" t="s">
        <v>55</v>
      </c>
      <c r="C59" s="7" t="s">
        <v>18</v>
      </c>
      <c r="D59" s="4">
        <v>59481028000130</v>
      </c>
      <c r="E59" s="8" t="s">
        <v>42</v>
      </c>
      <c r="F59" s="8" t="s">
        <v>20</v>
      </c>
      <c r="G59" s="7" t="s">
        <v>21</v>
      </c>
      <c r="H59" s="47" t="s">
        <v>786</v>
      </c>
      <c r="I59" s="47" t="s">
        <v>787</v>
      </c>
      <c r="J59" s="6">
        <v>70</v>
      </c>
      <c r="K59" s="8" t="s">
        <v>22</v>
      </c>
      <c r="L59" s="5">
        <v>30</v>
      </c>
      <c r="P59" s="3"/>
      <c r="Q59" s="3"/>
      <c r="R59" s="3"/>
    </row>
    <row r="60" spans="1:18" x14ac:dyDescent="0.2">
      <c r="A60" s="7" t="s">
        <v>16</v>
      </c>
      <c r="B60" s="7" t="s">
        <v>55</v>
      </c>
      <c r="C60" s="7" t="s">
        <v>18</v>
      </c>
      <c r="D60" s="4">
        <v>60552098000111</v>
      </c>
      <c r="E60" s="8" t="s">
        <v>43</v>
      </c>
      <c r="F60" s="8" t="s">
        <v>20</v>
      </c>
      <c r="G60" s="7" t="s">
        <v>21</v>
      </c>
      <c r="H60" s="47" t="s">
        <v>786</v>
      </c>
      <c r="I60" s="47" t="s">
        <v>787</v>
      </c>
      <c r="J60" s="6">
        <v>70</v>
      </c>
      <c r="K60" s="8" t="s">
        <v>22</v>
      </c>
      <c r="L60" s="5">
        <v>405</v>
      </c>
      <c r="P60" s="3"/>
      <c r="Q60" s="3"/>
      <c r="R60" s="3"/>
    </row>
    <row r="61" spans="1:18" x14ac:dyDescent="0.2">
      <c r="A61" s="7" t="s">
        <v>16</v>
      </c>
      <c r="B61" s="7" t="s">
        <v>55</v>
      </c>
      <c r="C61" s="7" t="s">
        <v>18</v>
      </c>
      <c r="D61" s="4">
        <v>60726502000126</v>
      </c>
      <c r="E61" s="8" t="s">
        <v>44</v>
      </c>
      <c r="F61" s="8" t="s">
        <v>20</v>
      </c>
      <c r="G61" s="7" t="s">
        <v>21</v>
      </c>
      <c r="H61" s="47" t="s">
        <v>786</v>
      </c>
      <c r="I61" s="47" t="s">
        <v>787</v>
      </c>
      <c r="J61" s="6">
        <v>70</v>
      </c>
      <c r="K61" s="8" t="s">
        <v>22</v>
      </c>
      <c r="L61" s="5">
        <v>830</v>
      </c>
      <c r="P61" s="3"/>
      <c r="Q61" s="3"/>
      <c r="R61" s="3"/>
    </row>
    <row r="62" spans="1:18" x14ac:dyDescent="0.2">
      <c r="A62" s="7" t="s">
        <v>16</v>
      </c>
      <c r="B62" s="7" t="s">
        <v>55</v>
      </c>
      <c r="C62" s="7" t="s">
        <v>18</v>
      </c>
      <c r="D62" s="4">
        <v>60777901000116</v>
      </c>
      <c r="E62" s="8" t="s">
        <v>45</v>
      </c>
      <c r="F62" s="8" t="s">
        <v>20</v>
      </c>
      <c r="G62" s="7" t="s">
        <v>21</v>
      </c>
      <c r="H62" s="47" t="s">
        <v>786</v>
      </c>
      <c r="I62" s="47" t="s">
        <v>787</v>
      </c>
      <c r="J62" s="6">
        <v>70</v>
      </c>
      <c r="K62" s="8" t="s">
        <v>22</v>
      </c>
      <c r="L62" s="5">
        <v>1000</v>
      </c>
      <c r="P62" s="3"/>
      <c r="Q62" s="3"/>
      <c r="R62" s="3"/>
    </row>
    <row r="63" spans="1:18" x14ac:dyDescent="0.2">
      <c r="A63" s="7" t="s">
        <v>16</v>
      </c>
      <c r="B63" s="7" t="s">
        <v>55</v>
      </c>
      <c r="C63" s="7" t="s">
        <v>18</v>
      </c>
      <c r="D63" s="4">
        <v>60884855000316</v>
      </c>
      <c r="E63" s="8" t="s">
        <v>46</v>
      </c>
      <c r="F63" s="8" t="s">
        <v>20</v>
      </c>
      <c r="G63" s="7" t="s">
        <v>21</v>
      </c>
      <c r="H63" s="47" t="s">
        <v>786</v>
      </c>
      <c r="I63" s="47" t="s">
        <v>787</v>
      </c>
      <c r="J63" s="6">
        <v>70</v>
      </c>
      <c r="K63" s="8" t="s">
        <v>22</v>
      </c>
      <c r="L63" s="5">
        <v>875</v>
      </c>
      <c r="P63" s="3"/>
      <c r="Q63" s="3"/>
      <c r="R63" s="3"/>
    </row>
    <row r="64" spans="1:18" x14ac:dyDescent="0.2">
      <c r="A64" s="7" t="s">
        <v>16</v>
      </c>
      <c r="B64" s="7" t="s">
        <v>55</v>
      </c>
      <c r="C64" s="7" t="s">
        <v>18</v>
      </c>
      <c r="D64" s="4">
        <v>60922168000771</v>
      </c>
      <c r="E64" s="8" t="s">
        <v>47</v>
      </c>
      <c r="F64" s="8" t="s">
        <v>20</v>
      </c>
      <c r="G64" s="7" t="s">
        <v>21</v>
      </c>
      <c r="H64" s="47" t="s">
        <v>786</v>
      </c>
      <c r="I64" s="47" t="s">
        <v>787</v>
      </c>
      <c r="J64" s="6">
        <v>70</v>
      </c>
      <c r="K64" s="8" t="s">
        <v>22</v>
      </c>
      <c r="L64" s="5">
        <v>105</v>
      </c>
      <c r="P64" s="3"/>
      <c r="Q64" s="3"/>
      <c r="R64" s="3"/>
    </row>
    <row r="65" spans="1:18" x14ac:dyDescent="0.2">
      <c r="A65" s="7" t="s">
        <v>16</v>
      </c>
      <c r="B65" s="7" t="s">
        <v>55</v>
      </c>
      <c r="C65" s="7" t="s">
        <v>18</v>
      </c>
      <c r="D65" s="4">
        <v>60922168004335</v>
      </c>
      <c r="E65" s="8" t="s">
        <v>48</v>
      </c>
      <c r="F65" s="8" t="s">
        <v>20</v>
      </c>
      <c r="G65" s="7" t="s">
        <v>21</v>
      </c>
      <c r="H65" s="47" t="s">
        <v>786</v>
      </c>
      <c r="I65" s="47" t="s">
        <v>787</v>
      </c>
      <c r="J65" s="6">
        <v>70</v>
      </c>
      <c r="K65" s="8" t="s">
        <v>22</v>
      </c>
      <c r="L65" s="5">
        <v>60</v>
      </c>
      <c r="P65" s="3"/>
      <c r="Q65" s="3"/>
      <c r="R65" s="3"/>
    </row>
    <row r="66" spans="1:18" x14ac:dyDescent="0.2">
      <c r="A66" s="7" t="s">
        <v>16</v>
      </c>
      <c r="B66" s="7" t="s">
        <v>55</v>
      </c>
      <c r="C66" s="7" t="s">
        <v>18</v>
      </c>
      <c r="D66" s="4">
        <v>60961422000155</v>
      </c>
      <c r="E66" s="8" t="s">
        <v>49</v>
      </c>
      <c r="F66" s="8" t="s">
        <v>20</v>
      </c>
      <c r="G66" s="7" t="s">
        <v>21</v>
      </c>
      <c r="H66" s="47" t="s">
        <v>786</v>
      </c>
      <c r="I66" s="47" t="s">
        <v>787</v>
      </c>
      <c r="J66" s="6">
        <v>70</v>
      </c>
      <c r="K66" s="8" t="s">
        <v>22</v>
      </c>
      <c r="L66" s="5">
        <v>20</v>
      </c>
      <c r="P66" s="3"/>
      <c r="Q66" s="3"/>
      <c r="R66" s="3"/>
    </row>
    <row r="67" spans="1:18" x14ac:dyDescent="0.2">
      <c r="A67" s="7" t="s">
        <v>16</v>
      </c>
      <c r="B67" s="7" t="s">
        <v>55</v>
      </c>
      <c r="C67" s="7" t="s">
        <v>18</v>
      </c>
      <c r="D67" s="4">
        <v>60961968000106</v>
      </c>
      <c r="E67" s="8" t="s">
        <v>50</v>
      </c>
      <c r="F67" s="8" t="s">
        <v>20</v>
      </c>
      <c r="G67" s="7" t="s">
        <v>21</v>
      </c>
      <c r="H67" s="47" t="s">
        <v>786</v>
      </c>
      <c r="I67" s="47" t="s">
        <v>787</v>
      </c>
      <c r="J67" s="6">
        <v>70</v>
      </c>
      <c r="K67" s="8" t="s">
        <v>22</v>
      </c>
      <c r="L67" s="5">
        <v>1500</v>
      </c>
      <c r="P67" s="3"/>
      <c r="Q67" s="3"/>
      <c r="R67" s="3"/>
    </row>
    <row r="68" spans="1:18" x14ac:dyDescent="0.2">
      <c r="A68" s="7" t="s">
        <v>16</v>
      </c>
      <c r="B68" s="7" t="s">
        <v>55</v>
      </c>
      <c r="C68" s="7" t="s">
        <v>18</v>
      </c>
      <c r="D68" s="4">
        <v>61590410000124</v>
      </c>
      <c r="E68" s="8" t="s">
        <v>53</v>
      </c>
      <c r="F68" s="8" t="s">
        <v>20</v>
      </c>
      <c r="G68" s="7" t="s">
        <v>21</v>
      </c>
      <c r="H68" s="47" t="s">
        <v>786</v>
      </c>
      <c r="I68" s="47" t="s">
        <v>787</v>
      </c>
      <c r="J68" s="6">
        <v>70</v>
      </c>
      <c r="K68" s="8" t="s">
        <v>22</v>
      </c>
      <c r="L68" s="5">
        <v>2670</v>
      </c>
      <c r="P68" s="3"/>
      <c r="Q68" s="3"/>
      <c r="R68" s="3"/>
    </row>
    <row r="69" spans="1:18" x14ac:dyDescent="0.2">
      <c r="A69" s="7" t="s">
        <v>16</v>
      </c>
      <c r="B69" s="7" t="s">
        <v>60</v>
      </c>
      <c r="C69" s="7" t="s">
        <v>18</v>
      </c>
      <c r="D69" s="4">
        <v>2383508000494</v>
      </c>
      <c r="E69" s="8" t="s">
        <v>56</v>
      </c>
      <c r="F69" s="8" t="s">
        <v>20</v>
      </c>
      <c r="G69" s="7" t="s">
        <v>21</v>
      </c>
      <c r="H69" s="47" t="s">
        <v>786</v>
      </c>
      <c r="I69" s="47" t="s">
        <v>787</v>
      </c>
      <c r="J69" s="6">
        <v>70</v>
      </c>
      <c r="K69" s="8" t="s">
        <v>22</v>
      </c>
      <c r="L69" s="5">
        <v>280</v>
      </c>
      <c r="P69" s="3"/>
      <c r="Q69" s="3"/>
      <c r="R69" s="3"/>
    </row>
    <row r="70" spans="1:18" x14ac:dyDescent="0.2">
      <c r="A70" s="7" t="s">
        <v>16</v>
      </c>
      <c r="B70" s="7" t="s">
        <v>60</v>
      </c>
      <c r="C70" s="7" t="s">
        <v>18</v>
      </c>
      <c r="D70" s="4">
        <v>4036348000190</v>
      </c>
      <c r="E70" s="8" t="s">
        <v>23</v>
      </c>
      <c r="F70" s="8" t="s">
        <v>20</v>
      </c>
      <c r="G70" s="7" t="s">
        <v>21</v>
      </c>
      <c r="H70" s="47" t="s">
        <v>786</v>
      </c>
      <c r="I70" s="47" t="s">
        <v>787</v>
      </c>
      <c r="J70" s="6">
        <v>70</v>
      </c>
      <c r="K70" s="8" t="s">
        <v>22</v>
      </c>
      <c r="L70" s="5">
        <v>365</v>
      </c>
      <c r="P70" s="3"/>
      <c r="Q70" s="3"/>
      <c r="R70" s="3"/>
    </row>
    <row r="71" spans="1:18" x14ac:dyDescent="0.2">
      <c r="A71" s="7" t="s">
        <v>16</v>
      </c>
      <c r="B71" s="7" t="s">
        <v>60</v>
      </c>
      <c r="C71" s="7" t="s">
        <v>18</v>
      </c>
      <c r="D71" s="4">
        <v>5831510000124</v>
      </c>
      <c r="E71" s="8" t="s">
        <v>24</v>
      </c>
      <c r="F71" s="8" t="s">
        <v>20</v>
      </c>
      <c r="G71" s="7" t="s">
        <v>21</v>
      </c>
      <c r="H71" s="47" t="s">
        <v>786</v>
      </c>
      <c r="I71" s="47" t="s">
        <v>787</v>
      </c>
      <c r="J71" s="6">
        <v>70</v>
      </c>
      <c r="K71" s="8" t="s">
        <v>22</v>
      </c>
      <c r="L71" s="5">
        <v>140</v>
      </c>
      <c r="P71" s="3"/>
      <c r="Q71" s="3"/>
      <c r="R71" s="3"/>
    </row>
    <row r="72" spans="1:18" x14ac:dyDescent="0.2">
      <c r="A72" s="7" t="s">
        <v>16</v>
      </c>
      <c r="B72" s="7" t="s">
        <v>60</v>
      </c>
      <c r="C72" s="7" t="s">
        <v>18</v>
      </c>
      <c r="D72" s="4">
        <v>8100676000592</v>
      </c>
      <c r="E72" s="8" t="s">
        <v>25</v>
      </c>
      <c r="F72" s="8" t="s">
        <v>20</v>
      </c>
      <c r="G72" s="7" t="s">
        <v>21</v>
      </c>
      <c r="H72" s="47" t="s">
        <v>786</v>
      </c>
      <c r="I72" s="47" t="s">
        <v>787</v>
      </c>
      <c r="J72" s="6">
        <v>70</v>
      </c>
      <c r="K72" s="8" t="s">
        <v>22</v>
      </c>
      <c r="L72" s="5">
        <v>490</v>
      </c>
      <c r="P72" s="3"/>
      <c r="Q72" s="3"/>
      <c r="R72" s="3"/>
    </row>
    <row r="73" spans="1:18" x14ac:dyDescent="0.2">
      <c r="A73" s="7" t="s">
        <v>16</v>
      </c>
      <c r="B73" s="7" t="s">
        <v>60</v>
      </c>
      <c r="C73" s="7" t="s">
        <v>18</v>
      </c>
      <c r="D73" s="4">
        <v>8100676000835</v>
      </c>
      <c r="E73" s="8" t="s">
        <v>26</v>
      </c>
      <c r="F73" s="8" t="s">
        <v>20</v>
      </c>
      <c r="G73" s="7" t="s">
        <v>21</v>
      </c>
      <c r="H73" s="47" t="s">
        <v>786</v>
      </c>
      <c r="I73" s="47" t="s">
        <v>787</v>
      </c>
      <c r="J73" s="6">
        <v>70</v>
      </c>
      <c r="K73" s="8" t="s">
        <v>22</v>
      </c>
      <c r="L73" s="5">
        <v>240</v>
      </c>
      <c r="P73" s="3"/>
      <c r="Q73" s="3"/>
      <c r="R73" s="3"/>
    </row>
    <row r="74" spans="1:18" x14ac:dyDescent="0.2">
      <c r="A74" s="7" t="s">
        <v>16</v>
      </c>
      <c r="B74" s="7" t="s">
        <v>60</v>
      </c>
      <c r="C74" s="7" t="s">
        <v>18</v>
      </c>
      <c r="D74" s="4">
        <v>8100676002455</v>
      </c>
      <c r="E74" s="8" t="s">
        <v>27</v>
      </c>
      <c r="F74" s="8" t="s">
        <v>20</v>
      </c>
      <c r="G74" s="7" t="s">
        <v>21</v>
      </c>
      <c r="H74" s="47" t="s">
        <v>786</v>
      </c>
      <c r="I74" s="47" t="s">
        <v>787</v>
      </c>
      <c r="J74" s="6">
        <v>70</v>
      </c>
      <c r="K74" s="8" t="s">
        <v>22</v>
      </c>
      <c r="L74" s="5">
        <v>825</v>
      </c>
      <c r="P74" s="3"/>
      <c r="Q74" s="3"/>
      <c r="R74" s="3"/>
    </row>
    <row r="75" spans="1:18" x14ac:dyDescent="0.2">
      <c r="A75" s="7" t="s">
        <v>16</v>
      </c>
      <c r="B75" s="7" t="s">
        <v>60</v>
      </c>
      <c r="C75" s="7" t="s">
        <v>18</v>
      </c>
      <c r="D75" s="4">
        <v>8871521000126</v>
      </c>
      <c r="E75" s="8" t="s">
        <v>28</v>
      </c>
      <c r="F75" s="8" t="s">
        <v>20</v>
      </c>
      <c r="G75" s="7" t="s">
        <v>21</v>
      </c>
      <c r="H75" s="47" t="s">
        <v>786</v>
      </c>
      <c r="I75" s="47" t="s">
        <v>787</v>
      </c>
      <c r="J75" s="6">
        <v>70</v>
      </c>
      <c r="K75" s="8" t="s">
        <v>22</v>
      </c>
      <c r="L75" s="5">
        <v>45</v>
      </c>
      <c r="P75" s="3"/>
      <c r="Q75" s="3"/>
      <c r="R75" s="3"/>
    </row>
    <row r="76" spans="1:18" x14ac:dyDescent="0.2">
      <c r="A76" s="7" t="s">
        <v>16</v>
      </c>
      <c r="B76" s="7" t="s">
        <v>60</v>
      </c>
      <c r="C76" s="7" t="s">
        <v>18</v>
      </c>
      <c r="D76" s="4">
        <v>10468341000140</v>
      </c>
      <c r="E76" s="8" t="s">
        <v>29</v>
      </c>
      <c r="F76" s="8" t="s">
        <v>20</v>
      </c>
      <c r="G76" s="7" t="s">
        <v>21</v>
      </c>
      <c r="H76" s="47" t="s">
        <v>786</v>
      </c>
      <c r="I76" s="47" t="s">
        <v>787</v>
      </c>
      <c r="J76" s="6">
        <v>70</v>
      </c>
      <c r="K76" s="8" t="s">
        <v>22</v>
      </c>
      <c r="L76" s="5">
        <v>305</v>
      </c>
      <c r="P76" s="3"/>
      <c r="Q76" s="3"/>
      <c r="R76" s="3"/>
    </row>
    <row r="77" spans="1:18" x14ac:dyDescent="0.2">
      <c r="A77" s="7" t="s">
        <v>16</v>
      </c>
      <c r="B77" s="7" t="s">
        <v>60</v>
      </c>
      <c r="C77" s="7" t="s">
        <v>18</v>
      </c>
      <c r="D77" s="4">
        <v>10468341000220</v>
      </c>
      <c r="E77" s="8" t="s">
        <v>30</v>
      </c>
      <c r="F77" s="8" t="s">
        <v>20</v>
      </c>
      <c r="G77" s="7" t="s">
        <v>21</v>
      </c>
      <c r="H77" s="47" t="s">
        <v>786</v>
      </c>
      <c r="I77" s="47" t="s">
        <v>787</v>
      </c>
      <c r="J77" s="6">
        <v>70</v>
      </c>
      <c r="K77" s="8" t="s">
        <v>22</v>
      </c>
      <c r="L77" s="5">
        <v>805</v>
      </c>
      <c r="P77" s="3"/>
      <c r="Q77" s="3"/>
      <c r="R77" s="3"/>
    </row>
    <row r="78" spans="1:18" x14ac:dyDescent="0.2">
      <c r="A78" s="7" t="s">
        <v>16</v>
      </c>
      <c r="B78" s="7" t="s">
        <v>60</v>
      </c>
      <c r="C78" s="7" t="s">
        <v>18</v>
      </c>
      <c r="D78" s="4">
        <v>10475230000160</v>
      </c>
      <c r="E78" s="8" t="s">
        <v>31</v>
      </c>
      <c r="F78" s="8" t="s">
        <v>20</v>
      </c>
      <c r="G78" s="7" t="s">
        <v>21</v>
      </c>
      <c r="H78" s="47" t="s">
        <v>786</v>
      </c>
      <c r="I78" s="47" t="s">
        <v>787</v>
      </c>
      <c r="J78" s="6">
        <v>70</v>
      </c>
      <c r="K78" s="8" t="s">
        <v>22</v>
      </c>
      <c r="L78" s="5">
        <v>45</v>
      </c>
      <c r="P78" s="3"/>
      <c r="Q78" s="3"/>
      <c r="R78" s="3"/>
    </row>
    <row r="79" spans="1:18" x14ac:dyDescent="0.2">
      <c r="A79" s="7" t="s">
        <v>16</v>
      </c>
      <c r="B79" s="7" t="s">
        <v>60</v>
      </c>
      <c r="C79" s="7" t="s">
        <v>18</v>
      </c>
      <c r="D79" s="4">
        <v>19803199000114</v>
      </c>
      <c r="E79" s="8" t="s">
        <v>32</v>
      </c>
      <c r="F79" s="8" t="s">
        <v>20</v>
      </c>
      <c r="G79" s="7" t="s">
        <v>21</v>
      </c>
      <c r="H79" s="47" t="s">
        <v>786</v>
      </c>
      <c r="I79" s="47" t="s">
        <v>787</v>
      </c>
      <c r="J79" s="6">
        <v>70</v>
      </c>
      <c r="K79" s="8" t="s">
        <v>22</v>
      </c>
      <c r="L79" s="5">
        <v>125</v>
      </c>
      <c r="P79" s="3"/>
      <c r="Q79" s="3"/>
      <c r="R79" s="3"/>
    </row>
    <row r="80" spans="1:18" x14ac:dyDescent="0.2">
      <c r="A80" s="7" t="s">
        <v>16</v>
      </c>
      <c r="B80" s="7" t="s">
        <v>60</v>
      </c>
      <c r="C80" s="7" t="s">
        <v>18</v>
      </c>
      <c r="D80" s="4">
        <v>29435005002687</v>
      </c>
      <c r="E80" s="8" t="s">
        <v>34</v>
      </c>
      <c r="F80" s="8" t="s">
        <v>20</v>
      </c>
      <c r="G80" s="7" t="s">
        <v>21</v>
      </c>
      <c r="H80" s="47" t="s">
        <v>786</v>
      </c>
      <c r="I80" s="47" t="s">
        <v>787</v>
      </c>
      <c r="J80" s="6">
        <v>70</v>
      </c>
      <c r="K80" s="8" t="s">
        <v>22</v>
      </c>
      <c r="L80" s="5">
        <v>1150</v>
      </c>
      <c r="P80" s="3"/>
      <c r="Q80" s="3"/>
      <c r="R80" s="3"/>
    </row>
    <row r="81" spans="1:18" x14ac:dyDescent="0.2">
      <c r="A81" s="7" t="s">
        <v>16</v>
      </c>
      <c r="B81" s="7" t="s">
        <v>60</v>
      </c>
      <c r="C81" s="7" t="s">
        <v>18</v>
      </c>
      <c r="D81" s="4">
        <v>29435005004540</v>
      </c>
      <c r="E81" s="8" t="s">
        <v>35</v>
      </c>
      <c r="F81" s="8" t="s">
        <v>20</v>
      </c>
      <c r="G81" s="7" t="s">
        <v>21</v>
      </c>
      <c r="H81" s="47" t="s">
        <v>786</v>
      </c>
      <c r="I81" s="47" t="s">
        <v>787</v>
      </c>
      <c r="J81" s="6">
        <v>70</v>
      </c>
      <c r="K81" s="8" t="s">
        <v>22</v>
      </c>
      <c r="L81" s="5">
        <v>180</v>
      </c>
      <c r="P81" s="3"/>
      <c r="Q81" s="3"/>
      <c r="R81" s="3"/>
    </row>
    <row r="82" spans="1:18" x14ac:dyDescent="0.2">
      <c r="A82" s="7" t="s">
        <v>16</v>
      </c>
      <c r="B82" s="7" t="s">
        <v>60</v>
      </c>
      <c r="C82" s="7" t="s">
        <v>18</v>
      </c>
      <c r="D82" s="4">
        <v>29435005009932</v>
      </c>
      <c r="E82" s="8" t="s">
        <v>36</v>
      </c>
      <c r="F82" s="8" t="s">
        <v>20</v>
      </c>
      <c r="G82" s="7" t="s">
        <v>21</v>
      </c>
      <c r="H82" s="47" t="s">
        <v>786</v>
      </c>
      <c r="I82" s="47" t="s">
        <v>787</v>
      </c>
      <c r="J82" s="6">
        <v>70</v>
      </c>
      <c r="K82" s="8" t="s">
        <v>22</v>
      </c>
      <c r="L82" s="5">
        <v>1050</v>
      </c>
      <c r="P82" s="3"/>
      <c r="Q82" s="3"/>
      <c r="R82" s="3"/>
    </row>
    <row r="83" spans="1:18" x14ac:dyDescent="0.2">
      <c r="A83" s="7" t="s">
        <v>16</v>
      </c>
      <c r="B83" s="7" t="s">
        <v>60</v>
      </c>
      <c r="C83" s="7" t="s">
        <v>18</v>
      </c>
      <c r="D83" s="4">
        <v>46374500008845</v>
      </c>
      <c r="E83" s="8" t="s">
        <v>61</v>
      </c>
      <c r="F83" s="8" t="s">
        <v>20</v>
      </c>
      <c r="G83" s="7" t="s">
        <v>21</v>
      </c>
      <c r="H83" s="47" t="s">
        <v>786</v>
      </c>
      <c r="I83" s="47" t="s">
        <v>787</v>
      </c>
      <c r="J83" s="6">
        <v>70</v>
      </c>
      <c r="K83" s="8" t="s">
        <v>22</v>
      </c>
      <c r="L83" s="5">
        <v>200</v>
      </c>
      <c r="P83" s="3"/>
      <c r="Q83" s="3"/>
      <c r="R83" s="3"/>
    </row>
    <row r="84" spans="1:18" x14ac:dyDescent="0.2">
      <c r="A84" s="7" t="s">
        <v>16</v>
      </c>
      <c r="B84" s="7" t="s">
        <v>60</v>
      </c>
      <c r="C84" s="7" t="s">
        <v>18</v>
      </c>
      <c r="D84" s="4">
        <v>46374500010823</v>
      </c>
      <c r="E84" s="8" t="s">
        <v>62</v>
      </c>
      <c r="F84" s="8" t="s">
        <v>20</v>
      </c>
      <c r="G84" s="7" t="s">
        <v>21</v>
      </c>
      <c r="H84" s="47" t="s">
        <v>786</v>
      </c>
      <c r="I84" s="47" t="s">
        <v>787</v>
      </c>
      <c r="J84" s="6">
        <v>70</v>
      </c>
      <c r="K84" s="8" t="s">
        <v>22</v>
      </c>
      <c r="L84" s="5">
        <v>150</v>
      </c>
      <c r="P84" s="3"/>
      <c r="Q84" s="3"/>
      <c r="R84" s="3"/>
    </row>
    <row r="85" spans="1:18" x14ac:dyDescent="0.2">
      <c r="A85" s="7" t="s">
        <v>16</v>
      </c>
      <c r="B85" s="7" t="s">
        <v>60</v>
      </c>
      <c r="C85" s="7" t="s">
        <v>18</v>
      </c>
      <c r="D85" s="4">
        <v>51722957000506</v>
      </c>
      <c r="E85" s="8" t="s">
        <v>59</v>
      </c>
      <c r="F85" s="8" t="s">
        <v>20</v>
      </c>
      <c r="G85" s="7" t="s">
        <v>21</v>
      </c>
      <c r="H85" s="47" t="s">
        <v>786</v>
      </c>
      <c r="I85" s="47" t="s">
        <v>787</v>
      </c>
      <c r="J85" s="6">
        <v>70</v>
      </c>
      <c r="K85" s="8" t="s">
        <v>22</v>
      </c>
      <c r="L85" s="5">
        <v>1170</v>
      </c>
      <c r="P85" s="3"/>
      <c r="Q85" s="3"/>
      <c r="R85" s="3"/>
    </row>
    <row r="86" spans="1:18" x14ac:dyDescent="0.2">
      <c r="A86" s="7" t="s">
        <v>16</v>
      </c>
      <c r="B86" s="7" t="s">
        <v>60</v>
      </c>
      <c r="C86" s="7" t="s">
        <v>18</v>
      </c>
      <c r="D86" s="4">
        <v>51722957010226</v>
      </c>
      <c r="E86" s="8" t="s">
        <v>39</v>
      </c>
      <c r="F86" s="8" t="s">
        <v>20</v>
      </c>
      <c r="G86" s="7" t="s">
        <v>21</v>
      </c>
      <c r="H86" s="47" t="s">
        <v>786</v>
      </c>
      <c r="I86" s="47" t="s">
        <v>787</v>
      </c>
      <c r="J86" s="6">
        <v>70</v>
      </c>
      <c r="K86" s="8" t="s">
        <v>22</v>
      </c>
      <c r="L86" s="5">
        <v>1125</v>
      </c>
      <c r="P86" s="3"/>
      <c r="Q86" s="3"/>
      <c r="R86" s="3"/>
    </row>
    <row r="87" spans="1:18" x14ac:dyDescent="0.2">
      <c r="A87" s="7" t="s">
        <v>16</v>
      </c>
      <c r="B87" s="7" t="s">
        <v>60</v>
      </c>
      <c r="C87" s="7" t="s">
        <v>18</v>
      </c>
      <c r="D87" s="4">
        <v>51722957012512</v>
      </c>
      <c r="E87" s="8" t="s">
        <v>40</v>
      </c>
      <c r="F87" s="8" t="s">
        <v>20</v>
      </c>
      <c r="G87" s="7" t="s">
        <v>21</v>
      </c>
      <c r="H87" s="47" t="s">
        <v>786</v>
      </c>
      <c r="I87" s="47" t="s">
        <v>787</v>
      </c>
      <c r="J87" s="6">
        <v>70</v>
      </c>
      <c r="K87" s="8" t="s">
        <v>22</v>
      </c>
      <c r="L87" s="5">
        <v>90</v>
      </c>
      <c r="P87" s="3"/>
      <c r="Q87" s="3"/>
      <c r="R87" s="3"/>
    </row>
    <row r="88" spans="1:18" x14ac:dyDescent="0.2">
      <c r="A88" s="7" t="s">
        <v>16</v>
      </c>
      <c r="B88" s="7" t="s">
        <v>60</v>
      </c>
      <c r="C88" s="7" t="s">
        <v>18</v>
      </c>
      <c r="D88" s="4">
        <v>56577059000100</v>
      </c>
      <c r="E88" s="8" t="s">
        <v>63</v>
      </c>
      <c r="F88" s="8" t="s">
        <v>20</v>
      </c>
      <c r="G88" s="7" t="s">
        <v>21</v>
      </c>
      <c r="H88" s="47" t="s">
        <v>786</v>
      </c>
      <c r="I88" s="47" t="s">
        <v>787</v>
      </c>
      <c r="J88" s="6">
        <v>70</v>
      </c>
      <c r="K88" s="8" t="s">
        <v>22</v>
      </c>
      <c r="L88" s="5">
        <v>135</v>
      </c>
      <c r="P88" s="3"/>
      <c r="Q88" s="3"/>
      <c r="R88" s="3"/>
    </row>
    <row r="89" spans="1:18" x14ac:dyDescent="0.2">
      <c r="A89" s="7" t="s">
        <v>16</v>
      </c>
      <c r="B89" s="7" t="s">
        <v>60</v>
      </c>
      <c r="C89" s="7" t="s">
        <v>18</v>
      </c>
      <c r="D89" s="4">
        <v>59481028000130</v>
      </c>
      <c r="E89" s="8" t="s">
        <v>42</v>
      </c>
      <c r="F89" s="8" t="s">
        <v>20</v>
      </c>
      <c r="G89" s="7" t="s">
        <v>21</v>
      </c>
      <c r="H89" s="47" t="s">
        <v>786</v>
      </c>
      <c r="I89" s="47" t="s">
        <v>787</v>
      </c>
      <c r="J89" s="6">
        <v>70</v>
      </c>
      <c r="K89" s="8" t="s">
        <v>22</v>
      </c>
      <c r="L89" s="5">
        <v>30</v>
      </c>
      <c r="P89" s="3"/>
      <c r="Q89" s="3"/>
      <c r="R89" s="3"/>
    </row>
    <row r="90" spans="1:18" x14ac:dyDescent="0.2">
      <c r="A90" s="7" t="s">
        <v>16</v>
      </c>
      <c r="B90" s="7" t="s">
        <v>60</v>
      </c>
      <c r="C90" s="7" t="s">
        <v>18</v>
      </c>
      <c r="D90" s="4">
        <v>60552098000111</v>
      </c>
      <c r="E90" s="8" t="s">
        <v>43</v>
      </c>
      <c r="F90" s="8" t="s">
        <v>20</v>
      </c>
      <c r="G90" s="7" t="s">
        <v>21</v>
      </c>
      <c r="H90" s="47" t="s">
        <v>786</v>
      </c>
      <c r="I90" s="47" t="s">
        <v>787</v>
      </c>
      <c r="J90" s="6">
        <v>70</v>
      </c>
      <c r="K90" s="8" t="s">
        <v>22</v>
      </c>
      <c r="L90" s="5">
        <v>75</v>
      </c>
      <c r="P90" s="3"/>
      <c r="Q90" s="3"/>
      <c r="R90" s="3"/>
    </row>
    <row r="91" spans="1:18" x14ac:dyDescent="0.2">
      <c r="A91" s="7" t="s">
        <v>16</v>
      </c>
      <c r="B91" s="7" t="s">
        <v>60</v>
      </c>
      <c r="C91" s="7" t="s">
        <v>18</v>
      </c>
      <c r="D91" s="4">
        <v>60678604000113</v>
      </c>
      <c r="E91" s="8" t="s">
        <v>64</v>
      </c>
      <c r="F91" s="8" t="s">
        <v>20</v>
      </c>
      <c r="G91" s="7" t="s">
        <v>21</v>
      </c>
      <c r="H91" s="47" t="s">
        <v>786</v>
      </c>
      <c r="I91" s="47" t="s">
        <v>787</v>
      </c>
      <c r="J91" s="6">
        <v>70</v>
      </c>
      <c r="K91" s="8" t="s">
        <v>22</v>
      </c>
      <c r="L91" s="5">
        <v>200</v>
      </c>
      <c r="P91" s="3"/>
      <c r="Q91" s="3"/>
      <c r="R91" s="3"/>
    </row>
    <row r="92" spans="1:18" x14ac:dyDescent="0.2">
      <c r="A92" s="7" t="s">
        <v>16</v>
      </c>
      <c r="B92" s="7" t="s">
        <v>60</v>
      </c>
      <c r="C92" s="7" t="s">
        <v>18</v>
      </c>
      <c r="D92" s="4">
        <v>60726502000126</v>
      </c>
      <c r="E92" s="8" t="s">
        <v>44</v>
      </c>
      <c r="F92" s="8" t="s">
        <v>20</v>
      </c>
      <c r="G92" s="7" t="s">
        <v>21</v>
      </c>
      <c r="H92" s="47" t="s">
        <v>786</v>
      </c>
      <c r="I92" s="47" t="s">
        <v>787</v>
      </c>
      <c r="J92" s="6">
        <v>70</v>
      </c>
      <c r="K92" s="8" t="s">
        <v>22</v>
      </c>
      <c r="L92" s="5">
        <v>535</v>
      </c>
      <c r="P92" s="3"/>
      <c r="Q92" s="3"/>
      <c r="R92" s="3"/>
    </row>
    <row r="93" spans="1:18" x14ac:dyDescent="0.2">
      <c r="A93" s="7" t="s">
        <v>16</v>
      </c>
      <c r="B93" s="7" t="s">
        <v>60</v>
      </c>
      <c r="C93" s="7" t="s">
        <v>18</v>
      </c>
      <c r="D93" s="4">
        <v>60777901000116</v>
      </c>
      <c r="E93" s="8" t="s">
        <v>45</v>
      </c>
      <c r="F93" s="8" t="s">
        <v>20</v>
      </c>
      <c r="G93" s="7" t="s">
        <v>21</v>
      </c>
      <c r="H93" s="47" t="s">
        <v>786</v>
      </c>
      <c r="I93" s="47" t="s">
        <v>787</v>
      </c>
      <c r="J93" s="6">
        <v>70</v>
      </c>
      <c r="K93" s="8" t="s">
        <v>22</v>
      </c>
      <c r="L93" s="5">
        <v>1400</v>
      </c>
      <c r="P93" s="3"/>
      <c r="Q93" s="3"/>
      <c r="R93" s="3"/>
    </row>
    <row r="94" spans="1:18" x14ac:dyDescent="0.2">
      <c r="A94" s="7" t="s">
        <v>16</v>
      </c>
      <c r="B94" s="7" t="s">
        <v>60</v>
      </c>
      <c r="C94" s="7" t="s">
        <v>18</v>
      </c>
      <c r="D94" s="4">
        <v>60884855000316</v>
      </c>
      <c r="E94" s="8" t="s">
        <v>46</v>
      </c>
      <c r="F94" s="8" t="s">
        <v>20</v>
      </c>
      <c r="G94" s="7" t="s">
        <v>21</v>
      </c>
      <c r="H94" s="47" t="s">
        <v>786</v>
      </c>
      <c r="I94" s="47" t="s">
        <v>787</v>
      </c>
      <c r="J94" s="6">
        <v>70</v>
      </c>
      <c r="K94" s="8" t="s">
        <v>22</v>
      </c>
      <c r="L94" s="5">
        <v>2130</v>
      </c>
      <c r="P94" s="3"/>
      <c r="Q94" s="3"/>
      <c r="R94" s="3"/>
    </row>
    <row r="95" spans="1:18" x14ac:dyDescent="0.2">
      <c r="A95" s="7" t="s">
        <v>16</v>
      </c>
      <c r="B95" s="7" t="s">
        <v>60</v>
      </c>
      <c r="C95" s="7" t="s">
        <v>18</v>
      </c>
      <c r="D95" s="4">
        <v>60922168004335</v>
      </c>
      <c r="E95" s="8" t="s">
        <v>48</v>
      </c>
      <c r="F95" s="8" t="s">
        <v>20</v>
      </c>
      <c r="G95" s="7" t="s">
        <v>21</v>
      </c>
      <c r="H95" s="47" t="s">
        <v>786</v>
      </c>
      <c r="I95" s="47" t="s">
        <v>787</v>
      </c>
      <c r="J95" s="6">
        <v>70</v>
      </c>
      <c r="K95" s="8" t="s">
        <v>22</v>
      </c>
      <c r="L95" s="5">
        <v>10</v>
      </c>
      <c r="P95" s="3"/>
      <c r="Q95" s="3"/>
      <c r="R95" s="3"/>
    </row>
    <row r="96" spans="1:18" x14ac:dyDescent="0.2">
      <c r="A96" s="7" t="s">
        <v>16</v>
      </c>
      <c r="B96" s="7" t="s">
        <v>60</v>
      </c>
      <c r="C96" s="7" t="s">
        <v>18</v>
      </c>
      <c r="D96" s="4">
        <v>60961422000155</v>
      </c>
      <c r="E96" s="8" t="s">
        <v>49</v>
      </c>
      <c r="F96" s="8" t="s">
        <v>20</v>
      </c>
      <c r="G96" s="7" t="s">
        <v>21</v>
      </c>
      <c r="H96" s="47" t="s">
        <v>786</v>
      </c>
      <c r="I96" s="47" t="s">
        <v>787</v>
      </c>
      <c r="J96" s="6">
        <v>70</v>
      </c>
      <c r="K96" s="8" t="s">
        <v>22</v>
      </c>
      <c r="L96" s="5">
        <v>20</v>
      </c>
      <c r="P96" s="3"/>
      <c r="Q96" s="3"/>
      <c r="R96" s="3"/>
    </row>
    <row r="97" spans="1:18" x14ac:dyDescent="0.2">
      <c r="A97" s="7" t="s">
        <v>16</v>
      </c>
      <c r="B97" s="7" t="s">
        <v>60</v>
      </c>
      <c r="C97" s="7" t="s">
        <v>18</v>
      </c>
      <c r="D97" s="4">
        <v>61590410000124</v>
      </c>
      <c r="E97" s="8" t="s">
        <v>53</v>
      </c>
      <c r="F97" s="8" t="s">
        <v>20</v>
      </c>
      <c r="G97" s="7" t="s">
        <v>21</v>
      </c>
      <c r="H97" s="47" t="s">
        <v>786</v>
      </c>
      <c r="I97" s="47" t="s">
        <v>787</v>
      </c>
      <c r="J97" s="6">
        <v>70</v>
      </c>
      <c r="K97" s="8" t="s">
        <v>22</v>
      </c>
      <c r="L97" s="5">
        <v>1745</v>
      </c>
      <c r="P97" s="3"/>
      <c r="Q97" s="3"/>
      <c r="R97" s="3"/>
    </row>
    <row r="98" spans="1:18" x14ac:dyDescent="0.2">
      <c r="A98" s="7" t="s">
        <v>16</v>
      </c>
      <c r="B98" s="7" t="s">
        <v>65</v>
      </c>
      <c r="C98" s="7" t="s">
        <v>66</v>
      </c>
      <c r="D98" s="4">
        <v>4036348000190</v>
      </c>
      <c r="E98" s="8" t="s">
        <v>23</v>
      </c>
      <c r="F98" s="8" t="s">
        <v>20</v>
      </c>
      <c r="G98" s="7" t="s">
        <v>21</v>
      </c>
      <c r="H98" s="47" t="s">
        <v>786</v>
      </c>
      <c r="I98" s="47" t="s">
        <v>787</v>
      </c>
      <c r="J98" s="6">
        <v>70</v>
      </c>
      <c r="K98" s="8" t="s">
        <v>22</v>
      </c>
      <c r="L98" s="5">
        <v>15</v>
      </c>
      <c r="P98" s="3"/>
      <c r="Q98" s="3"/>
      <c r="R98" s="3"/>
    </row>
    <row r="99" spans="1:18" x14ac:dyDescent="0.2">
      <c r="A99" s="7" t="s">
        <v>16</v>
      </c>
      <c r="B99" s="7" t="s">
        <v>65</v>
      </c>
      <c r="C99" s="7" t="s">
        <v>66</v>
      </c>
      <c r="D99" s="4">
        <v>10468341000140</v>
      </c>
      <c r="E99" s="8" t="s">
        <v>29</v>
      </c>
      <c r="F99" s="8" t="s">
        <v>20</v>
      </c>
      <c r="G99" s="7" t="s">
        <v>21</v>
      </c>
      <c r="H99" s="47" t="s">
        <v>786</v>
      </c>
      <c r="I99" s="47" t="s">
        <v>787</v>
      </c>
      <c r="J99" s="6">
        <v>70</v>
      </c>
      <c r="K99" s="8" t="s">
        <v>22</v>
      </c>
      <c r="L99" s="5">
        <v>350</v>
      </c>
      <c r="P99" s="3"/>
      <c r="Q99" s="3"/>
      <c r="R99" s="3"/>
    </row>
    <row r="100" spans="1:18" x14ac:dyDescent="0.2">
      <c r="A100" s="7" t="s">
        <v>16</v>
      </c>
      <c r="B100" s="7" t="s">
        <v>65</v>
      </c>
      <c r="C100" s="7" t="s">
        <v>66</v>
      </c>
      <c r="D100" s="4">
        <v>10468341000220</v>
      </c>
      <c r="E100" s="8" t="s">
        <v>30</v>
      </c>
      <c r="F100" s="8" t="s">
        <v>20</v>
      </c>
      <c r="G100" s="7" t="s">
        <v>21</v>
      </c>
      <c r="H100" s="47" t="s">
        <v>786</v>
      </c>
      <c r="I100" s="47" t="s">
        <v>787</v>
      </c>
      <c r="J100" s="6">
        <v>70</v>
      </c>
      <c r="K100" s="8" t="s">
        <v>22</v>
      </c>
      <c r="L100" s="5">
        <v>310</v>
      </c>
      <c r="P100" s="3"/>
      <c r="Q100" s="3"/>
      <c r="R100" s="3"/>
    </row>
    <row r="101" spans="1:18" x14ac:dyDescent="0.2">
      <c r="A101" s="7" t="s">
        <v>16</v>
      </c>
      <c r="B101" s="7" t="s">
        <v>65</v>
      </c>
      <c r="C101" s="7" t="s">
        <v>66</v>
      </c>
      <c r="D101" s="4">
        <v>10475230000160</v>
      </c>
      <c r="E101" s="8" t="s">
        <v>31</v>
      </c>
      <c r="F101" s="8" t="s">
        <v>20</v>
      </c>
      <c r="G101" s="7" t="s">
        <v>21</v>
      </c>
      <c r="H101" s="47" t="s">
        <v>786</v>
      </c>
      <c r="I101" s="47" t="s">
        <v>787</v>
      </c>
      <c r="J101" s="6">
        <v>70</v>
      </c>
      <c r="K101" s="8" t="s">
        <v>22</v>
      </c>
      <c r="L101" s="5">
        <v>25</v>
      </c>
      <c r="P101" s="3"/>
      <c r="Q101" s="3"/>
      <c r="R101" s="3"/>
    </row>
    <row r="102" spans="1:18" x14ac:dyDescent="0.2">
      <c r="A102" s="7" t="s">
        <v>16</v>
      </c>
      <c r="B102" s="7" t="s">
        <v>65</v>
      </c>
      <c r="C102" s="7" t="s">
        <v>66</v>
      </c>
      <c r="D102" s="4">
        <v>29435005004540</v>
      </c>
      <c r="E102" s="8" t="s">
        <v>35</v>
      </c>
      <c r="F102" s="8" t="s">
        <v>20</v>
      </c>
      <c r="G102" s="7" t="s">
        <v>21</v>
      </c>
      <c r="H102" s="47" t="s">
        <v>786</v>
      </c>
      <c r="I102" s="47" t="s">
        <v>787</v>
      </c>
      <c r="J102" s="6">
        <v>70</v>
      </c>
      <c r="K102" s="8" t="s">
        <v>22</v>
      </c>
      <c r="L102" s="5">
        <v>100</v>
      </c>
      <c r="P102" s="3"/>
      <c r="Q102" s="3"/>
      <c r="R102" s="3"/>
    </row>
    <row r="103" spans="1:18" x14ac:dyDescent="0.2">
      <c r="A103" s="7" t="s">
        <v>16</v>
      </c>
      <c r="B103" s="7" t="s">
        <v>65</v>
      </c>
      <c r="C103" s="7" t="s">
        <v>66</v>
      </c>
      <c r="D103" s="4">
        <v>44649812005520</v>
      </c>
      <c r="E103" s="8" t="s">
        <v>38</v>
      </c>
      <c r="F103" s="8" t="s">
        <v>20</v>
      </c>
      <c r="G103" s="7" t="s">
        <v>21</v>
      </c>
      <c r="H103" s="47" t="s">
        <v>786</v>
      </c>
      <c r="I103" s="47" t="s">
        <v>787</v>
      </c>
      <c r="J103" s="6">
        <v>70</v>
      </c>
      <c r="K103" s="8" t="s">
        <v>22</v>
      </c>
      <c r="L103" s="5">
        <v>70</v>
      </c>
      <c r="P103" s="3"/>
      <c r="Q103" s="3"/>
      <c r="R103" s="3"/>
    </row>
    <row r="104" spans="1:18" x14ac:dyDescent="0.2">
      <c r="A104" s="7" t="s">
        <v>16</v>
      </c>
      <c r="B104" s="7" t="s">
        <v>65</v>
      </c>
      <c r="C104" s="7" t="s">
        <v>66</v>
      </c>
      <c r="D104" s="4">
        <v>51722957012512</v>
      </c>
      <c r="E104" s="8" t="s">
        <v>40</v>
      </c>
      <c r="F104" s="8" t="s">
        <v>20</v>
      </c>
      <c r="G104" s="7" t="s">
        <v>21</v>
      </c>
      <c r="H104" s="47" t="s">
        <v>786</v>
      </c>
      <c r="I104" s="47" t="s">
        <v>787</v>
      </c>
      <c r="J104" s="6">
        <v>70</v>
      </c>
      <c r="K104" s="8" t="s">
        <v>22</v>
      </c>
      <c r="L104" s="5">
        <v>280</v>
      </c>
      <c r="P104" s="3"/>
      <c r="Q104" s="3"/>
      <c r="R104" s="3"/>
    </row>
    <row r="105" spans="1:18" x14ac:dyDescent="0.2">
      <c r="A105" s="7" t="s">
        <v>16</v>
      </c>
      <c r="B105" s="7" t="s">
        <v>65</v>
      </c>
      <c r="C105" s="7" t="s">
        <v>66</v>
      </c>
      <c r="D105" s="4">
        <v>59481028000130</v>
      </c>
      <c r="E105" s="8" t="s">
        <v>42</v>
      </c>
      <c r="F105" s="8" t="s">
        <v>20</v>
      </c>
      <c r="G105" s="7" t="s">
        <v>21</v>
      </c>
      <c r="H105" s="47" t="s">
        <v>786</v>
      </c>
      <c r="I105" s="47" t="s">
        <v>787</v>
      </c>
      <c r="J105" s="6">
        <v>70</v>
      </c>
      <c r="K105" s="8" t="s">
        <v>22</v>
      </c>
      <c r="L105" s="5">
        <v>30</v>
      </c>
      <c r="P105" s="3"/>
      <c r="Q105" s="3"/>
      <c r="R105" s="3"/>
    </row>
    <row r="106" spans="1:18" x14ac:dyDescent="0.2">
      <c r="A106" s="7" t="s">
        <v>16</v>
      </c>
      <c r="B106" s="7" t="s">
        <v>65</v>
      </c>
      <c r="C106" s="7" t="s">
        <v>66</v>
      </c>
      <c r="D106" s="4">
        <v>60777901000116</v>
      </c>
      <c r="E106" s="8" t="s">
        <v>45</v>
      </c>
      <c r="F106" s="8" t="s">
        <v>20</v>
      </c>
      <c r="G106" s="7" t="s">
        <v>21</v>
      </c>
      <c r="H106" s="47" t="s">
        <v>786</v>
      </c>
      <c r="I106" s="47" t="s">
        <v>787</v>
      </c>
      <c r="J106" s="6">
        <v>70</v>
      </c>
      <c r="K106" s="8" t="s">
        <v>22</v>
      </c>
      <c r="L106" s="5">
        <v>750</v>
      </c>
      <c r="P106" s="3"/>
      <c r="Q106" s="3"/>
      <c r="R106" s="3"/>
    </row>
    <row r="107" spans="1:18" x14ac:dyDescent="0.2">
      <c r="A107" s="7" t="s">
        <v>16</v>
      </c>
      <c r="B107" s="7" t="s">
        <v>65</v>
      </c>
      <c r="C107" s="7" t="s">
        <v>66</v>
      </c>
      <c r="D107" s="4">
        <v>60884855000316</v>
      </c>
      <c r="E107" s="8" t="s">
        <v>46</v>
      </c>
      <c r="F107" s="8" t="s">
        <v>20</v>
      </c>
      <c r="G107" s="7" t="s">
        <v>21</v>
      </c>
      <c r="H107" s="47" t="s">
        <v>786</v>
      </c>
      <c r="I107" s="47" t="s">
        <v>787</v>
      </c>
      <c r="J107" s="6">
        <v>70</v>
      </c>
      <c r="K107" s="8" t="s">
        <v>22</v>
      </c>
      <c r="L107" s="5">
        <v>1220</v>
      </c>
      <c r="P107" s="3"/>
      <c r="Q107" s="3"/>
      <c r="R107" s="3"/>
    </row>
    <row r="108" spans="1:18" x14ac:dyDescent="0.2">
      <c r="A108" s="7" t="s">
        <v>16</v>
      </c>
      <c r="B108" s="7" t="s">
        <v>17</v>
      </c>
      <c r="C108" s="7" t="s">
        <v>18</v>
      </c>
      <c r="D108" s="4">
        <v>461479001992</v>
      </c>
      <c r="E108" s="8" t="s">
        <v>67</v>
      </c>
      <c r="F108" s="8" t="s">
        <v>20</v>
      </c>
      <c r="G108" s="7" t="s">
        <v>21</v>
      </c>
      <c r="H108" s="47" t="s">
        <v>786</v>
      </c>
      <c r="I108" s="47" t="s">
        <v>787</v>
      </c>
      <c r="J108" s="6">
        <v>64</v>
      </c>
      <c r="K108" s="8" t="s">
        <v>68</v>
      </c>
      <c r="L108" s="5">
        <v>6</v>
      </c>
      <c r="P108" s="3"/>
      <c r="Q108" s="3"/>
      <c r="R108" s="3"/>
    </row>
    <row r="109" spans="1:18" x14ac:dyDescent="0.2">
      <c r="A109" s="7" t="s">
        <v>16</v>
      </c>
      <c r="B109" s="7" t="s">
        <v>17</v>
      </c>
      <c r="C109" s="7" t="s">
        <v>18</v>
      </c>
      <c r="D109" s="4">
        <v>2383508000494</v>
      </c>
      <c r="E109" s="8" t="s">
        <v>56</v>
      </c>
      <c r="F109" s="8" t="s">
        <v>20</v>
      </c>
      <c r="G109" s="7" t="s">
        <v>21</v>
      </c>
      <c r="H109" s="47" t="s">
        <v>786</v>
      </c>
      <c r="I109" s="47" t="s">
        <v>787</v>
      </c>
      <c r="J109" s="6">
        <v>73</v>
      </c>
      <c r="K109" s="8" t="s">
        <v>69</v>
      </c>
      <c r="L109" s="5">
        <v>31</v>
      </c>
      <c r="P109" s="3"/>
      <c r="Q109" s="3"/>
      <c r="R109" s="3"/>
    </row>
    <row r="110" spans="1:18" x14ac:dyDescent="0.2">
      <c r="A110" s="7" t="s">
        <v>16</v>
      </c>
      <c r="B110" s="7" t="s">
        <v>55</v>
      </c>
      <c r="C110" s="7" t="s">
        <v>18</v>
      </c>
      <c r="D110" s="4">
        <v>2383508000494</v>
      </c>
      <c r="E110" s="8" t="s">
        <v>56</v>
      </c>
      <c r="F110" s="8" t="s">
        <v>20</v>
      </c>
      <c r="G110" s="7" t="s">
        <v>21</v>
      </c>
      <c r="H110" s="47" t="s">
        <v>786</v>
      </c>
      <c r="I110" s="47" t="s">
        <v>787</v>
      </c>
      <c r="J110" s="6">
        <v>73</v>
      </c>
      <c r="K110" s="8" t="s">
        <v>69</v>
      </c>
      <c r="L110" s="5">
        <v>39</v>
      </c>
      <c r="P110" s="3"/>
      <c r="Q110" s="3"/>
      <c r="R110" s="3"/>
    </row>
    <row r="111" spans="1:18" x14ac:dyDescent="0.2">
      <c r="A111" s="7" t="s">
        <v>16</v>
      </c>
      <c r="B111" s="7" t="s">
        <v>17</v>
      </c>
      <c r="C111" s="7" t="s">
        <v>18</v>
      </c>
      <c r="D111" s="4">
        <v>2837922000183</v>
      </c>
      <c r="E111" s="8" t="s">
        <v>70</v>
      </c>
      <c r="F111" s="8" t="s">
        <v>20</v>
      </c>
      <c r="G111" s="7" t="s">
        <v>21</v>
      </c>
      <c r="H111" s="47" t="s">
        <v>786</v>
      </c>
      <c r="I111" s="47" t="s">
        <v>787</v>
      </c>
      <c r="J111" s="6">
        <v>73</v>
      </c>
      <c r="K111" s="8" t="s">
        <v>69</v>
      </c>
      <c r="L111" s="5">
        <v>100</v>
      </c>
      <c r="P111" s="3"/>
      <c r="Q111" s="3"/>
      <c r="R111" s="3"/>
    </row>
    <row r="112" spans="1:18" x14ac:dyDescent="0.2">
      <c r="A112" s="7" t="s">
        <v>16</v>
      </c>
      <c r="B112" s="7" t="s">
        <v>55</v>
      </c>
      <c r="C112" s="7" t="s">
        <v>18</v>
      </c>
      <c r="D112" s="4">
        <v>2837922000183</v>
      </c>
      <c r="E112" s="8" t="s">
        <v>70</v>
      </c>
      <c r="F112" s="8" t="s">
        <v>20</v>
      </c>
      <c r="G112" s="7" t="s">
        <v>21</v>
      </c>
      <c r="H112" s="47" t="s">
        <v>786</v>
      </c>
      <c r="I112" s="47" t="s">
        <v>787</v>
      </c>
      <c r="J112" s="6">
        <v>73</v>
      </c>
      <c r="K112" s="8" t="s">
        <v>69</v>
      </c>
      <c r="L112" s="5">
        <v>100</v>
      </c>
      <c r="P112" s="3"/>
      <c r="Q112" s="3"/>
      <c r="R112" s="3"/>
    </row>
    <row r="113" spans="1:18" x14ac:dyDescent="0.2">
      <c r="A113" s="7" t="s">
        <v>16</v>
      </c>
      <c r="B113" s="7" t="s">
        <v>17</v>
      </c>
      <c r="C113" s="7" t="s">
        <v>18</v>
      </c>
      <c r="D113" s="4">
        <v>3872790000193</v>
      </c>
      <c r="E113" s="8" t="s">
        <v>71</v>
      </c>
      <c r="F113" s="8" t="s">
        <v>20</v>
      </c>
      <c r="G113" s="7" t="s">
        <v>21</v>
      </c>
      <c r="H113" s="47" t="s">
        <v>786</v>
      </c>
      <c r="I113" s="47" t="s">
        <v>787</v>
      </c>
      <c r="J113" s="6">
        <v>73</v>
      </c>
      <c r="K113" s="8" t="s">
        <v>69</v>
      </c>
      <c r="L113" s="5">
        <v>8</v>
      </c>
      <c r="P113" s="3"/>
      <c r="Q113" s="3"/>
      <c r="R113" s="3"/>
    </row>
    <row r="114" spans="1:18" x14ac:dyDescent="0.2">
      <c r="A114" s="7" t="s">
        <v>16</v>
      </c>
      <c r="B114" s="7" t="s">
        <v>55</v>
      </c>
      <c r="C114" s="7" t="s">
        <v>18</v>
      </c>
      <c r="D114" s="4">
        <v>3872790000193</v>
      </c>
      <c r="E114" s="8" t="s">
        <v>71</v>
      </c>
      <c r="F114" s="8" t="s">
        <v>20</v>
      </c>
      <c r="G114" s="7" t="s">
        <v>21</v>
      </c>
      <c r="H114" s="47" t="s">
        <v>786</v>
      </c>
      <c r="I114" s="47" t="s">
        <v>787</v>
      </c>
      <c r="J114" s="6">
        <v>73</v>
      </c>
      <c r="K114" s="8" t="s">
        <v>69</v>
      </c>
      <c r="L114" s="5">
        <v>8</v>
      </c>
      <c r="P114" s="3"/>
      <c r="Q114" s="3"/>
      <c r="R114" s="3"/>
    </row>
    <row r="115" spans="1:18" x14ac:dyDescent="0.2">
      <c r="A115" s="7" t="s">
        <v>16</v>
      </c>
      <c r="B115" s="7" t="s">
        <v>17</v>
      </c>
      <c r="C115" s="7" t="s">
        <v>18</v>
      </c>
      <c r="D115" s="4">
        <v>6047087000139</v>
      </c>
      <c r="E115" s="8" t="s">
        <v>72</v>
      </c>
      <c r="F115" s="8" t="s">
        <v>20</v>
      </c>
      <c r="G115" s="7" t="s">
        <v>21</v>
      </c>
      <c r="H115" s="47" t="s">
        <v>786</v>
      </c>
      <c r="I115" s="47" t="s">
        <v>787</v>
      </c>
      <c r="J115" s="6">
        <v>64</v>
      </c>
      <c r="K115" s="8" t="s">
        <v>68</v>
      </c>
      <c r="L115" s="5">
        <v>2</v>
      </c>
      <c r="P115" s="3"/>
      <c r="Q115" s="3"/>
      <c r="R115" s="3"/>
    </row>
    <row r="116" spans="1:18" x14ac:dyDescent="0.2">
      <c r="A116" s="7" t="s">
        <v>16</v>
      </c>
      <c r="B116" s="7" t="s">
        <v>17</v>
      </c>
      <c r="C116" s="7" t="s">
        <v>18</v>
      </c>
      <c r="D116" s="4">
        <v>6047087000210</v>
      </c>
      <c r="E116" s="8" t="s">
        <v>73</v>
      </c>
      <c r="F116" s="8" t="s">
        <v>20</v>
      </c>
      <c r="G116" s="7" t="s">
        <v>21</v>
      </c>
      <c r="H116" s="47" t="s">
        <v>786</v>
      </c>
      <c r="I116" s="47" t="s">
        <v>787</v>
      </c>
      <c r="J116" s="6">
        <v>62</v>
      </c>
      <c r="K116" s="8" t="s">
        <v>74</v>
      </c>
      <c r="L116" s="5">
        <v>10</v>
      </c>
      <c r="P116" s="3"/>
      <c r="Q116" s="3"/>
      <c r="R116" s="3"/>
    </row>
    <row r="117" spans="1:18" x14ac:dyDescent="0.2">
      <c r="A117" s="7" t="s">
        <v>16</v>
      </c>
      <c r="B117" s="7" t="s">
        <v>17</v>
      </c>
      <c r="C117" s="7" t="s">
        <v>18</v>
      </c>
      <c r="D117" s="4">
        <v>6047087000210</v>
      </c>
      <c r="E117" s="8" t="s">
        <v>73</v>
      </c>
      <c r="F117" s="8" t="s">
        <v>20</v>
      </c>
      <c r="G117" s="7" t="s">
        <v>21</v>
      </c>
      <c r="H117" s="47" t="s">
        <v>786</v>
      </c>
      <c r="I117" s="47" t="s">
        <v>787</v>
      </c>
      <c r="J117" s="6">
        <v>64</v>
      </c>
      <c r="K117" s="8" t="s">
        <v>68</v>
      </c>
      <c r="L117" s="5">
        <v>43</v>
      </c>
      <c r="P117" s="3"/>
      <c r="Q117" s="3"/>
      <c r="R117" s="3"/>
    </row>
    <row r="118" spans="1:18" x14ac:dyDescent="0.2">
      <c r="A118" s="7" t="s">
        <v>16</v>
      </c>
      <c r="B118" s="7" t="s">
        <v>17</v>
      </c>
      <c r="C118" s="7" t="s">
        <v>18</v>
      </c>
      <c r="D118" s="4">
        <v>6047087003820</v>
      </c>
      <c r="E118" s="8" t="s">
        <v>75</v>
      </c>
      <c r="F118" s="8" t="s">
        <v>20</v>
      </c>
      <c r="G118" s="7" t="s">
        <v>21</v>
      </c>
      <c r="H118" s="47" t="s">
        <v>786</v>
      </c>
      <c r="I118" s="47" t="s">
        <v>787</v>
      </c>
      <c r="J118" s="6">
        <v>62</v>
      </c>
      <c r="K118" s="8" t="s">
        <v>74</v>
      </c>
      <c r="L118" s="5">
        <v>6</v>
      </c>
      <c r="P118" s="3"/>
      <c r="Q118" s="3"/>
      <c r="R118" s="3"/>
    </row>
    <row r="119" spans="1:18" x14ac:dyDescent="0.2">
      <c r="A119" s="7" t="s">
        <v>16</v>
      </c>
      <c r="B119" s="7" t="s">
        <v>17</v>
      </c>
      <c r="C119" s="7" t="s">
        <v>18</v>
      </c>
      <c r="D119" s="4">
        <v>6047087003820</v>
      </c>
      <c r="E119" s="8" t="s">
        <v>75</v>
      </c>
      <c r="F119" s="8" t="s">
        <v>20</v>
      </c>
      <c r="G119" s="7" t="s">
        <v>21</v>
      </c>
      <c r="H119" s="47" t="s">
        <v>786</v>
      </c>
      <c r="I119" s="47" t="s">
        <v>787</v>
      </c>
      <c r="J119" s="6">
        <v>64</v>
      </c>
      <c r="K119" s="8" t="s">
        <v>68</v>
      </c>
      <c r="L119" s="5">
        <v>3</v>
      </c>
      <c r="P119" s="3"/>
      <c r="Q119" s="3"/>
      <c r="R119" s="3"/>
    </row>
    <row r="120" spans="1:18" x14ac:dyDescent="0.2">
      <c r="A120" s="7" t="s">
        <v>16</v>
      </c>
      <c r="B120" s="7" t="s">
        <v>17</v>
      </c>
      <c r="C120" s="7" t="s">
        <v>18</v>
      </c>
      <c r="D120" s="4">
        <v>7045325000130</v>
      </c>
      <c r="E120" s="8" t="s">
        <v>57</v>
      </c>
      <c r="F120" s="8" t="s">
        <v>20</v>
      </c>
      <c r="G120" s="7" t="s">
        <v>21</v>
      </c>
      <c r="H120" s="47" t="s">
        <v>786</v>
      </c>
      <c r="I120" s="47" t="s">
        <v>787</v>
      </c>
      <c r="J120" s="6">
        <v>73</v>
      </c>
      <c r="K120" s="8" t="s">
        <v>69</v>
      </c>
      <c r="L120" s="5">
        <v>96</v>
      </c>
      <c r="P120" s="3"/>
      <c r="Q120" s="3"/>
      <c r="R120" s="3"/>
    </row>
    <row r="121" spans="1:18" x14ac:dyDescent="0.2">
      <c r="A121" s="7" t="s">
        <v>16</v>
      </c>
      <c r="B121" s="7" t="s">
        <v>17</v>
      </c>
      <c r="C121" s="7" t="s">
        <v>18</v>
      </c>
      <c r="D121" s="4">
        <v>8100676002455</v>
      </c>
      <c r="E121" s="8" t="s">
        <v>27</v>
      </c>
      <c r="F121" s="8" t="s">
        <v>20</v>
      </c>
      <c r="G121" s="7" t="s">
        <v>21</v>
      </c>
      <c r="H121" s="47" t="s">
        <v>786</v>
      </c>
      <c r="I121" s="47" t="s">
        <v>787</v>
      </c>
      <c r="J121" s="6">
        <v>64</v>
      </c>
      <c r="K121" s="8" t="s">
        <v>68</v>
      </c>
      <c r="L121" s="5">
        <v>3</v>
      </c>
      <c r="P121" s="3"/>
      <c r="Q121" s="3"/>
      <c r="R121" s="3"/>
    </row>
    <row r="122" spans="1:18" x14ac:dyDescent="0.2">
      <c r="A122" s="7" t="s">
        <v>16</v>
      </c>
      <c r="B122" s="7" t="s">
        <v>17</v>
      </c>
      <c r="C122" s="7" t="s">
        <v>18</v>
      </c>
      <c r="D122" s="4">
        <v>8438844000392</v>
      </c>
      <c r="E122" s="8" t="s">
        <v>76</v>
      </c>
      <c r="F122" s="8" t="s">
        <v>20</v>
      </c>
      <c r="G122" s="7" t="s">
        <v>21</v>
      </c>
      <c r="H122" s="47" t="s">
        <v>786</v>
      </c>
      <c r="I122" s="47" t="s">
        <v>787</v>
      </c>
      <c r="J122" s="6">
        <v>73</v>
      </c>
      <c r="K122" s="8" t="s">
        <v>69</v>
      </c>
      <c r="L122" s="5">
        <v>2</v>
      </c>
      <c r="P122" s="3"/>
      <c r="Q122" s="3"/>
      <c r="R122" s="3"/>
    </row>
    <row r="123" spans="1:18" x14ac:dyDescent="0.2">
      <c r="A123" s="7" t="s">
        <v>16</v>
      </c>
      <c r="B123" s="7" t="s">
        <v>17</v>
      </c>
      <c r="C123" s="7" t="s">
        <v>18</v>
      </c>
      <c r="D123" s="4">
        <v>10211939000230</v>
      </c>
      <c r="E123" s="8" t="s">
        <v>77</v>
      </c>
      <c r="F123" s="8" t="s">
        <v>20</v>
      </c>
      <c r="G123" s="7" t="s">
        <v>21</v>
      </c>
      <c r="H123" s="47" t="s">
        <v>786</v>
      </c>
      <c r="I123" s="47" t="s">
        <v>787</v>
      </c>
      <c r="J123" s="6">
        <v>73</v>
      </c>
      <c r="K123" s="8" t="s">
        <v>69</v>
      </c>
      <c r="L123" s="5">
        <v>8</v>
      </c>
      <c r="P123" s="3"/>
      <c r="Q123" s="3"/>
      <c r="R123" s="3"/>
    </row>
    <row r="124" spans="1:18" x14ac:dyDescent="0.2">
      <c r="A124" s="7" t="s">
        <v>16</v>
      </c>
      <c r="B124" s="7" t="s">
        <v>17</v>
      </c>
      <c r="C124" s="7" t="s">
        <v>18</v>
      </c>
      <c r="D124" s="4">
        <v>10323381000101</v>
      </c>
      <c r="E124" s="8" t="s">
        <v>78</v>
      </c>
      <c r="F124" s="8" t="s">
        <v>20</v>
      </c>
      <c r="G124" s="7" t="s">
        <v>21</v>
      </c>
      <c r="H124" s="47" t="s">
        <v>786</v>
      </c>
      <c r="I124" s="47" t="s">
        <v>787</v>
      </c>
      <c r="J124" s="6">
        <v>73</v>
      </c>
      <c r="K124" s="8" t="s">
        <v>69</v>
      </c>
      <c r="L124" s="5">
        <v>3</v>
      </c>
      <c r="P124" s="3"/>
      <c r="Q124" s="3"/>
      <c r="R124" s="3"/>
    </row>
    <row r="125" spans="1:18" x14ac:dyDescent="0.2">
      <c r="A125" s="7" t="s">
        <v>16</v>
      </c>
      <c r="B125" s="7" t="s">
        <v>17</v>
      </c>
      <c r="C125" s="7" t="s">
        <v>18</v>
      </c>
      <c r="D125" s="4">
        <v>10468341000140</v>
      </c>
      <c r="E125" s="8" t="s">
        <v>29</v>
      </c>
      <c r="F125" s="8" t="s">
        <v>20</v>
      </c>
      <c r="G125" s="7" t="s">
        <v>21</v>
      </c>
      <c r="H125" s="47" t="s">
        <v>786</v>
      </c>
      <c r="I125" s="47" t="s">
        <v>787</v>
      </c>
      <c r="J125" s="6">
        <v>73</v>
      </c>
      <c r="K125" s="8" t="s">
        <v>69</v>
      </c>
      <c r="L125" s="5">
        <v>36</v>
      </c>
      <c r="P125" s="3"/>
      <c r="Q125" s="3"/>
      <c r="R125" s="3"/>
    </row>
    <row r="126" spans="1:18" x14ac:dyDescent="0.2">
      <c r="A126" s="7" t="s">
        <v>16</v>
      </c>
      <c r="B126" s="7" t="s">
        <v>17</v>
      </c>
      <c r="C126" s="7" t="s">
        <v>18</v>
      </c>
      <c r="D126" s="4">
        <v>10468341000220</v>
      </c>
      <c r="E126" s="8" t="s">
        <v>30</v>
      </c>
      <c r="F126" s="8" t="s">
        <v>20</v>
      </c>
      <c r="G126" s="7" t="s">
        <v>21</v>
      </c>
      <c r="H126" s="47" t="s">
        <v>786</v>
      </c>
      <c r="I126" s="47" t="s">
        <v>787</v>
      </c>
      <c r="J126" s="6">
        <v>73</v>
      </c>
      <c r="K126" s="8" t="s">
        <v>69</v>
      </c>
      <c r="L126" s="5">
        <v>12</v>
      </c>
      <c r="P126" s="3"/>
      <c r="Q126" s="3"/>
      <c r="R126" s="3"/>
    </row>
    <row r="127" spans="1:18" x14ac:dyDescent="0.2">
      <c r="A127" s="7" t="s">
        <v>16</v>
      </c>
      <c r="B127" s="7" t="s">
        <v>17</v>
      </c>
      <c r="C127" s="7" t="s">
        <v>18</v>
      </c>
      <c r="D127" s="4">
        <v>13718999000150</v>
      </c>
      <c r="E127" s="8" t="s">
        <v>79</v>
      </c>
      <c r="F127" s="8" t="s">
        <v>20</v>
      </c>
      <c r="G127" s="7" t="s">
        <v>21</v>
      </c>
      <c r="H127" s="47" t="s">
        <v>786</v>
      </c>
      <c r="I127" s="47" t="s">
        <v>787</v>
      </c>
      <c r="J127" s="6">
        <v>73</v>
      </c>
      <c r="K127" s="8" t="s">
        <v>69</v>
      </c>
      <c r="L127" s="5">
        <v>4</v>
      </c>
      <c r="P127" s="3"/>
      <c r="Q127" s="3"/>
      <c r="R127" s="3"/>
    </row>
    <row r="128" spans="1:18" x14ac:dyDescent="0.2">
      <c r="A128" s="7" t="s">
        <v>16</v>
      </c>
      <c r="B128" s="7" t="s">
        <v>17</v>
      </c>
      <c r="C128" s="7" t="s">
        <v>18</v>
      </c>
      <c r="D128" s="4">
        <v>18180008000142</v>
      </c>
      <c r="E128" s="8" t="s">
        <v>80</v>
      </c>
      <c r="F128" s="8" t="s">
        <v>20</v>
      </c>
      <c r="G128" s="7" t="s">
        <v>21</v>
      </c>
      <c r="H128" s="47" t="s">
        <v>786</v>
      </c>
      <c r="I128" s="47" t="s">
        <v>787</v>
      </c>
      <c r="J128" s="6">
        <v>64</v>
      </c>
      <c r="K128" s="8" t="s">
        <v>68</v>
      </c>
      <c r="L128" s="5">
        <v>2</v>
      </c>
      <c r="P128" s="3"/>
      <c r="Q128" s="3"/>
      <c r="R128" s="3"/>
    </row>
    <row r="129" spans="1:18" x14ac:dyDescent="0.2">
      <c r="A129" s="7" t="s">
        <v>16</v>
      </c>
      <c r="B129" s="7" t="s">
        <v>17</v>
      </c>
      <c r="C129" s="7" t="s">
        <v>18</v>
      </c>
      <c r="D129" s="4">
        <v>19803199000114</v>
      </c>
      <c r="E129" s="8" t="s">
        <v>32</v>
      </c>
      <c r="F129" s="8" t="s">
        <v>20</v>
      </c>
      <c r="G129" s="7" t="s">
        <v>21</v>
      </c>
      <c r="H129" s="47" t="s">
        <v>786</v>
      </c>
      <c r="I129" s="47" t="s">
        <v>787</v>
      </c>
      <c r="J129" s="6">
        <v>62</v>
      </c>
      <c r="K129" s="8" t="s">
        <v>74</v>
      </c>
      <c r="L129" s="5">
        <v>1</v>
      </c>
      <c r="P129" s="3"/>
      <c r="Q129" s="3"/>
      <c r="R129" s="3"/>
    </row>
    <row r="130" spans="1:18" x14ac:dyDescent="0.2">
      <c r="A130" s="7" t="s">
        <v>16</v>
      </c>
      <c r="B130" s="7" t="s">
        <v>17</v>
      </c>
      <c r="C130" s="7" t="s">
        <v>18</v>
      </c>
      <c r="D130" s="4">
        <v>20812223000241</v>
      </c>
      <c r="E130" s="8" t="s">
        <v>81</v>
      </c>
      <c r="F130" s="8" t="s">
        <v>20</v>
      </c>
      <c r="G130" s="7" t="s">
        <v>21</v>
      </c>
      <c r="H130" s="47" t="s">
        <v>786</v>
      </c>
      <c r="I130" s="47" t="s">
        <v>787</v>
      </c>
      <c r="J130" s="6">
        <v>73</v>
      </c>
      <c r="K130" s="8" t="s">
        <v>69</v>
      </c>
      <c r="L130" s="5">
        <v>10</v>
      </c>
      <c r="P130" s="3"/>
      <c r="Q130" s="3"/>
      <c r="R130" s="3"/>
    </row>
    <row r="131" spans="1:18" x14ac:dyDescent="0.2">
      <c r="A131" s="7" t="s">
        <v>16</v>
      </c>
      <c r="B131" s="7" t="s">
        <v>17</v>
      </c>
      <c r="C131" s="7" t="s">
        <v>18</v>
      </c>
      <c r="D131" s="4">
        <v>21371777000132</v>
      </c>
      <c r="E131" s="8" t="s">
        <v>33</v>
      </c>
      <c r="F131" s="8" t="s">
        <v>20</v>
      </c>
      <c r="G131" s="7" t="s">
        <v>21</v>
      </c>
      <c r="H131" s="47" t="s">
        <v>786</v>
      </c>
      <c r="I131" s="47" t="s">
        <v>787</v>
      </c>
      <c r="J131" s="6">
        <v>62</v>
      </c>
      <c r="K131" s="8" t="s">
        <v>74</v>
      </c>
      <c r="L131" s="5">
        <v>8</v>
      </c>
      <c r="P131" s="3"/>
      <c r="Q131" s="3"/>
      <c r="R131" s="3"/>
    </row>
    <row r="132" spans="1:18" x14ac:dyDescent="0.2">
      <c r="A132" s="7" t="s">
        <v>16</v>
      </c>
      <c r="B132" s="7" t="s">
        <v>17</v>
      </c>
      <c r="C132" s="7" t="s">
        <v>18</v>
      </c>
      <c r="D132" s="4">
        <v>28290788000137</v>
      </c>
      <c r="E132" s="8" t="s">
        <v>82</v>
      </c>
      <c r="F132" s="8" t="s">
        <v>20</v>
      </c>
      <c r="G132" s="7" t="s">
        <v>21</v>
      </c>
      <c r="H132" s="47" t="s">
        <v>786</v>
      </c>
      <c r="I132" s="47" t="s">
        <v>787</v>
      </c>
      <c r="J132" s="6">
        <v>62</v>
      </c>
      <c r="K132" s="8" t="s">
        <v>74</v>
      </c>
      <c r="L132" s="5">
        <v>34</v>
      </c>
      <c r="P132" s="3"/>
      <c r="Q132" s="3"/>
      <c r="R132" s="3"/>
    </row>
    <row r="133" spans="1:18" x14ac:dyDescent="0.2">
      <c r="A133" s="7" t="s">
        <v>16</v>
      </c>
      <c r="B133" s="7" t="s">
        <v>17</v>
      </c>
      <c r="C133" s="7" t="s">
        <v>18</v>
      </c>
      <c r="D133" s="4">
        <v>28290788000307</v>
      </c>
      <c r="E133" s="8" t="s">
        <v>83</v>
      </c>
      <c r="F133" s="8" t="s">
        <v>20</v>
      </c>
      <c r="G133" s="7" t="s">
        <v>21</v>
      </c>
      <c r="H133" s="47" t="s">
        <v>786</v>
      </c>
      <c r="I133" s="47" t="s">
        <v>787</v>
      </c>
      <c r="J133" s="6">
        <v>73</v>
      </c>
      <c r="K133" s="8" t="s">
        <v>69</v>
      </c>
      <c r="L133" s="5">
        <v>24</v>
      </c>
      <c r="P133" s="3"/>
      <c r="Q133" s="3"/>
      <c r="R133" s="3"/>
    </row>
    <row r="134" spans="1:18" x14ac:dyDescent="0.2">
      <c r="A134" s="7" t="s">
        <v>16</v>
      </c>
      <c r="B134" s="7" t="s">
        <v>17</v>
      </c>
      <c r="C134" s="7" t="s">
        <v>18</v>
      </c>
      <c r="D134" s="4">
        <v>29435005009932</v>
      </c>
      <c r="E134" s="8" t="s">
        <v>36</v>
      </c>
      <c r="F134" s="8" t="s">
        <v>20</v>
      </c>
      <c r="G134" s="7" t="s">
        <v>21</v>
      </c>
      <c r="H134" s="47" t="s">
        <v>786</v>
      </c>
      <c r="I134" s="47" t="s">
        <v>787</v>
      </c>
      <c r="J134" s="6">
        <v>62</v>
      </c>
      <c r="K134" s="8" t="s">
        <v>74</v>
      </c>
      <c r="L134" s="5">
        <v>6</v>
      </c>
      <c r="P134" s="3"/>
      <c r="Q134" s="3"/>
      <c r="R134" s="3"/>
    </row>
    <row r="135" spans="1:18" x14ac:dyDescent="0.2">
      <c r="A135" s="7" t="s">
        <v>16</v>
      </c>
      <c r="B135" s="7" t="s">
        <v>17</v>
      </c>
      <c r="C135" s="7" t="s">
        <v>18</v>
      </c>
      <c r="D135" s="4">
        <v>29435005009932</v>
      </c>
      <c r="E135" s="8" t="s">
        <v>36</v>
      </c>
      <c r="F135" s="8" t="s">
        <v>20</v>
      </c>
      <c r="G135" s="7" t="s">
        <v>21</v>
      </c>
      <c r="H135" s="47" t="s">
        <v>786</v>
      </c>
      <c r="I135" s="47" t="s">
        <v>787</v>
      </c>
      <c r="J135" s="6">
        <v>64</v>
      </c>
      <c r="K135" s="8" t="s">
        <v>68</v>
      </c>
      <c r="L135" s="5">
        <v>4</v>
      </c>
      <c r="P135" s="3"/>
      <c r="Q135" s="3"/>
      <c r="R135" s="3"/>
    </row>
    <row r="136" spans="1:18" x14ac:dyDescent="0.2">
      <c r="A136" s="7" t="s">
        <v>16</v>
      </c>
      <c r="B136" s="7" t="s">
        <v>17</v>
      </c>
      <c r="C136" s="7" t="s">
        <v>18</v>
      </c>
      <c r="D136" s="4">
        <v>51722957010226</v>
      </c>
      <c r="E136" s="8" t="s">
        <v>39</v>
      </c>
      <c r="F136" s="8" t="s">
        <v>20</v>
      </c>
      <c r="G136" s="7" t="s">
        <v>21</v>
      </c>
      <c r="H136" s="47" t="s">
        <v>786</v>
      </c>
      <c r="I136" s="47" t="s">
        <v>787</v>
      </c>
      <c r="J136" s="6">
        <v>73</v>
      </c>
      <c r="K136" s="8" t="s">
        <v>69</v>
      </c>
      <c r="L136" s="5">
        <v>7</v>
      </c>
      <c r="P136" s="3"/>
      <c r="Q136" s="3"/>
      <c r="R136" s="3"/>
    </row>
    <row r="137" spans="1:18" x14ac:dyDescent="0.2">
      <c r="A137" s="7" t="s">
        <v>16</v>
      </c>
      <c r="B137" s="7" t="s">
        <v>17</v>
      </c>
      <c r="C137" s="7" t="s">
        <v>18</v>
      </c>
      <c r="D137" s="4">
        <v>56577059000606</v>
      </c>
      <c r="E137" s="8" t="s">
        <v>84</v>
      </c>
      <c r="F137" s="8" t="s">
        <v>20</v>
      </c>
      <c r="G137" s="7" t="s">
        <v>21</v>
      </c>
      <c r="H137" s="47" t="s">
        <v>786</v>
      </c>
      <c r="I137" s="47" t="s">
        <v>787</v>
      </c>
      <c r="J137" s="6">
        <v>64</v>
      </c>
      <c r="K137" s="8" t="s">
        <v>68</v>
      </c>
      <c r="L137" s="5">
        <v>30</v>
      </c>
      <c r="P137" s="3"/>
      <c r="Q137" s="3"/>
      <c r="R137" s="3"/>
    </row>
    <row r="138" spans="1:18" x14ac:dyDescent="0.2">
      <c r="A138" s="7" t="s">
        <v>16</v>
      </c>
      <c r="B138" s="7" t="s">
        <v>17</v>
      </c>
      <c r="C138" s="7" t="s">
        <v>18</v>
      </c>
      <c r="D138" s="4">
        <v>60448040000122</v>
      </c>
      <c r="E138" s="8" t="s">
        <v>85</v>
      </c>
      <c r="F138" s="8" t="s">
        <v>20</v>
      </c>
      <c r="G138" s="7" t="s">
        <v>21</v>
      </c>
      <c r="H138" s="47" t="s">
        <v>786</v>
      </c>
      <c r="I138" s="47" t="s">
        <v>787</v>
      </c>
      <c r="J138" s="6">
        <v>62</v>
      </c>
      <c r="K138" s="8" t="s">
        <v>74</v>
      </c>
      <c r="L138" s="5">
        <v>55</v>
      </c>
      <c r="P138" s="3"/>
      <c r="Q138" s="3"/>
      <c r="R138" s="3"/>
    </row>
    <row r="139" spans="1:18" x14ac:dyDescent="0.2">
      <c r="A139" s="7" t="s">
        <v>16</v>
      </c>
      <c r="B139" s="7" t="s">
        <v>17</v>
      </c>
      <c r="C139" s="7" t="s">
        <v>18</v>
      </c>
      <c r="D139" s="4">
        <v>60448040000122</v>
      </c>
      <c r="E139" s="8" t="s">
        <v>85</v>
      </c>
      <c r="F139" s="8" t="s">
        <v>20</v>
      </c>
      <c r="G139" s="7" t="s">
        <v>21</v>
      </c>
      <c r="H139" s="47" t="s">
        <v>786</v>
      </c>
      <c r="I139" s="47" t="s">
        <v>787</v>
      </c>
      <c r="J139" s="6">
        <v>64</v>
      </c>
      <c r="K139" s="8" t="s">
        <v>68</v>
      </c>
      <c r="L139" s="5">
        <v>60</v>
      </c>
      <c r="P139" s="3"/>
      <c r="Q139" s="3"/>
      <c r="R139" s="3"/>
    </row>
    <row r="140" spans="1:18" x14ac:dyDescent="0.2">
      <c r="A140" s="7" t="s">
        <v>16</v>
      </c>
      <c r="B140" s="7" t="s">
        <v>17</v>
      </c>
      <c r="C140" s="7" t="s">
        <v>18</v>
      </c>
      <c r="D140" s="4">
        <v>60453024000390</v>
      </c>
      <c r="E140" s="8" t="s">
        <v>86</v>
      </c>
      <c r="F140" s="8" t="s">
        <v>20</v>
      </c>
      <c r="G140" s="7" t="s">
        <v>21</v>
      </c>
      <c r="H140" s="47" t="s">
        <v>786</v>
      </c>
      <c r="I140" s="47" t="s">
        <v>787</v>
      </c>
      <c r="J140" s="6">
        <v>62</v>
      </c>
      <c r="K140" s="8" t="s">
        <v>74</v>
      </c>
      <c r="L140" s="5">
        <v>10</v>
      </c>
      <c r="P140" s="3"/>
      <c r="Q140" s="3"/>
      <c r="R140" s="3"/>
    </row>
    <row r="141" spans="1:18" x14ac:dyDescent="0.2">
      <c r="A141" s="7" t="s">
        <v>16</v>
      </c>
      <c r="B141" s="7" t="s">
        <v>17</v>
      </c>
      <c r="C141" s="7" t="s">
        <v>18</v>
      </c>
      <c r="D141" s="4">
        <v>60453024000390</v>
      </c>
      <c r="E141" s="8" t="s">
        <v>86</v>
      </c>
      <c r="F141" s="8" t="s">
        <v>20</v>
      </c>
      <c r="G141" s="7" t="s">
        <v>21</v>
      </c>
      <c r="H141" s="47" t="s">
        <v>786</v>
      </c>
      <c r="I141" s="47" t="s">
        <v>787</v>
      </c>
      <c r="J141" s="6">
        <v>64</v>
      </c>
      <c r="K141" s="8" t="s">
        <v>68</v>
      </c>
      <c r="L141" s="5">
        <v>5</v>
      </c>
      <c r="P141" s="3"/>
      <c r="Q141" s="3"/>
      <c r="R141" s="3"/>
    </row>
    <row r="142" spans="1:18" x14ac:dyDescent="0.2">
      <c r="A142" s="7" t="s">
        <v>16</v>
      </c>
      <c r="B142" s="7" t="s">
        <v>17</v>
      </c>
      <c r="C142" s="7" t="s">
        <v>18</v>
      </c>
      <c r="D142" s="4">
        <v>60678604000113</v>
      </c>
      <c r="E142" s="8" t="s">
        <v>64</v>
      </c>
      <c r="F142" s="8" t="s">
        <v>20</v>
      </c>
      <c r="G142" s="7" t="s">
        <v>21</v>
      </c>
      <c r="H142" s="47" t="s">
        <v>786</v>
      </c>
      <c r="I142" s="47" t="s">
        <v>787</v>
      </c>
      <c r="J142" s="6">
        <v>62</v>
      </c>
      <c r="K142" s="8" t="s">
        <v>74</v>
      </c>
      <c r="L142" s="5">
        <v>42</v>
      </c>
      <c r="P142" s="3"/>
      <c r="Q142" s="3"/>
      <c r="R142" s="3"/>
    </row>
    <row r="143" spans="1:18" x14ac:dyDescent="0.2">
      <c r="A143" s="7" t="s">
        <v>16</v>
      </c>
      <c r="B143" s="7" t="s">
        <v>17</v>
      </c>
      <c r="C143" s="7" t="s">
        <v>18</v>
      </c>
      <c r="D143" s="4">
        <v>60678604000113</v>
      </c>
      <c r="E143" s="8" t="s">
        <v>64</v>
      </c>
      <c r="F143" s="8" t="s">
        <v>20</v>
      </c>
      <c r="G143" s="7" t="s">
        <v>21</v>
      </c>
      <c r="H143" s="47" t="s">
        <v>786</v>
      </c>
      <c r="I143" s="47" t="s">
        <v>787</v>
      </c>
      <c r="J143" s="6">
        <v>64</v>
      </c>
      <c r="K143" s="8" t="s">
        <v>68</v>
      </c>
      <c r="L143" s="5">
        <v>2</v>
      </c>
      <c r="P143" s="3"/>
      <c r="Q143" s="3"/>
      <c r="R143" s="3"/>
    </row>
    <row r="144" spans="1:18" x14ac:dyDescent="0.2">
      <c r="A144" s="7" t="s">
        <v>16</v>
      </c>
      <c r="B144" s="7" t="s">
        <v>17</v>
      </c>
      <c r="C144" s="7" t="s">
        <v>18</v>
      </c>
      <c r="D144" s="4">
        <v>60726502000126</v>
      </c>
      <c r="E144" s="8" t="s">
        <v>44</v>
      </c>
      <c r="F144" s="8" t="s">
        <v>20</v>
      </c>
      <c r="G144" s="7" t="s">
        <v>21</v>
      </c>
      <c r="H144" s="47" t="s">
        <v>786</v>
      </c>
      <c r="I144" s="47" t="s">
        <v>787</v>
      </c>
      <c r="J144" s="6">
        <v>62</v>
      </c>
      <c r="K144" s="8" t="s">
        <v>74</v>
      </c>
      <c r="L144" s="5">
        <v>6</v>
      </c>
      <c r="P144" s="3"/>
      <c r="Q144" s="3"/>
      <c r="R144" s="3"/>
    </row>
    <row r="145" spans="1:18" x14ac:dyDescent="0.2">
      <c r="A145" s="7" t="s">
        <v>16</v>
      </c>
      <c r="B145" s="7" t="s">
        <v>17</v>
      </c>
      <c r="C145" s="7" t="s">
        <v>18</v>
      </c>
      <c r="D145" s="4">
        <v>60726502000126</v>
      </c>
      <c r="E145" s="8" t="s">
        <v>44</v>
      </c>
      <c r="F145" s="8" t="s">
        <v>20</v>
      </c>
      <c r="G145" s="7" t="s">
        <v>21</v>
      </c>
      <c r="H145" s="47" t="s">
        <v>786</v>
      </c>
      <c r="I145" s="47" t="s">
        <v>787</v>
      </c>
      <c r="J145" s="6">
        <v>64</v>
      </c>
      <c r="K145" s="8" t="s">
        <v>68</v>
      </c>
      <c r="L145" s="5">
        <v>3</v>
      </c>
      <c r="P145" s="3"/>
      <c r="Q145" s="3"/>
      <c r="R145" s="3"/>
    </row>
    <row r="146" spans="1:18" x14ac:dyDescent="0.2">
      <c r="A146" s="7" t="s">
        <v>16</v>
      </c>
      <c r="B146" s="7" t="s">
        <v>17</v>
      </c>
      <c r="C146" s="7" t="s">
        <v>18</v>
      </c>
      <c r="D146" s="4">
        <v>60726502000711</v>
      </c>
      <c r="E146" s="8" t="s">
        <v>87</v>
      </c>
      <c r="F146" s="8" t="s">
        <v>20</v>
      </c>
      <c r="G146" s="7" t="s">
        <v>21</v>
      </c>
      <c r="H146" s="47" t="s">
        <v>786</v>
      </c>
      <c r="I146" s="47" t="s">
        <v>787</v>
      </c>
      <c r="J146" s="6">
        <v>62</v>
      </c>
      <c r="K146" s="8" t="s">
        <v>74</v>
      </c>
      <c r="L146" s="5">
        <v>5</v>
      </c>
      <c r="P146" s="3"/>
      <c r="Q146" s="3"/>
      <c r="R146" s="3"/>
    </row>
    <row r="147" spans="1:18" x14ac:dyDescent="0.2">
      <c r="A147" s="7" t="s">
        <v>16</v>
      </c>
      <c r="B147" s="7" t="s">
        <v>17</v>
      </c>
      <c r="C147" s="7" t="s">
        <v>18</v>
      </c>
      <c r="D147" s="4">
        <v>60884855000316</v>
      </c>
      <c r="E147" s="8" t="s">
        <v>46</v>
      </c>
      <c r="F147" s="8" t="s">
        <v>20</v>
      </c>
      <c r="G147" s="7" t="s">
        <v>21</v>
      </c>
      <c r="H147" s="47" t="s">
        <v>786</v>
      </c>
      <c r="I147" s="47" t="s">
        <v>787</v>
      </c>
      <c r="J147" s="6">
        <v>62</v>
      </c>
      <c r="K147" s="8" t="s">
        <v>74</v>
      </c>
      <c r="L147" s="5">
        <v>38</v>
      </c>
      <c r="P147" s="3"/>
      <c r="Q147" s="3"/>
      <c r="R147" s="3"/>
    </row>
    <row r="148" spans="1:18" x14ac:dyDescent="0.2">
      <c r="A148" s="7" t="s">
        <v>16</v>
      </c>
      <c r="B148" s="7" t="s">
        <v>17</v>
      </c>
      <c r="C148" s="7" t="s">
        <v>18</v>
      </c>
      <c r="D148" s="4">
        <v>60884855000316</v>
      </c>
      <c r="E148" s="8" t="s">
        <v>46</v>
      </c>
      <c r="F148" s="8" t="s">
        <v>20</v>
      </c>
      <c r="G148" s="7" t="s">
        <v>21</v>
      </c>
      <c r="H148" s="47" t="s">
        <v>786</v>
      </c>
      <c r="I148" s="47" t="s">
        <v>787</v>
      </c>
      <c r="J148" s="6">
        <v>64</v>
      </c>
      <c r="K148" s="8" t="s">
        <v>68</v>
      </c>
      <c r="L148" s="5">
        <v>8</v>
      </c>
      <c r="P148" s="3"/>
      <c r="Q148" s="3"/>
      <c r="R148" s="3"/>
    </row>
    <row r="149" spans="1:18" x14ac:dyDescent="0.2">
      <c r="A149" s="7" t="s">
        <v>16</v>
      </c>
      <c r="B149" s="7" t="s">
        <v>17</v>
      </c>
      <c r="C149" s="7" t="s">
        <v>18</v>
      </c>
      <c r="D149" s="4">
        <v>60922168000771</v>
      </c>
      <c r="E149" s="8" t="s">
        <v>47</v>
      </c>
      <c r="F149" s="8" t="s">
        <v>20</v>
      </c>
      <c r="G149" s="7" t="s">
        <v>21</v>
      </c>
      <c r="H149" s="47" t="s">
        <v>786</v>
      </c>
      <c r="I149" s="47" t="s">
        <v>787</v>
      </c>
      <c r="J149" s="6">
        <v>73</v>
      </c>
      <c r="K149" s="8" t="s">
        <v>69</v>
      </c>
      <c r="L149" s="5">
        <v>16</v>
      </c>
      <c r="P149" s="3"/>
      <c r="Q149" s="3"/>
      <c r="R149" s="3"/>
    </row>
    <row r="150" spans="1:18" x14ac:dyDescent="0.2">
      <c r="A150" s="7" t="s">
        <v>16</v>
      </c>
      <c r="B150" s="7" t="s">
        <v>17</v>
      </c>
      <c r="C150" s="7" t="s">
        <v>18</v>
      </c>
      <c r="D150" s="4">
        <v>60961422000155</v>
      </c>
      <c r="E150" s="8" t="s">
        <v>49</v>
      </c>
      <c r="F150" s="8" t="s">
        <v>20</v>
      </c>
      <c r="G150" s="7" t="s">
        <v>21</v>
      </c>
      <c r="H150" s="47" t="s">
        <v>786</v>
      </c>
      <c r="I150" s="47" t="s">
        <v>787</v>
      </c>
      <c r="J150" s="6">
        <v>62</v>
      </c>
      <c r="K150" s="8" t="s">
        <v>74</v>
      </c>
      <c r="L150" s="5">
        <v>13</v>
      </c>
      <c r="P150" s="3"/>
      <c r="Q150" s="3"/>
      <c r="R150" s="3"/>
    </row>
    <row r="151" spans="1:18" x14ac:dyDescent="0.2">
      <c r="A151" s="7" t="s">
        <v>16</v>
      </c>
      <c r="B151" s="7" t="s">
        <v>17</v>
      </c>
      <c r="C151" s="7" t="s">
        <v>18</v>
      </c>
      <c r="D151" s="4">
        <v>60961422000155</v>
      </c>
      <c r="E151" s="8" t="s">
        <v>49</v>
      </c>
      <c r="F151" s="8" t="s">
        <v>20</v>
      </c>
      <c r="G151" s="7" t="s">
        <v>21</v>
      </c>
      <c r="H151" s="47" t="s">
        <v>786</v>
      </c>
      <c r="I151" s="47" t="s">
        <v>787</v>
      </c>
      <c r="J151" s="6">
        <v>64</v>
      </c>
      <c r="K151" s="8" t="s">
        <v>68</v>
      </c>
      <c r="L151" s="5">
        <v>10</v>
      </c>
      <c r="P151" s="3"/>
      <c r="Q151" s="3"/>
      <c r="R151" s="3"/>
    </row>
    <row r="152" spans="1:18" x14ac:dyDescent="0.2">
      <c r="A152" s="7" t="s">
        <v>16</v>
      </c>
      <c r="B152" s="7" t="s">
        <v>17</v>
      </c>
      <c r="C152" s="7" t="s">
        <v>18</v>
      </c>
      <c r="D152" s="4">
        <v>60975737001204</v>
      </c>
      <c r="E152" s="8" t="s">
        <v>88</v>
      </c>
      <c r="F152" s="8" t="s">
        <v>20</v>
      </c>
      <c r="G152" s="7" t="s">
        <v>21</v>
      </c>
      <c r="H152" s="47" t="s">
        <v>786</v>
      </c>
      <c r="I152" s="47" t="s">
        <v>787</v>
      </c>
      <c r="J152" s="6">
        <v>64</v>
      </c>
      <c r="K152" s="8" t="s">
        <v>68</v>
      </c>
      <c r="L152" s="5">
        <v>6</v>
      </c>
      <c r="P152" s="3"/>
      <c r="Q152" s="3"/>
      <c r="R152" s="3"/>
    </row>
    <row r="153" spans="1:18" x14ac:dyDescent="0.2">
      <c r="A153" s="7" t="s">
        <v>16</v>
      </c>
      <c r="B153" s="7" t="s">
        <v>17</v>
      </c>
      <c r="C153" s="7" t="s">
        <v>18</v>
      </c>
      <c r="D153" s="4">
        <v>61213674000240</v>
      </c>
      <c r="E153" s="8" t="s">
        <v>52</v>
      </c>
      <c r="F153" s="8" t="s">
        <v>20</v>
      </c>
      <c r="G153" s="7" t="s">
        <v>21</v>
      </c>
      <c r="H153" s="47" t="s">
        <v>786</v>
      </c>
      <c r="I153" s="47" t="s">
        <v>787</v>
      </c>
      <c r="J153" s="6">
        <v>62</v>
      </c>
      <c r="K153" s="8" t="s">
        <v>74</v>
      </c>
      <c r="L153" s="5">
        <v>1</v>
      </c>
      <c r="P153" s="3"/>
      <c r="Q153" s="3"/>
      <c r="R153" s="3"/>
    </row>
    <row r="154" spans="1:18" x14ac:dyDescent="0.2">
      <c r="A154" s="7" t="s">
        <v>16</v>
      </c>
      <c r="B154" s="7" t="s">
        <v>17</v>
      </c>
      <c r="C154" s="7" t="s">
        <v>18</v>
      </c>
      <c r="D154" s="4">
        <v>61213674000240</v>
      </c>
      <c r="E154" s="8" t="s">
        <v>52</v>
      </c>
      <c r="F154" s="8" t="s">
        <v>20</v>
      </c>
      <c r="G154" s="7" t="s">
        <v>21</v>
      </c>
      <c r="H154" s="47" t="s">
        <v>786</v>
      </c>
      <c r="I154" s="47" t="s">
        <v>787</v>
      </c>
      <c r="J154" s="6">
        <v>64</v>
      </c>
      <c r="K154" s="8" t="s">
        <v>68</v>
      </c>
      <c r="L154" s="5">
        <v>3</v>
      </c>
      <c r="P154" s="3"/>
      <c r="Q154" s="3"/>
      <c r="R154" s="3"/>
    </row>
    <row r="155" spans="1:18" x14ac:dyDescent="0.2">
      <c r="A155" s="7" t="s">
        <v>16</v>
      </c>
      <c r="B155" s="7" t="s">
        <v>17</v>
      </c>
      <c r="C155" s="7" t="s">
        <v>18</v>
      </c>
      <c r="D155" s="4">
        <v>61213674000240</v>
      </c>
      <c r="E155" s="8" t="s">
        <v>52</v>
      </c>
      <c r="F155" s="8" t="s">
        <v>20</v>
      </c>
      <c r="G155" s="7" t="s">
        <v>21</v>
      </c>
      <c r="H155" s="47" t="s">
        <v>786</v>
      </c>
      <c r="I155" s="47" t="s">
        <v>787</v>
      </c>
      <c r="J155" s="6">
        <v>73</v>
      </c>
      <c r="K155" s="8" t="s">
        <v>69</v>
      </c>
      <c r="L155" s="5">
        <v>49</v>
      </c>
      <c r="P155" s="3"/>
      <c r="Q155" s="3"/>
      <c r="R155" s="3"/>
    </row>
    <row r="156" spans="1:18" x14ac:dyDescent="0.2">
      <c r="A156" s="7" t="s">
        <v>16</v>
      </c>
      <c r="B156" s="7" t="s">
        <v>17</v>
      </c>
      <c r="C156" s="7" t="s">
        <v>18</v>
      </c>
      <c r="D156" s="4">
        <v>61599908000158</v>
      </c>
      <c r="E156" s="8" t="s">
        <v>89</v>
      </c>
      <c r="F156" s="8" t="s">
        <v>20</v>
      </c>
      <c r="G156" s="7" t="s">
        <v>21</v>
      </c>
      <c r="H156" s="47" t="s">
        <v>786</v>
      </c>
      <c r="I156" s="47" t="s">
        <v>787</v>
      </c>
      <c r="J156" s="6">
        <v>62</v>
      </c>
      <c r="K156" s="8" t="s">
        <v>74</v>
      </c>
      <c r="L156" s="5">
        <v>30</v>
      </c>
      <c r="P156" s="3"/>
      <c r="Q156" s="3"/>
      <c r="R156" s="3"/>
    </row>
    <row r="157" spans="1:18" x14ac:dyDescent="0.2">
      <c r="A157" s="7" t="s">
        <v>16</v>
      </c>
      <c r="B157" s="7" t="s">
        <v>17</v>
      </c>
      <c r="C157" s="7" t="s">
        <v>18</v>
      </c>
      <c r="D157" s="4">
        <v>61599908000158</v>
      </c>
      <c r="E157" s="8" t="s">
        <v>89</v>
      </c>
      <c r="F157" s="8" t="s">
        <v>20</v>
      </c>
      <c r="G157" s="7" t="s">
        <v>21</v>
      </c>
      <c r="H157" s="47" t="s">
        <v>786</v>
      </c>
      <c r="I157" s="47" t="s">
        <v>787</v>
      </c>
      <c r="J157" s="6">
        <v>64</v>
      </c>
      <c r="K157" s="8" t="s">
        <v>68</v>
      </c>
      <c r="L157" s="5">
        <v>130</v>
      </c>
      <c r="P157" s="3"/>
      <c r="Q157" s="3"/>
      <c r="R157" s="3"/>
    </row>
    <row r="158" spans="1:18" x14ac:dyDescent="0.2">
      <c r="A158" s="7" t="s">
        <v>16</v>
      </c>
      <c r="B158" s="7" t="s">
        <v>17</v>
      </c>
      <c r="C158" s="7" t="s">
        <v>18</v>
      </c>
      <c r="D158" s="4">
        <v>62106505000192</v>
      </c>
      <c r="E158" s="8" t="s">
        <v>90</v>
      </c>
      <c r="F158" s="8" t="s">
        <v>20</v>
      </c>
      <c r="G158" s="7" t="s">
        <v>21</v>
      </c>
      <c r="H158" s="47" t="s">
        <v>786</v>
      </c>
      <c r="I158" s="47" t="s">
        <v>787</v>
      </c>
      <c r="J158" s="6">
        <v>62</v>
      </c>
      <c r="K158" s="8" t="s">
        <v>74</v>
      </c>
      <c r="L158" s="5">
        <v>2</v>
      </c>
      <c r="P158" s="3"/>
      <c r="Q158" s="3"/>
      <c r="R158" s="3"/>
    </row>
    <row r="159" spans="1:18" x14ac:dyDescent="0.2">
      <c r="A159" s="7" t="s">
        <v>16</v>
      </c>
      <c r="B159" s="7" t="s">
        <v>17</v>
      </c>
      <c r="C159" s="7" t="s">
        <v>18</v>
      </c>
      <c r="D159" s="4">
        <v>62779145000190</v>
      </c>
      <c r="E159" s="8" t="s">
        <v>91</v>
      </c>
      <c r="F159" s="8" t="s">
        <v>20</v>
      </c>
      <c r="G159" s="7" t="s">
        <v>21</v>
      </c>
      <c r="H159" s="47" t="s">
        <v>786</v>
      </c>
      <c r="I159" s="47" t="s">
        <v>787</v>
      </c>
      <c r="J159" s="6">
        <v>64</v>
      </c>
      <c r="K159" s="8" t="s">
        <v>68</v>
      </c>
      <c r="L159" s="5">
        <v>2</v>
      </c>
      <c r="P159" s="3"/>
      <c r="Q159" s="3"/>
      <c r="R159" s="3"/>
    </row>
    <row r="160" spans="1:18" x14ac:dyDescent="0.2">
      <c r="A160" s="7" t="s">
        <v>16</v>
      </c>
      <c r="B160" s="7" t="s">
        <v>55</v>
      </c>
      <c r="C160" s="7" t="s">
        <v>18</v>
      </c>
      <c r="D160" s="4">
        <v>6047087000210</v>
      </c>
      <c r="E160" s="8" t="s">
        <v>73</v>
      </c>
      <c r="F160" s="8" t="s">
        <v>20</v>
      </c>
      <c r="G160" s="7" t="s">
        <v>21</v>
      </c>
      <c r="H160" s="47" t="s">
        <v>786</v>
      </c>
      <c r="I160" s="47" t="s">
        <v>787</v>
      </c>
      <c r="J160" s="6">
        <v>62</v>
      </c>
      <c r="K160" s="8" t="s">
        <v>74</v>
      </c>
      <c r="L160" s="5">
        <v>33</v>
      </c>
      <c r="P160" s="3"/>
      <c r="Q160" s="3"/>
      <c r="R160" s="3"/>
    </row>
    <row r="161" spans="1:18" x14ac:dyDescent="0.2">
      <c r="A161" s="7" t="s">
        <v>16</v>
      </c>
      <c r="B161" s="7" t="s">
        <v>55</v>
      </c>
      <c r="C161" s="7" t="s">
        <v>18</v>
      </c>
      <c r="D161" s="4">
        <v>6047087000210</v>
      </c>
      <c r="E161" s="8" t="s">
        <v>73</v>
      </c>
      <c r="F161" s="8" t="s">
        <v>20</v>
      </c>
      <c r="G161" s="7" t="s">
        <v>21</v>
      </c>
      <c r="H161" s="47" t="s">
        <v>786</v>
      </c>
      <c r="I161" s="47" t="s">
        <v>787</v>
      </c>
      <c r="J161" s="6">
        <v>64</v>
      </c>
      <c r="K161" s="8" t="s">
        <v>68</v>
      </c>
      <c r="L161" s="5">
        <v>41</v>
      </c>
      <c r="P161" s="3"/>
      <c r="Q161" s="3"/>
      <c r="R161" s="3"/>
    </row>
    <row r="162" spans="1:18" x14ac:dyDescent="0.2">
      <c r="A162" s="7" t="s">
        <v>16</v>
      </c>
      <c r="B162" s="7" t="s">
        <v>55</v>
      </c>
      <c r="C162" s="7" t="s">
        <v>18</v>
      </c>
      <c r="D162" s="4">
        <v>6047087003820</v>
      </c>
      <c r="E162" s="8" t="s">
        <v>75</v>
      </c>
      <c r="F162" s="8" t="s">
        <v>20</v>
      </c>
      <c r="G162" s="7" t="s">
        <v>21</v>
      </c>
      <c r="H162" s="47" t="s">
        <v>786</v>
      </c>
      <c r="I162" s="47" t="s">
        <v>787</v>
      </c>
      <c r="J162" s="6">
        <v>62</v>
      </c>
      <c r="K162" s="8" t="s">
        <v>74</v>
      </c>
      <c r="L162" s="5">
        <v>11</v>
      </c>
      <c r="P162" s="3"/>
      <c r="Q162" s="3"/>
      <c r="R162" s="3"/>
    </row>
    <row r="163" spans="1:18" x14ac:dyDescent="0.2">
      <c r="A163" s="7" t="s">
        <v>16</v>
      </c>
      <c r="B163" s="7" t="s">
        <v>55</v>
      </c>
      <c r="C163" s="7" t="s">
        <v>18</v>
      </c>
      <c r="D163" s="4">
        <v>6047087003820</v>
      </c>
      <c r="E163" s="8" t="s">
        <v>75</v>
      </c>
      <c r="F163" s="8" t="s">
        <v>20</v>
      </c>
      <c r="G163" s="7" t="s">
        <v>21</v>
      </c>
      <c r="H163" s="47" t="s">
        <v>786</v>
      </c>
      <c r="I163" s="47" t="s">
        <v>787</v>
      </c>
      <c r="J163" s="6">
        <v>64</v>
      </c>
      <c r="K163" s="8" t="s">
        <v>68</v>
      </c>
      <c r="L163" s="5">
        <v>2</v>
      </c>
      <c r="P163" s="3"/>
      <c r="Q163" s="3"/>
      <c r="R163" s="3"/>
    </row>
    <row r="164" spans="1:18" x14ac:dyDescent="0.2">
      <c r="A164" s="7" t="s">
        <v>16</v>
      </c>
      <c r="B164" s="7" t="s">
        <v>55</v>
      </c>
      <c r="C164" s="7" t="s">
        <v>18</v>
      </c>
      <c r="D164" s="4">
        <v>7045325000130</v>
      </c>
      <c r="E164" s="8" t="s">
        <v>57</v>
      </c>
      <c r="F164" s="8" t="s">
        <v>20</v>
      </c>
      <c r="G164" s="7" t="s">
        <v>21</v>
      </c>
      <c r="H164" s="47" t="s">
        <v>786</v>
      </c>
      <c r="I164" s="47" t="s">
        <v>787</v>
      </c>
      <c r="J164" s="6">
        <v>73</v>
      </c>
      <c r="K164" s="8" t="s">
        <v>69</v>
      </c>
      <c r="L164" s="5">
        <v>80</v>
      </c>
      <c r="P164" s="3"/>
      <c r="Q164" s="3"/>
      <c r="R164" s="3"/>
    </row>
    <row r="165" spans="1:18" x14ac:dyDescent="0.2">
      <c r="A165" s="7" t="s">
        <v>16</v>
      </c>
      <c r="B165" s="7" t="s">
        <v>55</v>
      </c>
      <c r="C165" s="7" t="s">
        <v>18</v>
      </c>
      <c r="D165" s="4">
        <v>8100676002455</v>
      </c>
      <c r="E165" s="8" t="s">
        <v>27</v>
      </c>
      <c r="F165" s="8" t="s">
        <v>20</v>
      </c>
      <c r="G165" s="7" t="s">
        <v>21</v>
      </c>
      <c r="H165" s="47" t="s">
        <v>786</v>
      </c>
      <c r="I165" s="47" t="s">
        <v>787</v>
      </c>
      <c r="J165" s="6">
        <v>64</v>
      </c>
      <c r="K165" s="8" t="s">
        <v>68</v>
      </c>
      <c r="L165" s="5">
        <v>12</v>
      </c>
      <c r="P165" s="3"/>
      <c r="Q165" s="3"/>
      <c r="R165" s="3"/>
    </row>
    <row r="166" spans="1:18" x14ac:dyDescent="0.2">
      <c r="A166" s="7" t="s">
        <v>16</v>
      </c>
      <c r="B166" s="7" t="s">
        <v>55</v>
      </c>
      <c r="C166" s="7" t="s">
        <v>18</v>
      </c>
      <c r="D166" s="4">
        <v>8677327000104</v>
      </c>
      <c r="E166" s="8" t="s">
        <v>92</v>
      </c>
      <c r="F166" s="8" t="s">
        <v>20</v>
      </c>
      <c r="G166" s="7" t="s">
        <v>21</v>
      </c>
      <c r="H166" s="47" t="s">
        <v>786</v>
      </c>
      <c r="I166" s="47" t="s">
        <v>787</v>
      </c>
      <c r="J166" s="6">
        <v>64</v>
      </c>
      <c r="K166" s="8" t="s">
        <v>68</v>
      </c>
      <c r="L166" s="5">
        <v>2</v>
      </c>
      <c r="P166" s="3"/>
      <c r="Q166" s="3"/>
      <c r="R166" s="3"/>
    </row>
    <row r="167" spans="1:18" x14ac:dyDescent="0.2">
      <c r="A167" s="7" t="s">
        <v>16</v>
      </c>
      <c r="B167" s="7" t="s">
        <v>55</v>
      </c>
      <c r="C167" s="7" t="s">
        <v>18</v>
      </c>
      <c r="D167" s="4">
        <v>10211939000230</v>
      </c>
      <c r="E167" s="8" t="s">
        <v>77</v>
      </c>
      <c r="F167" s="8" t="s">
        <v>20</v>
      </c>
      <c r="G167" s="7" t="s">
        <v>21</v>
      </c>
      <c r="H167" s="47" t="s">
        <v>786</v>
      </c>
      <c r="I167" s="47" t="s">
        <v>787</v>
      </c>
      <c r="J167" s="6">
        <v>73</v>
      </c>
      <c r="K167" s="8" t="s">
        <v>69</v>
      </c>
      <c r="L167" s="5">
        <v>8</v>
      </c>
      <c r="P167" s="3"/>
      <c r="Q167" s="3"/>
      <c r="R167" s="3"/>
    </row>
    <row r="168" spans="1:18" x14ac:dyDescent="0.2">
      <c r="A168" s="7" t="s">
        <v>16</v>
      </c>
      <c r="B168" s="7" t="s">
        <v>55</v>
      </c>
      <c r="C168" s="7" t="s">
        <v>18</v>
      </c>
      <c r="D168" s="4">
        <v>10323381000101</v>
      </c>
      <c r="E168" s="8" t="s">
        <v>78</v>
      </c>
      <c r="F168" s="8" t="s">
        <v>20</v>
      </c>
      <c r="G168" s="7" t="s">
        <v>21</v>
      </c>
      <c r="H168" s="47" t="s">
        <v>786</v>
      </c>
      <c r="I168" s="47" t="s">
        <v>787</v>
      </c>
      <c r="J168" s="6">
        <v>73</v>
      </c>
      <c r="K168" s="8" t="s">
        <v>69</v>
      </c>
      <c r="L168" s="5">
        <v>6</v>
      </c>
      <c r="P168" s="3"/>
      <c r="Q168" s="3"/>
      <c r="R168" s="3"/>
    </row>
    <row r="169" spans="1:18" x14ac:dyDescent="0.2">
      <c r="A169" s="7" t="s">
        <v>16</v>
      </c>
      <c r="B169" s="7" t="s">
        <v>55</v>
      </c>
      <c r="C169" s="7" t="s">
        <v>18</v>
      </c>
      <c r="D169" s="4">
        <v>10468341000220</v>
      </c>
      <c r="E169" s="8" t="s">
        <v>30</v>
      </c>
      <c r="F169" s="8" t="s">
        <v>20</v>
      </c>
      <c r="G169" s="7" t="s">
        <v>21</v>
      </c>
      <c r="H169" s="47" t="s">
        <v>786</v>
      </c>
      <c r="I169" s="47" t="s">
        <v>787</v>
      </c>
      <c r="J169" s="6">
        <v>73</v>
      </c>
      <c r="K169" s="8" t="s">
        <v>69</v>
      </c>
      <c r="L169" s="5">
        <v>24</v>
      </c>
      <c r="P169" s="3"/>
      <c r="Q169" s="3"/>
      <c r="R169" s="3"/>
    </row>
    <row r="170" spans="1:18" x14ac:dyDescent="0.2">
      <c r="A170" s="7" t="s">
        <v>16</v>
      </c>
      <c r="B170" s="7" t="s">
        <v>55</v>
      </c>
      <c r="C170" s="7" t="s">
        <v>18</v>
      </c>
      <c r="D170" s="4">
        <v>13718999000150</v>
      </c>
      <c r="E170" s="8" t="s">
        <v>79</v>
      </c>
      <c r="F170" s="8" t="s">
        <v>20</v>
      </c>
      <c r="G170" s="7" t="s">
        <v>21</v>
      </c>
      <c r="H170" s="47" t="s">
        <v>786</v>
      </c>
      <c r="I170" s="47" t="s">
        <v>787</v>
      </c>
      <c r="J170" s="6">
        <v>73</v>
      </c>
      <c r="K170" s="8" t="s">
        <v>69</v>
      </c>
      <c r="L170" s="5">
        <v>4</v>
      </c>
      <c r="P170" s="3"/>
      <c r="Q170" s="3"/>
      <c r="R170" s="3"/>
    </row>
    <row r="171" spans="1:18" x14ac:dyDescent="0.2">
      <c r="A171" s="7" t="s">
        <v>16</v>
      </c>
      <c r="B171" s="7" t="s">
        <v>55</v>
      </c>
      <c r="C171" s="7" t="s">
        <v>18</v>
      </c>
      <c r="D171" s="4">
        <v>19056055000141</v>
      </c>
      <c r="E171" s="8" t="s">
        <v>93</v>
      </c>
      <c r="F171" s="8" t="s">
        <v>20</v>
      </c>
      <c r="G171" s="7" t="s">
        <v>21</v>
      </c>
      <c r="H171" s="47" t="s">
        <v>786</v>
      </c>
      <c r="I171" s="47" t="s">
        <v>787</v>
      </c>
      <c r="J171" s="6">
        <v>62</v>
      </c>
      <c r="K171" s="8" t="s">
        <v>74</v>
      </c>
      <c r="L171" s="5">
        <v>3</v>
      </c>
      <c r="P171" s="3"/>
      <c r="Q171" s="3"/>
      <c r="R171" s="3"/>
    </row>
    <row r="172" spans="1:18" x14ac:dyDescent="0.2">
      <c r="A172" s="7" t="s">
        <v>16</v>
      </c>
      <c r="B172" s="7" t="s">
        <v>55</v>
      </c>
      <c r="C172" s="7" t="s">
        <v>18</v>
      </c>
      <c r="D172" s="4">
        <v>19803199000114</v>
      </c>
      <c r="E172" s="8" t="s">
        <v>32</v>
      </c>
      <c r="F172" s="8" t="s">
        <v>20</v>
      </c>
      <c r="G172" s="7" t="s">
        <v>21</v>
      </c>
      <c r="H172" s="47" t="s">
        <v>786</v>
      </c>
      <c r="I172" s="47" t="s">
        <v>787</v>
      </c>
      <c r="J172" s="6">
        <v>62</v>
      </c>
      <c r="K172" s="8" t="s">
        <v>74</v>
      </c>
      <c r="L172" s="5">
        <v>3</v>
      </c>
      <c r="P172" s="3"/>
      <c r="Q172" s="3"/>
      <c r="R172" s="3"/>
    </row>
    <row r="173" spans="1:18" x14ac:dyDescent="0.2">
      <c r="A173" s="7" t="s">
        <v>16</v>
      </c>
      <c r="B173" s="7" t="s">
        <v>55</v>
      </c>
      <c r="C173" s="7" t="s">
        <v>18</v>
      </c>
      <c r="D173" s="4">
        <v>19803199000114</v>
      </c>
      <c r="E173" s="8" t="s">
        <v>32</v>
      </c>
      <c r="F173" s="8" t="s">
        <v>20</v>
      </c>
      <c r="G173" s="7" t="s">
        <v>21</v>
      </c>
      <c r="H173" s="47" t="s">
        <v>786</v>
      </c>
      <c r="I173" s="47" t="s">
        <v>787</v>
      </c>
      <c r="J173" s="6">
        <v>64</v>
      </c>
      <c r="K173" s="8" t="s">
        <v>68</v>
      </c>
      <c r="L173" s="5">
        <v>2</v>
      </c>
      <c r="P173" s="3"/>
      <c r="Q173" s="3"/>
      <c r="R173" s="3"/>
    </row>
    <row r="174" spans="1:18" x14ac:dyDescent="0.2">
      <c r="A174" s="7" t="s">
        <v>16</v>
      </c>
      <c r="B174" s="7" t="s">
        <v>55</v>
      </c>
      <c r="C174" s="7" t="s">
        <v>18</v>
      </c>
      <c r="D174" s="4">
        <v>20812223000241</v>
      </c>
      <c r="E174" s="8" t="s">
        <v>81</v>
      </c>
      <c r="F174" s="8" t="s">
        <v>20</v>
      </c>
      <c r="G174" s="7" t="s">
        <v>21</v>
      </c>
      <c r="H174" s="47" t="s">
        <v>786</v>
      </c>
      <c r="I174" s="47" t="s">
        <v>787</v>
      </c>
      <c r="J174" s="6">
        <v>73</v>
      </c>
      <c r="K174" s="8" t="s">
        <v>69</v>
      </c>
      <c r="L174" s="5">
        <v>20</v>
      </c>
      <c r="P174" s="3"/>
      <c r="Q174" s="3"/>
      <c r="R174" s="3"/>
    </row>
    <row r="175" spans="1:18" x14ac:dyDescent="0.2">
      <c r="A175" s="7" t="s">
        <v>16</v>
      </c>
      <c r="B175" s="7" t="s">
        <v>55</v>
      </c>
      <c r="C175" s="7" t="s">
        <v>18</v>
      </c>
      <c r="D175" s="4">
        <v>21371777000132</v>
      </c>
      <c r="E175" s="8" t="s">
        <v>33</v>
      </c>
      <c r="F175" s="8" t="s">
        <v>20</v>
      </c>
      <c r="G175" s="7" t="s">
        <v>21</v>
      </c>
      <c r="H175" s="47" t="s">
        <v>786</v>
      </c>
      <c r="I175" s="47" t="s">
        <v>787</v>
      </c>
      <c r="J175" s="6">
        <v>62</v>
      </c>
      <c r="K175" s="8" t="s">
        <v>74</v>
      </c>
      <c r="L175" s="5">
        <v>16</v>
      </c>
      <c r="P175" s="3"/>
      <c r="Q175" s="3"/>
      <c r="R175" s="3"/>
    </row>
    <row r="176" spans="1:18" x14ac:dyDescent="0.2">
      <c r="A176" s="7" t="s">
        <v>16</v>
      </c>
      <c r="B176" s="7" t="s">
        <v>55</v>
      </c>
      <c r="C176" s="7" t="s">
        <v>18</v>
      </c>
      <c r="D176" s="4">
        <v>21371777000132</v>
      </c>
      <c r="E176" s="8" t="s">
        <v>33</v>
      </c>
      <c r="F176" s="8" t="s">
        <v>20</v>
      </c>
      <c r="G176" s="7" t="s">
        <v>21</v>
      </c>
      <c r="H176" s="47" t="s">
        <v>786</v>
      </c>
      <c r="I176" s="47" t="s">
        <v>787</v>
      </c>
      <c r="J176" s="6">
        <v>64</v>
      </c>
      <c r="K176" s="8" t="s">
        <v>68</v>
      </c>
      <c r="L176" s="5">
        <v>38</v>
      </c>
      <c r="P176" s="3"/>
      <c r="Q176" s="3"/>
      <c r="R176" s="3"/>
    </row>
    <row r="177" spans="1:18" x14ac:dyDescent="0.2">
      <c r="A177" s="7" t="s">
        <v>16</v>
      </c>
      <c r="B177" s="7" t="s">
        <v>55</v>
      </c>
      <c r="C177" s="7" t="s">
        <v>18</v>
      </c>
      <c r="D177" s="4">
        <v>28290788000137</v>
      </c>
      <c r="E177" s="8" t="s">
        <v>82</v>
      </c>
      <c r="F177" s="8" t="s">
        <v>20</v>
      </c>
      <c r="G177" s="7" t="s">
        <v>21</v>
      </c>
      <c r="H177" s="47" t="s">
        <v>786</v>
      </c>
      <c r="I177" s="47" t="s">
        <v>787</v>
      </c>
      <c r="J177" s="6">
        <v>62</v>
      </c>
      <c r="K177" s="8" t="s">
        <v>74</v>
      </c>
      <c r="L177" s="5">
        <v>5</v>
      </c>
      <c r="P177" s="3"/>
      <c r="Q177" s="3"/>
      <c r="R177" s="3"/>
    </row>
    <row r="178" spans="1:18" x14ac:dyDescent="0.2">
      <c r="A178" s="7" t="s">
        <v>16</v>
      </c>
      <c r="B178" s="7" t="s">
        <v>55</v>
      </c>
      <c r="C178" s="7" t="s">
        <v>18</v>
      </c>
      <c r="D178" s="4">
        <v>28290788000137</v>
      </c>
      <c r="E178" s="8" t="s">
        <v>82</v>
      </c>
      <c r="F178" s="8" t="s">
        <v>20</v>
      </c>
      <c r="G178" s="7" t="s">
        <v>21</v>
      </c>
      <c r="H178" s="47" t="s">
        <v>786</v>
      </c>
      <c r="I178" s="47" t="s">
        <v>787</v>
      </c>
      <c r="J178" s="6">
        <v>64</v>
      </c>
      <c r="K178" s="8" t="s">
        <v>68</v>
      </c>
      <c r="L178" s="5">
        <v>5</v>
      </c>
      <c r="P178" s="3"/>
      <c r="Q178" s="3"/>
      <c r="R178" s="3"/>
    </row>
    <row r="179" spans="1:18" x14ac:dyDescent="0.2">
      <c r="A179" s="7" t="s">
        <v>16</v>
      </c>
      <c r="B179" s="7" t="s">
        <v>55</v>
      </c>
      <c r="C179" s="7" t="s">
        <v>18</v>
      </c>
      <c r="D179" s="4">
        <v>28290788000307</v>
      </c>
      <c r="E179" s="8" t="s">
        <v>83</v>
      </c>
      <c r="F179" s="8" t="s">
        <v>20</v>
      </c>
      <c r="G179" s="7" t="s">
        <v>21</v>
      </c>
      <c r="H179" s="47" t="s">
        <v>786</v>
      </c>
      <c r="I179" s="47" t="s">
        <v>787</v>
      </c>
      <c r="J179" s="6">
        <v>73</v>
      </c>
      <c r="K179" s="8" t="s">
        <v>69</v>
      </c>
      <c r="L179" s="5">
        <v>20</v>
      </c>
      <c r="P179" s="3"/>
      <c r="Q179" s="3"/>
      <c r="R179" s="3"/>
    </row>
    <row r="180" spans="1:18" x14ac:dyDescent="0.2">
      <c r="A180" s="7" t="s">
        <v>16</v>
      </c>
      <c r="B180" s="7" t="s">
        <v>55</v>
      </c>
      <c r="C180" s="7" t="s">
        <v>18</v>
      </c>
      <c r="D180" s="4">
        <v>29435005009932</v>
      </c>
      <c r="E180" s="8" t="s">
        <v>36</v>
      </c>
      <c r="F180" s="8" t="s">
        <v>20</v>
      </c>
      <c r="G180" s="7" t="s">
        <v>21</v>
      </c>
      <c r="H180" s="47" t="s">
        <v>786</v>
      </c>
      <c r="I180" s="47" t="s">
        <v>787</v>
      </c>
      <c r="J180" s="6">
        <v>62</v>
      </c>
      <c r="K180" s="8" t="s">
        <v>74</v>
      </c>
      <c r="L180" s="5">
        <v>13</v>
      </c>
      <c r="P180" s="3"/>
      <c r="Q180" s="3"/>
      <c r="R180" s="3"/>
    </row>
    <row r="181" spans="1:18" x14ac:dyDescent="0.2">
      <c r="A181" s="7" t="s">
        <v>16</v>
      </c>
      <c r="B181" s="7" t="s">
        <v>55</v>
      </c>
      <c r="C181" s="7" t="s">
        <v>18</v>
      </c>
      <c r="D181" s="4">
        <v>44649812005520</v>
      </c>
      <c r="E181" s="8" t="s">
        <v>38</v>
      </c>
      <c r="F181" s="8" t="s">
        <v>20</v>
      </c>
      <c r="G181" s="7" t="s">
        <v>21</v>
      </c>
      <c r="H181" s="47" t="s">
        <v>786</v>
      </c>
      <c r="I181" s="47" t="s">
        <v>787</v>
      </c>
      <c r="J181" s="6">
        <v>73</v>
      </c>
      <c r="K181" s="8" t="s">
        <v>69</v>
      </c>
      <c r="L181" s="5">
        <v>16</v>
      </c>
      <c r="P181" s="3"/>
      <c r="Q181" s="3"/>
      <c r="R181" s="3"/>
    </row>
    <row r="182" spans="1:18" x14ac:dyDescent="0.2">
      <c r="A182" s="7" t="s">
        <v>16</v>
      </c>
      <c r="B182" s="7" t="s">
        <v>55</v>
      </c>
      <c r="C182" s="7" t="s">
        <v>18</v>
      </c>
      <c r="D182" s="4">
        <v>51722957010226</v>
      </c>
      <c r="E182" s="8" t="s">
        <v>39</v>
      </c>
      <c r="F182" s="8" t="s">
        <v>20</v>
      </c>
      <c r="G182" s="7" t="s">
        <v>21</v>
      </c>
      <c r="H182" s="47" t="s">
        <v>786</v>
      </c>
      <c r="I182" s="47" t="s">
        <v>787</v>
      </c>
      <c r="J182" s="6">
        <v>73</v>
      </c>
      <c r="K182" s="8" t="s">
        <v>69</v>
      </c>
      <c r="L182" s="5">
        <v>42</v>
      </c>
      <c r="P182" s="3"/>
      <c r="Q182" s="3"/>
      <c r="R182" s="3"/>
    </row>
    <row r="183" spans="1:18" x14ac:dyDescent="0.2">
      <c r="A183" s="7" t="s">
        <v>16</v>
      </c>
      <c r="B183" s="7" t="s">
        <v>55</v>
      </c>
      <c r="C183" s="7" t="s">
        <v>18</v>
      </c>
      <c r="D183" s="4">
        <v>60448040000122</v>
      </c>
      <c r="E183" s="8" t="s">
        <v>85</v>
      </c>
      <c r="F183" s="8" t="s">
        <v>20</v>
      </c>
      <c r="G183" s="7" t="s">
        <v>21</v>
      </c>
      <c r="H183" s="47" t="s">
        <v>786</v>
      </c>
      <c r="I183" s="47" t="s">
        <v>787</v>
      </c>
      <c r="J183" s="6">
        <v>62</v>
      </c>
      <c r="K183" s="8" t="s">
        <v>74</v>
      </c>
      <c r="L183" s="5">
        <v>87</v>
      </c>
      <c r="P183" s="3"/>
      <c r="Q183" s="3"/>
      <c r="R183" s="3"/>
    </row>
    <row r="184" spans="1:18" x14ac:dyDescent="0.2">
      <c r="A184" s="7" t="s">
        <v>16</v>
      </c>
      <c r="B184" s="7" t="s">
        <v>55</v>
      </c>
      <c r="C184" s="7" t="s">
        <v>18</v>
      </c>
      <c r="D184" s="4">
        <v>60448040000122</v>
      </c>
      <c r="E184" s="8" t="s">
        <v>85</v>
      </c>
      <c r="F184" s="8" t="s">
        <v>20</v>
      </c>
      <c r="G184" s="7" t="s">
        <v>21</v>
      </c>
      <c r="H184" s="47" t="s">
        <v>786</v>
      </c>
      <c r="I184" s="47" t="s">
        <v>787</v>
      </c>
      <c r="J184" s="6">
        <v>64</v>
      </c>
      <c r="K184" s="8" t="s">
        <v>68</v>
      </c>
      <c r="L184" s="5">
        <v>57</v>
      </c>
      <c r="P184" s="3"/>
      <c r="Q184" s="3"/>
      <c r="R184" s="3"/>
    </row>
    <row r="185" spans="1:18" x14ac:dyDescent="0.2">
      <c r="A185" s="7" t="s">
        <v>16</v>
      </c>
      <c r="B185" s="7" t="s">
        <v>55</v>
      </c>
      <c r="C185" s="7" t="s">
        <v>18</v>
      </c>
      <c r="D185" s="4">
        <v>60453024000390</v>
      </c>
      <c r="E185" s="8" t="s">
        <v>86</v>
      </c>
      <c r="F185" s="8" t="s">
        <v>20</v>
      </c>
      <c r="G185" s="7" t="s">
        <v>21</v>
      </c>
      <c r="H185" s="47" t="s">
        <v>786</v>
      </c>
      <c r="I185" s="47" t="s">
        <v>787</v>
      </c>
      <c r="J185" s="6">
        <v>62</v>
      </c>
      <c r="K185" s="8" t="s">
        <v>74</v>
      </c>
      <c r="L185" s="5">
        <v>37</v>
      </c>
      <c r="P185" s="3"/>
      <c r="Q185" s="3"/>
      <c r="R185" s="3"/>
    </row>
    <row r="186" spans="1:18" x14ac:dyDescent="0.2">
      <c r="A186" s="7" t="s">
        <v>16</v>
      </c>
      <c r="B186" s="7" t="s">
        <v>55</v>
      </c>
      <c r="C186" s="7" t="s">
        <v>18</v>
      </c>
      <c r="D186" s="4">
        <v>60453024000390</v>
      </c>
      <c r="E186" s="8" t="s">
        <v>86</v>
      </c>
      <c r="F186" s="8" t="s">
        <v>20</v>
      </c>
      <c r="G186" s="7" t="s">
        <v>21</v>
      </c>
      <c r="H186" s="47" t="s">
        <v>786</v>
      </c>
      <c r="I186" s="47" t="s">
        <v>787</v>
      </c>
      <c r="J186" s="6">
        <v>64</v>
      </c>
      <c r="K186" s="8" t="s">
        <v>68</v>
      </c>
      <c r="L186" s="5">
        <v>10</v>
      </c>
      <c r="P186" s="3"/>
      <c r="Q186" s="3"/>
      <c r="R186" s="3"/>
    </row>
    <row r="187" spans="1:18" x14ac:dyDescent="0.2">
      <c r="A187" s="7" t="s">
        <v>16</v>
      </c>
      <c r="B187" s="7" t="s">
        <v>55</v>
      </c>
      <c r="C187" s="7" t="s">
        <v>18</v>
      </c>
      <c r="D187" s="4">
        <v>60678604000113</v>
      </c>
      <c r="E187" s="8" t="s">
        <v>64</v>
      </c>
      <c r="F187" s="8" t="s">
        <v>20</v>
      </c>
      <c r="G187" s="7" t="s">
        <v>21</v>
      </c>
      <c r="H187" s="47" t="s">
        <v>786</v>
      </c>
      <c r="I187" s="47" t="s">
        <v>787</v>
      </c>
      <c r="J187" s="6">
        <v>62</v>
      </c>
      <c r="K187" s="8" t="s">
        <v>74</v>
      </c>
      <c r="L187" s="5">
        <v>23</v>
      </c>
      <c r="P187" s="3"/>
      <c r="Q187" s="3"/>
      <c r="R187" s="3"/>
    </row>
    <row r="188" spans="1:18" x14ac:dyDescent="0.2">
      <c r="A188" s="7" t="s">
        <v>16</v>
      </c>
      <c r="B188" s="7" t="s">
        <v>55</v>
      </c>
      <c r="C188" s="7" t="s">
        <v>18</v>
      </c>
      <c r="D188" s="4">
        <v>60726502000126</v>
      </c>
      <c r="E188" s="8" t="s">
        <v>44</v>
      </c>
      <c r="F188" s="8" t="s">
        <v>20</v>
      </c>
      <c r="G188" s="7" t="s">
        <v>21</v>
      </c>
      <c r="H188" s="47" t="s">
        <v>786</v>
      </c>
      <c r="I188" s="47" t="s">
        <v>787</v>
      </c>
      <c r="J188" s="6">
        <v>62</v>
      </c>
      <c r="K188" s="8" t="s">
        <v>74</v>
      </c>
      <c r="L188" s="5">
        <v>2</v>
      </c>
      <c r="P188" s="3"/>
      <c r="Q188" s="3"/>
      <c r="R188" s="3"/>
    </row>
    <row r="189" spans="1:18" x14ac:dyDescent="0.2">
      <c r="A189" s="7" t="s">
        <v>16</v>
      </c>
      <c r="B189" s="7" t="s">
        <v>55</v>
      </c>
      <c r="C189" s="7" t="s">
        <v>18</v>
      </c>
      <c r="D189" s="4">
        <v>60726502000126</v>
      </c>
      <c r="E189" s="8" t="s">
        <v>44</v>
      </c>
      <c r="F189" s="8" t="s">
        <v>20</v>
      </c>
      <c r="G189" s="7" t="s">
        <v>21</v>
      </c>
      <c r="H189" s="47" t="s">
        <v>786</v>
      </c>
      <c r="I189" s="47" t="s">
        <v>787</v>
      </c>
      <c r="J189" s="6">
        <v>64</v>
      </c>
      <c r="K189" s="8" t="s">
        <v>68</v>
      </c>
      <c r="L189" s="5">
        <v>6</v>
      </c>
      <c r="P189" s="3"/>
      <c r="Q189" s="3"/>
      <c r="R189" s="3"/>
    </row>
    <row r="190" spans="1:18" x14ac:dyDescent="0.2">
      <c r="A190" s="7" t="s">
        <v>16</v>
      </c>
      <c r="B190" s="7" t="s">
        <v>55</v>
      </c>
      <c r="C190" s="7" t="s">
        <v>18</v>
      </c>
      <c r="D190" s="4">
        <v>60726502000126</v>
      </c>
      <c r="E190" s="8" t="s">
        <v>44</v>
      </c>
      <c r="F190" s="8" t="s">
        <v>20</v>
      </c>
      <c r="G190" s="7" t="s">
        <v>21</v>
      </c>
      <c r="H190" s="47" t="s">
        <v>786</v>
      </c>
      <c r="I190" s="47" t="s">
        <v>787</v>
      </c>
      <c r="J190" s="6">
        <v>73</v>
      </c>
      <c r="K190" s="8" t="s">
        <v>69</v>
      </c>
      <c r="L190" s="5">
        <v>16</v>
      </c>
      <c r="P190" s="3"/>
      <c r="Q190" s="3"/>
      <c r="R190" s="3"/>
    </row>
    <row r="191" spans="1:18" x14ac:dyDescent="0.2">
      <c r="A191" s="7" t="s">
        <v>16</v>
      </c>
      <c r="B191" s="7" t="s">
        <v>55</v>
      </c>
      <c r="C191" s="7" t="s">
        <v>18</v>
      </c>
      <c r="D191" s="4">
        <v>60765823000130</v>
      </c>
      <c r="E191" s="8" t="s">
        <v>94</v>
      </c>
      <c r="F191" s="8" t="s">
        <v>20</v>
      </c>
      <c r="G191" s="7" t="s">
        <v>21</v>
      </c>
      <c r="H191" s="47" t="s">
        <v>786</v>
      </c>
      <c r="I191" s="47" t="s">
        <v>787</v>
      </c>
      <c r="J191" s="6">
        <v>62</v>
      </c>
      <c r="K191" s="8" t="s">
        <v>74</v>
      </c>
      <c r="L191" s="5">
        <v>65</v>
      </c>
      <c r="P191" s="3"/>
      <c r="Q191" s="3"/>
      <c r="R191" s="3"/>
    </row>
    <row r="192" spans="1:18" x14ac:dyDescent="0.2">
      <c r="A192" s="7" t="s">
        <v>16</v>
      </c>
      <c r="B192" s="7" t="s">
        <v>55</v>
      </c>
      <c r="C192" s="7" t="s">
        <v>18</v>
      </c>
      <c r="D192" s="4">
        <v>60777901000116</v>
      </c>
      <c r="E192" s="8" t="s">
        <v>45</v>
      </c>
      <c r="F192" s="8" t="s">
        <v>20</v>
      </c>
      <c r="G192" s="7" t="s">
        <v>21</v>
      </c>
      <c r="H192" s="47" t="s">
        <v>786</v>
      </c>
      <c r="I192" s="47" t="s">
        <v>787</v>
      </c>
      <c r="J192" s="6">
        <v>64</v>
      </c>
      <c r="K192" s="8" t="s">
        <v>68</v>
      </c>
      <c r="L192" s="5">
        <v>100</v>
      </c>
      <c r="P192" s="3"/>
      <c r="Q192" s="3"/>
      <c r="R192" s="3"/>
    </row>
    <row r="193" spans="1:18" x14ac:dyDescent="0.2">
      <c r="A193" s="7" t="s">
        <v>16</v>
      </c>
      <c r="B193" s="7" t="s">
        <v>55</v>
      </c>
      <c r="C193" s="7" t="s">
        <v>18</v>
      </c>
      <c r="D193" s="4">
        <v>60884855000316</v>
      </c>
      <c r="E193" s="8" t="s">
        <v>46</v>
      </c>
      <c r="F193" s="8" t="s">
        <v>20</v>
      </c>
      <c r="G193" s="7" t="s">
        <v>21</v>
      </c>
      <c r="H193" s="47" t="s">
        <v>786</v>
      </c>
      <c r="I193" s="47" t="s">
        <v>787</v>
      </c>
      <c r="J193" s="6">
        <v>62</v>
      </c>
      <c r="K193" s="8" t="s">
        <v>74</v>
      </c>
      <c r="L193" s="5">
        <v>3</v>
      </c>
      <c r="P193" s="3"/>
      <c r="Q193" s="3"/>
      <c r="R193" s="3"/>
    </row>
    <row r="194" spans="1:18" x14ac:dyDescent="0.2">
      <c r="A194" s="7" t="s">
        <v>16</v>
      </c>
      <c r="B194" s="7" t="s">
        <v>55</v>
      </c>
      <c r="C194" s="7" t="s">
        <v>18</v>
      </c>
      <c r="D194" s="4">
        <v>60884855000316</v>
      </c>
      <c r="E194" s="8" t="s">
        <v>46</v>
      </c>
      <c r="F194" s="8" t="s">
        <v>20</v>
      </c>
      <c r="G194" s="7" t="s">
        <v>21</v>
      </c>
      <c r="H194" s="47" t="s">
        <v>786</v>
      </c>
      <c r="I194" s="47" t="s">
        <v>787</v>
      </c>
      <c r="J194" s="6">
        <v>64</v>
      </c>
      <c r="K194" s="8" t="s">
        <v>68</v>
      </c>
      <c r="L194" s="5">
        <v>10</v>
      </c>
      <c r="P194" s="3"/>
      <c r="Q194" s="3"/>
      <c r="R194" s="3"/>
    </row>
    <row r="195" spans="1:18" x14ac:dyDescent="0.2">
      <c r="A195" s="7" t="s">
        <v>16</v>
      </c>
      <c r="B195" s="7" t="s">
        <v>55</v>
      </c>
      <c r="C195" s="7" t="s">
        <v>18</v>
      </c>
      <c r="D195" s="4">
        <v>60884855000316</v>
      </c>
      <c r="E195" s="8" t="s">
        <v>46</v>
      </c>
      <c r="F195" s="8" t="s">
        <v>20</v>
      </c>
      <c r="G195" s="7" t="s">
        <v>21</v>
      </c>
      <c r="H195" s="47" t="s">
        <v>786</v>
      </c>
      <c r="I195" s="47" t="s">
        <v>787</v>
      </c>
      <c r="J195" s="6">
        <v>73</v>
      </c>
      <c r="K195" s="8" t="s">
        <v>69</v>
      </c>
      <c r="L195" s="5">
        <v>24</v>
      </c>
      <c r="P195" s="3"/>
      <c r="Q195" s="3"/>
      <c r="R195" s="3"/>
    </row>
    <row r="196" spans="1:18" x14ac:dyDescent="0.2">
      <c r="A196" s="7" t="s">
        <v>16</v>
      </c>
      <c r="B196" s="7" t="s">
        <v>55</v>
      </c>
      <c r="C196" s="7" t="s">
        <v>18</v>
      </c>
      <c r="D196" s="4">
        <v>60922168000771</v>
      </c>
      <c r="E196" s="8" t="s">
        <v>47</v>
      </c>
      <c r="F196" s="8" t="s">
        <v>20</v>
      </c>
      <c r="G196" s="7" t="s">
        <v>21</v>
      </c>
      <c r="H196" s="47" t="s">
        <v>786</v>
      </c>
      <c r="I196" s="47" t="s">
        <v>787</v>
      </c>
      <c r="J196" s="6">
        <v>62</v>
      </c>
      <c r="K196" s="8" t="s">
        <v>74</v>
      </c>
      <c r="L196" s="5">
        <v>5</v>
      </c>
      <c r="P196" s="3"/>
      <c r="Q196" s="3"/>
      <c r="R196" s="3"/>
    </row>
    <row r="197" spans="1:18" x14ac:dyDescent="0.2">
      <c r="A197" s="7" t="s">
        <v>16</v>
      </c>
      <c r="B197" s="7" t="s">
        <v>55</v>
      </c>
      <c r="C197" s="7" t="s">
        <v>18</v>
      </c>
      <c r="D197" s="4">
        <v>60922168000771</v>
      </c>
      <c r="E197" s="8" t="s">
        <v>47</v>
      </c>
      <c r="F197" s="8" t="s">
        <v>20</v>
      </c>
      <c r="G197" s="7" t="s">
        <v>21</v>
      </c>
      <c r="H197" s="47" t="s">
        <v>786</v>
      </c>
      <c r="I197" s="47" t="s">
        <v>787</v>
      </c>
      <c r="J197" s="6">
        <v>73</v>
      </c>
      <c r="K197" s="8" t="s">
        <v>69</v>
      </c>
      <c r="L197" s="5">
        <v>4</v>
      </c>
      <c r="P197" s="3"/>
      <c r="Q197" s="3"/>
      <c r="R197" s="3"/>
    </row>
    <row r="198" spans="1:18" x14ac:dyDescent="0.2">
      <c r="A198" s="7" t="s">
        <v>16</v>
      </c>
      <c r="B198" s="7" t="s">
        <v>55</v>
      </c>
      <c r="C198" s="7" t="s">
        <v>18</v>
      </c>
      <c r="D198" s="4">
        <v>60961422000155</v>
      </c>
      <c r="E198" s="8" t="s">
        <v>49</v>
      </c>
      <c r="F198" s="8" t="s">
        <v>20</v>
      </c>
      <c r="G198" s="7" t="s">
        <v>21</v>
      </c>
      <c r="H198" s="47" t="s">
        <v>786</v>
      </c>
      <c r="I198" s="47" t="s">
        <v>787</v>
      </c>
      <c r="J198" s="6">
        <v>62</v>
      </c>
      <c r="K198" s="8" t="s">
        <v>74</v>
      </c>
      <c r="L198" s="5">
        <v>3</v>
      </c>
      <c r="P198" s="3"/>
      <c r="Q198" s="3"/>
      <c r="R198" s="3"/>
    </row>
    <row r="199" spans="1:18" x14ac:dyDescent="0.2">
      <c r="A199" s="7" t="s">
        <v>16</v>
      </c>
      <c r="B199" s="7" t="s">
        <v>55</v>
      </c>
      <c r="C199" s="7" t="s">
        <v>18</v>
      </c>
      <c r="D199" s="4">
        <v>60961422000155</v>
      </c>
      <c r="E199" s="8" t="s">
        <v>49</v>
      </c>
      <c r="F199" s="8" t="s">
        <v>20</v>
      </c>
      <c r="G199" s="7" t="s">
        <v>21</v>
      </c>
      <c r="H199" s="47" t="s">
        <v>786</v>
      </c>
      <c r="I199" s="47" t="s">
        <v>787</v>
      </c>
      <c r="J199" s="6">
        <v>64</v>
      </c>
      <c r="K199" s="8" t="s">
        <v>68</v>
      </c>
      <c r="L199" s="5">
        <v>3</v>
      </c>
      <c r="P199" s="3"/>
      <c r="Q199" s="3"/>
      <c r="R199" s="3"/>
    </row>
    <row r="200" spans="1:18" x14ac:dyDescent="0.2">
      <c r="A200" s="7" t="s">
        <v>16</v>
      </c>
      <c r="B200" s="7" t="s">
        <v>55</v>
      </c>
      <c r="C200" s="7" t="s">
        <v>18</v>
      </c>
      <c r="D200" s="4">
        <v>60961968000106</v>
      </c>
      <c r="E200" s="8" t="s">
        <v>50</v>
      </c>
      <c r="F200" s="8" t="s">
        <v>20</v>
      </c>
      <c r="G200" s="7" t="s">
        <v>21</v>
      </c>
      <c r="H200" s="47" t="s">
        <v>786</v>
      </c>
      <c r="I200" s="47" t="s">
        <v>787</v>
      </c>
      <c r="J200" s="6">
        <v>62</v>
      </c>
      <c r="K200" s="8" t="s">
        <v>74</v>
      </c>
      <c r="L200" s="5">
        <v>10</v>
      </c>
      <c r="P200" s="3"/>
      <c r="Q200" s="3"/>
      <c r="R200" s="3"/>
    </row>
    <row r="201" spans="1:18" x14ac:dyDescent="0.2">
      <c r="A201" s="7" t="s">
        <v>16</v>
      </c>
      <c r="B201" s="7" t="s">
        <v>55</v>
      </c>
      <c r="C201" s="7" t="s">
        <v>18</v>
      </c>
      <c r="D201" s="4">
        <v>60961968000106</v>
      </c>
      <c r="E201" s="8" t="s">
        <v>50</v>
      </c>
      <c r="F201" s="8" t="s">
        <v>20</v>
      </c>
      <c r="G201" s="7" t="s">
        <v>21</v>
      </c>
      <c r="H201" s="47" t="s">
        <v>786</v>
      </c>
      <c r="I201" s="47" t="s">
        <v>787</v>
      </c>
      <c r="J201" s="6">
        <v>64</v>
      </c>
      <c r="K201" s="8" t="s">
        <v>68</v>
      </c>
      <c r="L201" s="5">
        <v>10</v>
      </c>
      <c r="P201" s="3"/>
      <c r="Q201" s="3"/>
      <c r="R201" s="3"/>
    </row>
    <row r="202" spans="1:18" x14ac:dyDescent="0.2">
      <c r="A202" s="7" t="s">
        <v>16</v>
      </c>
      <c r="B202" s="7" t="s">
        <v>55</v>
      </c>
      <c r="C202" s="7" t="s">
        <v>18</v>
      </c>
      <c r="D202" s="4">
        <v>60961968000459</v>
      </c>
      <c r="E202" s="8" t="s">
        <v>95</v>
      </c>
      <c r="F202" s="8" t="s">
        <v>20</v>
      </c>
      <c r="G202" s="7" t="s">
        <v>21</v>
      </c>
      <c r="H202" s="47" t="s">
        <v>786</v>
      </c>
      <c r="I202" s="47" t="s">
        <v>787</v>
      </c>
      <c r="J202" s="6">
        <v>62</v>
      </c>
      <c r="K202" s="8" t="s">
        <v>74</v>
      </c>
      <c r="L202" s="5">
        <v>5</v>
      </c>
      <c r="P202" s="3"/>
      <c r="Q202" s="3"/>
      <c r="R202" s="3"/>
    </row>
    <row r="203" spans="1:18" x14ac:dyDescent="0.2">
      <c r="A203" s="7" t="s">
        <v>16</v>
      </c>
      <c r="B203" s="7" t="s">
        <v>55</v>
      </c>
      <c r="C203" s="7" t="s">
        <v>18</v>
      </c>
      <c r="D203" s="4">
        <v>60961968000459</v>
      </c>
      <c r="E203" s="8" t="s">
        <v>95</v>
      </c>
      <c r="F203" s="8" t="s">
        <v>20</v>
      </c>
      <c r="G203" s="7" t="s">
        <v>21</v>
      </c>
      <c r="H203" s="47" t="s">
        <v>786</v>
      </c>
      <c r="I203" s="47" t="s">
        <v>787</v>
      </c>
      <c r="J203" s="6">
        <v>64</v>
      </c>
      <c r="K203" s="8" t="s">
        <v>68</v>
      </c>
      <c r="L203" s="5">
        <v>2</v>
      </c>
      <c r="P203" s="3"/>
      <c r="Q203" s="3"/>
      <c r="R203" s="3"/>
    </row>
    <row r="204" spans="1:18" x14ac:dyDescent="0.2">
      <c r="A204" s="7" t="s">
        <v>16</v>
      </c>
      <c r="B204" s="7" t="s">
        <v>55</v>
      </c>
      <c r="C204" s="7" t="s">
        <v>18</v>
      </c>
      <c r="D204" s="4">
        <v>60975737000232</v>
      </c>
      <c r="E204" s="8" t="s">
        <v>96</v>
      </c>
      <c r="F204" s="8" t="s">
        <v>20</v>
      </c>
      <c r="G204" s="7" t="s">
        <v>21</v>
      </c>
      <c r="H204" s="47" t="s">
        <v>786</v>
      </c>
      <c r="I204" s="47" t="s">
        <v>787</v>
      </c>
      <c r="J204" s="6">
        <v>62</v>
      </c>
      <c r="K204" s="8" t="s">
        <v>74</v>
      </c>
      <c r="L204" s="5">
        <v>4</v>
      </c>
      <c r="P204" s="3"/>
      <c r="Q204" s="3"/>
      <c r="R204" s="3"/>
    </row>
    <row r="205" spans="1:18" x14ac:dyDescent="0.2">
      <c r="A205" s="7" t="s">
        <v>16</v>
      </c>
      <c r="B205" s="7" t="s">
        <v>55</v>
      </c>
      <c r="C205" s="7" t="s">
        <v>18</v>
      </c>
      <c r="D205" s="4">
        <v>60975737000232</v>
      </c>
      <c r="E205" s="8" t="s">
        <v>96</v>
      </c>
      <c r="F205" s="8" t="s">
        <v>20</v>
      </c>
      <c r="G205" s="7" t="s">
        <v>21</v>
      </c>
      <c r="H205" s="47" t="s">
        <v>786</v>
      </c>
      <c r="I205" s="47" t="s">
        <v>787</v>
      </c>
      <c r="J205" s="6">
        <v>64</v>
      </c>
      <c r="K205" s="8" t="s">
        <v>68</v>
      </c>
      <c r="L205" s="5">
        <v>6</v>
      </c>
      <c r="P205" s="3"/>
      <c r="Q205" s="3"/>
      <c r="R205" s="3"/>
    </row>
    <row r="206" spans="1:18" x14ac:dyDescent="0.2">
      <c r="A206" s="7" t="s">
        <v>16</v>
      </c>
      <c r="B206" s="7" t="s">
        <v>55</v>
      </c>
      <c r="C206" s="7" t="s">
        <v>18</v>
      </c>
      <c r="D206" s="4">
        <v>60975737001204</v>
      </c>
      <c r="E206" s="8" t="s">
        <v>88</v>
      </c>
      <c r="F206" s="8" t="s">
        <v>20</v>
      </c>
      <c r="G206" s="7" t="s">
        <v>21</v>
      </c>
      <c r="H206" s="47" t="s">
        <v>786</v>
      </c>
      <c r="I206" s="47" t="s">
        <v>787</v>
      </c>
      <c r="J206" s="6">
        <v>64</v>
      </c>
      <c r="K206" s="8" t="s">
        <v>68</v>
      </c>
      <c r="L206" s="5">
        <v>4</v>
      </c>
      <c r="P206" s="3"/>
      <c r="Q206" s="3"/>
      <c r="R206" s="3"/>
    </row>
    <row r="207" spans="1:18" x14ac:dyDescent="0.2">
      <c r="A207" s="7" t="s">
        <v>16</v>
      </c>
      <c r="B207" s="7" t="s">
        <v>55</v>
      </c>
      <c r="C207" s="7" t="s">
        <v>18</v>
      </c>
      <c r="D207" s="4">
        <v>60975737005110</v>
      </c>
      <c r="E207" s="8" t="s">
        <v>97</v>
      </c>
      <c r="F207" s="8" t="s">
        <v>20</v>
      </c>
      <c r="G207" s="7" t="s">
        <v>21</v>
      </c>
      <c r="H207" s="47" t="s">
        <v>786</v>
      </c>
      <c r="I207" s="47" t="s">
        <v>787</v>
      </c>
      <c r="J207" s="6">
        <v>64</v>
      </c>
      <c r="K207" s="8" t="s">
        <v>68</v>
      </c>
      <c r="L207" s="5">
        <v>1</v>
      </c>
      <c r="P207" s="3"/>
      <c r="Q207" s="3"/>
      <c r="R207" s="3"/>
    </row>
    <row r="208" spans="1:18" x14ac:dyDescent="0.2">
      <c r="A208" s="7" t="s">
        <v>16</v>
      </c>
      <c r="B208" s="7" t="s">
        <v>55</v>
      </c>
      <c r="C208" s="7" t="s">
        <v>18</v>
      </c>
      <c r="D208" s="4">
        <v>61213674000240</v>
      </c>
      <c r="E208" s="8" t="s">
        <v>52</v>
      </c>
      <c r="F208" s="8" t="s">
        <v>20</v>
      </c>
      <c r="G208" s="7" t="s">
        <v>21</v>
      </c>
      <c r="H208" s="47" t="s">
        <v>786</v>
      </c>
      <c r="I208" s="47" t="s">
        <v>787</v>
      </c>
      <c r="J208" s="6">
        <v>62</v>
      </c>
      <c r="K208" s="8" t="s">
        <v>74</v>
      </c>
      <c r="L208" s="5">
        <v>4</v>
      </c>
      <c r="P208" s="3"/>
      <c r="Q208" s="3"/>
      <c r="R208" s="3"/>
    </row>
    <row r="209" spans="1:18" x14ac:dyDescent="0.2">
      <c r="A209" s="7" t="s">
        <v>16</v>
      </c>
      <c r="B209" s="7" t="s">
        <v>55</v>
      </c>
      <c r="C209" s="7" t="s">
        <v>18</v>
      </c>
      <c r="D209" s="4">
        <v>61213674000240</v>
      </c>
      <c r="E209" s="8" t="s">
        <v>52</v>
      </c>
      <c r="F209" s="8" t="s">
        <v>20</v>
      </c>
      <c r="G209" s="7" t="s">
        <v>21</v>
      </c>
      <c r="H209" s="47" t="s">
        <v>786</v>
      </c>
      <c r="I209" s="47" t="s">
        <v>787</v>
      </c>
      <c r="J209" s="6">
        <v>64</v>
      </c>
      <c r="K209" s="8" t="s">
        <v>68</v>
      </c>
      <c r="L209" s="5">
        <v>5</v>
      </c>
      <c r="P209" s="3"/>
      <c r="Q209" s="3"/>
      <c r="R209" s="3"/>
    </row>
    <row r="210" spans="1:18" x14ac:dyDescent="0.2">
      <c r="A210" s="7" t="s">
        <v>16</v>
      </c>
      <c r="B210" s="7" t="s">
        <v>55</v>
      </c>
      <c r="C210" s="7" t="s">
        <v>18</v>
      </c>
      <c r="D210" s="4">
        <v>61213674000240</v>
      </c>
      <c r="E210" s="8" t="s">
        <v>52</v>
      </c>
      <c r="F210" s="8" t="s">
        <v>20</v>
      </c>
      <c r="G210" s="7" t="s">
        <v>21</v>
      </c>
      <c r="H210" s="47" t="s">
        <v>786</v>
      </c>
      <c r="I210" s="47" t="s">
        <v>787</v>
      </c>
      <c r="J210" s="6">
        <v>73</v>
      </c>
      <c r="K210" s="8" t="s">
        <v>69</v>
      </c>
      <c r="L210" s="5">
        <v>77</v>
      </c>
      <c r="P210" s="3"/>
      <c r="Q210" s="3"/>
      <c r="R210" s="3"/>
    </row>
    <row r="211" spans="1:18" x14ac:dyDescent="0.2">
      <c r="A211" s="7" t="s">
        <v>16</v>
      </c>
      <c r="B211" s="7" t="s">
        <v>55</v>
      </c>
      <c r="C211" s="7" t="s">
        <v>18</v>
      </c>
      <c r="D211" s="4">
        <v>61590410000124</v>
      </c>
      <c r="E211" s="8" t="s">
        <v>53</v>
      </c>
      <c r="F211" s="8" t="s">
        <v>20</v>
      </c>
      <c r="G211" s="7" t="s">
        <v>21</v>
      </c>
      <c r="H211" s="47" t="s">
        <v>786</v>
      </c>
      <c r="I211" s="47" t="s">
        <v>787</v>
      </c>
      <c r="J211" s="6">
        <v>62</v>
      </c>
      <c r="K211" s="8" t="s">
        <v>74</v>
      </c>
      <c r="L211" s="5">
        <v>81</v>
      </c>
      <c r="P211" s="3"/>
      <c r="Q211" s="3"/>
      <c r="R211" s="3"/>
    </row>
    <row r="212" spans="1:18" x14ac:dyDescent="0.2">
      <c r="A212" s="7" t="s">
        <v>16</v>
      </c>
      <c r="B212" s="7" t="s">
        <v>55</v>
      </c>
      <c r="C212" s="7" t="s">
        <v>18</v>
      </c>
      <c r="D212" s="4">
        <v>61599908000158</v>
      </c>
      <c r="E212" s="8" t="s">
        <v>89</v>
      </c>
      <c r="F212" s="8" t="s">
        <v>20</v>
      </c>
      <c r="G212" s="7" t="s">
        <v>21</v>
      </c>
      <c r="H212" s="47" t="s">
        <v>786</v>
      </c>
      <c r="I212" s="47" t="s">
        <v>787</v>
      </c>
      <c r="J212" s="6">
        <v>62</v>
      </c>
      <c r="K212" s="8" t="s">
        <v>74</v>
      </c>
      <c r="L212" s="5">
        <v>75</v>
      </c>
      <c r="P212" s="3"/>
      <c r="Q212" s="3"/>
      <c r="R212" s="3"/>
    </row>
    <row r="213" spans="1:18" x14ac:dyDescent="0.2">
      <c r="A213" s="7" t="s">
        <v>16</v>
      </c>
      <c r="B213" s="7" t="s">
        <v>55</v>
      </c>
      <c r="C213" s="7" t="s">
        <v>18</v>
      </c>
      <c r="D213" s="4">
        <v>61599908000158</v>
      </c>
      <c r="E213" s="8" t="s">
        <v>89</v>
      </c>
      <c r="F213" s="8" t="s">
        <v>20</v>
      </c>
      <c r="G213" s="7" t="s">
        <v>21</v>
      </c>
      <c r="H213" s="47" t="s">
        <v>786</v>
      </c>
      <c r="I213" s="47" t="s">
        <v>787</v>
      </c>
      <c r="J213" s="6">
        <v>64</v>
      </c>
      <c r="K213" s="8" t="s">
        <v>68</v>
      </c>
      <c r="L213" s="5">
        <v>20</v>
      </c>
      <c r="P213" s="3"/>
      <c r="Q213" s="3"/>
      <c r="R213" s="3"/>
    </row>
    <row r="214" spans="1:18" x14ac:dyDescent="0.2">
      <c r="A214" s="7" t="s">
        <v>16</v>
      </c>
      <c r="B214" s="7" t="s">
        <v>55</v>
      </c>
      <c r="C214" s="7" t="s">
        <v>18</v>
      </c>
      <c r="D214" s="4">
        <v>62779145000190</v>
      </c>
      <c r="E214" s="8" t="s">
        <v>91</v>
      </c>
      <c r="F214" s="8" t="s">
        <v>20</v>
      </c>
      <c r="G214" s="7" t="s">
        <v>21</v>
      </c>
      <c r="H214" s="47" t="s">
        <v>786</v>
      </c>
      <c r="I214" s="47" t="s">
        <v>787</v>
      </c>
      <c r="J214" s="6">
        <v>64</v>
      </c>
      <c r="K214" s="8" t="s">
        <v>68</v>
      </c>
      <c r="L214" s="5">
        <v>2</v>
      </c>
      <c r="P214" s="3"/>
      <c r="Q214" s="3"/>
      <c r="R214" s="3"/>
    </row>
    <row r="215" spans="1:18" x14ac:dyDescent="0.2">
      <c r="A215" s="7" t="s">
        <v>16</v>
      </c>
      <c r="B215" s="7" t="s">
        <v>55</v>
      </c>
      <c r="C215" s="7" t="s">
        <v>18</v>
      </c>
      <c r="D215" s="4">
        <v>67185694000150</v>
      </c>
      <c r="E215" s="8" t="s">
        <v>98</v>
      </c>
      <c r="F215" s="8" t="s">
        <v>20</v>
      </c>
      <c r="G215" s="7" t="s">
        <v>21</v>
      </c>
      <c r="H215" s="47" t="s">
        <v>786</v>
      </c>
      <c r="I215" s="47" t="s">
        <v>787</v>
      </c>
      <c r="J215" s="6">
        <v>64</v>
      </c>
      <c r="K215" s="8" t="s">
        <v>68</v>
      </c>
      <c r="L215" s="5">
        <v>2</v>
      </c>
      <c r="P215" s="3"/>
      <c r="Q215" s="3"/>
      <c r="R215" s="3"/>
    </row>
    <row r="216" spans="1:18" x14ac:dyDescent="0.2">
      <c r="A216" s="7" t="s">
        <v>16</v>
      </c>
      <c r="B216" s="7" t="s">
        <v>60</v>
      </c>
      <c r="C216" s="7" t="s">
        <v>18</v>
      </c>
      <c r="D216" s="4">
        <v>2383508000494</v>
      </c>
      <c r="E216" s="8" t="s">
        <v>56</v>
      </c>
      <c r="F216" s="8" t="s">
        <v>20</v>
      </c>
      <c r="G216" s="7" t="s">
        <v>21</v>
      </c>
      <c r="H216" s="47" t="s">
        <v>786</v>
      </c>
      <c r="I216" s="47" t="s">
        <v>787</v>
      </c>
      <c r="J216" s="6">
        <v>73</v>
      </c>
      <c r="K216" s="8" t="s">
        <v>69</v>
      </c>
      <c r="L216" s="5">
        <v>15</v>
      </c>
      <c r="P216" s="3"/>
      <c r="Q216" s="3"/>
      <c r="R216" s="3"/>
    </row>
    <row r="217" spans="1:18" x14ac:dyDescent="0.2">
      <c r="A217" s="7" t="s">
        <v>16</v>
      </c>
      <c r="B217" s="7" t="s">
        <v>60</v>
      </c>
      <c r="C217" s="7" t="s">
        <v>18</v>
      </c>
      <c r="D217" s="4">
        <v>2837922000183</v>
      </c>
      <c r="E217" s="8" t="s">
        <v>70</v>
      </c>
      <c r="F217" s="8" t="s">
        <v>20</v>
      </c>
      <c r="G217" s="7" t="s">
        <v>21</v>
      </c>
      <c r="H217" s="47" t="s">
        <v>786</v>
      </c>
      <c r="I217" s="47" t="s">
        <v>787</v>
      </c>
      <c r="J217" s="6">
        <v>73</v>
      </c>
      <c r="K217" s="8" t="s">
        <v>69</v>
      </c>
      <c r="L217" s="5">
        <v>150</v>
      </c>
      <c r="P217" s="3"/>
      <c r="Q217" s="3"/>
      <c r="R217" s="3"/>
    </row>
    <row r="218" spans="1:18" x14ac:dyDescent="0.2">
      <c r="A218" s="7" t="s">
        <v>16</v>
      </c>
      <c r="B218" s="7" t="s">
        <v>60</v>
      </c>
      <c r="C218" s="7" t="s">
        <v>18</v>
      </c>
      <c r="D218" s="4">
        <v>3872790000193</v>
      </c>
      <c r="E218" s="8" t="s">
        <v>71</v>
      </c>
      <c r="F218" s="8" t="s">
        <v>20</v>
      </c>
      <c r="G218" s="7" t="s">
        <v>21</v>
      </c>
      <c r="H218" s="47" t="s">
        <v>786</v>
      </c>
      <c r="I218" s="47" t="s">
        <v>787</v>
      </c>
      <c r="J218" s="6">
        <v>73</v>
      </c>
      <c r="K218" s="8" t="s">
        <v>69</v>
      </c>
      <c r="L218" s="5">
        <v>16</v>
      </c>
      <c r="P218" s="3"/>
      <c r="Q218" s="3"/>
      <c r="R218" s="3"/>
    </row>
    <row r="219" spans="1:18" x14ac:dyDescent="0.2">
      <c r="A219" s="7" t="s">
        <v>16</v>
      </c>
      <c r="B219" s="7" t="s">
        <v>60</v>
      </c>
      <c r="C219" s="7" t="s">
        <v>18</v>
      </c>
      <c r="D219" s="4">
        <v>6047087000139</v>
      </c>
      <c r="E219" s="8" t="s">
        <v>72</v>
      </c>
      <c r="F219" s="8" t="s">
        <v>20</v>
      </c>
      <c r="G219" s="7" t="s">
        <v>21</v>
      </c>
      <c r="H219" s="47" t="s">
        <v>786</v>
      </c>
      <c r="I219" s="47" t="s">
        <v>787</v>
      </c>
      <c r="J219" s="6">
        <v>62</v>
      </c>
      <c r="K219" s="8" t="s">
        <v>74</v>
      </c>
      <c r="L219" s="5">
        <v>4</v>
      </c>
      <c r="P219" s="3"/>
      <c r="Q219" s="3"/>
      <c r="R219" s="3"/>
    </row>
    <row r="220" spans="1:18" x14ac:dyDescent="0.2">
      <c r="A220" s="7" t="s">
        <v>16</v>
      </c>
      <c r="B220" s="7" t="s">
        <v>60</v>
      </c>
      <c r="C220" s="7" t="s">
        <v>18</v>
      </c>
      <c r="D220" s="4">
        <v>6047087000210</v>
      </c>
      <c r="E220" s="8" t="s">
        <v>73</v>
      </c>
      <c r="F220" s="8" t="s">
        <v>20</v>
      </c>
      <c r="G220" s="7" t="s">
        <v>21</v>
      </c>
      <c r="H220" s="47" t="s">
        <v>786</v>
      </c>
      <c r="I220" s="47" t="s">
        <v>787</v>
      </c>
      <c r="J220" s="6">
        <v>62</v>
      </c>
      <c r="K220" s="8" t="s">
        <v>74</v>
      </c>
      <c r="L220" s="5">
        <v>20</v>
      </c>
      <c r="P220" s="3"/>
      <c r="Q220" s="3"/>
      <c r="R220" s="3"/>
    </row>
    <row r="221" spans="1:18" x14ac:dyDescent="0.2">
      <c r="A221" s="7" t="s">
        <v>16</v>
      </c>
      <c r="B221" s="7" t="s">
        <v>60</v>
      </c>
      <c r="C221" s="7" t="s">
        <v>18</v>
      </c>
      <c r="D221" s="4">
        <v>6047087000210</v>
      </c>
      <c r="E221" s="8" t="s">
        <v>73</v>
      </c>
      <c r="F221" s="8" t="s">
        <v>20</v>
      </c>
      <c r="G221" s="7" t="s">
        <v>21</v>
      </c>
      <c r="H221" s="47" t="s">
        <v>786</v>
      </c>
      <c r="I221" s="47" t="s">
        <v>787</v>
      </c>
      <c r="J221" s="6">
        <v>64</v>
      </c>
      <c r="K221" s="8" t="s">
        <v>68</v>
      </c>
      <c r="L221" s="5">
        <v>36</v>
      </c>
      <c r="P221" s="3"/>
      <c r="Q221" s="3"/>
      <c r="R221" s="3"/>
    </row>
    <row r="222" spans="1:18" x14ac:dyDescent="0.2">
      <c r="A222" s="7" t="s">
        <v>16</v>
      </c>
      <c r="B222" s="7" t="s">
        <v>60</v>
      </c>
      <c r="C222" s="7" t="s">
        <v>18</v>
      </c>
      <c r="D222" s="4">
        <v>6047087003820</v>
      </c>
      <c r="E222" s="8" t="s">
        <v>75</v>
      </c>
      <c r="F222" s="8" t="s">
        <v>20</v>
      </c>
      <c r="G222" s="7" t="s">
        <v>21</v>
      </c>
      <c r="H222" s="47" t="s">
        <v>786</v>
      </c>
      <c r="I222" s="47" t="s">
        <v>787</v>
      </c>
      <c r="J222" s="6">
        <v>62</v>
      </c>
      <c r="K222" s="8" t="s">
        <v>74</v>
      </c>
      <c r="L222" s="5">
        <v>3</v>
      </c>
      <c r="P222" s="3"/>
      <c r="Q222" s="3"/>
      <c r="R222" s="3"/>
    </row>
    <row r="223" spans="1:18" x14ac:dyDescent="0.2">
      <c r="A223" s="7" t="s">
        <v>16</v>
      </c>
      <c r="B223" s="7" t="s">
        <v>60</v>
      </c>
      <c r="C223" s="7" t="s">
        <v>18</v>
      </c>
      <c r="D223" s="4">
        <v>7045325000130</v>
      </c>
      <c r="E223" s="8" t="s">
        <v>57</v>
      </c>
      <c r="F223" s="8" t="s">
        <v>20</v>
      </c>
      <c r="G223" s="7" t="s">
        <v>21</v>
      </c>
      <c r="H223" s="47" t="s">
        <v>786</v>
      </c>
      <c r="I223" s="47" t="s">
        <v>787</v>
      </c>
      <c r="J223" s="6">
        <v>73</v>
      </c>
      <c r="K223" s="8" t="s">
        <v>69</v>
      </c>
      <c r="L223" s="5">
        <v>56</v>
      </c>
      <c r="P223" s="3"/>
      <c r="Q223" s="3"/>
      <c r="R223" s="3"/>
    </row>
    <row r="224" spans="1:18" x14ac:dyDescent="0.2">
      <c r="A224" s="7" t="s">
        <v>16</v>
      </c>
      <c r="B224" s="7" t="s">
        <v>60</v>
      </c>
      <c r="C224" s="7" t="s">
        <v>18</v>
      </c>
      <c r="D224" s="4">
        <v>8100676002455</v>
      </c>
      <c r="E224" s="8" t="s">
        <v>27</v>
      </c>
      <c r="F224" s="8" t="s">
        <v>20</v>
      </c>
      <c r="G224" s="7" t="s">
        <v>21</v>
      </c>
      <c r="H224" s="47" t="s">
        <v>786</v>
      </c>
      <c r="I224" s="47" t="s">
        <v>787</v>
      </c>
      <c r="J224" s="6">
        <v>64</v>
      </c>
      <c r="K224" s="8" t="s">
        <v>68</v>
      </c>
      <c r="L224" s="5">
        <v>24</v>
      </c>
      <c r="P224" s="3"/>
      <c r="Q224" s="3"/>
      <c r="R224" s="3"/>
    </row>
    <row r="225" spans="1:18" x14ac:dyDescent="0.2">
      <c r="A225" s="7" t="s">
        <v>16</v>
      </c>
      <c r="B225" s="7" t="s">
        <v>60</v>
      </c>
      <c r="C225" s="7" t="s">
        <v>18</v>
      </c>
      <c r="D225" s="4">
        <v>10323381000101</v>
      </c>
      <c r="E225" s="8" t="s">
        <v>78</v>
      </c>
      <c r="F225" s="8" t="s">
        <v>20</v>
      </c>
      <c r="G225" s="7" t="s">
        <v>21</v>
      </c>
      <c r="H225" s="47" t="s">
        <v>786</v>
      </c>
      <c r="I225" s="47" t="s">
        <v>787</v>
      </c>
      <c r="J225" s="6">
        <v>73</v>
      </c>
      <c r="K225" s="8" t="s">
        <v>69</v>
      </c>
      <c r="L225" s="5">
        <v>6</v>
      </c>
      <c r="P225" s="3"/>
      <c r="Q225" s="3"/>
      <c r="R225" s="3"/>
    </row>
    <row r="226" spans="1:18" x14ac:dyDescent="0.2">
      <c r="A226" s="7" t="s">
        <v>16</v>
      </c>
      <c r="B226" s="7" t="s">
        <v>60</v>
      </c>
      <c r="C226" s="7" t="s">
        <v>18</v>
      </c>
      <c r="D226" s="4">
        <v>10468341000220</v>
      </c>
      <c r="E226" s="8" t="s">
        <v>30</v>
      </c>
      <c r="F226" s="8" t="s">
        <v>20</v>
      </c>
      <c r="G226" s="7" t="s">
        <v>21</v>
      </c>
      <c r="H226" s="47" t="s">
        <v>786</v>
      </c>
      <c r="I226" s="47" t="s">
        <v>787</v>
      </c>
      <c r="J226" s="6">
        <v>73</v>
      </c>
      <c r="K226" s="8" t="s">
        <v>69</v>
      </c>
      <c r="L226" s="5">
        <v>36</v>
      </c>
      <c r="P226" s="3"/>
      <c r="Q226" s="3"/>
      <c r="R226" s="3"/>
    </row>
    <row r="227" spans="1:18" x14ac:dyDescent="0.2">
      <c r="A227" s="7" t="s">
        <v>16</v>
      </c>
      <c r="B227" s="7" t="s">
        <v>60</v>
      </c>
      <c r="C227" s="7" t="s">
        <v>18</v>
      </c>
      <c r="D227" s="4">
        <v>19803199000114</v>
      </c>
      <c r="E227" s="8" t="s">
        <v>32</v>
      </c>
      <c r="F227" s="8" t="s">
        <v>20</v>
      </c>
      <c r="G227" s="7" t="s">
        <v>21</v>
      </c>
      <c r="H227" s="47" t="s">
        <v>786</v>
      </c>
      <c r="I227" s="47" t="s">
        <v>787</v>
      </c>
      <c r="J227" s="6">
        <v>64</v>
      </c>
      <c r="K227" s="8" t="s">
        <v>68</v>
      </c>
      <c r="L227" s="5">
        <v>4</v>
      </c>
      <c r="P227" s="3"/>
      <c r="Q227" s="3"/>
      <c r="R227" s="3"/>
    </row>
    <row r="228" spans="1:18" x14ac:dyDescent="0.2">
      <c r="A228" s="7" t="s">
        <v>16</v>
      </c>
      <c r="B228" s="7" t="s">
        <v>60</v>
      </c>
      <c r="C228" s="7" t="s">
        <v>18</v>
      </c>
      <c r="D228" s="4">
        <v>20812223000241</v>
      </c>
      <c r="E228" s="8" t="s">
        <v>81</v>
      </c>
      <c r="F228" s="8" t="s">
        <v>20</v>
      </c>
      <c r="G228" s="7" t="s">
        <v>21</v>
      </c>
      <c r="H228" s="47" t="s">
        <v>786</v>
      </c>
      <c r="I228" s="47" t="s">
        <v>787</v>
      </c>
      <c r="J228" s="6">
        <v>73</v>
      </c>
      <c r="K228" s="8" t="s">
        <v>69</v>
      </c>
      <c r="L228" s="5">
        <v>10</v>
      </c>
      <c r="P228" s="3"/>
      <c r="Q228" s="3"/>
      <c r="R228" s="3"/>
    </row>
    <row r="229" spans="1:18" x14ac:dyDescent="0.2">
      <c r="A229" s="7" t="s">
        <v>16</v>
      </c>
      <c r="B229" s="7" t="s">
        <v>60</v>
      </c>
      <c r="C229" s="7" t="s">
        <v>18</v>
      </c>
      <c r="D229" s="4">
        <v>21371777000132</v>
      </c>
      <c r="E229" s="8" t="s">
        <v>33</v>
      </c>
      <c r="F229" s="8" t="s">
        <v>20</v>
      </c>
      <c r="G229" s="7" t="s">
        <v>21</v>
      </c>
      <c r="H229" s="47" t="s">
        <v>786</v>
      </c>
      <c r="I229" s="47" t="s">
        <v>787</v>
      </c>
      <c r="J229" s="6">
        <v>62</v>
      </c>
      <c r="K229" s="8" t="s">
        <v>74</v>
      </c>
      <c r="L229" s="5">
        <v>11</v>
      </c>
      <c r="P229" s="3"/>
      <c r="Q229" s="3"/>
      <c r="R229" s="3"/>
    </row>
    <row r="230" spans="1:18" x14ac:dyDescent="0.2">
      <c r="A230" s="7" t="s">
        <v>16</v>
      </c>
      <c r="B230" s="7" t="s">
        <v>60</v>
      </c>
      <c r="C230" s="7" t="s">
        <v>18</v>
      </c>
      <c r="D230" s="4">
        <v>29435005002687</v>
      </c>
      <c r="E230" s="8" t="s">
        <v>34</v>
      </c>
      <c r="F230" s="8" t="s">
        <v>20</v>
      </c>
      <c r="G230" s="7" t="s">
        <v>21</v>
      </c>
      <c r="H230" s="47" t="s">
        <v>786</v>
      </c>
      <c r="I230" s="47" t="s">
        <v>787</v>
      </c>
      <c r="J230" s="6">
        <v>64</v>
      </c>
      <c r="K230" s="8" t="s">
        <v>68</v>
      </c>
      <c r="L230" s="5">
        <v>7</v>
      </c>
      <c r="P230" s="3"/>
      <c r="Q230" s="3"/>
      <c r="R230" s="3"/>
    </row>
    <row r="231" spans="1:18" x14ac:dyDescent="0.2">
      <c r="A231" s="7" t="s">
        <v>16</v>
      </c>
      <c r="B231" s="7" t="s">
        <v>60</v>
      </c>
      <c r="C231" s="7" t="s">
        <v>18</v>
      </c>
      <c r="D231" s="4">
        <v>29435005009932</v>
      </c>
      <c r="E231" s="8" t="s">
        <v>36</v>
      </c>
      <c r="F231" s="8" t="s">
        <v>20</v>
      </c>
      <c r="G231" s="7" t="s">
        <v>21</v>
      </c>
      <c r="H231" s="47" t="s">
        <v>786</v>
      </c>
      <c r="I231" s="47" t="s">
        <v>787</v>
      </c>
      <c r="J231" s="6">
        <v>62</v>
      </c>
      <c r="K231" s="8" t="s">
        <v>74</v>
      </c>
      <c r="L231" s="5">
        <v>8</v>
      </c>
      <c r="P231" s="3"/>
      <c r="Q231" s="3"/>
      <c r="R231" s="3"/>
    </row>
    <row r="232" spans="1:18" x14ac:dyDescent="0.2">
      <c r="A232" s="7" t="s">
        <v>16</v>
      </c>
      <c r="B232" s="7" t="s">
        <v>60</v>
      </c>
      <c r="C232" s="7" t="s">
        <v>18</v>
      </c>
      <c r="D232" s="4">
        <v>29435005009932</v>
      </c>
      <c r="E232" s="8" t="s">
        <v>36</v>
      </c>
      <c r="F232" s="8" t="s">
        <v>20</v>
      </c>
      <c r="G232" s="7" t="s">
        <v>21</v>
      </c>
      <c r="H232" s="47" t="s">
        <v>786</v>
      </c>
      <c r="I232" s="47" t="s">
        <v>787</v>
      </c>
      <c r="J232" s="6">
        <v>64</v>
      </c>
      <c r="K232" s="8" t="s">
        <v>68</v>
      </c>
      <c r="L232" s="5">
        <v>3</v>
      </c>
      <c r="P232" s="3"/>
      <c r="Q232" s="3"/>
      <c r="R232" s="3"/>
    </row>
    <row r="233" spans="1:18" x14ac:dyDescent="0.2">
      <c r="A233" s="7" t="s">
        <v>16</v>
      </c>
      <c r="B233" s="7" t="s">
        <v>60</v>
      </c>
      <c r="C233" s="7" t="s">
        <v>18</v>
      </c>
      <c r="D233" s="4">
        <v>44649812005520</v>
      </c>
      <c r="E233" s="8" t="s">
        <v>38</v>
      </c>
      <c r="F233" s="8" t="s">
        <v>20</v>
      </c>
      <c r="G233" s="7" t="s">
        <v>21</v>
      </c>
      <c r="H233" s="47" t="s">
        <v>786</v>
      </c>
      <c r="I233" s="47" t="s">
        <v>787</v>
      </c>
      <c r="J233" s="6">
        <v>73</v>
      </c>
      <c r="K233" s="8" t="s">
        <v>69</v>
      </c>
      <c r="L233" s="5">
        <v>4</v>
      </c>
      <c r="P233" s="3"/>
      <c r="Q233" s="3"/>
      <c r="R233" s="3"/>
    </row>
    <row r="234" spans="1:18" x14ac:dyDescent="0.2">
      <c r="A234" s="7" t="s">
        <v>16</v>
      </c>
      <c r="B234" s="7" t="s">
        <v>60</v>
      </c>
      <c r="C234" s="7" t="s">
        <v>18</v>
      </c>
      <c r="D234" s="4">
        <v>46374500026231</v>
      </c>
      <c r="E234" s="8" t="s">
        <v>58</v>
      </c>
      <c r="F234" s="8" t="s">
        <v>20</v>
      </c>
      <c r="G234" s="7" t="s">
        <v>21</v>
      </c>
      <c r="H234" s="47" t="s">
        <v>786</v>
      </c>
      <c r="I234" s="47" t="s">
        <v>787</v>
      </c>
      <c r="J234" s="6">
        <v>66</v>
      </c>
      <c r="K234" s="8" t="s">
        <v>99</v>
      </c>
      <c r="L234" s="5">
        <v>28</v>
      </c>
      <c r="P234" s="3"/>
      <c r="Q234" s="3"/>
      <c r="R234" s="3"/>
    </row>
    <row r="235" spans="1:18" x14ac:dyDescent="0.2">
      <c r="A235" s="7" t="s">
        <v>16</v>
      </c>
      <c r="B235" s="7" t="s">
        <v>60</v>
      </c>
      <c r="C235" s="7" t="s">
        <v>18</v>
      </c>
      <c r="D235" s="4">
        <v>46374500026231</v>
      </c>
      <c r="E235" s="8" t="s">
        <v>58</v>
      </c>
      <c r="F235" s="8" t="s">
        <v>20</v>
      </c>
      <c r="G235" s="7" t="s">
        <v>21</v>
      </c>
      <c r="H235" s="47" t="s">
        <v>786</v>
      </c>
      <c r="I235" s="47" t="s">
        <v>787</v>
      </c>
      <c r="J235" s="6">
        <v>73</v>
      </c>
      <c r="K235" s="8" t="s">
        <v>69</v>
      </c>
      <c r="L235" s="5">
        <v>192</v>
      </c>
      <c r="P235" s="3"/>
      <c r="Q235" s="3"/>
      <c r="R235" s="3"/>
    </row>
    <row r="236" spans="1:18" x14ac:dyDescent="0.2">
      <c r="A236" s="7" t="s">
        <v>16</v>
      </c>
      <c r="B236" s="7" t="s">
        <v>60</v>
      </c>
      <c r="C236" s="7" t="s">
        <v>18</v>
      </c>
      <c r="D236" s="4">
        <v>51722957000506</v>
      </c>
      <c r="E236" s="8" t="s">
        <v>59</v>
      </c>
      <c r="F236" s="8" t="s">
        <v>20</v>
      </c>
      <c r="G236" s="7" t="s">
        <v>21</v>
      </c>
      <c r="H236" s="47" t="s">
        <v>786</v>
      </c>
      <c r="I236" s="47" t="s">
        <v>787</v>
      </c>
      <c r="J236" s="6">
        <v>66</v>
      </c>
      <c r="K236" s="8" t="s">
        <v>99</v>
      </c>
      <c r="L236" s="5">
        <v>3</v>
      </c>
      <c r="P236" s="3"/>
      <c r="Q236" s="3"/>
      <c r="R236" s="3"/>
    </row>
    <row r="237" spans="1:18" x14ac:dyDescent="0.2">
      <c r="A237" s="7" t="s">
        <v>16</v>
      </c>
      <c r="B237" s="7" t="s">
        <v>60</v>
      </c>
      <c r="C237" s="7" t="s">
        <v>18</v>
      </c>
      <c r="D237" s="4">
        <v>51722957010226</v>
      </c>
      <c r="E237" s="8" t="s">
        <v>39</v>
      </c>
      <c r="F237" s="8" t="s">
        <v>20</v>
      </c>
      <c r="G237" s="7" t="s">
        <v>21</v>
      </c>
      <c r="H237" s="47" t="s">
        <v>786</v>
      </c>
      <c r="I237" s="47" t="s">
        <v>787</v>
      </c>
      <c r="J237" s="6">
        <v>73</v>
      </c>
      <c r="K237" s="8" t="s">
        <v>69</v>
      </c>
      <c r="L237" s="5">
        <v>106</v>
      </c>
      <c r="P237" s="3"/>
      <c r="Q237" s="3"/>
      <c r="R237" s="3"/>
    </row>
    <row r="238" spans="1:18" x14ac:dyDescent="0.2">
      <c r="A238" s="7" t="s">
        <v>16</v>
      </c>
      <c r="B238" s="7" t="s">
        <v>60</v>
      </c>
      <c r="C238" s="7" t="s">
        <v>18</v>
      </c>
      <c r="D238" s="4">
        <v>60448040000122</v>
      </c>
      <c r="E238" s="8" t="s">
        <v>85</v>
      </c>
      <c r="F238" s="8" t="s">
        <v>20</v>
      </c>
      <c r="G238" s="7" t="s">
        <v>21</v>
      </c>
      <c r="H238" s="47" t="s">
        <v>786</v>
      </c>
      <c r="I238" s="47" t="s">
        <v>787</v>
      </c>
      <c r="J238" s="6">
        <v>62</v>
      </c>
      <c r="K238" s="8" t="s">
        <v>74</v>
      </c>
      <c r="L238" s="5">
        <v>60</v>
      </c>
      <c r="P238" s="3"/>
      <c r="Q238" s="3"/>
      <c r="R238" s="3"/>
    </row>
    <row r="239" spans="1:18" x14ac:dyDescent="0.2">
      <c r="A239" s="7" t="s">
        <v>16</v>
      </c>
      <c r="B239" s="7" t="s">
        <v>60</v>
      </c>
      <c r="C239" s="7" t="s">
        <v>18</v>
      </c>
      <c r="D239" s="4">
        <v>60448040000122</v>
      </c>
      <c r="E239" s="8" t="s">
        <v>85</v>
      </c>
      <c r="F239" s="8" t="s">
        <v>20</v>
      </c>
      <c r="G239" s="7" t="s">
        <v>21</v>
      </c>
      <c r="H239" s="47" t="s">
        <v>786</v>
      </c>
      <c r="I239" s="47" t="s">
        <v>787</v>
      </c>
      <c r="J239" s="6">
        <v>64</v>
      </c>
      <c r="K239" s="8" t="s">
        <v>68</v>
      </c>
      <c r="L239" s="5">
        <v>66</v>
      </c>
      <c r="P239" s="3"/>
      <c r="Q239" s="3"/>
      <c r="R239" s="3"/>
    </row>
    <row r="240" spans="1:18" x14ac:dyDescent="0.2">
      <c r="A240" s="7" t="s">
        <v>16</v>
      </c>
      <c r="B240" s="7" t="s">
        <v>60</v>
      </c>
      <c r="C240" s="7" t="s">
        <v>18</v>
      </c>
      <c r="D240" s="4">
        <v>60448040000122</v>
      </c>
      <c r="E240" s="8" t="s">
        <v>85</v>
      </c>
      <c r="F240" s="8" t="s">
        <v>20</v>
      </c>
      <c r="G240" s="7" t="s">
        <v>21</v>
      </c>
      <c r="H240" s="47" t="s">
        <v>786</v>
      </c>
      <c r="I240" s="47" t="s">
        <v>787</v>
      </c>
      <c r="J240" s="6">
        <v>73</v>
      </c>
      <c r="K240" s="8" t="s">
        <v>69</v>
      </c>
      <c r="L240" s="5">
        <v>92</v>
      </c>
      <c r="P240" s="3"/>
      <c r="Q240" s="3"/>
      <c r="R240" s="3"/>
    </row>
    <row r="241" spans="1:18" x14ac:dyDescent="0.2">
      <c r="A241" s="7" t="s">
        <v>16</v>
      </c>
      <c r="B241" s="7" t="s">
        <v>60</v>
      </c>
      <c r="C241" s="7" t="s">
        <v>18</v>
      </c>
      <c r="D241" s="4">
        <v>60453024000390</v>
      </c>
      <c r="E241" s="8" t="s">
        <v>86</v>
      </c>
      <c r="F241" s="8" t="s">
        <v>20</v>
      </c>
      <c r="G241" s="7" t="s">
        <v>21</v>
      </c>
      <c r="H241" s="47" t="s">
        <v>786</v>
      </c>
      <c r="I241" s="47" t="s">
        <v>787</v>
      </c>
      <c r="J241" s="6">
        <v>62</v>
      </c>
      <c r="K241" s="8" t="s">
        <v>74</v>
      </c>
      <c r="L241" s="5">
        <v>55</v>
      </c>
      <c r="P241" s="3"/>
      <c r="Q241" s="3"/>
      <c r="R241" s="3"/>
    </row>
    <row r="242" spans="1:18" x14ac:dyDescent="0.2">
      <c r="A242" s="7" t="s">
        <v>16</v>
      </c>
      <c r="B242" s="7" t="s">
        <v>60</v>
      </c>
      <c r="C242" s="7" t="s">
        <v>18</v>
      </c>
      <c r="D242" s="4">
        <v>60453024000390</v>
      </c>
      <c r="E242" s="8" t="s">
        <v>86</v>
      </c>
      <c r="F242" s="8" t="s">
        <v>20</v>
      </c>
      <c r="G242" s="7" t="s">
        <v>21</v>
      </c>
      <c r="H242" s="47" t="s">
        <v>786</v>
      </c>
      <c r="I242" s="47" t="s">
        <v>787</v>
      </c>
      <c r="J242" s="6">
        <v>64</v>
      </c>
      <c r="K242" s="8" t="s">
        <v>68</v>
      </c>
      <c r="L242" s="5">
        <v>11</v>
      </c>
      <c r="P242" s="3"/>
      <c r="Q242" s="3"/>
      <c r="R242" s="3"/>
    </row>
    <row r="243" spans="1:18" x14ac:dyDescent="0.2">
      <c r="A243" s="7" t="s">
        <v>16</v>
      </c>
      <c r="B243" s="7" t="s">
        <v>60</v>
      </c>
      <c r="C243" s="7" t="s">
        <v>18</v>
      </c>
      <c r="D243" s="4">
        <v>60678604000113</v>
      </c>
      <c r="E243" s="8" t="s">
        <v>64</v>
      </c>
      <c r="F243" s="8" t="s">
        <v>20</v>
      </c>
      <c r="G243" s="7" t="s">
        <v>21</v>
      </c>
      <c r="H243" s="47" t="s">
        <v>786</v>
      </c>
      <c r="I243" s="47" t="s">
        <v>787</v>
      </c>
      <c r="J243" s="6">
        <v>62</v>
      </c>
      <c r="K243" s="8" t="s">
        <v>74</v>
      </c>
      <c r="L243" s="5">
        <v>24</v>
      </c>
      <c r="P243" s="3"/>
      <c r="Q243" s="3"/>
      <c r="R243" s="3"/>
    </row>
    <row r="244" spans="1:18" x14ac:dyDescent="0.2">
      <c r="A244" s="7" t="s">
        <v>16</v>
      </c>
      <c r="B244" s="7" t="s">
        <v>60</v>
      </c>
      <c r="C244" s="7" t="s">
        <v>18</v>
      </c>
      <c r="D244" s="4">
        <v>60726502000126</v>
      </c>
      <c r="E244" s="8" t="s">
        <v>44</v>
      </c>
      <c r="F244" s="8" t="s">
        <v>20</v>
      </c>
      <c r="G244" s="7" t="s">
        <v>21</v>
      </c>
      <c r="H244" s="47" t="s">
        <v>786</v>
      </c>
      <c r="I244" s="47" t="s">
        <v>787</v>
      </c>
      <c r="J244" s="6">
        <v>62</v>
      </c>
      <c r="K244" s="8" t="s">
        <v>74</v>
      </c>
      <c r="L244" s="5">
        <v>2</v>
      </c>
      <c r="P244" s="3"/>
      <c r="Q244" s="3"/>
      <c r="R244" s="3"/>
    </row>
    <row r="245" spans="1:18" x14ac:dyDescent="0.2">
      <c r="A245" s="7" t="s">
        <v>16</v>
      </c>
      <c r="B245" s="7" t="s">
        <v>60</v>
      </c>
      <c r="C245" s="7" t="s">
        <v>18</v>
      </c>
      <c r="D245" s="4">
        <v>60726502000126</v>
      </c>
      <c r="E245" s="8" t="s">
        <v>44</v>
      </c>
      <c r="F245" s="8" t="s">
        <v>20</v>
      </c>
      <c r="G245" s="7" t="s">
        <v>21</v>
      </c>
      <c r="H245" s="47" t="s">
        <v>786</v>
      </c>
      <c r="I245" s="47" t="s">
        <v>787</v>
      </c>
      <c r="J245" s="6">
        <v>64</v>
      </c>
      <c r="K245" s="8" t="s">
        <v>68</v>
      </c>
      <c r="L245" s="5">
        <v>6</v>
      </c>
      <c r="P245" s="3"/>
      <c r="Q245" s="3"/>
      <c r="R245" s="3"/>
    </row>
    <row r="246" spans="1:18" x14ac:dyDescent="0.2">
      <c r="A246" s="7" t="s">
        <v>16</v>
      </c>
      <c r="B246" s="7" t="s">
        <v>60</v>
      </c>
      <c r="C246" s="7" t="s">
        <v>18</v>
      </c>
      <c r="D246" s="4">
        <v>60726502000126</v>
      </c>
      <c r="E246" s="8" t="s">
        <v>44</v>
      </c>
      <c r="F246" s="8" t="s">
        <v>20</v>
      </c>
      <c r="G246" s="7" t="s">
        <v>21</v>
      </c>
      <c r="H246" s="47" t="s">
        <v>786</v>
      </c>
      <c r="I246" s="47" t="s">
        <v>787</v>
      </c>
      <c r="J246" s="6">
        <v>73</v>
      </c>
      <c r="K246" s="8" t="s">
        <v>69</v>
      </c>
      <c r="L246" s="5">
        <v>16</v>
      </c>
      <c r="P246" s="3"/>
      <c r="Q246" s="3"/>
      <c r="R246" s="3"/>
    </row>
    <row r="247" spans="1:18" x14ac:dyDescent="0.2">
      <c r="A247" s="7" t="s">
        <v>16</v>
      </c>
      <c r="B247" s="7" t="s">
        <v>60</v>
      </c>
      <c r="C247" s="7" t="s">
        <v>18</v>
      </c>
      <c r="D247" s="4">
        <v>60765823000130</v>
      </c>
      <c r="E247" s="8" t="s">
        <v>94</v>
      </c>
      <c r="F247" s="8" t="s">
        <v>20</v>
      </c>
      <c r="G247" s="7" t="s">
        <v>21</v>
      </c>
      <c r="H247" s="47" t="s">
        <v>786</v>
      </c>
      <c r="I247" s="47" t="s">
        <v>787</v>
      </c>
      <c r="J247" s="6">
        <v>62</v>
      </c>
      <c r="K247" s="8" t="s">
        <v>74</v>
      </c>
      <c r="L247" s="5">
        <v>70</v>
      </c>
      <c r="P247" s="3"/>
      <c r="Q247" s="3"/>
      <c r="R247" s="3"/>
    </row>
    <row r="248" spans="1:18" x14ac:dyDescent="0.2">
      <c r="A248" s="7" t="s">
        <v>16</v>
      </c>
      <c r="B248" s="7" t="s">
        <v>60</v>
      </c>
      <c r="C248" s="7" t="s">
        <v>18</v>
      </c>
      <c r="D248" s="4">
        <v>60765823000130</v>
      </c>
      <c r="E248" s="8" t="s">
        <v>94</v>
      </c>
      <c r="F248" s="8" t="s">
        <v>20</v>
      </c>
      <c r="G248" s="7" t="s">
        <v>21</v>
      </c>
      <c r="H248" s="47" t="s">
        <v>786</v>
      </c>
      <c r="I248" s="47" t="s">
        <v>787</v>
      </c>
      <c r="J248" s="6">
        <v>64</v>
      </c>
      <c r="K248" s="8" t="s">
        <v>68</v>
      </c>
      <c r="L248" s="5">
        <v>30</v>
      </c>
      <c r="P248" s="3"/>
      <c r="Q248" s="3"/>
      <c r="R248" s="3"/>
    </row>
    <row r="249" spans="1:18" x14ac:dyDescent="0.2">
      <c r="A249" s="7" t="s">
        <v>16</v>
      </c>
      <c r="B249" s="7" t="s">
        <v>60</v>
      </c>
      <c r="C249" s="7" t="s">
        <v>18</v>
      </c>
      <c r="D249" s="4">
        <v>60765823000130</v>
      </c>
      <c r="E249" s="8" t="s">
        <v>94</v>
      </c>
      <c r="F249" s="8" t="s">
        <v>20</v>
      </c>
      <c r="G249" s="7" t="s">
        <v>21</v>
      </c>
      <c r="H249" s="47" t="s">
        <v>786</v>
      </c>
      <c r="I249" s="47" t="s">
        <v>787</v>
      </c>
      <c r="J249" s="6">
        <v>73</v>
      </c>
      <c r="K249" s="8" t="s">
        <v>69</v>
      </c>
      <c r="L249" s="5">
        <v>130</v>
      </c>
      <c r="P249" s="3"/>
      <c r="Q249" s="3"/>
      <c r="R249" s="3"/>
    </row>
    <row r="250" spans="1:18" x14ac:dyDescent="0.2">
      <c r="A250" s="7" t="s">
        <v>16</v>
      </c>
      <c r="B250" s="7" t="s">
        <v>60</v>
      </c>
      <c r="C250" s="7" t="s">
        <v>18</v>
      </c>
      <c r="D250" s="4">
        <v>60884855000316</v>
      </c>
      <c r="E250" s="8" t="s">
        <v>46</v>
      </c>
      <c r="F250" s="8" t="s">
        <v>20</v>
      </c>
      <c r="G250" s="7" t="s">
        <v>21</v>
      </c>
      <c r="H250" s="47" t="s">
        <v>786</v>
      </c>
      <c r="I250" s="47" t="s">
        <v>787</v>
      </c>
      <c r="J250" s="6">
        <v>62</v>
      </c>
      <c r="K250" s="8" t="s">
        <v>74</v>
      </c>
      <c r="L250" s="5">
        <v>19</v>
      </c>
      <c r="P250" s="3"/>
      <c r="Q250" s="3"/>
      <c r="R250" s="3"/>
    </row>
    <row r="251" spans="1:18" x14ac:dyDescent="0.2">
      <c r="A251" s="7" t="s">
        <v>16</v>
      </c>
      <c r="B251" s="7" t="s">
        <v>60</v>
      </c>
      <c r="C251" s="7" t="s">
        <v>18</v>
      </c>
      <c r="D251" s="4">
        <v>60884855000316</v>
      </c>
      <c r="E251" s="8" t="s">
        <v>46</v>
      </c>
      <c r="F251" s="8" t="s">
        <v>20</v>
      </c>
      <c r="G251" s="7" t="s">
        <v>21</v>
      </c>
      <c r="H251" s="47" t="s">
        <v>786</v>
      </c>
      <c r="I251" s="47" t="s">
        <v>787</v>
      </c>
      <c r="J251" s="6">
        <v>64</v>
      </c>
      <c r="K251" s="8" t="s">
        <v>68</v>
      </c>
      <c r="L251" s="5">
        <v>14</v>
      </c>
      <c r="P251" s="3"/>
      <c r="Q251" s="3"/>
      <c r="R251" s="3"/>
    </row>
    <row r="252" spans="1:18" x14ac:dyDescent="0.2">
      <c r="A252" s="7" t="s">
        <v>16</v>
      </c>
      <c r="B252" s="7" t="s">
        <v>60</v>
      </c>
      <c r="C252" s="7" t="s">
        <v>18</v>
      </c>
      <c r="D252" s="4">
        <v>60884855000316</v>
      </c>
      <c r="E252" s="8" t="s">
        <v>46</v>
      </c>
      <c r="F252" s="8" t="s">
        <v>20</v>
      </c>
      <c r="G252" s="7" t="s">
        <v>21</v>
      </c>
      <c r="H252" s="47" t="s">
        <v>786</v>
      </c>
      <c r="I252" s="47" t="s">
        <v>787</v>
      </c>
      <c r="J252" s="6">
        <v>73</v>
      </c>
      <c r="K252" s="8" t="s">
        <v>69</v>
      </c>
      <c r="L252" s="5">
        <v>24</v>
      </c>
      <c r="P252" s="3"/>
      <c r="Q252" s="3"/>
      <c r="R252" s="3"/>
    </row>
    <row r="253" spans="1:18" x14ac:dyDescent="0.2">
      <c r="A253" s="7" t="s">
        <v>16</v>
      </c>
      <c r="B253" s="7" t="s">
        <v>60</v>
      </c>
      <c r="C253" s="7" t="s">
        <v>18</v>
      </c>
      <c r="D253" s="4">
        <v>60922168000771</v>
      </c>
      <c r="E253" s="8" t="s">
        <v>47</v>
      </c>
      <c r="F253" s="8" t="s">
        <v>20</v>
      </c>
      <c r="G253" s="7" t="s">
        <v>21</v>
      </c>
      <c r="H253" s="47" t="s">
        <v>786</v>
      </c>
      <c r="I253" s="47" t="s">
        <v>787</v>
      </c>
      <c r="J253" s="6">
        <v>62</v>
      </c>
      <c r="K253" s="8" t="s">
        <v>74</v>
      </c>
      <c r="L253" s="5">
        <v>4</v>
      </c>
      <c r="P253" s="3"/>
      <c r="Q253" s="3"/>
      <c r="R253" s="3"/>
    </row>
    <row r="254" spans="1:18" x14ac:dyDescent="0.2">
      <c r="A254" s="7" t="s">
        <v>16</v>
      </c>
      <c r="B254" s="7" t="s">
        <v>60</v>
      </c>
      <c r="C254" s="7" t="s">
        <v>18</v>
      </c>
      <c r="D254" s="4">
        <v>60922168000771</v>
      </c>
      <c r="E254" s="8" t="s">
        <v>47</v>
      </c>
      <c r="F254" s="8" t="s">
        <v>20</v>
      </c>
      <c r="G254" s="7" t="s">
        <v>21</v>
      </c>
      <c r="H254" s="47" t="s">
        <v>786</v>
      </c>
      <c r="I254" s="47" t="s">
        <v>787</v>
      </c>
      <c r="J254" s="6">
        <v>73</v>
      </c>
      <c r="K254" s="8" t="s">
        <v>69</v>
      </c>
      <c r="L254" s="5">
        <v>23</v>
      </c>
      <c r="P254" s="3"/>
      <c r="Q254" s="3"/>
      <c r="R254" s="3"/>
    </row>
    <row r="255" spans="1:18" x14ac:dyDescent="0.2">
      <c r="A255" s="7" t="s">
        <v>16</v>
      </c>
      <c r="B255" s="7" t="s">
        <v>60</v>
      </c>
      <c r="C255" s="7" t="s">
        <v>18</v>
      </c>
      <c r="D255" s="4">
        <v>60961422000155</v>
      </c>
      <c r="E255" s="8" t="s">
        <v>49</v>
      </c>
      <c r="F255" s="8" t="s">
        <v>20</v>
      </c>
      <c r="G255" s="7" t="s">
        <v>21</v>
      </c>
      <c r="H255" s="47" t="s">
        <v>786</v>
      </c>
      <c r="I255" s="47" t="s">
        <v>787</v>
      </c>
      <c r="J255" s="6">
        <v>62</v>
      </c>
      <c r="K255" s="8" t="s">
        <v>74</v>
      </c>
      <c r="L255" s="5">
        <v>8</v>
      </c>
      <c r="P255" s="3"/>
      <c r="Q255" s="3"/>
      <c r="R255" s="3"/>
    </row>
    <row r="256" spans="1:18" x14ac:dyDescent="0.2">
      <c r="A256" s="7" t="s">
        <v>16</v>
      </c>
      <c r="B256" s="7" t="s">
        <v>60</v>
      </c>
      <c r="C256" s="7" t="s">
        <v>18</v>
      </c>
      <c r="D256" s="4">
        <v>60961422000155</v>
      </c>
      <c r="E256" s="8" t="s">
        <v>49</v>
      </c>
      <c r="F256" s="8" t="s">
        <v>20</v>
      </c>
      <c r="G256" s="7" t="s">
        <v>21</v>
      </c>
      <c r="H256" s="47" t="s">
        <v>786</v>
      </c>
      <c r="I256" s="47" t="s">
        <v>787</v>
      </c>
      <c r="J256" s="6">
        <v>64</v>
      </c>
      <c r="K256" s="8" t="s">
        <v>68</v>
      </c>
      <c r="L256" s="5">
        <v>6</v>
      </c>
      <c r="P256" s="3"/>
      <c r="Q256" s="3"/>
      <c r="R256" s="3"/>
    </row>
    <row r="257" spans="1:18" x14ac:dyDescent="0.2">
      <c r="A257" s="7" t="s">
        <v>16</v>
      </c>
      <c r="B257" s="7" t="s">
        <v>60</v>
      </c>
      <c r="C257" s="7" t="s">
        <v>18</v>
      </c>
      <c r="D257" s="4">
        <v>60961422000155</v>
      </c>
      <c r="E257" s="8" t="s">
        <v>49</v>
      </c>
      <c r="F257" s="8" t="s">
        <v>20</v>
      </c>
      <c r="G257" s="7" t="s">
        <v>21</v>
      </c>
      <c r="H257" s="47" t="s">
        <v>786</v>
      </c>
      <c r="I257" s="47" t="s">
        <v>787</v>
      </c>
      <c r="J257" s="6">
        <v>66</v>
      </c>
      <c r="K257" s="8" t="s">
        <v>99</v>
      </c>
      <c r="L257" s="5">
        <v>4</v>
      </c>
      <c r="P257" s="3"/>
      <c r="Q257" s="3"/>
      <c r="R257" s="3"/>
    </row>
    <row r="258" spans="1:18" x14ac:dyDescent="0.2">
      <c r="A258" s="7" t="s">
        <v>16</v>
      </c>
      <c r="B258" s="7" t="s">
        <v>60</v>
      </c>
      <c r="C258" s="7" t="s">
        <v>18</v>
      </c>
      <c r="D258" s="4">
        <v>60961968000106</v>
      </c>
      <c r="E258" s="8" t="s">
        <v>50</v>
      </c>
      <c r="F258" s="8" t="s">
        <v>20</v>
      </c>
      <c r="G258" s="7" t="s">
        <v>21</v>
      </c>
      <c r="H258" s="47" t="s">
        <v>786</v>
      </c>
      <c r="I258" s="47" t="s">
        <v>787</v>
      </c>
      <c r="J258" s="6">
        <v>62</v>
      </c>
      <c r="K258" s="8" t="s">
        <v>74</v>
      </c>
      <c r="L258" s="5">
        <v>5</v>
      </c>
      <c r="P258" s="3"/>
      <c r="Q258" s="3"/>
      <c r="R258" s="3"/>
    </row>
    <row r="259" spans="1:18" x14ac:dyDescent="0.2">
      <c r="A259" s="7" t="s">
        <v>16</v>
      </c>
      <c r="B259" s="7" t="s">
        <v>60</v>
      </c>
      <c r="C259" s="7" t="s">
        <v>18</v>
      </c>
      <c r="D259" s="4">
        <v>60961968000106</v>
      </c>
      <c r="E259" s="8" t="s">
        <v>50</v>
      </c>
      <c r="F259" s="8" t="s">
        <v>20</v>
      </c>
      <c r="G259" s="7" t="s">
        <v>21</v>
      </c>
      <c r="H259" s="47" t="s">
        <v>786</v>
      </c>
      <c r="I259" s="47" t="s">
        <v>787</v>
      </c>
      <c r="J259" s="6">
        <v>64</v>
      </c>
      <c r="K259" s="8" t="s">
        <v>68</v>
      </c>
      <c r="L259" s="5">
        <v>40</v>
      </c>
      <c r="P259" s="3"/>
      <c r="Q259" s="3"/>
      <c r="R259" s="3"/>
    </row>
    <row r="260" spans="1:18" x14ac:dyDescent="0.2">
      <c r="A260" s="7" t="s">
        <v>16</v>
      </c>
      <c r="B260" s="7" t="s">
        <v>60</v>
      </c>
      <c r="C260" s="7" t="s">
        <v>18</v>
      </c>
      <c r="D260" s="4">
        <v>60961968000459</v>
      </c>
      <c r="E260" s="8" t="s">
        <v>95</v>
      </c>
      <c r="F260" s="8" t="s">
        <v>20</v>
      </c>
      <c r="G260" s="7" t="s">
        <v>21</v>
      </c>
      <c r="H260" s="47" t="s">
        <v>786</v>
      </c>
      <c r="I260" s="47" t="s">
        <v>787</v>
      </c>
      <c r="J260" s="6">
        <v>64</v>
      </c>
      <c r="K260" s="8" t="s">
        <v>68</v>
      </c>
      <c r="L260" s="5">
        <v>15</v>
      </c>
      <c r="P260" s="3"/>
      <c r="Q260" s="3"/>
      <c r="R260" s="3"/>
    </row>
    <row r="261" spans="1:18" x14ac:dyDescent="0.2">
      <c r="A261" s="7" t="s">
        <v>16</v>
      </c>
      <c r="B261" s="7" t="s">
        <v>60</v>
      </c>
      <c r="C261" s="7" t="s">
        <v>18</v>
      </c>
      <c r="D261" s="4">
        <v>60975737001204</v>
      </c>
      <c r="E261" s="8" t="s">
        <v>88</v>
      </c>
      <c r="F261" s="8" t="s">
        <v>20</v>
      </c>
      <c r="G261" s="7" t="s">
        <v>21</v>
      </c>
      <c r="H261" s="47" t="s">
        <v>786</v>
      </c>
      <c r="I261" s="47" t="s">
        <v>787</v>
      </c>
      <c r="J261" s="6">
        <v>64</v>
      </c>
      <c r="K261" s="8" t="s">
        <v>68</v>
      </c>
      <c r="L261" s="5">
        <v>13</v>
      </c>
      <c r="P261" s="3"/>
      <c r="Q261" s="3"/>
      <c r="R261" s="3"/>
    </row>
    <row r="262" spans="1:18" x14ac:dyDescent="0.2">
      <c r="A262" s="7" t="s">
        <v>16</v>
      </c>
      <c r="B262" s="7" t="s">
        <v>60</v>
      </c>
      <c r="C262" s="7" t="s">
        <v>18</v>
      </c>
      <c r="D262" s="4">
        <v>60992427000650</v>
      </c>
      <c r="E262" s="8" t="s">
        <v>100</v>
      </c>
      <c r="F262" s="8" t="s">
        <v>20</v>
      </c>
      <c r="G262" s="7" t="s">
        <v>21</v>
      </c>
      <c r="H262" s="47" t="s">
        <v>786</v>
      </c>
      <c r="I262" s="47" t="s">
        <v>787</v>
      </c>
      <c r="J262" s="6">
        <v>62</v>
      </c>
      <c r="K262" s="8" t="s">
        <v>74</v>
      </c>
      <c r="L262" s="5">
        <v>3</v>
      </c>
      <c r="P262" s="3"/>
      <c r="Q262" s="3"/>
      <c r="R262" s="3"/>
    </row>
    <row r="263" spans="1:18" x14ac:dyDescent="0.2">
      <c r="A263" s="7" t="s">
        <v>16</v>
      </c>
      <c r="B263" s="7" t="s">
        <v>60</v>
      </c>
      <c r="C263" s="7" t="s">
        <v>18</v>
      </c>
      <c r="D263" s="4">
        <v>60992427000650</v>
      </c>
      <c r="E263" s="8" t="s">
        <v>100</v>
      </c>
      <c r="F263" s="8" t="s">
        <v>20</v>
      </c>
      <c r="G263" s="7" t="s">
        <v>21</v>
      </c>
      <c r="H263" s="47" t="s">
        <v>786</v>
      </c>
      <c r="I263" s="47" t="s">
        <v>787</v>
      </c>
      <c r="J263" s="6">
        <v>64</v>
      </c>
      <c r="K263" s="8" t="s">
        <v>68</v>
      </c>
      <c r="L263" s="5">
        <v>1</v>
      </c>
      <c r="P263" s="3"/>
      <c r="Q263" s="3"/>
      <c r="R263" s="3"/>
    </row>
    <row r="264" spans="1:18" x14ac:dyDescent="0.2">
      <c r="A264" s="7" t="s">
        <v>16</v>
      </c>
      <c r="B264" s="7" t="s">
        <v>60</v>
      </c>
      <c r="C264" s="7" t="s">
        <v>18</v>
      </c>
      <c r="D264" s="4">
        <v>61062212000198</v>
      </c>
      <c r="E264" s="8" t="s">
        <v>101</v>
      </c>
      <c r="F264" s="8" t="s">
        <v>20</v>
      </c>
      <c r="G264" s="7" t="s">
        <v>21</v>
      </c>
      <c r="H264" s="47" t="s">
        <v>786</v>
      </c>
      <c r="I264" s="47" t="s">
        <v>787</v>
      </c>
      <c r="J264" s="6">
        <v>62</v>
      </c>
      <c r="K264" s="8" t="s">
        <v>74</v>
      </c>
      <c r="L264" s="5">
        <v>4</v>
      </c>
      <c r="P264" s="3"/>
      <c r="Q264" s="3"/>
      <c r="R264" s="3"/>
    </row>
    <row r="265" spans="1:18" x14ac:dyDescent="0.2">
      <c r="A265" s="7" t="s">
        <v>16</v>
      </c>
      <c r="B265" s="7" t="s">
        <v>60</v>
      </c>
      <c r="C265" s="7" t="s">
        <v>18</v>
      </c>
      <c r="D265" s="4">
        <v>61213674000240</v>
      </c>
      <c r="E265" s="8" t="s">
        <v>52</v>
      </c>
      <c r="F265" s="8" t="s">
        <v>20</v>
      </c>
      <c r="G265" s="7" t="s">
        <v>21</v>
      </c>
      <c r="H265" s="47" t="s">
        <v>786</v>
      </c>
      <c r="I265" s="47" t="s">
        <v>787</v>
      </c>
      <c r="J265" s="6">
        <v>62</v>
      </c>
      <c r="K265" s="8" t="s">
        <v>74</v>
      </c>
      <c r="L265" s="5">
        <v>2</v>
      </c>
      <c r="P265" s="3"/>
      <c r="Q265" s="3"/>
      <c r="R265" s="3"/>
    </row>
    <row r="266" spans="1:18" x14ac:dyDescent="0.2">
      <c r="A266" s="7" t="s">
        <v>16</v>
      </c>
      <c r="B266" s="7" t="s">
        <v>60</v>
      </c>
      <c r="C266" s="7" t="s">
        <v>18</v>
      </c>
      <c r="D266" s="4">
        <v>61213674000240</v>
      </c>
      <c r="E266" s="8" t="s">
        <v>52</v>
      </c>
      <c r="F266" s="8" t="s">
        <v>20</v>
      </c>
      <c r="G266" s="7" t="s">
        <v>21</v>
      </c>
      <c r="H266" s="47" t="s">
        <v>786</v>
      </c>
      <c r="I266" s="47" t="s">
        <v>787</v>
      </c>
      <c r="J266" s="6">
        <v>64</v>
      </c>
      <c r="K266" s="8" t="s">
        <v>68</v>
      </c>
      <c r="L266" s="5">
        <v>1</v>
      </c>
      <c r="P266" s="3"/>
      <c r="Q266" s="3"/>
      <c r="R266" s="3"/>
    </row>
    <row r="267" spans="1:18" x14ac:dyDescent="0.2">
      <c r="A267" s="7" t="s">
        <v>16</v>
      </c>
      <c r="B267" s="7" t="s">
        <v>60</v>
      </c>
      <c r="C267" s="7" t="s">
        <v>18</v>
      </c>
      <c r="D267" s="4">
        <v>61213674000240</v>
      </c>
      <c r="E267" s="8" t="s">
        <v>52</v>
      </c>
      <c r="F267" s="8" t="s">
        <v>20</v>
      </c>
      <c r="G267" s="7" t="s">
        <v>21</v>
      </c>
      <c r="H267" s="47" t="s">
        <v>786</v>
      </c>
      <c r="I267" s="47" t="s">
        <v>787</v>
      </c>
      <c r="J267" s="6">
        <v>73</v>
      </c>
      <c r="K267" s="8" t="s">
        <v>69</v>
      </c>
      <c r="L267" s="5">
        <v>113</v>
      </c>
      <c r="P267" s="3"/>
      <c r="Q267" s="3"/>
      <c r="R267" s="3"/>
    </row>
    <row r="268" spans="1:18" x14ac:dyDescent="0.2">
      <c r="A268" s="7" t="s">
        <v>16</v>
      </c>
      <c r="B268" s="7" t="s">
        <v>60</v>
      </c>
      <c r="C268" s="7" t="s">
        <v>18</v>
      </c>
      <c r="D268" s="4">
        <v>61590410000124</v>
      </c>
      <c r="E268" s="8" t="s">
        <v>53</v>
      </c>
      <c r="F268" s="8" t="s">
        <v>20</v>
      </c>
      <c r="G268" s="7" t="s">
        <v>21</v>
      </c>
      <c r="H268" s="47" t="s">
        <v>786</v>
      </c>
      <c r="I268" s="47" t="s">
        <v>787</v>
      </c>
      <c r="J268" s="6">
        <v>62</v>
      </c>
      <c r="K268" s="8" t="s">
        <v>74</v>
      </c>
      <c r="L268" s="5">
        <v>56</v>
      </c>
      <c r="P268" s="3"/>
      <c r="Q268" s="3"/>
      <c r="R268" s="3"/>
    </row>
    <row r="269" spans="1:18" x14ac:dyDescent="0.2">
      <c r="A269" s="7" t="s">
        <v>16</v>
      </c>
      <c r="B269" s="7" t="s">
        <v>60</v>
      </c>
      <c r="C269" s="7" t="s">
        <v>18</v>
      </c>
      <c r="D269" s="4">
        <v>61590410000124</v>
      </c>
      <c r="E269" s="8" t="s">
        <v>53</v>
      </c>
      <c r="F269" s="8" t="s">
        <v>20</v>
      </c>
      <c r="G269" s="7" t="s">
        <v>21</v>
      </c>
      <c r="H269" s="47" t="s">
        <v>786</v>
      </c>
      <c r="I269" s="47" t="s">
        <v>787</v>
      </c>
      <c r="J269" s="6">
        <v>64</v>
      </c>
      <c r="K269" s="8" t="s">
        <v>68</v>
      </c>
      <c r="L269" s="5">
        <v>16</v>
      </c>
      <c r="P269" s="3"/>
      <c r="Q269" s="3"/>
      <c r="R269" s="3"/>
    </row>
    <row r="270" spans="1:18" x14ac:dyDescent="0.2">
      <c r="A270" s="7" t="s">
        <v>16</v>
      </c>
      <c r="B270" s="7" t="s">
        <v>60</v>
      </c>
      <c r="C270" s="7" t="s">
        <v>18</v>
      </c>
      <c r="D270" s="4">
        <v>61599908000158</v>
      </c>
      <c r="E270" s="8" t="s">
        <v>89</v>
      </c>
      <c r="F270" s="8" t="s">
        <v>20</v>
      </c>
      <c r="G270" s="7" t="s">
        <v>21</v>
      </c>
      <c r="H270" s="47" t="s">
        <v>786</v>
      </c>
      <c r="I270" s="47" t="s">
        <v>787</v>
      </c>
      <c r="J270" s="6">
        <v>62</v>
      </c>
      <c r="K270" s="8" t="s">
        <v>74</v>
      </c>
      <c r="L270" s="5">
        <v>50</v>
      </c>
      <c r="P270" s="3"/>
      <c r="Q270" s="3"/>
      <c r="R270" s="3"/>
    </row>
    <row r="271" spans="1:18" x14ac:dyDescent="0.2">
      <c r="A271" s="7" t="s">
        <v>16</v>
      </c>
      <c r="B271" s="7" t="s">
        <v>60</v>
      </c>
      <c r="C271" s="7" t="s">
        <v>18</v>
      </c>
      <c r="D271" s="4">
        <v>61599908000158</v>
      </c>
      <c r="E271" s="8" t="s">
        <v>89</v>
      </c>
      <c r="F271" s="8" t="s">
        <v>20</v>
      </c>
      <c r="G271" s="7" t="s">
        <v>21</v>
      </c>
      <c r="H271" s="47" t="s">
        <v>786</v>
      </c>
      <c r="I271" s="47" t="s">
        <v>787</v>
      </c>
      <c r="J271" s="6">
        <v>64</v>
      </c>
      <c r="K271" s="8" t="s">
        <v>68</v>
      </c>
      <c r="L271" s="5">
        <v>150</v>
      </c>
      <c r="P271" s="3"/>
      <c r="Q271" s="3"/>
      <c r="R271" s="3"/>
    </row>
    <row r="272" spans="1:18" x14ac:dyDescent="0.2">
      <c r="A272" s="7" t="s">
        <v>16</v>
      </c>
      <c r="B272" s="7" t="s">
        <v>60</v>
      </c>
      <c r="C272" s="7" t="s">
        <v>18</v>
      </c>
      <c r="D272" s="4">
        <v>72775745000133</v>
      </c>
      <c r="E272" s="8" t="s">
        <v>102</v>
      </c>
      <c r="F272" s="8" t="s">
        <v>20</v>
      </c>
      <c r="G272" s="7" t="s">
        <v>21</v>
      </c>
      <c r="H272" s="47" t="s">
        <v>786</v>
      </c>
      <c r="I272" s="47" t="s">
        <v>787</v>
      </c>
      <c r="J272" s="6">
        <v>62</v>
      </c>
      <c r="K272" s="8" t="s">
        <v>74</v>
      </c>
      <c r="L272" s="5">
        <v>15</v>
      </c>
      <c r="P272" s="3"/>
      <c r="Q272" s="3"/>
      <c r="R272" s="3"/>
    </row>
    <row r="273" spans="1:18" x14ac:dyDescent="0.2">
      <c r="A273" s="7" t="s">
        <v>16</v>
      </c>
      <c r="B273" s="7" t="s">
        <v>60</v>
      </c>
      <c r="C273" s="7" t="s">
        <v>18</v>
      </c>
      <c r="D273" s="4">
        <v>72775745000133</v>
      </c>
      <c r="E273" s="8" t="s">
        <v>102</v>
      </c>
      <c r="F273" s="8" t="s">
        <v>20</v>
      </c>
      <c r="G273" s="7" t="s">
        <v>21</v>
      </c>
      <c r="H273" s="47" t="s">
        <v>786</v>
      </c>
      <c r="I273" s="47" t="s">
        <v>787</v>
      </c>
      <c r="J273" s="6">
        <v>64</v>
      </c>
      <c r="K273" s="8" t="s">
        <v>68</v>
      </c>
      <c r="L273" s="5">
        <v>15</v>
      </c>
      <c r="P273" s="3"/>
      <c r="Q273" s="3"/>
      <c r="R273" s="3"/>
    </row>
    <row r="274" spans="1:18" x14ac:dyDescent="0.2">
      <c r="A274" s="7" t="s">
        <v>16</v>
      </c>
      <c r="B274" s="7" t="s">
        <v>65</v>
      </c>
      <c r="C274" s="7" t="s">
        <v>66</v>
      </c>
      <c r="D274" s="4">
        <v>603226000187</v>
      </c>
      <c r="E274" s="8" t="s">
        <v>103</v>
      </c>
      <c r="F274" s="8" t="s">
        <v>20</v>
      </c>
      <c r="G274" s="7" t="s">
        <v>21</v>
      </c>
      <c r="H274" s="47" t="s">
        <v>786</v>
      </c>
      <c r="I274" s="47" t="s">
        <v>787</v>
      </c>
      <c r="J274" s="6">
        <v>73</v>
      </c>
      <c r="K274" s="8" t="s">
        <v>69</v>
      </c>
      <c r="L274" s="5">
        <v>16</v>
      </c>
      <c r="P274" s="3"/>
      <c r="Q274" s="3"/>
      <c r="R274" s="3"/>
    </row>
    <row r="275" spans="1:18" x14ac:dyDescent="0.2">
      <c r="A275" s="7" t="s">
        <v>16</v>
      </c>
      <c r="B275" s="7" t="s">
        <v>65</v>
      </c>
      <c r="C275" s="7" t="s">
        <v>66</v>
      </c>
      <c r="D275" s="4">
        <v>7045325000130</v>
      </c>
      <c r="E275" s="8" t="s">
        <v>57</v>
      </c>
      <c r="F275" s="8" t="s">
        <v>20</v>
      </c>
      <c r="G275" s="7" t="s">
        <v>21</v>
      </c>
      <c r="H275" s="47" t="s">
        <v>786</v>
      </c>
      <c r="I275" s="47" t="s">
        <v>787</v>
      </c>
      <c r="J275" s="6">
        <v>73</v>
      </c>
      <c r="K275" s="8" t="s">
        <v>69</v>
      </c>
      <c r="L275" s="5">
        <v>40</v>
      </c>
      <c r="P275" s="3"/>
      <c r="Q275" s="3"/>
      <c r="R275" s="3"/>
    </row>
    <row r="276" spans="1:18" x14ac:dyDescent="0.2">
      <c r="A276" s="7" t="s">
        <v>16</v>
      </c>
      <c r="B276" s="7" t="s">
        <v>65</v>
      </c>
      <c r="C276" s="7" t="s">
        <v>66</v>
      </c>
      <c r="D276" s="4">
        <v>20812223000241</v>
      </c>
      <c r="E276" s="8" t="s">
        <v>81</v>
      </c>
      <c r="F276" s="8" t="s">
        <v>20</v>
      </c>
      <c r="G276" s="7" t="s">
        <v>21</v>
      </c>
      <c r="H276" s="47" t="s">
        <v>786</v>
      </c>
      <c r="I276" s="47" t="s">
        <v>787</v>
      </c>
      <c r="J276" s="6">
        <v>73</v>
      </c>
      <c r="K276" s="8" t="s">
        <v>69</v>
      </c>
      <c r="L276" s="5">
        <v>20</v>
      </c>
      <c r="P276" s="3"/>
      <c r="Q276" s="3"/>
      <c r="R276" s="3"/>
    </row>
    <row r="277" spans="1:18" x14ac:dyDescent="0.2">
      <c r="A277" s="7" t="s">
        <v>16</v>
      </c>
      <c r="B277" s="7" t="s">
        <v>65</v>
      </c>
      <c r="C277" s="7" t="s">
        <v>66</v>
      </c>
      <c r="D277" s="4">
        <v>29435005009932</v>
      </c>
      <c r="E277" s="8" t="s">
        <v>36</v>
      </c>
      <c r="F277" s="8" t="s">
        <v>20</v>
      </c>
      <c r="G277" s="7" t="s">
        <v>21</v>
      </c>
      <c r="H277" s="47" t="s">
        <v>786</v>
      </c>
      <c r="I277" s="47" t="s">
        <v>787</v>
      </c>
      <c r="J277" s="6">
        <v>62</v>
      </c>
      <c r="K277" s="8" t="s">
        <v>74</v>
      </c>
      <c r="L277" s="5">
        <v>9</v>
      </c>
      <c r="P277" s="3"/>
      <c r="Q277" s="3"/>
      <c r="R277" s="3"/>
    </row>
    <row r="278" spans="1:18" x14ac:dyDescent="0.2">
      <c r="A278" s="7" t="s">
        <v>16</v>
      </c>
      <c r="B278" s="7" t="s">
        <v>65</v>
      </c>
      <c r="C278" s="7" t="s">
        <v>66</v>
      </c>
      <c r="D278" s="4">
        <v>56577059000606</v>
      </c>
      <c r="E278" s="8" t="s">
        <v>84</v>
      </c>
      <c r="F278" s="8" t="s">
        <v>20</v>
      </c>
      <c r="G278" s="7" t="s">
        <v>21</v>
      </c>
      <c r="H278" s="47" t="s">
        <v>786</v>
      </c>
      <c r="I278" s="47" t="s">
        <v>787</v>
      </c>
      <c r="J278" s="6">
        <v>64</v>
      </c>
      <c r="K278" s="8" t="s">
        <v>68</v>
      </c>
      <c r="L278" s="5">
        <v>30</v>
      </c>
      <c r="P278" s="3"/>
      <c r="Q278" s="3"/>
      <c r="R278" s="3"/>
    </row>
    <row r="279" spans="1:18" x14ac:dyDescent="0.2">
      <c r="A279" s="7" t="s">
        <v>16</v>
      </c>
      <c r="B279" s="7" t="s">
        <v>65</v>
      </c>
      <c r="C279" s="7" t="s">
        <v>66</v>
      </c>
      <c r="D279" s="4">
        <v>60448040000122</v>
      </c>
      <c r="E279" s="8" t="s">
        <v>85</v>
      </c>
      <c r="F279" s="8" t="s">
        <v>20</v>
      </c>
      <c r="G279" s="7" t="s">
        <v>21</v>
      </c>
      <c r="H279" s="47" t="s">
        <v>786</v>
      </c>
      <c r="I279" s="47" t="s">
        <v>787</v>
      </c>
      <c r="J279" s="6">
        <v>62</v>
      </c>
      <c r="K279" s="8" t="s">
        <v>74</v>
      </c>
      <c r="L279" s="5">
        <v>66</v>
      </c>
      <c r="P279" s="3"/>
      <c r="Q279" s="3"/>
      <c r="R279" s="3"/>
    </row>
    <row r="280" spans="1:18" x14ac:dyDescent="0.2">
      <c r="A280" s="7" t="s">
        <v>16</v>
      </c>
      <c r="B280" s="7" t="s">
        <v>65</v>
      </c>
      <c r="C280" s="7" t="s">
        <v>66</v>
      </c>
      <c r="D280" s="4">
        <v>60453024000390</v>
      </c>
      <c r="E280" s="8" t="s">
        <v>86</v>
      </c>
      <c r="F280" s="8" t="s">
        <v>20</v>
      </c>
      <c r="G280" s="7" t="s">
        <v>21</v>
      </c>
      <c r="H280" s="47" t="s">
        <v>786</v>
      </c>
      <c r="I280" s="47" t="s">
        <v>787</v>
      </c>
      <c r="J280" s="6">
        <v>62</v>
      </c>
      <c r="K280" s="8" t="s">
        <v>74</v>
      </c>
      <c r="L280" s="5">
        <v>10</v>
      </c>
      <c r="P280" s="3"/>
      <c r="Q280" s="3"/>
      <c r="R280" s="3"/>
    </row>
    <row r="281" spans="1:18" x14ac:dyDescent="0.2">
      <c r="A281" s="7" t="s">
        <v>16</v>
      </c>
      <c r="B281" s="7" t="s">
        <v>65</v>
      </c>
      <c r="C281" s="7" t="s">
        <v>66</v>
      </c>
      <c r="D281" s="4">
        <v>60678604000113</v>
      </c>
      <c r="E281" s="8" t="s">
        <v>64</v>
      </c>
      <c r="F281" s="8" t="s">
        <v>20</v>
      </c>
      <c r="G281" s="7" t="s">
        <v>21</v>
      </c>
      <c r="H281" s="47" t="s">
        <v>786</v>
      </c>
      <c r="I281" s="47" t="s">
        <v>787</v>
      </c>
      <c r="J281" s="6">
        <v>64</v>
      </c>
      <c r="K281" s="8" t="s">
        <v>68</v>
      </c>
      <c r="L281" s="5">
        <v>1</v>
      </c>
      <c r="P281" s="3"/>
      <c r="Q281" s="3"/>
      <c r="R281" s="3"/>
    </row>
    <row r="282" spans="1:18" x14ac:dyDescent="0.2">
      <c r="A282" s="7" t="s">
        <v>16</v>
      </c>
      <c r="B282" s="7" t="s">
        <v>65</v>
      </c>
      <c r="C282" s="7" t="s">
        <v>66</v>
      </c>
      <c r="D282" s="4">
        <v>60961422000155</v>
      </c>
      <c r="E282" s="8" t="s">
        <v>49</v>
      </c>
      <c r="F282" s="8" t="s">
        <v>20</v>
      </c>
      <c r="G282" s="7" t="s">
        <v>21</v>
      </c>
      <c r="H282" s="47" t="s">
        <v>786</v>
      </c>
      <c r="I282" s="47" t="s">
        <v>787</v>
      </c>
      <c r="J282" s="6">
        <v>62</v>
      </c>
      <c r="K282" s="8" t="s">
        <v>74</v>
      </c>
      <c r="L282" s="5">
        <v>4</v>
      </c>
      <c r="P282" s="3"/>
      <c r="Q282" s="3"/>
      <c r="R282" s="3"/>
    </row>
    <row r="283" spans="1:18" x14ac:dyDescent="0.2">
      <c r="A283" s="7" t="s">
        <v>16</v>
      </c>
      <c r="B283" s="7" t="s">
        <v>65</v>
      </c>
      <c r="C283" s="7" t="s">
        <v>66</v>
      </c>
      <c r="D283" s="4">
        <v>60961422000155</v>
      </c>
      <c r="E283" s="8" t="s">
        <v>49</v>
      </c>
      <c r="F283" s="8" t="s">
        <v>20</v>
      </c>
      <c r="G283" s="7" t="s">
        <v>21</v>
      </c>
      <c r="H283" s="47" t="s">
        <v>786</v>
      </c>
      <c r="I283" s="47" t="s">
        <v>787</v>
      </c>
      <c r="J283" s="6">
        <v>64</v>
      </c>
      <c r="K283" s="8" t="s">
        <v>68</v>
      </c>
      <c r="L283" s="5">
        <v>2</v>
      </c>
      <c r="P283" s="3"/>
      <c r="Q283" s="3"/>
      <c r="R283" s="3"/>
    </row>
    <row r="284" spans="1:18" x14ac:dyDescent="0.2">
      <c r="A284" s="7" t="s">
        <v>16</v>
      </c>
      <c r="B284" s="7" t="s">
        <v>65</v>
      </c>
      <c r="C284" s="7" t="s">
        <v>66</v>
      </c>
      <c r="D284" s="4">
        <v>61590410000124</v>
      </c>
      <c r="E284" s="8" t="s">
        <v>53</v>
      </c>
      <c r="F284" s="8" t="s">
        <v>20</v>
      </c>
      <c r="G284" s="7" t="s">
        <v>21</v>
      </c>
      <c r="H284" s="47" t="s">
        <v>786</v>
      </c>
      <c r="I284" s="47" t="s">
        <v>787</v>
      </c>
      <c r="J284" s="6">
        <v>62</v>
      </c>
      <c r="K284" s="8" t="s">
        <v>74</v>
      </c>
      <c r="L284" s="5">
        <v>7</v>
      </c>
      <c r="P284" s="3"/>
      <c r="Q284" s="3"/>
      <c r="R284" s="3"/>
    </row>
    <row r="285" spans="1:18" x14ac:dyDescent="0.2">
      <c r="A285" s="7" t="s">
        <v>16</v>
      </c>
      <c r="B285" s="7" t="s">
        <v>65</v>
      </c>
      <c r="C285" s="7" t="s">
        <v>66</v>
      </c>
      <c r="D285" s="4">
        <v>61590410000124</v>
      </c>
      <c r="E285" s="8" t="s">
        <v>53</v>
      </c>
      <c r="F285" s="8" t="s">
        <v>20</v>
      </c>
      <c r="G285" s="7" t="s">
        <v>21</v>
      </c>
      <c r="H285" s="47" t="s">
        <v>786</v>
      </c>
      <c r="I285" s="47" t="s">
        <v>787</v>
      </c>
      <c r="J285" s="6">
        <v>64</v>
      </c>
      <c r="K285" s="8" t="s">
        <v>68</v>
      </c>
      <c r="L285" s="5">
        <v>6</v>
      </c>
      <c r="P285" s="3"/>
      <c r="Q285" s="3"/>
      <c r="R285" s="3"/>
    </row>
    <row r="286" spans="1:18" x14ac:dyDescent="0.2">
      <c r="A286" s="7" t="s">
        <v>16</v>
      </c>
      <c r="B286" s="7" t="s">
        <v>65</v>
      </c>
      <c r="C286" s="7" t="s">
        <v>66</v>
      </c>
      <c r="D286" s="4">
        <v>61599908000158</v>
      </c>
      <c r="E286" s="8" t="s">
        <v>89</v>
      </c>
      <c r="F286" s="8" t="s">
        <v>20</v>
      </c>
      <c r="G286" s="7" t="s">
        <v>21</v>
      </c>
      <c r="H286" s="47" t="s">
        <v>786</v>
      </c>
      <c r="I286" s="47" t="s">
        <v>787</v>
      </c>
      <c r="J286" s="6">
        <v>62</v>
      </c>
      <c r="K286" s="8" t="s">
        <v>74</v>
      </c>
      <c r="L286" s="5">
        <v>10</v>
      </c>
      <c r="P286" s="3"/>
      <c r="Q286" s="3"/>
      <c r="R286" s="3"/>
    </row>
    <row r="287" spans="1:18" x14ac:dyDescent="0.2">
      <c r="A287" s="7" t="s">
        <v>16</v>
      </c>
      <c r="B287" s="7" t="s">
        <v>17</v>
      </c>
      <c r="C287" s="7" t="s">
        <v>18</v>
      </c>
      <c r="D287" s="4">
        <v>23941593838</v>
      </c>
      <c r="E287" s="8" t="s">
        <v>104</v>
      </c>
      <c r="F287" s="8" t="s">
        <v>105</v>
      </c>
      <c r="G287" s="7" t="s">
        <v>21</v>
      </c>
      <c r="H287" s="47" t="s">
        <v>786</v>
      </c>
      <c r="I287" s="47" t="s">
        <v>787</v>
      </c>
      <c r="J287" s="6">
        <v>73</v>
      </c>
      <c r="K287" s="8" t="s">
        <v>69</v>
      </c>
      <c r="L287" s="5">
        <v>60</v>
      </c>
      <c r="P287" s="3"/>
      <c r="Q287" s="3"/>
      <c r="R287" s="3"/>
    </row>
    <row r="288" spans="1:18" x14ac:dyDescent="0.2">
      <c r="A288" s="7" t="s">
        <v>16</v>
      </c>
      <c r="B288" s="7" t="s">
        <v>17</v>
      </c>
      <c r="C288" s="7" t="s">
        <v>18</v>
      </c>
      <c r="D288" s="4">
        <v>840048000450</v>
      </c>
      <c r="E288" s="8" t="s">
        <v>106</v>
      </c>
      <c r="F288" s="8" t="s">
        <v>107</v>
      </c>
      <c r="G288" s="7" t="s">
        <v>21</v>
      </c>
      <c r="H288" s="47" t="s">
        <v>786</v>
      </c>
      <c r="I288" s="47" t="s">
        <v>787</v>
      </c>
      <c r="J288" s="6">
        <v>70</v>
      </c>
      <c r="K288" s="8" t="s">
        <v>22</v>
      </c>
      <c r="L288" s="5">
        <v>85</v>
      </c>
      <c r="P288" s="3"/>
      <c r="Q288" s="3"/>
      <c r="R288" s="3"/>
    </row>
    <row r="289" spans="1:18" x14ac:dyDescent="0.2">
      <c r="A289" s="7" t="s">
        <v>16</v>
      </c>
      <c r="B289" s="7" t="s">
        <v>55</v>
      </c>
      <c r="C289" s="7" t="s">
        <v>18</v>
      </c>
      <c r="D289" s="4">
        <v>840048000450</v>
      </c>
      <c r="E289" s="8" t="s">
        <v>106</v>
      </c>
      <c r="F289" s="8" t="s">
        <v>107</v>
      </c>
      <c r="G289" s="7" t="s">
        <v>21</v>
      </c>
      <c r="H289" s="47" t="s">
        <v>786</v>
      </c>
      <c r="I289" s="47" t="s">
        <v>787</v>
      </c>
      <c r="J289" s="6">
        <v>70</v>
      </c>
      <c r="K289" s="8" t="s">
        <v>22</v>
      </c>
      <c r="L289" s="5">
        <v>5</v>
      </c>
      <c r="P289" s="3"/>
      <c r="Q289" s="3"/>
      <c r="R289" s="3"/>
    </row>
    <row r="290" spans="1:18" x14ac:dyDescent="0.2">
      <c r="A290" s="7" t="s">
        <v>16</v>
      </c>
      <c r="B290" s="7" t="s">
        <v>17</v>
      </c>
      <c r="C290" s="7" t="s">
        <v>18</v>
      </c>
      <c r="D290" s="4">
        <v>1613433006892</v>
      </c>
      <c r="E290" s="8" t="s">
        <v>108</v>
      </c>
      <c r="F290" s="8" t="s">
        <v>109</v>
      </c>
      <c r="G290" s="7" t="s">
        <v>21</v>
      </c>
      <c r="H290" s="47" t="s">
        <v>786</v>
      </c>
      <c r="I290" s="47" t="s">
        <v>787</v>
      </c>
      <c r="J290" s="6">
        <v>70</v>
      </c>
      <c r="K290" s="8" t="s">
        <v>22</v>
      </c>
      <c r="L290" s="5">
        <v>1200</v>
      </c>
      <c r="P290" s="3"/>
      <c r="Q290" s="3"/>
      <c r="R290" s="3"/>
    </row>
    <row r="291" spans="1:18" x14ac:dyDescent="0.2">
      <c r="A291" s="7" t="s">
        <v>16</v>
      </c>
      <c r="B291" s="7" t="s">
        <v>55</v>
      </c>
      <c r="C291" s="7" t="s">
        <v>18</v>
      </c>
      <c r="D291" s="4">
        <v>1613433006892</v>
      </c>
      <c r="E291" s="8" t="s">
        <v>108</v>
      </c>
      <c r="F291" s="8" t="s">
        <v>109</v>
      </c>
      <c r="G291" s="7" t="s">
        <v>21</v>
      </c>
      <c r="H291" s="47" t="s">
        <v>786</v>
      </c>
      <c r="I291" s="47" t="s">
        <v>787</v>
      </c>
      <c r="J291" s="6">
        <v>70</v>
      </c>
      <c r="K291" s="8" t="s">
        <v>22</v>
      </c>
      <c r="L291" s="5">
        <v>450</v>
      </c>
      <c r="P291" s="3"/>
      <c r="Q291" s="3"/>
      <c r="R291" s="3"/>
    </row>
    <row r="292" spans="1:18" x14ac:dyDescent="0.2">
      <c r="A292" s="7" t="s">
        <v>16</v>
      </c>
      <c r="B292" s="7" t="s">
        <v>17</v>
      </c>
      <c r="C292" s="7" t="s">
        <v>18</v>
      </c>
      <c r="D292" s="4">
        <v>2643405000173</v>
      </c>
      <c r="E292" s="8" t="s">
        <v>110</v>
      </c>
      <c r="F292" s="8" t="s">
        <v>111</v>
      </c>
      <c r="G292" s="7" t="s">
        <v>21</v>
      </c>
      <c r="H292" s="47" t="s">
        <v>786</v>
      </c>
      <c r="I292" s="47" t="s">
        <v>787</v>
      </c>
      <c r="J292" s="6">
        <v>73</v>
      </c>
      <c r="K292" s="8" t="s">
        <v>69</v>
      </c>
      <c r="L292" s="5">
        <v>6</v>
      </c>
      <c r="P292" s="3"/>
      <c r="Q292" s="3"/>
      <c r="R292" s="3"/>
    </row>
    <row r="293" spans="1:18" x14ac:dyDescent="0.2">
      <c r="A293" s="7" t="s">
        <v>16</v>
      </c>
      <c r="B293" s="7" t="s">
        <v>55</v>
      </c>
      <c r="C293" s="7" t="s">
        <v>18</v>
      </c>
      <c r="D293" s="4">
        <v>2643405000173</v>
      </c>
      <c r="E293" s="8" t="s">
        <v>110</v>
      </c>
      <c r="F293" s="8" t="s">
        <v>111</v>
      </c>
      <c r="G293" s="7" t="s">
        <v>21</v>
      </c>
      <c r="H293" s="47" t="s">
        <v>786</v>
      </c>
      <c r="I293" s="47" t="s">
        <v>787</v>
      </c>
      <c r="J293" s="6">
        <v>73</v>
      </c>
      <c r="K293" s="8" t="s">
        <v>69</v>
      </c>
      <c r="L293" s="5">
        <v>12</v>
      </c>
      <c r="P293" s="3"/>
      <c r="Q293" s="3"/>
      <c r="R293" s="3"/>
    </row>
    <row r="294" spans="1:18" x14ac:dyDescent="0.2">
      <c r="A294" s="7" t="s">
        <v>16</v>
      </c>
      <c r="B294" s="7" t="s">
        <v>17</v>
      </c>
      <c r="C294" s="7" t="s">
        <v>18</v>
      </c>
      <c r="D294" s="4">
        <v>4275687000129</v>
      </c>
      <c r="E294" s="8" t="s">
        <v>112</v>
      </c>
      <c r="F294" s="8" t="s">
        <v>113</v>
      </c>
      <c r="G294" s="7" t="s">
        <v>21</v>
      </c>
      <c r="H294" s="47" t="s">
        <v>786</v>
      </c>
      <c r="I294" s="47" t="s">
        <v>787</v>
      </c>
      <c r="J294" s="6">
        <v>73</v>
      </c>
      <c r="K294" s="8" t="s">
        <v>69</v>
      </c>
      <c r="L294" s="5">
        <v>36</v>
      </c>
      <c r="P294" s="3"/>
      <c r="Q294" s="3"/>
      <c r="R294" s="3"/>
    </row>
    <row r="295" spans="1:18" x14ac:dyDescent="0.2">
      <c r="A295" s="7" t="s">
        <v>16</v>
      </c>
      <c r="B295" s="7" t="s">
        <v>55</v>
      </c>
      <c r="C295" s="7" t="s">
        <v>18</v>
      </c>
      <c r="D295" s="4">
        <v>4275687000129</v>
      </c>
      <c r="E295" s="8" t="s">
        <v>112</v>
      </c>
      <c r="F295" s="8" t="s">
        <v>113</v>
      </c>
      <c r="G295" s="7" t="s">
        <v>21</v>
      </c>
      <c r="H295" s="47" t="s">
        <v>786</v>
      </c>
      <c r="I295" s="47" t="s">
        <v>787</v>
      </c>
      <c r="J295" s="6">
        <v>73</v>
      </c>
      <c r="K295" s="8" t="s">
        <v>69</v>
      </c>
      <c r="L295" s="5">
        <v>15</v>
      </c>
      <c r="P295" s="3"/>
      <c r="Q295" s="3"/>
      <c r="R295" s="3"/>
    </row>
    <row r="296" spans="1:18" x14ac:dyDescent="0.2">
      <c r="A296" s="7" t="s">
        <v>16</v>
      </c>
      <c r="B296" s="7" t="s">
        <v>17</v>
      </c>
      <c r="C296" s="7" t="s">
        <v>18</v>
      </c>
      <c r="D296" s="4">
        <v>6033403000113</v>
      </c>
      <c r="E296" s="8" t="s">
        <v>114</v>
      </c>
      <c r="F296" s="8" t="s">
        <v>115</v>
      </c>
      <c r="G296" s="7" t="s">
        <v>21</v>
      </c>
      <c r="H296" s="47" t="s">
        <v>786</v>
      </c>
      <c r="I296" s="47" t="s">
        <v>787</v>
      </c>
      <c r="J296" s="6">
        <v>70</v>
      </c>
      <c r="K296" s="8" t="s">
        <v>22</v>
      </c>
      <c r="L296" s="5">
        <v>20</v>
      </c>
      <c r="P296" s="3"/>
      <c r="Q296" s="3"/>
      <c r="R296" s="3"/>
    </row>
    <row r="297" spans="1:18" x14ac:dyDescent="0.2">
      <c r="A297" s="7" t="s">
        <v>16</v>
      </c>
      <c r="B297" s="7" t="s">
        <v>17</v>
      </c>
      <c r="C297" s="7" t="s">
        <v>18</v>
      </c>
      <c r="D297" s="4">
        <v>6047087003073</v>
      </c>
      <c r="E297" s="8" t="s">
        <v>116</v>
      </c>
      <c r="F297" s="8" t="s">
        <v>117</v>
      </c>
      <c r="G297" s="7" t="s">
        <v>21</v>
      </c>
      <c r="H297" s="47" t="s">
        <v>786</v>
      </c>
      <c r="I297" s="47" t="s">
        <v>787</v>
      </c>
      <c r="J297" s="6">
        <v>66</v>
      </c>
      <c r="K297" s="8" t="s">
        <v>99</v>
      </c>
      <c r="L297" s="5">
        <v>2</v>
      </c>
      <c r="P297" s="3"/>
      <c r="Q297" s="3"/>
      <c r="R297" s="3"/>
    </row>
    <row r="298" spans="1:18" x14ac:dyDescent="0.2">
      <c r="A298" s="7" t="s">
        <v>16</v>
      </c>
      <c r="B298" s="7" t="s">
        <v>17</v>
      </c>
      <c r="C298" s="7" t="s">
        <v>18</v>
      </c>
      <c r="D298" s="4">
        <v>6047087003073</v>
      </c>
      <c r="E298" s="8" t="s">
        <v>116</v>
      </c>
      <c r="F298" s="8" t="s">
        <v>117</v>
      </c>
      <c r="G298" s="7" t="s">
        <v>21</v>
      </c>
      <c r="H298" s="47" t="s">
        <v>786</v>
      </c>
      <c r="I298" s="47" t="s">
        <v>787</v>
      </c>
      <c r="J298" s="6">
        <v>70</v>
      </c>
      <c r="K298" s="8" t="s">
        <v>22</v>
      </c>
      <c r="L298" s="5">
        <v>250</v>
      </c>
      <c r="P298" s="3"/>
      <c r="Q298" s="3"/>
      <c r="R298" s="3"/>
    </row>
    <row r="299" spans="1:18" x14ac:dyDescent="0.2">
      <c r="A299" s="7" t="s">
        <v>16</v>
      </c>
      <c r="B299" s="7" t="s">
        <v>17</v>
      </c>
      <c r="C299" s="7" t="s">
        <v>18</v>
      </c>
      <c r="D299" s="4">
        <v>6047087003073</v>
      </c>
      <c r="E299" s="8" t="s">
        <v>116</v>
      </c>
      <c r="F299" s="8" t="s">
        <v>117</v>
      </c>
      <c r="G299" s="7" t="s">
        <v>21</v>
      </c>
      <c r="H299" s="47" t="s">
        <v>786</v>
      </c>
      <c r="I299" s="47" t="s">
        <v>787</v>
      </c>
      <c r="J299" s="6">
        <v>73</v>
      </c>
      <c r="K299" s="8" t="s">
        <v>69</v>
      </c>
      <c r="L299" s="5">
        <v>48</v>
      </c>
      <c r="P299" s="3"/>
      <c r="Q299" s="3"/>
      <c r="R299" s="3"/>
    </row>
    <row r="300" spans="1:18" x14ac:dyDescent="0.2">
      <c r="A300" s="7" t="s">
        <v>16</v>
      </c>
      <c r="B300" s="7" t="s">
        <v>17</v>
      </c>
      <c r="C300" s="7" t="s">
        <v>18</v>
      </c>
      <c r="D300" s="4">
        <v>6047087007656</v>
      </c>
      <c r="E300" s="8" t="s">
        <v>118</v>
      </c>
      <c r="F300" s="8" t="s">
        <v>119</v>
      </c>
      <c r="G300" s="7" t="s">
        <v>21</v>
      </c>
      <c r="H300" s="47" t="s">
        <v>786</v>
      </c>
      <c r="I300" s="47" t="s">
        <v>787</v>
      </c>
      <c r="J300" s="6">
        <v>62</v>
      </c>
      <c r="K300" s="8" t="s">
        <v>74</v>
      </c>
      <c r="L300" s="5">
        <v>9</v>
      </c>
      <c r="P300" s="3"/>
      <c r="Q300" s="3"/>
      <c r="R300" s="3"/>
    </row>
    <row r="301" spans="1:18" x14ac:dyDescent="0.2">
      <c r="A301" s="7" t="s">
        <v>16</v>
      </c>
      <c r="B301" s="7" t="s">
        <v>17</v>
      </c>
      <c r="C301" s="7" t="s">
        <v>18</v>
      </c>
      <c r="D301" s="4">
        <v>6209132000104</v>
      </c>
      <c r="E301" s="8" t="s">
        <v>120</v>
      </c>
      <c r="F301" s="8" t="s">
        <v>121</v>
      </c>
      <c r="G301" s="7" t="s">
        <v>21</v>
      </c>
      <c r="H301" s="47" t="s">
        <v>786</v>
      </c>
      <c r="I301" s="47" t="s">
        <v>787</v>
      </c>
      <c r="J301" s="6">
        <v>70</v>
      </c>
      <c r="K301" s="8" t="s">
        <v>22</v>
      </c>
      <c r="L301" s="5">
        <v>75</v>
      </c>
      <c r="P301" s="3"/>
      <c r="Q301" s="3"/>
      <c r="R301" s="3"/>
    </row>
    <row r="302" spans="1:18" x14ac:dyDescent="0.2">
      <c r="A302" s="7" t="s">
        <v>16</v>
      </c>
      <c r="B302" s="7" t="s">
        <v>17</v>
      </c>
      <c r="C302" s="7" t="s">
        <v>18</v>
      </c>
      <c r="D302" s="4">
        <v>10447300000177</v>
      </c>
      <c r="E302" s="8" t="s">
        <v>122</v>
      </c>
      <c r="F302" s="8" t="s">
        <v>123</v>
      </c>
      <c r="G302" s="7" t="s">
        <v>21</v>
      </c>
      <c r="H302" s="47" t="s">
        <v>786</v>
      </c>
      <c r="I302" s="47" t="s">
        <v>787</v>
      </c>
      <c r="J302" s="6">
        <v>73</v>
      </c>
      <c r="K302" s="8" t="s">
        <v>69</v>
      </c>
      <c r="L302" s="5">
        <v>4</v>
      </c>
      <c r="P302" s="3"/>
      <c r="Q302" s="3"/>
      <c r="R302" s="3"/>
    </row>
    <row r="303" spans="1:18" x14ac:dyDescent="0.2">
      <c r="A303" s="7" t="s">
        <v>16</v>
      </c>
      <c r="B303" s="7" t="s">
        <v>17</v>
      </c>
      <c r="C303" s="7" t="s">
        <v>18</v>
      </c>
      <c r="D303" s="4">
        <v>13718999001041</v>
      </c>
      <c r="E303" s="8" t="s">
        <v>124</v>
      </c>
      <c r="F303" s="8" t="s">
        <v>115</v>
      </c>
      <c r="G303" s="7" t="s">
        <v>21</v>
      </c>
      <c r="H303" s="47" t="s">
        <v>786</v>
      </c>
      <c r="I303" s="47" t="s">
        <v>787</v>
      </c>
      <c r="J303" s="6">
        <v>73</v>
      </c>
      <c r="K303" s="8" t="s">
        <v>69</v>
      </c>
      <c r="L303" s="5">
        <v>4</v>
      </c>
      <c r="P303" s="3"/>
      <c r="Q303" s="3"/>
      <c r="R303" s="3"/>
    </row>
    <row r="304" spans="1:18" x14ac:dyDescent="0.2">
      <c r="A304" s="7" t="s">
        <v>16</v>
      </c>
      <c r="B304" s="7" t="s">
        <v>17</v>
      </c>
      <c r="C304" s="7" t="s">
        <v>18</v>
      </c>
      <c r="D304" s="4">
        <v>18321477000134</v>
      </c>
      <c r="E304" s="8" t="s">
        <v>125</v>
      </c>
      <c r="F304" s="8" t="s">
        <v>117</v>
      </c>
      <c r="G304" s="7" t="s">
        <v>21</v>
      </c>
      <c r="H304" s="47" t="s">
        <v>786</v>
      </c>
      <c r="I304" s="47" t="s">
        <v>787</v>
      </c>
      <c r="J304" s="6">
        <v>73</v>
      </c>
      <c r="K304" s="8" t="s">
        <v>69</v>
      </c>
      <c r="L304" s="5">
        <v>48</v>
      </c>
      <c r="P304" s="3"/>
      <c r="Q304" s="3"/>
      <c r="R304" s="3"/>
    </row>
    <row r="305" spans="1:18" x14ac:dyDescent="0.2">
      <c r="A305" s="7" t="s">
        <v>16</v>
      </c>
      <c r="B305" s="7" t="s">
        <v>17</v>
      </c>
      <c r="C305" s="7" t="s">
        <v>18</v>
      </c>
      <c r="D305" s="4">
        <v>25026561000190</v>
      </c>
      <c r="E305" s="8" t="s">
        <v>126</v>
      </c>
      <c r="F305" s="8" t="s">
        <v>127</v>
      </c>
      <c r="G305" s="7" t="s">
        <v>21</v>
      </c>
      <c r="H305" s="47" t="s">
        <v>786</v>
      </c>
      <c r="I305" s="47" t="s">
        <v>787</v>
      </c>
      <c r="J305" s="6">
        <v>70</v>
      </c>
      <c r="K305" s="8" t="s">
        <v>22</v>
      </c>
      <c r="L305" s="5">
        <v>25</v>
      </c>
      <c r="P305" s="3"/>
      <c r="Q305" s="3"/>
      <c r="R305" s="3"/>
    </row>
    <row r="306" spans="1:18" x14ac:dyDescent="0.2">
      <c r="A306" s="7" t="s">
        <v>16</v>
      </c>
      <c r="B306" s="7" t="s">
        <v>17</v>
      </c>
      <c r="C306" s="7" t="s">
        <v>18</v>
      </c>
      <c r="D306" s="4">
        <v>29435005008022</v>
      </c>
      <c r="E306" s="8" t="s">
        <v>128</v>
      </c>
      <c r="F306" s="8" t="s">
        <v>129</v>
      </c>
      <c r="G306" s="7" t="s">
        <v>21</v>
      </c>
      <c r="H306" s="47" t="s">
        <v>786</v>
      </c>
      <c r="I306" s="47" t="s">
        <v>787</v>
      </c>
      <c r="J306" s="6">
        <v>70</v>
      </c>
      <c r="K306" s="8" t="s">
        <v>22</v>
      </c>
      <c r="L306" s="5">
        <v>60</v>
      </c>
      <c r="P306" s="3"/>
      <c r="Q306" s="3"/>
      <c r="R306" s="3"/>
    </row>
    <row r="307" spans="1:18" x14ac:dyDescent="0.2">
      <c r="A307" s="7" t="s">
        <v>16</v>
      </c>
      <c r="B307" s="7" t="s">
        <v>17</v>
      </c>
      <c r="C307" s="7" t="s">
        <v>18</v>
      </c>
      <c r="D307" s="4">
        <v>29435005008294</v>
      </c>
      <c r="E307" s="8" t="s">
        <v>130</v>
      </c>
      <c r="F307" s="8" t="s">
        <v>131</v>
      </c>
      <c r="G307" s="7" t="s">
        <v>21</v>
      </c>
      <c r="H307" s="47" t="s">
        <v>786</v>
      </c>
      <c r="I307" s="47" t="s">
        <v>787</v>
      </c>
      <c r="J307" s="6">
        <v>70</v>
      </c>
      <c r="K307" s="8" t="s">
        <v>22</v>
      </c>
      <c r="L307" s="5">
        <v>245</v>
      </c>
      <c r="P307" s="3"/>
      <c r="Q307" s="3"/>
      <c r="R307" s="3"/>
    </row>
    <row r="308" spans="1:18" x14ac:dyDescent="0.2">
      <c r="A308" s="7" t="s">
        <v>16</v>
      </c>
      <c r="B308" s="7" t="s">
        <v>17</v>
      </c>
      <c r="C308" s="7" t="s">
        <v>18</v>
      </c>
      <c r="D308" s="4">
        <v>29435005008456</v>
      </c>
      <c r="E308" s="8" t="s">
        <v>132</v>
      </c>
      <c r="F308" s="8" t="s">
        <v>123</v>
      </c>
      <c r="G308" s="7" t="s">
        <v>21</v>
      </c>
      <c r="H308" s="47" t="s">
        <v>786</v>
      </c>
      <c r="I308" s="47" t="s">
        <v>787</v>
      </c>
      <c r="J308" s="6">
        <v>70</v>
      </c>
      <c r="K308" s="8" t="s">
        <v>22</v>
      </c>
      <c r="L308" s="5">
        <v>125</v>
      </c>
      <c r="P308" s="3"/>
      <c r="Q308" s="3"/>
      <c r="R308" s="3"/>
    </row>
    <row r="309" spans="1:18" x14ac:dyDescent="0.2">
      <c r="A309" s="7" t="s">
        <v>16</v>
      </c>
      <c r="B309" s="7" t="s">
        <v>17</v>
      </c>
      <c r="C309" s="7" t="s">
        <v>18</v>
      </c>
      <c r="D309" s="4">
        <v>43293604002120</v>
      </c>
      <c r="E309" s="8" t="s">
        <v>133</v>
      </c>
      <c r="F309" s="8" t="s">
        <v>134</v>
      </c>
      <c r="G309" s="7" t="s">
        <v>21</v>
      </c>
      <c r="H309" s="47" t="s">
        <v>786</v>
      </c>
      <c r="I309" s="47" t="s">
        <v>787</v>
      </c>
      <c r="J309" s="6">
        <v>70</v>
      </c>
      <c r="K309" s="8" t="s">
        <v>22</v>
      </c>
      <c r="L309" s="5">
        <v>120</v>
      </c>
      <c r="P309" s="3"/>
      <c r="Q309" s="3"/>
      <c r="R309" s="3"/>
    </row>
    <row r="310" spans="1:18" x14ac:dyDescent="0.2">
      <c r="A310" s="7" t="s">
        <v>16</v>
      </c>
      <c r="B310" s="7" t="s">
        <v>17</v>
      </c>
      <c r="C310" s="7" t="s">
        <v>18</v>
      </c>
      <c r="D310" s="4">
        <v>44456036000311</v>
      </c>
      <c r="E310" s="8" t="s">
        <v>135</v>
      </c>
      <c r="F310" s="8" t="s">
        <v>136</v>
      </c>
      <c r="G310" s="7" t="s">
        <v>21</v>
      </c>
      <c r="H310" s="47" t="s">
        <v>786</v>
      </c>
      <c r="I310" s="47" t="s">
        <v>787</v>
      </c>
      <c r="J310" s="6">
        <v>62</v>
      </c>
      <c r="K310" s="8" t="s">
        <v>74</v>
      </c>
      <c r="L310" s="5">
        <v>8</v>
      </c>
      <c r="P310" s="3"/>
      <c r="Q310" s="3"/>
      <c r="R310" s="3"/>
    </row>
    <row r="311" spans="1:18" x14ac:dyDescent="0.2">
      <c r="A311" s="7" t="s">
        <v>16</v>
      </c>
      <c r="B311" s="7" t="s">
        <v>17</v>
      </c>
      <c r="C311" s="7" t="s">
        <v>18</v>
      </c>
      <c r="D311" s="4">
        <v>44456036000311</v>
      </c>
      <c r="E311" s="8" t="s">
        <v>135</v>
      </c>
      <c r="F311" s="8" t="s">
        <v>136</v>
      </c>
      <c r="G311" s="7" t="s">
        <v>21</v>
      </c>
      <c r="H311" s="47" t="s">
        <v>786</v>
      </c>
      <c r="I311" s="47" t="s">
        <v>787</v>
      </c>
      <c r="J311" s="6">
        <v>64</v>
      </c>
      <c r="K311" s="8" t="s">
        <v>68</v>
      </c>
      <c r="L311" s="5">
        <v>2</v>
      </c>
      <c r="P311" s="3"/>
      <c r="Q311" s="3"/>
      <c r="R311" s="3"/>
    </row>
    <row r="312" spans="1:18" x14ac:dyDescent="0.2">
      <c r="A312" s="7" t="s">
        <v>16</v>
      </c>
      <c r="B312" s="7" t="s">
        <v>17</v>
      </c>
      <c r="C312" s="7" t="s">
        <v>18</v>
      </c>
      <c r="D312" s="4">
        <v>44531788000138</v>
      </c>
      <c r="E312" s="8" t="s">
        <v>137</v>
      </c>
      <c r="F312" s="8" t="s">
        <v>138</v>
      </c>
      <c r="G312" s="7" t="s">
        <v>21</v>
      </c>
      <c r="H312" s="47" t="s">
        <v>786</v>
      </c>
      <c r="I312" s="47" t="s">
        <v>787</v>
      </c>
      <c r="J312" s="6">
        <v>73</v>
      </c>
      <c r="K312" s="8" t="s">
        <v>69</v>
      </c>
      <c r="L312" s="5">
        <v>120</v>
      </c>
      <c r="P312" s="3"/>
      <c r="Q312" s="3"/>
      <c r="R312" s="3"/>
    </row>
    <row r="313" spans="1:18" x14ac:dyDescent="0.2">
      <c r="A313" s="7" t="s">
        <v>16</v>
      </c>
      <c r="B313" s="7" t="s">
        <v>17</v>
      </c>
      <c r="C313" s="7" t="s">
        <v>18</v>
      </c>
      <c r="D313" s="4">
        <v>44649812019238</v>
      </c>
      <c r="E313" s="8" t="s">
        <v>139</v>
      </c>
      <c r="F313" s="8" t="s">
        <v>123</v>
      </c>
      <c r="G313" s="7" t="s">
        <v>21</v>
      </c>
      <c r="H313" s="47" t="s">
        <v>786</v>
      </c>
      <c r="I313" s="47" t="s">
        <v>787</v>
      </c>
      <c r="J313" s="6">
        <v>73</v>
      </c>
      <c r="K313" s="8" t="s">
        <v>69</v>
      </c>
      <c r="L313" s="5">
        <v>8</v>
      </c>
      <c r="P313" s="3"/>
      <c r="Q313" s="3"/>
      <c r="R313" s="3"/>
    </row>
    <row r="314" spans="1:18" x14ac:dyDescent="0.2">
      <c r="A314" s="7" t="s">
        <v>16</v>
      </c>
      <c r="B314" s="7" t="s">
        <v>17</v>
      </c>
      <c r="C314" s="7" t="s">
        <v>18</v>
      </c>
      <c r="D314" s="4">
        <v>44663631000590</v>
      </c>
      <c r="E314" s="8" t="s">
        <v>140</v>
      </c>
      <c r="F314" s="8" t="s">
        <v>141</v>
      </c>
      <c r="G314" s="7" t="s">
        <v>21</v>
      </c>
      <c r="H314" s="47" t="s">
        <v>786</v>
      </c>
      <c r="I314" s="47" t="s">
        <v>787</v>
      </c>
      <c r="J314" s="6">
        <v>70</v>
      </c>
      <c r="K314" s="8" t="s">
        <v>22</v>
      </c>
      <c r="L314" s="5">
        <v>225</v>
      </c>
      <c r="P314" s="3"/>
      <c r="Q314" s="3"/>
      <c r="R314" s="3"/>
    </row>
    <row r="315" spans="1:18" x14ac:dyDescent="0.2">
      <c r="A315" s="7" t="s">
        <v>16</v>
      </c>
      <c r="B315" s="7" t="s">
        <v>17</v>
      </c>
      <c r="C315" s="7" t="s">
        <v>18</v>
      </c>
      <c r="D315" s="4">
        <v>44663631000590</v>
      </c>
      <c r="E315" s="8" t="s">
        <v>140</v>
      </c>
      <c r="F315" s="8" t="s">
        <v>141</v>
      </c>
      <c r="G315" s="7" t="s">
        <v>21</v>
      </c>
      <c r="H315" s="47" t="s">
        <v>786</v>
      </c>
      <c r="I315" s="47" t="s">
        <v>787</v>
      </c>
      <c r="J315" s="6">
        <v>73</v>
      </c>
      <c r="K315" s="8" t="s">
        <v>69</v>
      </c>
      <c r="L315" s="5">
        <v>32</v>
      </c>
      <c r="P315" s="3"/>
      <c r="Q315" s="3"/>
      <c r="R315" s="3"/>
    </row>
    <row r="316" spans="1:18" x14ac:dyDescent="0.2">
      <c r="A316" s="7" t="s">
        <v>16</v>
      </c>
      <c r="B316" s="7" t="s">
        <v>17</v>
      </c>
      <c r="C316" s="7" t="s">
        <v>18</v>
      </c>
      <c r="D316" s="4">
        <v>44803922000293</v>
      </c>
      <c r="E316" s="8" t="s">
        <v>142</v>
      </c>
      <c r="F316" s="8" t="s">
        <v>143</v>
      </c>
      <c r="G316" s="7" t="s">
        <v>21</v>
      </c>
      <c r="H316" s="47" t="s">
        <v>786</v>
      </c>
      <c r="I316" s="47" t="s">
        <v>787</v>
      </c>
      <c r="J316" s="6">
        <v>73</v>
      </c>
      <c r="K316" s="8" t="s">
        <v>69</v>
      </c>
      <c r="L316" s="5">
        <v>6</v>
      </c>
      <c r="P316" s="3"/>
      <c r="Q316" s="3"/>
      <c r="R316" s="3"/>
    </row>
    <row r="317" spans="1:18" x14ac:dyDescent="0.2">
      <c r="A317" s="7" t="s">
        <v>16</v>
      </c>
      <c r="B317" s="7" t="s">
        <v>17</v>
      </c>
      <c r="C317" s="7" t="s">
        <v>18</v>
      </c>
      <c r="D317" s="4">
        <v>45118429001279</v>
      </c>
      <c r="E317" s="8" t="s">
        <v>144</v>
      </c>
      <c r="F317" s="8" t="s">
        <v>145</v>
      </c>
      <c r="G317" s="7" t="s">
        <v>21</v>
      </c>
      <c r="H317" s="47" t="s">
        <v>786</v>
      </c>
      <c r="I317" s="47" t="s">
        <v>787</v>
      </c>
      <c r="J317" s="6">
        <v>70</v>
      </c>
      <c r="K317" s="8" t="s">
        <v>22</v>
      </c>
      <c r="L317" s="5">
        <v>100</v>
      </c>
      <c r="P317" s="3"/>
      <c r="Q317" s="3"/>
      <c r="R317" s="3"/>
    </row>
    <row r="318" spans="1:18" x14ac:dyDescent="0.2">
      <c r="A318" s="7" t="s">
        <v>16</v>
      </c>
      <c r="B318" s="7" t="s">
        <v>17</v>
      </c>
      <c r="C318" s="7" t="s">
        <v>18</v>
      </c>
      <c r="D318" s="4">
        <v>45118429001279</v>
      </c>
      <c r="E318" s="8" t="s">
        <v>144</v>
      </c>
      <c r="F318" s="8" t="s">
        <v>145</v>
      </c>
      <c r="G318" s="7" t="s">
        <v>21</v>
      </c>
      <c r="H318" s="47" t="s">
        <v>786</v>
      </c>
      <c r="I318" s="47" t="s">
        <v>787</v>
      </c>
      <c r="J318" s="6">
        <v>73</v>
      </c>
      <c r="K318" s="8" t="s">
        <v>69</v>
      </c>
      <c r="L318" s="5">
        <v>12</v>
      </c>
      <c r="P318" s="3"/>
      <c r="Q318" s="3"/>
      <c r="R318" s="3"/>
    </row>
    <row r="319" spans="1:18" x14ac:dyDescent="0.2">
      <c r="A319" s="7" t="s">
        <v>16</v>
      </c>
      <c r="B319" s="7" t="s">
        <v>17</v>
      </c>
      <c r="C319" s="7" t="s">
        <v>18</v>
      </c>
      <c r="D319" s="4">
        <v>45184066000117</v>
      </c>
      <c r="E319" s="8" t="s">
        <v>146</v>
      </c>
      <c r="F319" s="8" t="s">
        <v>117</v>
      </c>
      <c r="G319" s="7" t="s">
        <v>21</v>
      </c>
      <c r="H319" s="47" t="s">
        <v>786</v>
      </c>
      <c r="I319" s="47" t="s">
        <v>787</v>
      </c>
      <c r="J319" s="6">
        <v>73</v>
      </c>
      <c r="K319" s="8" t="s">
        <v>69</v>
      </c>
      <c r="L319" s="5">
        <v>14</v>
      </c>
      <c r="P319" s="3"/>
      <c r="Q319" s="3"/>
      <c r="R319" s="3"/>
    </row>
    <row r="320" spans="1:18" x14ac:dyDescent="0.2">
      <c r="A320" s="7" t="s">
        <v>16</v>
      </c>
      <c r="B320" s="7" t="s">
        <v>17</v>
      </c>
      <c r="C320" s="7" t="s">
        <v>18</v>
      </c>
      <c r="D320" s="4">
        <v>45232246000550</v>
      </c>
      <c r="E320" s="8" t="s">
        <v>147</v>
      </c>
      <c r="F320" s="8" t="s">
        <v>109</v>
      </c>
      <c r="G320" s="7" t="s">
        <v>21</v>
      </c>
      <c r="H320" s="47" t="s">
        <v>786</v>
      </c>
      <c r="I320" s="47" t="s">
        <v>787</v>
      </c>
      <c r="J320" s="6">
        <v>70</v>
      </c>
      <c r="K320" s="8" t="s">
        <v>22</v>
      </c>
      <c r="L320" s="5">
        <v>235</v>
      </c>
      <c r="P320" s="3"/>
      <c r="Q320" s="3"/>
      <c r="R320" s="3"/>
    </row>
    <row r="321" spans="1:18" x14ac:dyDescent="0.2">
      <c r="A321" s="7" t="s">
        <v>16</v>
      </c>
      <c r="B321" s="7" t="s">
        <v>17</v>
      </c>
      <c r="C321" s="7" t="s">
        <v>18</v>
      </c>
      <c r="D321" s="4">
        <v>45232246000550</v>
      </c>
      <c r="E321" s="8" t="s">
        <v>147</v>
      </c>
      <c r="F321" s="8" t="s">
        <v>109</v>
      </c>
      <c r="G321" s="7" t="s">
        <v>21</v>
      </c>
      <c r="H321" s="47" t="s">
        <v>786</v>
      </c>
      <c r="I321" s="47" t="s">
        <v>787</v>
      </c>
      <c r="J321" s="6">
        <v>73</v>
      </c>
      <c r="K321" s="8" t="s">
        <v>69</v>
      </c>
      <c r="L321" s="5">
        <v>35</v>
      </c>
      <c r="P321" s="3"/>
      <c r="Q321" s="3"/>
      <c r="R321" s="3"/>
    </row>
    <row r="322" spans="1:18" x14ac:dyDescent="0.2">
      <c r="A322" s="7" t="s">
        <v>16</v>
      </c>
      <c r="B322" s="7" t="s">
        <v>17</v>
      </c>
      <c r="C322" s="7" t="s">
        <v>18</v>
      </c>
      <c r="D322" s="4">
        <v>45359213000576</v>
      </c>
      <c r="E322" s="8" t="s">
        <v>148</v>
      </c>
      <c r="F322" s="8" t="s">
        <v>149</v>
      </c>
      <c r="G322" s="7" t="s">
        <v>21</v>
      </c>
      <c r="H322" s="47" t="s">
        <v>786</v>
      </c>
      <c r="I322" s="47" t="s">
        <v>787</v>
      </c>
      <c r="J322" s="6">
        <v>73</v>
      </c>
      <c r="K322" s="8" t="s">
        <v>69</v>
      </c>
      <c r="L322" s="5">
        <v>40</v>
      </c>
      <c r="P322" s="3"/>
      <c r="Q322" s="3"/>
      <c r="R322" s="3"/>
    </row>
    <row r="323" spans="1:18" x14ac:dyDescent="0.2">
      <c r="A323" s="7" t="s">
        <v>16</v>
      </c>
      <c r="B323" s="7" t="s">
        <v>17</v>
      </c>
      <c r="C323" s="7" t="s">
        <v>18</v>
      </c>
      <c r="D323" s="4">
        <v>45399961000230</v>
      </c>
      <c r="E323" s="8" t="s">
        <v>150</v>
      </c>
      <c r="F323" s="8" t="s">
        <v>151</v>
      </c>
      <c r="G323" s="7" t="s">
        <v>21</v>
      </c>
      <c r="H323" s="47" t="s">
        <v>786</v>
      </c>
      <c r="I323" s="47" t="s">
        <v>787</v>
      </c>
      <c r="J323" s="6">
        <v>70</v>
      </c>
      <c r="K323" s="8" t="s">
        <v>22</v>
      </c>
      <c r="L323" s="5">
        <v>725</v>
      </c>
      <c r="P323" s="3"/>
      <c r="Q323" s="3"/>
      <c r="R323" s="3"/>
    </row>
    <row r="324" spans="1:18" x14ac:dyDescent="0.2">
      <c r="A324" s="7" t="s">
        <v>16</v>
      </c>
      <c r="B324" s="7" t="s">
        <v>17</v>
      </c>
      <c r="C324" s="7" t="s">
        <v>18</v>
      </c>
      <c r="D324" s="4">
        <v>45780103000150</v>
      </c>
      <c r="E324" s="8" t="s">
        <v>152</v>
      </c>
      <c r="F324" s="8" t="s">
        <v>153</v>
      </c>
      <c r="G324" s="7" t="s">
        <v>21</v>
      </c>
      <c r="H324" s="47" t="s">
        <v>786</v>
      </c>
      <c r="I324" s="47" t="s">
        <v>787</v>
      </c>
      <c r="J324" s="6">
        <v>70</v>
      </c>
      <c r="K324" s="8" t="s">
        <v>22</v>
      </c>
      <c r="L324" s="5">
        <v>730</v>
      </c>
      <c r="P324" s="3"/>
      <c r="Q324" s="3"/>
      <c r="R324" s="3"/>
    </row>
    <row r="325" spans="1:18" x14ac:dyDescent="0.2">
      <c r="A325" s="7" t="s">
        <v>16</v>
      </c>
      <c r="B325" s="7" t="s">
        <v>17</v>
      </c>
      <c r="C325" s="7" t="s">
        <v>18</v>
      </c>
      <c r="D325" s="4">
        <v>46009718000140</v>
      </c>
      <c r="E325" s="8" t="s">
        <v>154</v>
      </c>
      <c r="F325" s="8" t="s">
        <v>123</v>
      </c>
      <c r="G325" s="7" t="s">
        <v>21</v>
      </c>
      <c r="H325" s="47" t="s">
        <v>786</v>
      </c>
      <c r="I325" s="47" t="s">
        <v>787</v>
      </c>
      <c r="J325" s="6">
        <v>70</v>
      </c>
      <c r="K325" s="8" t="s">
        <v>22</v>
      </c>
      <c r="L325" s="5">
        <v>860</v>
      </c>
      <c r="P325" s="3"/>
      <c r="Q325" s="3"/>
      <c r="R325" s="3"/>
    </row>
    <row r="326" spans="1:18" x14ac:dyDescent="0.2">
      <c r="A326" s="7" t="s">
        <v>16</v>
      </c>
      <c r="B326" s="7" t="s">
        <v>17</v>
      </c>
      <c r="C326" s="7" t="s">
        <v>18</v>
      </c>
      <c r="D326" s="4">
        <v>46009718000140</v>
      </c>
      <c r="E326" s="8" t="s">
        <v>154</v>
      </c>
      <c r="F326" s="8" t="s">
        <v>123</v>
      </c>
      <c r="G326" s="7" t="s">
        <v>21</v>
      </c>
      <c r="H326" s="47" t="s">
        <v>786</v>
      </c>
      <c r="I326" s="47" t="s">
        <v>787</v>
      </c>
      <c r="J326" s="6">
        <v>73</v>
      </c>
      <c r="K326" s="8" t="s">
        <v>69</v>
      </c>
      <c r="L326" s="5">
        <v>34</v>
      </c>
      <c r="P326" s="3"/>
      <c r="Q326" s="3"/>
      <c r="R326" s="3"/>
    </row>
    <row r="327" spans="1:18" x14ac:dyDescent="0.2">
      <c r="A327" s="7" t="s">
        <v>16</v>
      </c>
      <c r="B327" s="7" t="s">
        <v>17</v>
      </c>
      <c r="C327" s="7" t="s">
        <v>18</v>
      </c>
      <c r="D327" s="4">
        <v>46020301000269</v>
      </c>
      <c r="E327" s="8" t="s">
        <v>155</v>
      </c>
      <c r="F327" s="8" t="s">
        <v>123</v>
      </c>
      <c r="G327" s="7" t="s">
        <v>21</v>
      </c>
      <c r="H327" s="47" t="s">
        <v>786</v>
      </c>
      <c r="I327" s="47" t="s">
        <v>787</v>
      </c>
      <c r="J327" s="6">
        <v>73</v>
      </c>
      <c r="K327" s="8" t="s">
        <v>69</v>
      </c>
      <c r="L327" s="5">
        <v>50</v>
      </c>
      <c r="P327" s="3"/>
      <c r="Q327" s="3"/>
      <c r="R327" s="3"/>
    </row>
    <row r="328" spans="1:18" x14ac:dyDescent="0.2">
      <c r="A328" s="7" t="s">
        <v>16</v>
      </c>
      <c r="B328" s="7" t="s">
        <v>17</v>
      </c>
      <c r="C328" s="7" t="s">
        <v>18</v>
      </c>
      <c r="D328" s="4">
        <v>46124624000111</v>
      </c>
      <c r="E328" s="8" t="s">
        <v>156</v>
      </c>
      <c r="F328" s="8" t="s">
        <v>123</v>
      </c>
      <c r="G328" s="7" t="s">
        <v>21</v>
      </c>
      <c r="H328" s="47" t="s">
        <v>786</v>
      </c>
      <c r="I328" s="47" t="s">
        <v>787</v>
      </c>
      <c r="J328" s="6">
        <v>70</v>
      </c>
      <c r="K328" s="8" t="s">
        <v>22</v>
      </c>
      <c r="L328" s="5">
        <v>545</v>
      </c>
      <c r="P328" s="3"/>
      <c r="Q328" s="3"/>
      <c r="R328" s="3"/>
    </row>
    <row r="329" spans="1:18" x14ac:dyDescent="0.2">
      <c r="A329" s="7" t="s">
        <v>16</v>
      </c>
      <c r="B329" s="7" t="s">
        <v>17</v>
      </c>
      <c r="C329" s="7" t="s">
        <v>18</v>
      </c>
      <c r="D329" s="4">
        <v>46124624000111</v>
      </c>
      <c r="E329" s="8" t="s">
        <v>156</v>
      </c>
      <c r="F329" s="8" t="s">
        <v>123</v>
      </c>
      <c r="G329" s="7" t="s">
        <v>21</v>
      </c>
      <c r="H329" s="47" t="s">
        <v>786</v>
      </c>
      <c r="I329" s="47" t="s">
        <v>787</v>
      </c>
      <c r="J329" s="6">
        <v>73</v>
      </c>
      <c r="K329" s="8" t="s">
        <v>69</v>
      </c>
      <c r="L329" s="5">
        <v>208</v>
      </c>
      <c r="P329" s="3"/>
      <c r="Q329" s="3"/>
      <c r="R329" s="3"/>
    </row>
    <row r="330" spans="1:18" x14ac:dyDescent="0.2">
      <c r="A330" s="7" t="s">
        <v>16</v>
      </c>
      <c r="B330" s="7" t="s">
        <v>17</v>
      </c>
      <c r="C330" s="7" t="s">
        <v>18</v>
      </c>
      <c r="D330" s="4">
        <v>46124624002599</v>
      </c>
      <c r="E330" s="8" t="s">
        <v>157</v>
      </c>
      <c r="F330" s="8" t="s">
        <v>158</v>
      </c>
      <c r="G330" s="7" t="s">
        <v>21</v>
      </c>
      <c r="H330" s="47" t="s">
        <v>786</v>
      </c>
      <c r="I330" s="47" t="s">
        <v>787</v>
      </c>
      <c r="J330" s="6">
        <v>70</v>
      </c>
      <c r="K330" s="8" t="s">
        <v>22</v>
      </c>
      <c r="L330" s="5">
        <v>400</v>
      </c>
      <c r="P330" s="3"/>
      <c r="Q330" s="3"/>
      <c r="R330" s="3"/>
    </row>
    <row r="331" spans="1:18" x14ac:dyDescent="0.2">
      <c r="A331" s="7" t="s">
        <v>16</v>
      </c>
      <c r="B331" s="7" t="s">
        <v>17</v>
      </c>
      <c r="C331" s="7" t="s">
        <v>18</v>
      </c>
      <c r="D331" s="4">
        <v>46124624002599</v>
      </c>
      <c r="E331" s="8" t="s">
        <v>157</v>
      </c>
      <c r="F331" s="8" t="s">
        <v>158</v>
      </c>
      <c r="G331" s="7" t="s">
        <v>21</v>
      </c>
      <c r="H331" s="47" t="s">
        <v>786</v>
      </c>
      <c r="I331" s="47" t="s">
        <v>787</v>
      </c>
      <c r="J331" s="6">
        <v>73</v>
      </c>
      <c r="K331" s="8" t="s">
        <v>69</v>
      </c>
      <c r="L331" s="5">
        <v>120</v>
      </c>
      <c r="P331" s="3"/>
      <c r="Q331" s="3"/>
      <c r="R331" s="3"/>
    </row>
    <row r="332" spans="1:18" x14ac:dyDescent="0.2">
      <c r="A332" s="7" t="s">
        <v>16</v>
      </c>
      <c r="B332" s="7" t="s">
        <v>17</v>
      </c>
      <c r="C332" s="7" t="s">
        <v>18</v>
      </c>
      <c r="D332" s="4">
        <v>46374500003533</v>
      </c>
      <c r="E332" s="8" t="s">
        <v>159</v>
      </c>
      <c r="F332" s="8" t="s">
        <v>109</v>
      </c>
      <c r="G332" s="7" t="s">
        <v>21</v>
      </c>
      <c r="H332" s="47" t="s">
        <v>786</v>
      </c>
      <c r="I332" s="47" t="s">
        <v>787</v>
      </c>
      <c r="J332" s="6">
        <v>70</v>
      </c>
      <c r="K332" s="8" t="s">
        <v>22</v>
      </c>
      <c r="L332" s="5">
        <v>1000</v>
      </c>
      <c r="P332" s="3"/>
      <c r="Q332" s="3"/>
      <c r="R332" s="3"/>
    </row>
    <row r="333" spans="1:18" x14ac:dyDescent="0.2">
      <c r="A333" s="7" t="s">
        <v>16</v>
      </c>
      <c r="B333" s="7" t="s">
        <v>17</v>
      </c>
      <c r="C333" s="7" t="s">
        <v>18</v>
      </c>
      <c r="D333" s="4">
        <v>47074851000819</v>
      </c>
      <c r="E333" s="8" t="s">
        <v>160</v>
      </c>
      <c r="F333" s="8" t="s">
        <v>145</v>
      </c>
      <c r="G333" s="7" t="s">
        <v>21</v>
      </c>
      <c r="H333" s="47" t="s">
        <v>786</v>
      </c>
      <c r="I333" s="47" t="s">
        <v>787</v>
      </c>
      <c r="J333" s="6">
        <v>70</v>
      </c>
      <c r="K333" s="8" t="s">
        <v>22</v>
      </c>
      <c r="L333" s="5">
        <v>40</v>
      </c>
      <c r="P333" s="3"/>
      <c r="Q333" s="3"/>
      <c r="R333" s="3"/>
    </row>
    <row r="334" spans="1:18" x14ac:dyDescent="0.2">
      <c r="A334" s="7" t="s">
        <v>16</v>
      </c>
      <c r="B334" s="7" t="s">
        <v>17</v>
      </c>
      <c r="C334" s="7" t="s">
        <v>18</v>
      </c>
      <c r="D334" s="4">
        <v>47074851000819</v>
      </c>
      <c r="E334" s="8" t="s">
        <v>160</v>
      </c>
      <c r="F334" s="8" t="s">
        <v>145</v>
      </c>
      <c r="G334" s="7" t="s">
        <v>21</v>
      </c>
      <c r="H334" s="47" t="s">
        <v>786</v>
      </c>
      <c r="I334" s="47" t="s">
        <v>787</v>
      </c>
      <c r="J334" s="6">
        <v>73</v>
      </c>
      <c r="K334" s="8" t="s">
        <v>69</v>
      </c>
      <c r="L334" s="5">
        <v>12</v>
      </c>
      <c r="P334" s="3"/>
      <c r="Q334" s="3"/>
      <c r="R334" s="3"/>
    </row>
    <row r="335" spans="1:18" x14ac:dyDescent="0.2">
      <c r="A335" s="7" t="s">
        <v>16</v>
      </c>
      <c r="B335" s="7" t="s">
        <v>17</v>
      </c>
      <c r="C335" s="7" t="s">
        <v>18</v>
      </c>
      <c r="D335" s="4">
        <v>48468284000171</v>
      </c>
      <c r="E335" s="8" t="s">
        <v>161</v>
      </c>
      <c r="F335" s="8" t="s">
        <v>162</v>
      </c>
      <c r="G335" s="7" t="s">
        <v>21</v>
      </c>
      <c r="H335" s="47" t="s">
        <v>786</v>
      </c>
      <c r="I335" s="47" t="s">
        <v>787</v>
      </c>
      <c r="J335" s="6">
        <v>70</v>
      </c>
      <c r="K335" s="8" t="s">
        <v>22</v>
      </c>
      <c r="L335" s="5">
        <v>100</v>
      </c>
      <c r="P335" s="3"/>
      <c r="Q335" s="3"/>
      <c r="R335" s="3"/>
    </row>
    <row r="336" spans="1:18" x14ac:dyDescent="0.2">
      <c r="A336" s="7" t="s">
        <v>16</v>
      </c>
      <c r="B336" s="7" t="s">
        <v>17</v>
      </c>
      <c r="C336" s="7" t="s">
        <v>18</v>
      </c>
      <c r="D336" s="4">
        <v>50486026000160</v>
      </c>
      <c r="E336" s="8" t="s">
        <v>163</v>
      </c>
      <c r="F336" s="8" t="s">
        <v>164</v>
      </c>
      <c r="G336" s="7" t="s">
        <v>21</v>
      </c>
      <c r="H336" s="47" t="s">
        <v>786</v>
      </c>
      <c r="I336" s="47" t="s">
        <v>787</v>
      </c>
      <c r="J336" s="6">
        <v>70</v>
      </c>
      <c r="K336" s="8" t="s">
        <v>22</v>
      </c>
      <c r="L336" s="5">
        <v>100</v>
      </c>
      <c r="P336" s="3"/>
      <c r="Q336" s="3"/>
      <c r="R336" s="3"/>
    </row>
    <row r="337" spans="1:18" x14ac:dyDescent="0.2">
      <c r="A337" s="7" t="s">
        <v>16</v>
      </c>
      <c r="B337" s="7" t="s">
        <v>17</v>
      </c>
      <c r="C337" s="7" t="s">
        <v>18</v>
      </c>
      <c r="D337" s="4">
        <v>51877926000109</v>
      </c>
      <c r="E337" s="8" t="s">
        <v>165</v>
      </c>
      <c r="F337" s="8" t="s">
        <v>123</v>
      </c>
      <c r="G337" s="7" t="s">
        <v>21</v>
      </c>
      <c r="H337" s="47" t="s">
        <v>786</v>
      </c>
      <c r="I337" s="47" t="s">
        <v>787</v>
      </c>
      <c r="J337" s="6">
        <v>70</v>
      </c>
      <c r="K337" s="8" t="s">
        <v>22</v>
      </c>
      <c r="L337" s="5">
        <v>165</v>
      </c>
      <c r="P337" s="3"/>
      <c r="Q337" s="3"/>
      <c r="R337" s="3"/>
    </row>
    <row r="338" spans="1:18" x14ac:dyDescent="0.2">
      <c r="A338" s="7" t="s">
        <v>16</v>
      </c>
      <c r="B338" s="7" t="s">
        <v>17</v>
      </c>
      <c r="C338" s="7" t="s">
        <v>18</v>
      </c>
      <c r="D338" s="4">
        <v>51885242000140</v>
      </c>
      <c r="E338" s="8" t="s">
        <v>166</v>
      </c>
      <c r="F338" s="8" t="s">
        <v>123</v>
      </c>
      <c r="G338" s="7" t="s">
        <v>21</v>
      </c>
      <c r="H338" s="47" t="s">
        <v>786</v>
      </c>
      <c r="I338" s="47" t="s">
        <v>787</v>
      </c>
      <c r="J338" s="6">
        <v>73</v>
      </c>
      <c r="K338" s="8" t="s">
        <v>69</v>
      </c>
      <c r="L338" s="5">
        <v>240</v>
      </c>
      <c r="P338" s="3"/>
      <c r="Q338" s="3"/>
      <c r="R338" s="3"/>
    </row>
    <row r="339" spans="1:18" x14ac:dyDescent="0.2">
      <c r="A339" s="7" t="s">
        <v>16</v>
      </c>
      <c r="B339" s="7" t="s">
        <v>17</v>
      </c>
      <c r="C339" s="7" t="s">
        <v>18</v>
      </c>
      <c r="D339" s="4">
        <v>54012406000385</v>
      </c>
      <c r="E339" s="8" t="s">
        <v>167</v>
      </c>
      <c r="F339" s="8" t="s">
        <v>168</v>
      </c>
      <c r="G339" s="7" t="s">
        <v>21</v>
      </c>
      <c r="H339" s="47" t="s">
        <v>786</v>
      </c>
      <c r="I339" s="47" t="s">
        <v>787</v>
      </c>
      <c r="J339" s="6">
        <v>70</v>
      </c>
      <c r="K339" s="8" t="s">
        <v>22</v>
      </c>
      <c r="L339" s="5">
        <v>70</v>
      </c>
      <c r="P339" s="3"/>
      <c r="Q339" s="3"/>
      <c r="R339" s="3"/>
    </row>
    <row r="340" spans="1:18" x14ac:dyDescent="0.2">
      <c r="A340" s="7" t="s">
        <v>16</v>
      </c>
      <c r="B340" s="7" t="s">
        <v>17</v>
      </c>
      <c r="C340" s="7" t="s">
        <v>18</v>
      </c>
      <c r="D340" s="4">
        <v>55980148000121</v>
      </c>
      <c r="E340" s="8" t="s">
        <v>169</v>
      </c>
      <c r="F340" s="8" t="s">
        <v>109</v>
      </c>
      <c r="G340" s="7" t="s">
        <v>21</v>
      </c>
      <c r="H340" s="47" t="s">
        <v>786</v>
      </c>
      <c r="I340" s="47" t="s">
        <v>787</v>
      </c>
      <c r="J340" s="6">
        <v>73</v>
      </c>
      <c r="K340" s="8" t="s">
        <v>69</v>
      </c>
      <c r="L340" s="5">
        <v>1</v>
      </c>
      <c r="P340" s="3"/>
      <c r="Q340" s="3"/>
      <c r="R340" s="3"/>
    </row>
    <row r="341" spans="1:18" x14ac:dyDescent="0.2">
      <c r="A341" s="7" t="s">
        <v>16</v>
      </c>
      <c r="B341" s="7" t="s">
        <v>17</v>
      </c>
      <c r="C341" s="7" t="s">
        <v>18</v>
      </c>
      <c r="D341" s="4">
        <v>57722118000302</v>
      </c>
      <c r="E341" s="8" t="s">
        <v>170</v>
      </c>
      <c r="F341" s="8" t="s">
        <v>109</v>
      </c>
      <c r="G341" s="7" t="s">
        <v>21</v>
      </c>
      <c r="H341" s="47" t="s">
        <v>786</v>
      </c>
      <c r="I341" s="47" t="s">
        <v>787</v>
      </c>
      <c r="J341" s="6">
        <v>70</v>
      </c>
      <c r="K341" s="8" t="s">
        <v>22</v>
      </c>
      <c r="L341" s="5">
        <v>1650</v>
      </c>
      <c r="P341" s="3"/>
      <c r="Q341" s="3"/>
      <c r="R341" s="3"/>
    </row>
    <row r="342" spans="1:18" x14ac:dyDescent="0.2">
      <c r="A342" s="7" t="s">
        <v>16</v>
      </c>
      <c r="B342" s="7" t="s">
        <v>17</v>
      </c>
      <c r="C342" s="7" t="s">
        <v>18</v>
      </c>
      <c r="D342" s="4">
        <v>58229691001070</v>
      </c>
      <c r="E342" s="8" t="s">
        <v>171</v>
      </c>
      <c r="F342" s="8" t="s">
        <v>129</v>
      </c>
      <c r="G342" s="7" t="s">
        <v>21</v>
      </c>
      <c r="H342" s="47" t="s">
        <v>786</v>
      </c>
      <c r="I342" s="47" t="s">
        <v>787</v>
      </c>
      <c r="J342" s="6">
        <v>73</v>
      </c>
      <c r="K342" s="8" t="s">
        <v>69</v>
      </c>
      <c r="L342" s="5">
        <v>48</v>
      </c>
      <c r="P342" s="3"/>
      <c r="Q342" s="3"/>
      <c r="R342" s="3"/>
    </row>
    <row r="343" spans="1:18" x14ac:dyDescent="0.2">
      <c r="A343" s="7" t="s">
        <v>16</v>
      </c>
      <c r="B343" s="7" t="s">
        <v>17</v>
      </c>
      <c r="C343" s="7" t="s">
        <v>18</v>
      </c>
      <c r="D343" s="4">
        <v>59970947000178</v>
      </c>
      <c r="E343" s="8" t="s">
        <v>172</v>
      </c>
      <c r="F343" s="8" t="s">
        <v>111</v>
      </c>
      <c r="G343" s="7" t="s">
        <v>21</v>
      </c>
      <c r="H343" s="47" t="s">
        <v>786</v>
      </c>
      <c r="I343" s="47" t="s">
        <v>787</v>
      </c>
      <c r="J343" s="6">
        <v>62</v>
      </c>
      <c r="K343" s="8" t="s">
        <v>74</v>
      </c>
      <c r="L343" s="5">
        <v>1</v>
      </c>
      <c r="P343" s="3"/>
      <c r="Q343" s="3"/>
      <c r="R343" s="3"/>
    </row>
    <row r="344" spans="1:18" x14ac:dyDescent="0.2">
      <c r="A344" s="7" t="s">
        <v>16</v>
      </c>
      <c r="B344" s="7" t="s">
        <v>17</v>
      </c>
      <c r="C344" s="7" t="s">
        <v>18</v>
      </c>
      <c r="D344" s="4">
        <v>59972307000105</v>
      </c>
      <c r="E344" s="8" t="s">
        <v>173</v>
      </c>
      <c r="F344" s="8" t="s">
        <v>111</v>
      </c>
      <c r="G344" s="7" t="s">
        <v>21</v>
      </c>
      <c r="H344" s="47" t="s">
        <v>786</v>
      </c>
      <c r="I344" s="47" t="s">
        <v>787</v>
      </c>
      <c r="J344" s="6">
        <v>64</v>
      </c>
      <c r="K344" s="8" t="s">
        <v>68</v>
      </c>
      <c r="L344" s="5">
        <v>2</v>
      </c>
      <c r="P344" s="3"/>
      <c r="Q344" s="3"/>
      <c r="R344" s="3"/>
    </row>
    <row r="345" spans="1:18" x14ac:dyDescent="0.2">
      <c r="A345" s="7" t="s">
        <v>16</v>
      </c>
      <c r="B345" s="7" t="s">
        <v>17</v>
      </c>
      <c r="C345" s="7" t="s">
        <v>18</v>
      </c>
      <c r="D345" s="4">
        <v>60003761000129</v>
      </c>
      <c r="E345" s="8" t="s">
        <v>174</v>
      </c>
      <c r="F345" s="8" t="s">
        <v>111</v>
      </c>
      <c r="G345" s="7" t="s">
        <v>21</v>
      </c>
      <c r="H345" s="47" t="s">
        <v>786</v>
      </c>
      <c r="I345" s="47" t="s">
        <v>787</v>
      </c>
      <c r="J345" s="6">
        <v>64</v>
      </c>
      <c r="K345" s="8" t="s">
        <v>68</v>
      </c>
      <c r="L345" s="5">
        <v>10</v>
      </c>
      <c r="P345" s="3"/>
      <c r="Q345" s="3"/>
      <c r="R345" s="3"/>
    </row>
    <row r="346" spans="1:18" x14ac:dyDescent="0.2">
      <c r="A346" s="7" t="s">
        <v>16</v>
      </c>
      <c r="B346" s="7" t="s">
        <v>17</v>
      </c>
      <c r="C346" s="7" t="s">
        <v>18</v>
      </c>
      <c r="D346" s="4">
        <v>60214517000962</v>
      </c>
      <c r="E346" s="8" t="s">
        <v>175</v>
      </c>
      <c r="F346" s="8" t="s">
        <v>117</v>
      </c>
      <c r="G346" s="7" t="s">
        <v>21</v>
      </c>
      <c r="H346" s="47" t="s">
        <v>786</v>
      </c>
      <c r="I346" s="47" t="s">
        <v>787</v>
      </c>
      <c r="J346" s="6">
        <v>70</v>
      </c>
      <c r="K346" s="8" t="s">
        <v>22</v>
      </c>
      <c r="L346" s="5">
        <v>90</v>
      </c>
      <c r="P346" s="3"/>
      <c r="Q346" s="3"/>
      <c r="R346" s="3"/>
    </row>
    <row r="347" spans="1:18" x14ac:dyDescent="0.2">
      <c r="A347" s="7" t="s">
        <v>16</v>
      </c>
      <c r="B347" s="7" t="s">
        <v>17</v>
      </c>
      <c r="C347" s="7" t="s">
        <v>18</v>
      </c>
      <c r="D347" s="4">
        <v>60214517001691</v>
      </c>
      <c r="E347" s="8" t="s">
        <v>176</v>
      </c>
      <c r="F347" s="8" t="s">
        <v>117</v>
      </c>
      <c r="G347" s="7" t="s">
        <v>21</v>
      </c>
      <c r="H347" s="47" t="s">
        <v>786</v>
      </c>
      <c r="I347" s="47" t="s">
        <v>787</v>
      </c>
      <c r="J347" s="6">
        <v>70</v>
      </c>
      <c r="K347" s="8" t="s">
        <v>22</v>
      </c>
      <c r="L347" s="5">
        <v>150</v>
      </c>
      <c r="P347" s="3"/>
      <c r="Q347" s="3"/>
      <c r="R347" s="3"/>
    </row>
    <row r="348" spans="1:18" x14ac:dyDescent="0.2">
      <c r="A348" s="7" t="s">
        <v>16</v>
      </c>
      <c r="B348" s="7" t="s">
        <v>55</v>
      </c>
      <c r="C348" s="7" t="s">
        <v>18</v>
      </c>
      <c r="D348" s="4">
        <v>6033403000113</v>
      </c>
      <c r="E348" s="8" t="s">
        <v>114</v>
      </c>
      <c r="F348" s="8" t="s">
        <v>115</v>
      </c>
      <c r="G348" s="7" t="s">
        <v>21</v>
      </c>
      <c r="H348" s="47" t="s">
        <v>786</v>
      </c>
      <c r="I348" s="47" t="s">
        <v>787</v>
      </c>
      <c r="J348" s="6">
        <v>64</v>
      </c>
      <c r="K348" s="8" t="s">
        <v>68</v>
      </c>
      <c r="L348" s="5">
        <v>2</v>
      </c>
      <c r="P348" s="3"/>
      <c r="Q348" s="3"/>
      <c r="R348" s="3"/>
    </row>
    <row r="349" spans="1:18" x14ac:dyDescent="0.2">
      <c r="A349" s="7" t="s">
        <v>16</v>
      </c>
      <c r="B349" s="7" t="s">
        <v>55</v>
      </c>
      <c r="C349" s="7" t="s">
        <v>18</v>
      </c>
      <c r="D349" s="4">
        <v>6047087003073</v>
      </c>
      <c r="E349" s="8" t="s">
        <v>116</v>
      </c>
      <c r="F349" s="8" t="s">
        <v>117</v>
      </c>
      <c r="G349" s="7" t="s">
        <v>21</v>
      </c>
      <c r="H349" s="47" t="s">
        <v>786</v>
      </c>
      <c r="I349" s="47" t="s">
        <v>787</v>
      </c>
      <c r="J349" s="6">
        <v>66</v>
      </c>
      <c r="K349" s="8" t="s">
        <v>99</v>
      </c>
      <c r="L349" s="5">
        <v>1</v>
      </c>
      <c r="P349" s="3"/>
      <c r="Q349" s="3"/>
      <c r="R349" s="3"/>
    </row>
    <row r="350" spans="1:18" x14ac:dyDescent="0.2">
      <c r="A350" s="7" t="s">
        <v>16</v>
      </c>
      <c r="B350" s="7" t="s">
        <v>55</v>
      </c>
      <c r="C350" s="7" t="s">
        <v>18</v>
      </c>
      <c r="D350" s="4">
        <v>6047087003073</v>
      </c>
      <c r="E350" s="8" t="s">
        <v>116</v>
      </c>
      <c r="F350" s="8" t="s">
        <v>117</v>
      </c>
      <c r="G350" s="7" t="s">
        <v>21</v>
      </c>
      <c r="H350" s="47" t="s">
        <v>786</v>
      </c>
      <c r="I350" s="47" t="s">
        <v>787</v>
      </c>
      <c r="J350" s="6">
        <v>73</v>
      </c>
      <c r="K350" s="8" t="s">
        <v>69</v>
      </c>
      <c r="L350" s="5">
        <v>48</v>
      </c>
      <c r="P350" s="3"/>
      <c r="Q350" s="3"/>
      <c r="R350" s="3"/>
    </row>
    <row r="351" spans="1:18" x14ac:dyDescent="0.2">
      <c r="A351" s="7" t="s">
        <v>16</v>
      </c>
      <c r="B351" s="7" t="s">
        <v>55</v>
      </c>
      <c r="C351" s="7" t="s">
        <v>18</v>
      </c>
      <c r="D351" s="4">
        <v>6047087007907</v>
      </c>
      <c r="E351" s="8" t="s">
        <v>177</v>
      </c>
      <c r="F351" s="8" t="s">
        <v>115</v>
      </c>
      <c r="G351" s="7" t="s">
        <v>21</v>
      </c>
      <c r="H351" s="47" t="s">
        <v>786</v>
      </c>
      <c r="I351" s="47" t="s">
        <v>787</v>
      </c>
      <c r="J351" s="6">
        <v>62</v>
      </c>
      <c r="K351" s="8" t="s">
        <v>74</v>
      </c>
      <c r="L351" s="5">
        <v>12</v>
      </c>
      <c r="P351" s="3"/>
      <c r="Q351" s="3"/>
      <c r="R351" s="3"/>
    </row>
    <row r="352" spans="1:18" x14ac:dyDescent="0.2">
      <c r="A352" s="7" t="s">
        <v>16</v>
      </c>
      <c r="B352" s="7" t="s">
        <v>55</v>
      </c>
      <c r="C352" s="7" t="s">
        <v>18</v>
      </c>
      <c r="D352" s="4">
        <v>10447300000177</v>
      </c>
      <c r="E352" s="8" t="s">
        <v>122</v>
      </c>
      <c r="F352" s="8" t="s">
        <v>123</v>
      </c>
      <c r="G352" s="7" t="s">
        <v>21</v>
      </c>
      <c r="H352" s="47" t="s">
        <v>786</v>
      </c>
      <c r="I352" s="47" t="s">
        <v>787</v>
      </c>
      <c r="J352" s="6">
        <v>73</v>
      </c>
      <c r="K352" s="8" t="s">
        <v>69</v>
      </c>
      <c r="L352" s="5">
        <v>4</v>
      </c>
      <c r="P352" s="3"/>
      <c r="Q352" s="3"/>
      <c r="R352" s="3"/>
    </row>
    <row r="353" spans="1:18" x14ac:dyDescent="0.2">
      <c r="A353" s="7" t="s">
        <v>16</v>
      </c>
      <c r="B353" s="7" t="s">
        <v>55</v>
      </c>
      <c r="C353" s="7" t="s">
        <v>18</v>
      </c>
      <c r="D353" s="4">
        <v>10576443000189</v>
      </c>
      <c r="E353" s="8" t="s">
        <v>178</v>
      </c>
      <c r="F353" s="8" t="s">
        <v>111</v>
      </c>
      <c r="G353" s="7" t="s">
        <v>21</v>
      </c>
      <c r="H353" s="47" t="s">
        <v>786</v>
      </c>
      <c r="I353" s="47" t="s">
        <v>787</v>
      </c>
      <c r="J353" s="6">
        <v>70</v>
      </c>
      <c r="K353" s="8" t="s">
        <v>22</v>
      </c>
      <c r="L353" s="5">
        <v>140</v>
      </c>
      <c r="P353" s="3"/>
      <c r="Q353" s="3"/>
      <c r="R353" s="3"/>
    </row>
    <row r="354" spans="1:18" x14ac:dyDescent="0.2">
      <c r="A354" s="7" t="s">
        <v>16</v>
      </c>
      <c r="B354" s="7" t="s">
        <v>55</v>
      </c>
      <c r="C354" s="7" t="s">
        <v>18</v>
      </c>
      <c r="D354" s="4">
        <v>10868295000176</v>
      </c>
      <c r="E354" s="8" t="s">
        <v>179</v>
      </c>
      <c r="F354" s="8" t="s">
        <v>129</v>
      </c>
      <c r="G354" s="7" t="s">
        <v>21</v>
      </c>
      <c r="H354" s="47" t="s">
        <v>786</v>
      </c>
      <c r="I354" s="47" t="s">
        <v>787</v>
      </c>
      <c r="J354" s="6">
        <v>70</v>
      </c>
      <c r="K354" s="8" t="s">
        <v>22</v>
      </c>
      <c r="L354" s="5">
        <v>40</v>
      </c>
      <c r="P354" s="3"/>
      <c r="Q354" s="3"/>
      <c r="R354" s="3"/>
    </row>
    <row r="355" spans="1:18" x14ac:dyDescent="0.2">
      <c r="A355" s="7" t="s">
        <v>16</v>
      </c>
      <c r="B355" s="7" t="s">
        <v>55</v>
      </c>
      <c r="C355" s="7" t="s">
        <v>18</v>
      </c>
      <c r="D355" s="4">
        <v>13718999001041</v>
      </c>
      <c r="E355" s="8" t="s">
        <v>124</v>
      </c>
      <c r="F355" s="8" t="s">
        <v>115</v>
      </c>
      <c r="G355" s="7" t="s">
        <v>21</v>
      </c>
      <c r="H355" s="47" t="s">
        <v>786</v>
      </c>
      <c r="I355" s="47" t="s">
        <v>787</v>
      </c>
      <c r="J355" s="6">
        <v>73</v>
      </c>
      <c r="K355" s="8" t="s">
        <v>69</v>
      </c>
      <c r="L355" s="5">
        <v>4</v>
      </c>
      <c r="P355" s="3"/>
      <c r="Q355" s="3"/>
      <c r="R355" s="3"/>
    </row>
    <row r="356" spans="1:18" x14ac:dyDescent="0.2">
      <c r="A356" s="7" t="s">
        <v>16</v>
      </c>
      <c r="B356" s="7" t="s">
        <v>55</v>
      </c>
      <c r="C356" s="7" t="s">
        <v>18</v>
      </c>
      <c r="D356" s="4">
        <v>18290268000170</v>
      </c>
      <c r="E356" s="8" t="s">
        <v>180</v>
      </c>
      <c r="F356" s="8" t="s">
        <v>129</v>
      </c>
      <c r="G356" s="7" t="s">
        <v>21</v>
      </c>
      <c r="H356" s="47" t="s">
        <v>786</v>
      </c>
      <c r="I356" s="47" t="s">
        <v>787</v>
      </c>
      <c r="J356" s="6">
        <v>64</v>
      </c>
      <c r="K356" s="8" t="s">
        <v>68</v>
      </c>
      <c r="L356" s="5">
        <v>0</v>
      </c>
      <c r="P356" s="3"/>
      <c r="Q356" s="3"/>
      <c r="R356" s="3"/>
    </row>
    <row r="357" spans="1:18" x14ac:dyDescent="0.2">
      <c r="A357" s="7" t="s">
        <v>16</v>
      </c>
      <c r="B357" s="7" t="s">
        <v>55</v>
      </c>
      <c r="C357" s="7" t="s">
        <v>18</v>
      </c>
      <c r="D357" s="4">
        <v>18321477000134</v>
      </c>
      <c r="E357" s="8" t="s">
        <v>125</v>
      </c>
      <c r="F357" s="8" t="s">
        <v>117</v>
      </c>
      <c r="G357" s="7" t="s">
        <v>21</v>
      </c>
      <c r="H357" s="47" t="s">
        <v>786</v>
      </c>
      <c r="I357" s="47" t="s">
        <v>787</v>
      </c>
      <c r="J357" s="6">
        <v>73</v>
      </c>
      <c r="K357" s="8" t="s">
        <v>69</v>
      </c>
      <c r="L357" s="5">
        <v>48</v>
      </c>
      <c r="P357" s="3"/>
      <c r="Q357" s="3"/>
      <c r="R357" s="3"/>
    </row>
    <row r="358" spans="1:18" x14ac:dyDescent="0.2">
      <c r="A358" s="7" t="s">
        <v>16</v>
      </c>
      <c r="B358" s="7" t="s">
        <v>55</v>
      </c>
      <c r="C358" s="7" t="s">
        <v>18</v>
      </c>
      <c r="D358" s="4">
        <v>24082016000159</v>
      </c>
      <c r="E358" s="8" t="s">
        <v>181</v>
      </c>
      <c r="F358" s="8" t="s">
        <v>182</v>
      </c>
      <c r="G358" s="7" t="s">
        <v>21</v>
      </c>
      <c r="H358" s="47" t="s">
        <v>786</v>
      </c>
      <c r="I358" s="47" t="s">
        <v>787</v>
      </c>
      <c r="J358" s="6">
        <v>70</v>
      </c>
      <c r="K358" s="8" t="s">
        <v>22</v>
      </c>
      <c r="L358" s="5">
        <v>2000</v>
      </c>
      <c r="P358" s="3"/>
      <c r="Q358" s="3"/>
      <c r="R358" s="3"/>
    </row>
    <row r="359" spans="1:18" x14ac:dyDescent="0.2">
      <c r="A359" s="7" t="s">
        <v>16</v>
      </c>
      <c r="B359" s="7" t="s">
        <v>55</v>
      </c>
      <c r="C359" s="7" t="s">
        <v>18</v>
      </c>
      <c r="D359" s="4">
        <v>25026561000190</v>
      </c>
      <c r="E359" s="8" t="s">
        <v>126</v>
      </c>
      <c r="F359" s="8" t="s">
        <v>127</v>
      </c>
      <c r="G359" s="7" t="s">
        <v>21</v>
      </c>
      <c r="H359" s="47" t="s">
        <v>786</v>
      </c>
      <c r="I359" s="47" t="s">
        <v>787</v>
      </c>
      <c r="J359" s="6">
        <v>70</v>
      </c>
      <c r="K359" s="8" t="s">
        <v>22</v>
      </c>
      <c r="L359" s="5">
        <v>20</v>
      </c>
      <c r="P359" s="3"/>
      <c r="Q359" s="3"/>
      <c r="R359" s="3"/>
    </row>
    <row r="360" spans="1:18" x14ac:dyDescent="0.2">
      <c r="A360" s="7" t="s">
        <v>16</v>
      </c>
      <c r="B360" s="7" t="s">
        <v>55</v>
      </c>
      <c r="C360" s="7" t="s">
        <v>18</v>
      </c>
      <c r="D360" s="4">
        <v>29435005008294</v>
      </c>
      <c r="E360" s="8" t="s">
        <v>130</v>
      </c>
      <c r="F360" s="8" t="s">
        <v>131</v>
      </c>
      <c r="G360" s="7" t="s">
        <v>21</v>
      </c>
      <c r="H360" s="47" t="s">
        <v>786</v>
      </c>
      <c r="I360" s="47" t="s">
        <v>787</v>
      </c>
      <c r="J360" s="6">
        <v>70</v>
      </c>
      <c r="K360" s="8" t="s">
        <v>22</v>
      </c>
      <c r="L360" s="5">
        <v>150</v>
      </c>
      <c r="P360" s="3"/>
      <c r="Q360" s="3"/>
      <c r="R360" s="3"/>
    </row>
    <row r="361" spans="1:18" x14ac:dyDescent="0.2">
      <c r="A361" s="7" t="s">
        <v>16</v>
      </c>
      <c r="B361" s="7" t="s">
        <v>55</v>
      </c>
      <c r="C361" s="7" t="s">
        <v>18</v>
      </c>
      <c r="D361" s="4">
        <v>29435005008456</v>
      </c>
      <c r="E361" s="8" t="s">
        <v>132</v>
      </c>
      <c r="F361" s="8" t="s">
        <v>123</v>
      </c>
      <c r="G361" s="7" t="s">
        <v>21</v>
      </c>
      <c r="H361" s="47" t="s">
        <v>786</v>
      </c>
      <c r="I361" s="47" t="s">
        <v>787</v>
      </c>
      <c r="J361" s="6">
        <v>70</v>
      </c>
      <c r="K361" s="8" t="s">
        <v>22</v>
      </c>
      <c r="L361" s="5">
        <v>35</v>
      </c>
      <c r="P361" s="3"/>
      <c r="Q361" s="3"/>
      <c r="R361" s="3"/>
    </row>
    <row r="362" spans="1:18" x14ac:dyDescent="0.2">
      <c r="A362" s="7" t="s">
        <v>16</v>
      </c>
      <c r="B362" s="7" t="s">
        <v>55</v>
      </c>
      <c r="C362" s="7" t="s">
        <v>18</v>
      </c>
      <c r="D362" s="4">
        <v>43293604002120</v>
      </c>
      <c r="E362" s="8" t="s">
        <v>133</v>
      </c>
      <c r="F362" s="8" t="s">
        <v>134</v>
      </c>
      <c r="G362" s="7" t="s">
        <v>21</v>
      </c>
      <c r="H362" s="47" t="s">
        <v>786</v>
      </c>
      <c r="I362" s="47" t="s">
        <v>787</v>
      </c>
      <c r="J362" s="6">
        <v>70</v>
      </c>
      <c r="K362" s="8" t="s">
        <v>22</v>
      </c>
      <c r="L362" s="5">
        <v>80</v>
      </c>
      <c r="P362" s="3"/>
      <c r="Q362" s="3"/>
      <c r="R362" s="3"/>
    </row>
    <row r="363" spans="1:18" x14ac:dyDescent="0.2">
      <c r="A363" s="7" t="s">
        <v>16</v>
      </c>
      <c r="B363" s="7" t="s">
        <v>55</v>
      </c>
      <c r="C363" s="7" t="s">
        <v>18</v>
      </c>
      <c r="D363" s="4">
        <v>44456036000311</v>
      </c>
      <c r="E363" s="8" t="s">
        <v>135</v>
      </c>
      <c r="F363" s="8" t="s">
        <v>136</v>
      </c>
      <c r="G363" s="7" t="s">
        <v>21</v>
      </c>
      <c r="H363" s="47" t="s">
        <v>786</v>
      </c>
      <c r="I363" s="47" t="s">
        <v>787</v>
      </c>
      <c r="J363" s="6">
        <v>62</v>
      </c>
      <c r="K363" s="8" t="s">
        <v>74</v>
      </c>
      <c r="L363" s="5">
        <v>28</v>
      </c>
      <c r="P363" s="3"/>
      <c r="Q363" s="3"/>
      <c r="R363" s="3"/>
    </row>
    <row r="364" spans="1:18" x14ac:dyDescent="0.2">
      <c r="A364" s="7" t="s">
        <v>16</v>
      </c>
      <c r="B364" s="7" t="s">
        <v>55</v>
      </c>
      <c r="C364" s="7" t="s">
        <v>18</v>
      </c>
      <c r="D364" s="4">
        <v>44456036000311</v>
      </c>
      <c r="E364" s="8" t="s">
        <v>135</v>
      </c>
      <c r="F364" s="8" t="s">
        <v>136</v>
      </c>
      <c r="G364" s="7" t="s">
        <v>21</v>
      </c>
      <c r="H364" s="47" t="s">
        <v>786</v>
      </c>
      <c r="I364" s="47" t="s">
        <v>787</v>
      </c>
      <c r="J364" s="6">
        <v>64</v>
      </c>
      <c r="K364" s="8" t="s">
        <v>68</v>
      </c>
      <c r="L364" s="5">
        <v>4</v>
      </c>
      <c r="P364" s="3"/>
      <c r="Q364" s="3"/>
      <c r="R364" s="3"/>
    </row>
    <row r="365" spans="1:18" x14ac:dyDescent="0.2">
      <c r="A365" s="7" t="s">
        <v>16</v>
      </c>
      <c r="B365" s="7" t="s">
        <v>55</v>
      </c>
      <c r="C365" s="7" t="s">
        <v>18</v>
      </c>
      <c r="D365" s="4">
        <v>44649812019238</v>
      </c>
      <c r="E365" s="8" t="s">
        <v>139</v>
      </c>
      <c r="F365" s="8" t="s">
        <v>123</v>
      </c>
      <c r="G365" s="7" t="s">
        <v>21</v>
      </c>
      <c r="H365" s="47" t="s">
        <v>786</v>
      </c>
      <c r="I365" s="47" t="s">
        <v>787</v>
      </c>
      <c r="J365" s="6">
        <v>73</v>
      </c>
      <c r="K365" s="8" t="s">
        <v>69</v>
      </c>
      <c r="L365" s="5">
        <v>8</v>
      </c>
      <c r="P365" s="3"/>
      <c r="Q365" s="3"/>
      <c r="R365" s="3"/>
    </row>
    <row r="366" spans="1:18" x14ac:dyDescent="0.2">
      <c r="A366" s="7" t="s">
        <v>16</v>
      </c>
      <c r="B366" s="7" t="s">
        <v>55</v>
      </c>
      <c r="C366" s="7" t="s">
        <v>18</v>
      </c>
      <c r="D366" s="4">
        <v>44663631000590</v>
      </c>
      <c r="E366" s="8" t="s">
        <v>140</v>
      </c>
      <c r="F366" s="8" t="s">
        <v>141</v>
      </c>
      <c r="G366" s="7" t="s">
        <v>21</v>
      </c>
      <c r="H366" s="47" t="s">
        <v>786</v>
      </c>
      <c r="I366" s="47" t="s">
        <v>787</v>
      </c>
      <c r="J366" s="6">
        <v>70</v>
      </c>
      <c r="K366" s="8" t="s">
        <v>22</v>
      </c>
      <c r="L366" s="5">
        <v>165</v>
      </c>
      <c r="P366" s="3"/>
      <c r="Q366" s="3"/>
      <c r="R366" s="3"/>
    </row>
    <row r="367" spans="1:18" x14ac:dyDescent="0.2">
      <c r="A367" s="7" t="s">
        <v>16</v>
      </c>
      <c r="B367" s="7" t="s">
        <v>55</v>
      </c>
      <c r="C367" s="7" t="s">
        <v>18</v>
      </c>
      <c r="D367" s="4">
        <v>44663631000590</v>
      </c>
      <c r="E367" s="8" t="s">
        <v>140</v>
      </c>
      <c r="F367" s="8" t="s">
        <v>141</v>
      </c>
      <c r="G367" s="7" t="s">
        <v>21</v>
      </c>
      <c r="H367" s="47" t="s">
        <v>786</v>
      </c>
      <c r="I367" s="47" t="s">
        <v>787</v>
      </c>
      <c r="J367" s="6">
        <v>73</v>
      </c>
      <c r="K367" s="8" t="s">
        <v>69</v>
      </c>
      <c r="L367" s="5">
        <v>32</v>
      </c>
      <c r="P367" s="3"/>
      <c r="Q367" s="3"/>
      <c r="R367" s="3"/>
    </row>
    <row r="368" spans="1:18" x14ac:dyDescent="0.2">
      <c r="A368" s="7" t="s">
        <v>16</v>
      </c>
      <c r="B368" s="7" t="s">
        <v>55</v>
      </c>
      <c r="C368" s="7" t="s">
        <v>18</v>
      </c>
      <c r="D368" s="4">
        <v>44803922000293</v>
      </c>
      <c r="E368" s="8" t="s">
        <v>142</v>
      </c>
      <c r="F368" s="8" t="s">
        <v>143</v>
      </c>
      <c r="G368" s="7" t="s">
        <v>21</v>
      </c>
      <c r="H368" s="47" t="s">
        <v>786</v>
      </c>
      <c r="I368" s="47" t="s">
        <v>787</v>
      </c>
      <c r="J368" s="6">
        <v>73</v>
      </c>
      <c r="K368" s="8" t="s">
        <v>69</v>
      </c>
      <c r="L368" s="5">
        <v>10</v>
      </c>
      <c r="P368" s="3"/>
      <c r="Q368" s="3"/>
      <c r="R368" s="3"/>
    </row>
    <row r="369" spans="1:18" x14ac:dyDescent="0.2">
      <c r="A369" s="7" t="s">
        <v>16</v>
      </c>
      <c r="B369" s="7" t="s">
        <v>55</v>
      </c>
      <c r="C369" s="7" t="s">
        <v>18</v>
      </c>
      <c r="D369" s="4">
        <v>45184066000117</v>
      </c>
      <c r="E369" s="8" t="s">
        <v>146</v>
      </c>
      <c r="F369" s="8" t="s">
        <v>117</v>
      </c>
      <c r="G369" s="7" t="s">
        <v>21</v>
      </c>
      <c r="H369" s="47" t="s">
        <v>786</v>
      </c>
      <c r="I369" s="47" t="s">
        <v>787</v>
      </c>
      <c r="J369" s="6">
        <v>70</v>
      </c>
      <c r="K369" s="8" t="s">
        <v>22</v>
      </c>
      <c r="L369" s="5">
        <v>50</v>
      </c>
      <c r="P369" s="3"/>
      <c r="Q369" s="3"/>
      <c r="R369" s="3"/>
    </row>
    <row r="370" spans="1:18" x14ac:dyDescent="0.2">
      <c r="A370" s="7" t="s">
        <v>16</v>
      </c>
      <c r="B370" s="7" t="s">
        <v>55</v>
      </c>
      <c r="C370" s="7" t="s">
        <v>18</v>
      </c>
      <c r="D370" s="4">
        <v>45184066000117</v>
      </c>
      <c r="E370" s="8" t="s">
        <v>146</v>
      </c>
      <c r="F370" s="8" t="s">
        <v>117</v>
      </c>
      <c r="G370" s="7" t="s">
        <v>21</v>
      </c>
      <c r="H370" s="47" t="s">
        <v>786</v>
      </c>
      <c r="I370" s="47" t="s">
        <v>787</v>
      </c>
      <c r="J370" s="6">
        <v>73</v>
      </c>
      <c r="K370" s="8" t="s">
        <v>69</v>
      </c>
      <c r="L370" s="5">
        <v>15</v>
      </c>
      <c r="P370" s="3"/>
      <c r="Q370" s="3"/>
      <c r="R370" s="3"/>
    </row>
    <row r="371" spans="1:18" x14ac:dyDescent="0.2">
      <c r="A371" s="7" t="s">
        <v>16</v>
      </c>
      <c r="B371" s="7" t="s">
        <v>55</v>
      </c>
      <c r="C371" s="7" t="s">
        <v>18</v>
      </c>
      <c r="D371" s="4">
        <v>45232246000550</v>
      </c>
      <c r="E371" s="8" t="s">
        <v>147</v>
      </c>
      <c r="F371" s="8" t="s">
        <v>109</v>
      </c>
      <c r="G371" s="7" t="s">
        <v>21</v>
      </c>
      <c r="H371" s="47" t="s">
        <v>786</v>
      </c>
      <c r="I371" s="47" t="s">
        <v>787</v>
      </c>
      <c r="J371" s="6">
        <v>70</v>
      </c>
      <c r="K371" s="8" t="s">
        <v>22</v>
      </c>
      <c r="L371" s="5">
        <v>60</v>
      </c>
      <c r="P371" s="3"/>
      <c r="Q371" s="3"/>
      <c r="R371" s="3"/>
    </row>
    <row r="372" spans="1:18" x14ac:dyDescent="0.2">
      <c r="A372" s="7" t="s">
        <v>16</v>
      </c>
      <c r="B372" s="7" t="s">
        <v>55</v>
      </c>
      <c r="C372" s="7" t="s">
        <v>18</v>
      </c>
      <c r="D372" s="4">
        <v>45232246000550</v>
      </c>
      <c r="E372" s="8" t="s">
        <v>147</v>
      </c>
      <c r="F372" s="8" t="s">
        <v>109</v>
      </c>
      <c r="G372" s="7" t="s">
        <v>21</v>
      </c>
      <c r="H372" s="47" t="s">
        <v>786</v>
      </c>
      <c r="I372" s="47" t="s">
        <v>787</v>
      </c>
      <c r="J372" s="6">
        <v>73</v>
      </c>
      <c r="K372" s="8" t="s">
        <v>69</v>
      </c>
      <c r="L372" s="5">
        <v>51</v>
      </c>
      <c r="P372" s="3"/>
      <c r="Q372" s="3"/>
      <c r="R372" s="3"/>
    </row>
    <row r="373" spans="1:18" x14ac:dyDescent="0.2">
      <c r="A373" s="7" t="s">
        <v>16</v>
      </c>
      <c r="B373" s="7" t="s">
        <v>55</v>
      </c>
      <c r="C373" s="7" t="s">
        <v>18</v>
      </c>
      <c r="D373" s="4">
        <v>45359213000576</v>
      </c>
      <c r="E373" s="8" t="s">
        <v>148</v>
      </c>
      <c r="F373" s="8" t="s">
        <v>149</v>
      </c>
      <c r="G373" s="7" t="s">
        <v>21</v>
      </c>
      <c r="H373" s="47" t="s">
        <v>786</v>
      </c>
      <c r="I373" s="47" t="s">
        <v>787</v>
      </c>
      <c r="J373" s="6">
        <v>73</v>
      </c>
      <c r="K373" s="8" t="s">
        <v>69</v>
      </c>
      <c r="L373" s="5">
        <v>40</v>
      </c>
      <c r="P373" s="3"/>
      <c r="Q373" s="3"/>
      <c r="R373" s="3"/>
    </row>
    <row r="374" spans="1:18" x14ac:dyDescent="0.2">
      <c r="A374" s="7" t="s">
        <v>16</v>
      </c>
      <c r="B374" s="7" t="s">
        <v>55</v>
      </c>
      <c r="C374" s="7" t="s">
        <v>18</v>
      </c>
      <c r="D374" s="4">
        <v>45399961000230</v>
      </c>
      <c r="E374" s="8" t="s">
        <v>150</v>
      </c>
      <c r="F374" s="8" t="s">
        <v>151</v>
      </c>
      <c r="G374" s="7" t="s">
        <v>21</v>
      </c>
      <c r="H374" s="47" t="s">
        <v>786</v>
      </c>
      <c r="I374" s="47" t="s">
        <v>787</v>
      </c>
      <c r="J374" s="6">
        <v>70</v>
      </c>
      <c r="K374" s="8" t="s">
        <v>22</v>
      </c>
      <c r="L374" s="5">
        <v>450</v>
      </c>
      <c r="P374" s="3"/>
      <c r="Q374" s="3"/>
      <c r="R374" s="3"/>
    </row>
    <row r="375" spans="1:18" x14ac:dyDescent="0.2">
      <c r="A375" s="7" t="s">
        <v>16</v>
      </c>
      <c r="B375" s="7" t="s">
        <v>55</v>
      </c>
      <c r="C375" s="7" t="s">
        <v>18</v>
      </c>
      <c r="D375" s="4">
        <v>46009718000140</v>
      </c>
      <c r="E375" s="8" t="s">
        <v>154</v>
      </c>
      <c r="F375" s="8" t="s">
        <v>123</v>
      </c>
      <c r="G375" s="7" t="s">
        <v>21</v>
      </c>
      <c r="H375" s="47" t="s">
        <v>786</v>
      </c>
      <c r="I375" s="47" t="s">
        <v>787</v>
      </c>
      <c r="J375" s="6">
        <v>66</v>
      </c>
      <c r="K375" s="8" t="s">
        <v>99</v>
      </c>
      <c r="L375" s="5">
        <v>6</v>
      </c>
      <c r="P375" s="3"/>
      <c r="Q375" s="3"/>
      <c r="R375" s="3"/>
    </row>
    <row r="376" spans="1:18" x14ac:dyDescent="0.2">
      <c r="A376" s="7" t="s">
        <v>16</v>
      </c>
      <c r="B376" s="7" t="s">
        <v>55</v>
      </c>
      <c r="C376" s="7" t="s">
        <v>18</v>
      </c>
      <c r="D376" s="4">
        <v>46009718000140</v>
      </c>
      <c r="E376" s="8" t="s">
        <v>154</v>
      </c>
      <c r="F376" s="8" t="s">
        <v>123</v>
      </c>
      <c r="G376" s="7" t="s">
        <v>21</v>
      </c>
      <c r="H376" s="47" t="s">
        <v>786</v>
      </c>
      <c r="I376" s="47" t="s">
        <v>787</v>
      </c>
      <c r="J376" s="6">
        <v>70</v>
      </c>
      <c r="K376" s="8" t="s">
        <v>22</v>
      </c>
      <c r="L376" s="5">
        <v>1150</v>
      </c>
      <c r="P376" s="3"/>
      <c r="Q376" s="3"/>
      <c r="R376" s="3"/>
    </row>
    <row r="377" spans="1:18" x14ac:dyDescent="0.2">
      <c r="A377" s="7" t="s">
        <v>16</v>
      </c>
      <c r="B377" s="7" t="s">
        <v>55</v>
      </c>
      <c r="C377" s="7" t="s">
        <v>18</v>
      </c>
      <c r="D377" s="4">
        <v>46009718000140</v>
      </c>
      <c r="E377" s="8" t="s">
        <v>154</v>
      </c>
      <c r="F377" s="8" t="s">
        <v>123</v>
      </c>
      <c r="G377" s="7" t="s">
        <v>21</v>
      </c>
      <c r="H377" s="47" t="s">
        <v>786</v>
      </c>
      <c r="I377" s="47" t="s">
        <v>787</v>
      </c>
      <c r="J377" s="6">
        <v>73</v>
      </c>
      <c r="K377" s="8" t="s">
        <v>69</v>
      </c>
      <c r="L377" s="5">
        <v>83</v>
      </c>
      <c r="P377" s="3"/>
      <c r="Q377" s="3"/>
      <c r="R377" s="3"/>
    </row>
    <row r="378" spans="1:18" x14ac:dyDescent="0.2">
      <c r="A378" s="7" t="s">
        <v>16</v>
      </c>
      <c r="B378" s="7" t="s">
        <v>55</v>
      </c>
      <c r="C378" s="7" t="s">
        <v>18</v>
      </c>
      <c r="D378" s="4">
        <v>46020301000269</v>
      </c>
      <c r="E378" s="8" t="s">
        <v>155</v>
      </c>
      <c r="F378" s="8" t="s">
        <v>123</v>
      </c>
      <c r="G378" s="7" t="s">
        <v>21</v>
      </c>
      <c r="H378" s="47" t="s">
        <v>786</v>
      </c>
      <c r="I378" s="47" t="s">
        <v>787</v>
      </c>
      <c r="J378" s="6">
        <v>73</v>
      </c>
      <c r="K378" s="8" t="s">
        <v>69</v>
      </c>
      <c r="L378" s="5">
        <v>35</v>
      </c>
      <c r="P378" s="3"/>
      <c r="Q378" s="3"/>
      <c r="R378" s="3"/>
    </row>
    <row r="379" spans="1:18" x14ac:dyDescent="0.2">
      <c r="A379" s="7" t="s">
        <v>16</v>
      </c>
      <c r="B379" s="7" t="s">
        <v>55</v>
      </c>
      <c r="C379" s="7" t="s">
        <v>18</v>
      </c>
      <c r="D379" s="4">
        <v>46068425000133</v>
      </c>
      <c r="E379" s="8" t="s">
        <v>183</v>
      </c>
      <c r="F379" s="8" t="s">
        <v>123</v>
      </c>
      <c r="G379" s="7" t="s">
        <v>21</v>
      </c>
      <c r="H379" s="47" t="s">
        <v>786</v>
      </c>
      <c r="I379" s="47" t="s">
        <v>787</v>
      </c>
      <c r="J379" s="6">
        <v>66</v>
      </c>
      <c r="K379" s="8" t="s">
        <v>99</v>
      </c>
      <c r="L379" s="5">
        <v>2</v>
      </c>
      <c r="P379" s="3"/>
      <c r="Q379" s="3"/>
      <c r="R379" s="3"/>
    </row>
    <row r="380" spans="1:18" x14ac:dyDescent="0.2">
      <c r="A380" s="7" t="s">
        <v>16</v>
      </c>
      <c r="B380" s="7" t="s">
        <v>55</v>
      </c>
      <c r="C380" s="7" t="s">
        <v>18</v>
      </c>
      <c r="D380" s="4">
        <v>46124624000111</v>
      </c>
      <c r="E380" s="8" t="s">
        <v>156</v>
      </c>
      <c r="F380" s="8" t="s">
        <v>123</v>
      </c>
      <c r="G380" s="7" t="s">
        <v>21</v>
      </c>
      <c r="H380" s="47" t="s">
        <v>786</v>
      </c>
      <c r="I380" s="47" t="s">
        <v>787</v>
      </c>
      <c r="J380" s="6">
        <v>70</v>
      </c>
      <c r="K380" s="8" t="s">
        <v>22</v>
      </c>
      <c r="L380" s="5">
        <v>340</v>
      </c>
      <c r="P380" s="3"/>
      <c r="Q380" s="3"/>
      <c r="R380" s="3"/>
    </row>
    <row r="381" spans="1:18" x14ac:dyDescent="0.2">
      <c r="A381" s="7" t="s">
        <v>16</v>
      </c>
      <c r="B381" s="7" t="s">
        <v>55</v>
      </c>
      <c r="C381" s="7" t="s">
        <v>18</v>
      </c>
      <c r="D381" s="4">
        <v>46124624000111</v>
      </c>
      <c r="E381" s="8" t="s">
        <v>156</v>
      </c>
      <c r="F381" s="8" t="s">
        <v>123</v>
      </c>
      <c r="G381" s="7" t="s">
        <v>21</v>
      </c>
      <c r="H381" s="47" t="s">
        <v>786</v>
      </c>
      <c r="I381" s="47" t="s">
        <v>787</v>
      </c>
      <c r="J381" s="6">
        <v>73</v>
      </c>
      <c r="K381" s="8" t="s">
        <v>69</v>
      </c>
      <c r="L381" s="5">
        <v>48</v>
      </c>
      <c r="P381" s="3"/>
      <c r="Q381" s="3"/>
      <c r="R381" s="3"/>
    </row>
    <row r="382" spans="1:18" x14ac:dyDescent="0.2">
      <c r="A382" s="7" t="s">
        <v>16</v>
      </c>
      <c r="B382" s="7" t="s">
        <v>55</v>
      </c>
      <c r="C382" s="7" t="s">
        <v>18</v>
      </c>
      <c r="D382" s="4">
        <v>46124624002599</v>
      </c>
      <c r="E382" s="8" t="s">
        <v>157</v>
      </c>
      <c r="F382" s="8" t="s">
        <v>158</v>
      </c>
      <c r="G382" s="7" t="s">
        <v>21</v>
      </c>
      <c r="H382" s="47" t="s">
        <v>786</v>
      </c>
      <c r="I382" s="47" t="s">
        <v>787</v>
      </c>
      <c r="J382" s="6">
        <v>70</v>
      </c>
      <c r="K382" s="8" t="s">
        <v>22</v>
      </c>
      <c r="L382" s="5">
        <v>700</v>
      </c>
      <c r="P382" s="3"/>
      <c r="Q382" s="3"/>
      <c r="R382" s="3"/>
    </row>
    <row r="383" spans="1:18" x14ac:dyDescent="0.2">
      <c r="A383" s="7" t="s">
        <v>16</v>
      </c>
      <c r="B383" s="7" t="s">
        <v>55</v>
      </c>
      <c r="C383" s="7" t="s">
        <v>18</v>
      </c>
      <c r="D383" s="4">
        <v>46124624002599</v>
      </c>
      <c r="E383" s="8" t="s">
        <v>157</v>
      </c>
      <c r="F383" s="8" t="s">
        <v>158</v>
      </c>
      <c r="G383" s="7" t="s">
        <v>21</v>
      </c>
      <c r="H383" s="47" t="s">
        <v>786</v>
      </c>
      <c r="I383" s="47" t="s">
        <v>787</v>
      </c>
      <c r="J383" s="6">
        <v>73</v>
      </c>
      <c r="K383" s="8" t="s">
        <v>69</v>
      </c>
      <c r="L383" s="5">
        <v>240</v>
      </c>
      <c r="P383" s="3"/>
      <c r="Q383" s="3"/>
      <c r="R383" s="3"/>
    </row>
    <row r="384" spans="1:18" x14ac:dyDescent="0.2">
      <c r="A384" s="7" t="s">
        <v>16</v>
      </c>
      <c r="B384" s="7" t="s">
        <v>55</v>
      </c>
      <c r="C384" s="7" t="s">
        <v>18</v>
      </c>
      <c r="D384" s="4">
        <v>46374500003886</v>
      </c>
      <c r="E384" s="8" t="s">
        <v>184</v>
      </c>
      <c r="F384" s="8" t="s">
        <v>185</v>
      </c>
      <c r="G384" s="7" t="s">
        <v>21</v>
      </c>
      <c r="H384" s="47" t="s">
        <v>786</v>
      </c>
      <c r="I384" s="47" t="s">
        <v>787</v>
      </c>
      <c r="J384" s="6">
        <v>66</v>
      </c>
      <c r="K384" s="8" t="s">
        <v>99</v>
      </c>
      <c r="L384" s="5">
        <v>18</v>
      </c>
      <c r="P384" s="3"/>
      <c r="Q384" s="3"/>
      <c r="R384" s="3"/>
    </row>
    <row r="385" spans="1:18" x14ac:dyDescent="0.2">
      <c r="A385" s="7" t="s">
        <v>16</v>
      </c>
      <c r="B385" s="7" t="s">
        <v>55</v>
      </c>
      <c r="C385" s="7" t="s">
        <v>18</v>
      </c>
      <c r="D385" s="4">
        <v>46374500009060</v>
      </c>
      <c r="E385" s="8" t="s">
        <v>186</v>
      </c>
      <c r="F385" s="8" t="s">
        <v>143</v>
      </c>
      <c r="G385" s="7" t="s">
        <v>21</v>
      </c>
      <c r="H385" s="47" t="s">
        <v>786</v>
      </c>
      <c r="I385" s="47" t="s">
        <v>787</v>
      </c>
      <c r="J385" s="6">
        <v>70</v>
      </c>
      <c r="K385" s="8" t="s">
        <v>22</v>
      </c>
      <c r="L385" s="5">
        <v>300</v>
      </c>
      <c r="P385" s="3"/>
      <c r="Q385" s="3"/>
      <c r="R385" s="3"/>
    </row>
    <row r="386" spans="1:18" x14ac:dyDescent="0.2">
      <c r="A386" s="7" t="s">
        <v>16</v>
      </c>
      <c r="B386" s="7" t="s">
        <v>55</v>
      </c>
      <c r="C386" s="7" t="s">
        <v>18</v>
      </c>
      <c r="D386" s="4">
        <v>47074851000819</v>
      </c>
      <c r="E386" s="8" t="s">
        <v>160</v>
      </c>
      <c r="F386" s="8" t="s">
        <v>145</v>
      </c>
      <c r="G386" s="7" t="s">
        <v>21</v>
      </c>
      <c r="H386" s="47" t="s">
        <v>786</v>
      </c>
      <c r="I386" s="47" t="s">
        <v>787</v>
      </c>
      <c r="J386" s="6">
        <v>73</v>
      </c>
      <c r="K386" s="8" t="s">
        <v>69</v>
      </c>
      <c r="L386" s="5">
        <v>6</v>
      </c>
      <c r="P386" s="3"/>
      <c r="Q386" s="3"/>
      <c r="R386" s="3"/>
    </row>
    <row r="387" spans="1:18" x14ac:dyDescent="0.2">
      <c r="A387" s="7" t="s">
        <v>16</v>
      </c>
      <c r="B387" s="7" t="s">
        <v>55</v>
      </c>
      <c r="C387" s="7" t="s">
        <v>18</v>
      </c>
      <c r="D387" s="4">
        <v>48310098000100</v>
      </c>
      <c r="E387" s="8" t="s">
        <v>187</v>
      </c>
      <c r="F387" s="8" t="s">
        <v>111</v>
      </c>
      <c r="G387" s="7" t="s">
        <v>21</v>
      </c>
      <c r="H387" s="47" t="s">
        <v>786</v>
      </c>
      <c r="I387" s="47" t="s">
        <v>787</v>
      </c>
      <c r="J387" s="6">
        <v>64</v>
      </c>
      <c r="K387" s="8" t="s">
        <v>68</v>
      </c>
      <c r="L387" s="5">
        <v>1</v>
      </c>
      <c r="P387" s="3"/>
      <c r="Q387" s="3"/>
      <c r="R387" s="3"/>
    </row>
    <row r="388" spans="1:18" x14ac:dyDescent="0.2">
      <c r="A388" s="7" t="s">
        <v>16</v>
      </c>
      <c r="B388" s="7" t="s">
        <v>55</v>
      </c>
      <c r="C388" s="7" t="s">
        <v>18</v>
      </c>
      <c r="D388" s="4">
        <v>50486026000160</v>
      </c>
      <c r="E388" s="8" t="s">
        <v>163</v>
      </c>
      <c r="F388" s="8" t="s">
        <v>164</v>
      </c>
      <c r="G388" s="7" t="s">
        <v>21</v>
      </c>
      <c r="H388" s="47" t="s">
        <v>786</v>
      </c>
      <c r="I388" s="47" t="s">
        <v>787</v>
      </c>
      <c r="J388" s="6">
        <v>70</v>
      </c>
      <c r="K388" s="8" t="s">
        <v>22</v>
      </c>
      <c r="L388" s="5">
        <v>100</v>
      </c>
      <c r="P388" s="3"/>
      <c r="Q388" s="3"/>
      <c r="R388" s="3"/>
    </row>
    <row r="389" spans="1:18" x14ac:dyDescent="0.2">
      <c r="A389" s="7" t="s">
        <v>16</v>
      </c>
      <c r="B389" s="7" t="s">
        <v>55</v>
      </c>
      <c r="C389" s="7" t="s">
        <v>18</v>
      </c>
      <c r="D389" s="4">
        <v>54012406000385</v>
      </c>
      <c r="E389" s="8" t="s">
        <v>167</v>
      </c>
      <c r="F389" s="8" t="s">
        <v>168</v>
      </c>
      <c r="G389" s="7" t="s">
        <v>21</v>
      </c>
      <c r="H389" s="47" t="s">
        <v>786</v>
      </c>
      <c r="I389" s="47" t="s">
        <v>787</v>
      </c>
      <c r="J389" s="6">
        <v>70</v>
      </c>
      <c r="K389" s="8" t="s">
        <v>22</v>
      </c>
      <c r="L389" s="5">
        <v>70</v>
      </c>
      <c r="P389" s="3"/>
      <c r="Q389" s="3"/>
      <c r="R389" s="3"/>
    </row>
    <row r="390" spans="1:18" x14ac:dyDescent="0.2">
      <c r="A390" s="7" t="s">
        <v>16</v>
      </c>
      <c r="B390" s="7" t="s">
        <v>55</v>
      </c>
      <c r="C390" s="7" t="s">
        <v>18</v>
      </c>
      <c r="D390" s="4">
        <v>57722118000140</v>
      </c>
      <c r="E390" s="8" t="s">
        <v>188</v>
      </c>
      <c r="F390" s="8" t="s">
        <v>109</v>
      </c>
      <c r="G390" s="7" t="s">
        <v>21</v>
      </c>
      <c r="H390" s="47" t="s">
        <v>786</v>
      </c>
      <c r="I390" s="47" t="s">
        <v>787</v>
      </c>
      <c r="J390" s="6">
        <v>70</v>
      </c>
      <c r="K390" s="8" t="s">
        <v>22</v>
      </c>
      <c r="L390" s="5">
        <v>150</v>
      </c>
      <c r="P390" s="3"/>
      <c r="Q390" s="3"/>
      <c r="R390" s="3"/>
    </row>
    <row r="391" spans="1:18" x14ac:dyDescent="0.2">
      <c r="A391" s="7" t="s">
        <v>16</v>
      </c>
      <c r="B391" s="7" t="s">
        <v>55</v>
      </c>
      <c r="C391" s="7" t="s">
        <v>18</v>
      </c>
      <c r="D391" s="4">
        <v>58229691001070</v>
      </c>
      <c r="E391" s="8" t="s">
        <v>171</v>
      </c>
      <c r="F391" s="8" t="s">
        <v>129</v>
      </c>
      <c r="G391" s="7" t="s">
        <v>21</v>
      </c>
      <c r="H391" s="47" t="s">
        <v>786</v>
      </c>
      <c r="I391" s="47" t="s">
        <v>787</v>
      </c>
      <c r="J391" s="6">
        <v>73</v>
      </c>
      <c r="K391" s="8" t="s">
        <v>69</v>
      </c>
      <c r="L391" s="5">
        <v>32</v>
      </c>
      <c r="P391" s="3"/>
      <c r="Q391" s="3"/>
      <c r="R391" s="3"/>
    </row>
    <row r="392" spans="1:18" x14ac:dyDescent="0.2">
      <c r="A392" s="7" t="s">
        <v>16</v>
      </c>
      <c r="B392" s="7" t="s">
        <v>55</v>
      </c>
      <c r="C392" s="7" t="s">
        <v>18</v>
      </c>
      <c r="D392" s="4">
        <v>59970947000178</v>
      </c>
      <c r="E392" s="8" t="s">
        <v>172</v>
      </c>
      <c r="F392" s="8" t="s">
        <v>111</v>
      </c>
      <c r="G392" s="7" t="s">
        <v>21</v>
      </c>
      <c r="H392" s="47" t="s">
        <v>786</v>
      </c>
      <c r="I392" s="47" t="s">
        <v>787</v>
      </c>
      <c r="J392" s="6">
        <v>62</v>
      </c>
      <c r="K392" s="8" t="s">
        <v>74</v>
      </c>
      <c r="L392" s="5">
        <v>4</v>
      </c>
      <c r="P392" s="3"/>
      <c r="Q392" s="3"/>
      <c r="R392" s="3"/>
    </row>
    <row r="393" spans="1:18" x14ac:dyDescent="0.2">
      <c r="A393" s="7" t="s">
        <v>16</v>
      </c>
      <c r="B393" s="7" t="s">
        <v>55</v>
      </c>
      <c r="C393" s="7" t="s">
        <v>18</v>
      </c>
      <c r="D393" s="4">
        <v>60003761000129</v>
      </c>
      <c r="E393" s="8" t="s">
        <v>174</v>
      </c>
      <c r="F393" s="8" t="s">
        <v>111</v>
      </c>
      <c r="G393" s="7" t="s">
        <v>21</v>
      </c>
      <c r="H393" s="47" t="s">
        <v>786</v>
      </c>
      <c r="I393" s="47" t="s">
        <v>787</v>
      </c>
      <c r="J393" s="6">
        <v>62</v>
      </c>
      <c r="K393" s="8" t="s">
        <v>74</v>
      </c>
      <c r="L393" s="5">
        <v>5</v>
      </c>
      <c r="P393" s="3"/>
      <c r="Q393" s="3"/>
      <c r="R393" s="3"/>
    </row>
    <row r="394" spans="1:18" x14ac:dyDescent="0.2">
      <c r="A394" s="7" t="s">
        <v>16</v>
      </c>
      <c r="B394" s="7" t="s">
        <v>55</v>
      </c>
      <c r="C394" s="7" t="s">
        <v>18</v>
      </c>
      <c r="D394" s="4">
        <v>60003761000129</v>
      </c>
      <c r="E394" s="8" t="s">
        <v>174</v>
      </c>
      <c r="F394" s="8" t="s">
        <v>111</v>
      </c>
      <c r="G394" s="7" t="s">
        <v>21</v>
      </c>
      <c r="H394" s="47" t="s">
        <v>786</v>
      </c>
      <c r="I394" s="47" t="s">
        <v>787</v>
      </c>
      <c r="J394" s="6">
        <v>64</v>
      </c>
      <c r="K394" s="8" t="s">
        <v>68</v>
      </c>
      <c r="L394" s="5">
        <v>12</v>
      </c>
      <c r="P394" s="3"/>
      <c r="Q394" s="3"/>
      <c r="R394" s="3"/>
    </row>
    <row r="395" spans="1:18" x14ac:dyDescent="0.2">
      <c r="A395" s="7" t="s">
        <v>16</v>
      </c>
      <c r="B395" s="7" t="s">
        <v>55</v>
      </c>
      <c r="C395" s="7" t="s">
        <v>18</v>
      </c>
      <c r="D395" s="4">
        <v>60214517000962</v>
      </c>
      <c r="E395" s="8" t="s">
        <v>175</v>
      </c>
      <c r="F395" s="8" t="s">
        <v>117</v>
      </c>
      <c r="G395" s="7" t="s">
        <v>21</v>
      </c>
      <c r="H395" s="47" t="s">
        <v>786</v>
      </c>
      <c r="I395" s="47" t="s">
        <v>787</v>
      </c>
      <c r="J395" s="6">
        <v>70</v>
      </c>
      <c r="K395" s="8" t="s">
        <v>22</v>
      </c>
      <c r="L395" s="5">
        <v>60</v>
      </c>
      <c r="P395" s="3"/>
      <c r="Q395" s="3"/>
      <c r="R395" s="3"/>
    </row>
    <row r="396" spans="1:18" x14ac:dyDescent="0.2">
      <c r="A396" s="7" t="s">
        <v>16</v>
      </c>
      <c r="B396" s="7" t="s">
        <v>55</v>
      </c>
      <c r="C396" s="7" t="s">
        <v>18</v>
      </c>
      <c r="D396" s="4">
        <v>60214517001691</v>
      </c>
      <c r="E396" s="8" t="s">
        <v>176</v>
      </c>
      <c r="F396" s="8" t="s">
        <v>117</v>
      </c>
      <c r="G396" s="7" t="s">
        <v>21</v>
      </c>
      <c r="H396" s="47" t="s">
        <v>786</v>
      </c>
      <c r="I396" s="47" t="s">
        <v>787</v>
      </c>
      <c r="J396" s="6">
        <v>70</v>
      </c>
      <c r="K396" s="8" t="s">
        <v>22</v>
      </c>
      <c r="L396" s="5">
        <v>660</v>
      </c>
      <c r="P396" s="3"/>
      <c r="Q396" s="3"/>
      <c r="R396" s="3"/>
    </row>
    <row r="397" spans="1:18" x14ac:dyDescent="0.2">
      <c r="A397" s="7" t="s">
        <v>16</v>
      </c>
      <c r="B397" s="7" t="s">
        <v>55</v>
      </c>
      <c r="C397" s="7" t="s">
        <v>18</v>
      </c>
      <c r="D397" s="4">
        <v>63025530008270</v>
      </c>
      <c r="E397" s="8" t="s">
        <v>189</v>
      </c>
      <c r="F397" s="8" t="s">
        <v>136</v>
      </c>
      <c r="G397" s="7" t="s">
        <v>21</v>
      </c>
      <c r="H397" s="47" t="s">
        <v>786</v>
      </c>
      <c r="I397" s="47" t="s">
        <v>787</v>
      </c>
      <c r="J397" s="6">
        <v>70</v>
      </c>
      <c r="K397" s="8" t="s">
        <v>22</v>
      </c>
      <c r="L397" s="5">
        <v>5</v>
      </c>
      <c r="P397" s="3"/>
      <c r="Q397" s="3"/>
      <c r="R397" s="3"/>
    </row>
    <row r="398" spans="1:18" x14ac:dyDescent="0.2">
      <c r="A398" s="7" t="s">
        <v>16</v>
      </c>
      <c r="B398" s="7" t="s">
        <v>55</v>
      </c>
      <c r="C398" s="7" t="s">
        <v>18</v>
      </c>
      <c r="D398" s="4">
        <v>68204486000113</v>
      </c>
      <c r="E398" s="8" t="s">
        <v>190</v>
      </c>
      <c r="F398" s="8" t="s">
        <v>191</v>
      </c>
      <c r="G398" s="7" t="s">
        <v>21</v>
      </c>
      <c r="H398" s="47" t="s">
        <v>786</v>
      </c>
      <c r="I398" s="47" t="s">
        <v>787</v>
      </c>
      <c r="J398" s="6">
        <v>70</v>
      </c>
      <c r="K398" s="8" t="s">
        <v>22</v>
      </c>
      <c r="L398" s="5">
        <v>150</v>
      </c>
      <c r="P398" s="3"/>
      <c r="Q398" s="3"/>
      <c r="R398" s="3"/>
    </row>
    <row r="399" spans="1:18" x14ac:dyDescent="0.2">
      <c r="A399" s="7" t="s">
        <v>16</v>
      </c>
      <c r="B399" s="7" t="s">
        <v>60</v>
      </c>
      <c r="C399" s="7" t="s">
        <v>18</v>
      </c>
      <c r="D399" s="4">
        <v>840048000450</v>
      </c>
      <c r="E399" s="8" t="s">
        <v>106</v>
      </c>
      <c r="F399" s="8" t="s">
        <v>107</v>
      </c>
      <c r="G399" s="7" t="s">
        <v>21</v>
      </c>
      <c r="H399" s="47" t="s">
        <v>786</v>
      </c>
      <c r="I399" s="47" t="s">
        <v>787</v>
      </c>
      <c r="J399" s="6">
        <v>70</v>
      </c>
      <c r="K399" s="8" t="s">
        <v>22</v>
      </c>
      <c r="L399" s="5">
        <v>240</v>
      </c>
      <c r="P399" s="3"/>
      <c r="Q399" s="3"/>
      <c r="R399" s="3"/>
    </row>
    <row r="400" spans="1:18" x14ac:dyDescent="0.2">
      <c r="A400" s="7" t="s">
        <v>16</v>
      </c>
      <c r="B400" s="7" t="s">
        <v>60</v>
      </c>
      <c r="C400" s="7" t="s">
        <v>18</v>
      </c>
      <c r="D400" s="4">
        <v>1613433006892</v>
      </c>
      <c r="E400" s="8" t="s">
        <v>108</v>
      </c>
      <c r="F400" s="8" t="s">
        <v>109</v>
      </c>
      <c r="G400" s="7" t="s">
        <v>21</v>
      </c>
      <c r="H400" s="47" t="s">
        <v>786</v>
      </c>
      <c r="I400" s="47" t="s">
        <v>787</v>
      </c>
      <c r="J400" s="6">
        <v>70</v>
      </c>
      <c r="K400" s="8" t="s">
        <v>22</v>
      </c>
      <c r="L400" s="5">
        <v>1220</v>
      </c>
      <c r="P400" s="3"/>
      <c r="Q400" s="3"/>
      <c r="R400" s="3"/>
    </row>
    <row r="401" spans="1:18" x14ac:dyDescent="0.2">
      <c r="A401" s="7" t="s">
        <v>16</v>
      </c>
      <c r="B401" s="7" t="s">
        <v>60</v>
      </c>
      <c r="C401" s="7" t="s">
        <v>18</v>
      </c>
      <c r="D401" s="4">
        <v>1613433008089</v>
      </c>
      <c r="E401" s="8" t="s">
        <v>192</v>
      </c>
      <c r="F401" s="8" t="s">
        <v>193</v>
      </c>
      <c r="G401" s="7" t="s">
        <v>21</v>
      </c>
      <c r="H401" s="47" t="s">
        <v>786</v>
      </c>
      <c r="I401" s="47" t="s">
        <v>787</v>
      </c>
      <c r="J401" s="6">
        <v>70</v>
      </c>
      <c r="K401" s="8" t="s">
        <v>22</v>
      </c>
      <c r="L401" s="5">
        <v>80</v>
      </c>
      <c r="P401" s="3"/>
      <c r="Q401" s="3"/>
      <c r="R401" s="3"/>
    </row>
    <row r="402" spans="1:18" x14ac:dyDescent="0.2">
      <c r="A402" s="7" t="s">
        <v>16</v>
      </c>
      <c r="B402" s="7" t="s">
        <v>60</v>
      </c>
      <c r="C402" s="7" t="s">
        <v>18</v>
      </c>
      <c r="D402" s="4">
        <v>2643405000173</v>
      </c>
      <c r="E402" s="8" t="s">
        <v>110</v>
      </c>
      <c r="F402" s="8" t="s">
        <v>111</v>
      </c>
      <c r="G402" s="7" t="s">
        <v>21</v>
      </c>
      <c r="H402" s="47" t="s">
        <v>786</v>
      </c>
      <c r="I402" s="47" t="s">
        <v>787</v>
      </c>
      <c r="J402" s="6">
        <v>73</v>
      </c>
      <c r="K402" s="8" t="s">
        <v>69</v>
      </c>
      <c r="L402" s="5">
        <v>36</v>
      </c>
      <c r="P402" s="3"/>
      <c r="Q402" s="3"/>
      <c r="R402" s="3"/>
    </row>
    <row r="403" spans="1:18" x14ac:dyDescent="0.2">
      <c r="A403" s="7" t="s">
        <v>16</v>
      </c>
      <c r="B403" s="7" t="s">
        <v>60</v>
      </c>
      <c r="C403" s="7" t="s">
        <v>18</v>
      </c>
      <c r="D403" s="4">
        <v>4275687000129</v>
      </c>
      <c r="E403" s="8" t="s">
        <v>112</v>
      </c>
      <c r="F403" s="8" t="s">
        <v>113</v>
      </c>
      <c r="G403" s="7" t="s">
        <v>21</v>
      </c>
      <c r="H403" s="47" t="s">
        <v>786</v>
      </c>
      <c r="I403" s="47" t="s">
        <v>787</v>
      </c>
      <c r="J403" s="6">
        <v>73</v>
      </c>
      <c r="K403" s="8" t="s">
        <v>69</v>
      </c>
      <c r="L403" s="5">
        <v>52</v>
      </c>
      <c r="P403" s="3"/>
      <c r="Q403" s="3"/>
      <c r="R403" s="3"/>
    </row>
    <row r="404" spans="1:18" x14ac:dyDescent="0.2">
      <c r="A404" s="7" t="s">
        <v>16</v>
      </c>
      <c r="B404" s="7" t="s">
        <v>60</v>
      </c>
      <c r="C404" s="7" t="s">
        <v>18</v>
      </c>
      <c r="D404" s="4">
        <v>6033403000113</v>
      </c>
      <c r="E404" s="8" t="s">
        <v>114</v>
      </c>
      <c r="F404" s="8" t="s">
        <v>115</v>
      </c>
      <c r="G404" s="7" t="s">
        <v>21</v>
      </c>
      <c r="H404" s="47" t="s">
        <v>786</v>
      </c>
      <c r="I404" s="47" t="s">
        <v>787</v>
      </c>
      <c r="J404" s="6">
        <v>64</v>
      </c>
      <c r="K404" s="8" t="s">
        <v>68</v>
      </c>
      <c r="L404" s="5">
        <v>14</v>
      </c>
      <c r="P404" s="3"/>
      <c r="Q404" s="3"/>
      <c r="R404" s="3"/>
    </row>
    <row r="405" spans="1:18" x14ac:dyDescent="0.2">
      <c r="A405" s="7" t="s">
        <v>16</v>
      </c>
      <c r="B405" s="7" t="s">
        <v>60</v>
      </c>
      <c r="C405" s="7" t="s">
        <v>18</v>
      </c>
      <c r="D405" s="4">
        <v>6047087000724</v>
      </c>
      <c r="E405" s="8" t="s">
        <v>194</v>
      </c>
      <c r="F405" s="8" t="s">
        <v>115</v>
      </c>
      <c r="G405" s="7" t="s">
        <v>21</v>
      </c>
      <c r="H405" s="47" t="s">
        <v>786</v>
      </c>
      <c r="I405" s="47" t="s">
        <v>787</v>
      </c>
      <c r="J405" s="6">
        <v>62</v>
      </c>
      <c r="K405" s="8" t="s">
        <v>74</v>
      </c>
      <c r="L405" s="5">
        <v>10</v>
      </c>
      <c r="P405" s="3"/>
      <c r="Q405" s="3"/>
      <c r="R405" s="3"/>
    </row>
    <row r="406" spans="1:18" x14ac:dyDescent="0.2">
      <c r="A406" s="7" t="s">
        <v>16</v>
      </c>
      <c r="B406" s="7" t="s">
        <v>60</v>
      </c>
      <c r="C406" s="7" t="s">
        <v>18</v>
      </c>
      <c r="D406" s="4">
        <v>6047087000724</v>
      </c>
      <c r="E406" s="8" t="s">
        <v>194</v>
      </c>
      <c r="F406" s="8" t="s">
        <v>115</v>
      </c>
      <c r="G406" s="7" t="s">
        <v>21</v>
      </c>
      <c r="H406" s="47" t="s">
        <v>786</v>
      </c>
      <c r="I406" s="47" t="s">
        <v>787</v>
      </c>
      <c r="J406" s="6">
        <v>64</v>
      </c>
      <c r="K406" s="8" t="s">
        <v>68</v>
      </c>
      <c r="L406" s="5">
        <v>12</v>
      </c>
      <c r="P406" s="3"/>
      <c r="Q406" s="3"/>
      <c r="R406" s="3"/>
    </row>
    <row r="407" spans="1:18" x14ac:dyDescent="0.2">
      <c r="A407" s="7" t="s">
        <v>16</v>
      </c>
      <c r="B407" s="7" t="s">
        <v>60</v>
      </c>
      <c r="C407" s="7" t="s">
        <v>18</v>
      </c>
      <c r="D407" s="4">
        <v>6047087003073</v>
      </c>
      <c r="E407" s="8" t="s">
        <v>116</v>
      </c>
      <c r="F407" s="8" t="s">
        <v>117</v>
      </c>
      <c r="G407" s="7" t="s">
        <v>21</v>
      </c>
      <c r="H407" s="47" t="s">
        <v>786</v>
      </c>
      <c r="I407" s="47" t="s">
        <v>787</v>
      </c>
      <c r="J407" s="6">
        <v>66</v>
      </c>
      <c r="K407" s="8" t="s">
        <v>99</v>
      </c>
      <c r="L407" s="5">
        <v>3</v>
      </c>
      <c r="P407" s="3"/>
      <c r="Q407" s="3"/>
      <c r="R407" s="3"/>
    </row>
    <row r="408" spans="1:18" x14ac:dyDescent="0.2">
      <c r="A408" s="7" t="s">
        <v>16</v>
      </c>
      <c r="B408" s="7" t="s">
        <v>60</v>
      </c>
      <c r="C408" s="7" t="s">
        <v>18</v>
      </c>
      <c r="D408" s="4">
        <v>6047087003073</v>
      </c>
      <c r="E408" s="8" t="s">
        <v>116</v>
      </c>
      <c r="F408" s="8" t="s">
        <v>117</v>
      </c>
      <c r="G408" s="7" t="s">
        <v>21</v>
      </c>
      <c r="H408" s="47" t="s">
        <v>786</v>
      </c>
      <c r="I408" s="47" t="s">
        <v>787</v>
      </c>
      <c r="J408" s="6">
        <v>73</v>
      </c>
      <c r="K408" s="8" t="s">
        <v>69</v>
      </c>
      <c r="L408" s="5">
        <v>48</v>
      </c>
      <c r="P408" s="3"/>
      <c r="Q408" s="3"/>
      <c r="R408" s="3"/>
    </row>
    <row r="409" spans="1:18" x14ac:dyDescent="0.2">
      <c r="A409" s="7" t="s">
        <v>16</v>
      </c>
      <c r="B409" s="7" t="s">
        <v>60</v>
      </c>
      <c r="C409" s="7" t="s">
        <v>18</v>
      </c>
      <c r="D409" s="4">
        <v>6047087007656</v>
      </c>
      <c r="E409" s="8" t="s">
        <v>118</v>
      </c>
      <c r="F409" s="8" t="s">
        <v>119</v>
      </c>
      <c r="G409" s="7" t="s">
        <v>21</v>
      </c>
      <c r="H409" s="47" t="s">
        <v>786</v>
      </c>
      <c r="I409" s="47" t="s">
        <v>787</v>
      </c>
      <c r="J409" s="6">
        <v>62</v>
      </c>
      <c r="K409" s="8" t="s">
        <v>74</v>
      </c>
      <c r="L409" s="5">
        <v>3</v>
      </c>
      <c r="P409" s="3"/>
      <c r="Q409" s="3"/>
      <c r="R409" s="3"/>
    </row>
    <row r="410" spans="1:18" x14ac:dyDescent="0.2">
      <c r="A410" s="7" t="s">
        <v>16</v>
      </c>
      <c r="B410" s="7" t="s">
        <v>60</v>
      </c>
      <c r="C410" s="7" t="s">
        <v>18</v>
      </c>
      <c r="D410" s="4">
        <v>9528436000122</v>
      </c>
      <c r="E410" s="8" t="s">
        <v>195</v>
      </c>
      <c r="F410" s="8" t="s">
        <v>182</v>
      </c>
      <c r="G410" s="7" t="s">
        <v>21</v>
      </c>
      <c r="H410" s="47" t="s">
        <v>786</v>
      </c>
      <c r="I410" s="47" t="s">
        <v>787</v>
      </c>
      <c r="J410" s="6">
        <v>70</v>
      </c>
      <c r="K410" s="8" t="s">
        <v>22</v>
      </c>
      <c r="L410" s="5">
        <v>150</v>
      </c>
      <c r="P410" s="3"/>
      <c r="Q410" s="3"/>
      <c r="R410" s="3"/>
    </row>
    <row r="411" spans="1:18" x14ac:dyDescent="0.2">
      <c r="A411" s="7" t="s">
        <v>16</v>
      </c>
      <c r="B411" s="7" t="s">
        <v>60</v>
      </c>
      <c r="C411" s="7" t="s">
        <v>18</v>
      </c>
      <c r="D411" s="4">
        <v>10447300000177</v>
      </c>
      <c r="E411" s="8" t="s">
        <v>122</v>
      </c>
      <c r="F411" s="8" t="s">
        <v>123</v>
      </c>
      <c r="G411" s="7" t="s">
        <v>21</v>
      </c>
      <c r="H411" s="47" t="s">
        <v>786</v>
      </c>
      <c r="I411" s="47" t="s">
        <v>787</v>
      </c>
      <c r="J411" s="6">
        <v>73</v>
      </c>
      <c r="K411" s="8" t="s">
        <v>69</v>
      </c>
      <c r="L411" s="5">
        <v>4</v>
      </c>
      <c r="P411" s="3"/>
      <c r="Q411" s="3"/>
      <c r="R411" s="3"/>
    </row>
    <row r="412" spans="1:18" x14ac:dyDescent="0.2">
      <c r="A412" s="7" t="s">
        <v>16</v>
      </c>
      <c r="B412" s="7" t="s">
        <v>60</v>
      </c>
      <c r="C412" s="7" t="s">
        <v>18</v>
      </c>
      <c r="D412" s="4">
        <v>10576443000189</v>
      </c>
      <c r="E412" s="8" t="s">
        <v>178</v>
      </c>
      <c r="F412" s="8" t="s">
        <v>111</v>
      </c>
      <c r="G412" s="7" t="s">
        <v>21</v>
      </c>
      <c r="H412" s="47" t="s">
        <v>786</v>
      </c>
      <c r="I412" s="47" t="s">
        <v>787</v>
      </c>
      <c r="J412" s="6">
        <v>70</v>
      </c>
      <c r="K412" s="8" t="s">
        <v>22</v>
      </c>
      <c r="L412" s="5">
        <v>160</v>
      </c>
      <c r="P412" s="3"/>
      <c r="Q412" s="3"/>
      <c r="R412" s="3"/>
    </row>
    <row r="413" spans="1:18" x14ac:dyDescent="0.2">
      <c r="A413" s="7" t="s">
        <v>16</v>
      </c>
      <c r="B413" s="7" t="s">
        <v>60</v>
      </c>
      <c r="C413" s="7" t="s">
        <v>18</v>
      </c>
      <c r="D413" s="4">
        <v>10868295000176</v>
      </c>
      <c r="E413" s="8" t="s">
        <v>179</v>
      </c>
      <c r="F413" s="8" t="s">
        <v>129</v>
      </c>
      <c r="G413" s="7" t="s">
        <v>21</v>
      </c>
      <c r="H413" s="47" t="s">
        <v>786</v>
      </c>
      <c r="I413" s="47" t="s">
        <v>787</v>
      </c>
      <c r="J413" s="6">
        <v>70</v>
      </c>
      <c r="K413" s="8" t="s">
        <v>22</v>
      </c>
      <c r="L413" s="5">
        <v>120</v>
      </c>
      <c r="P413" s="3"/>
      <c r="Q413" s="3"/>
      <c r="R413" s="3"/>
    </row>
    <row r="414" spans="1:18" x14ac:dyDescent="0.2">
      <c r="A414" s="7" t="s">
        <v>16</v>
      </c>
      <c r="B414" s="7" t="s">
        <v>60</v>
      </c>
      <c r="C414" s="7" t="s">
        <v>18</v>
      </c>
      <c r="D414" s="4">
        <v>12474705000120</v>
      </c>
      <c r="E414" s="8" t="s">
        <v>196</v>
      </c>
      <c r="F414" s="8" t="s">
        <v>197</v>
      </c>
      <c r="G414" s="7" t="s">
        <v>21</v>
      </c>
      <c r="H414" s="47" t="s">
        <v>786</v>
      </c>
      <c r="I414" s="47" t="s">
        <v>787</v>
      </c>
      <c r="J414" s="6">
        <v>70</v>
      </c>
      <c r="K414" s="8" t="s">
        <v>22</v>
      </c>
      <c r="L414" s="5">
        <v>125</v>
      </c>
      <c r="P414" s="3"/>
      <c r="Q414" s="3"/>
      <c r="R414" s="3"/>
    </row>
    <row r="415" spans="1:18" x14ac:dyDescent="0.2">
      <c r="A415" s="7" t="s">
        <v>16</v>
      </c>
      <c r="B415" s="7" t="s">
        <v>60</v>
      </c>
      <c r="C415" s="7" t="s">
        <v>18</v>
      </c>
      <c r="D415" s="4">
        <v>13718999001041</v>
      </c>
      <c r="E415" s="8" t="s">
        <v>124</v>
      </c>
      <c r="F415" s="8" t="s">
        <v>115</v>
      </c>
      <c r="G415" s="7" t="s">
        <v>21</v>
      </c>
      <c r="H415" s="47" t="s">
        <v>786</v>
      </c>
      <c r="I415" s="47" t="s">
        <v>787</v>
      </c>
      <c r="J415" s="6">
        <v>73</v>
      </c>
      <c r="K415" s="8" t="s">
        <v>69</v>
      </c>
      <c r="L415" s="5">
        <v>8</v>
      </c>
      <c r="P415" s="3"/>
      <c r="Q415" s="3"/>
      <c r="R415" s="3"/>
    </row>
    <row r="416" spans="1:18" x14ac:dyDescent="0.2">
      <c r="A416" s="7" t="s">
        <v>16</v>
      </c>
      <c r="B416" s="7" t="s">
        <v>60</v>
      </c>
      <c r="C416" s="7" t="s">
        <v>18</v>
      </c>
      <c r="D416" s="4">
        <v>18321477000134</v>
      </c>
      <c r="E416" s="8" t="s">
        <v>125</v>
      </c>
      <c r="F416" s="8" t="s">
        <v>117</v>
      </c>
      <c r="G416" s="7" t="s">
        <v>21</v>
      </c>
      <c r="H416" s="47" t="s">
        <v>786</v>
      </c>
      <c r="I416" s="47" t="s">
        <v>787</v>
      </c>
      <c r="J416" s="6">
        <v>73</v>
      </c>
      <c r="K416" s="8" t="s">
        <v>69</v>
      </c>
      <c r="L416" s="5">
        <v>48</v>
      </c>
      <c r="P416" s="3"/>
      <c r="Q416" s="3"/>
      <c r="R416" s="3"/>
    </row>
    <row r="417" spans="1:18" x14ac:dyDescent="0.2">
      <c r="A417" s="7" t="s">
        <v>16</v>
      </c>
      <c r="B417" s="7" t="s">
        <v>60</v>
      </c>
      <c r="C417" s="7" t="s">
        <v>18</v>
      </c>
      <c r="D417" s="4">
        <v>25026561000190</v>
      </c>
      <c r="E417" s="8" t="s">
        <v>126</v>
      </c>
      <c r="F417" s="8" t="s">
        <v>127</v>
      </c>
      <c r="G417" s="7" t="s">
        <v>21</v>
      </c>
      <c r="H417" s="47" t="s">
        <v>786</v>
      </c>
      <c r="I417" s="47" t="s">
        <v>787</v>
      </c>
      <c r="J417" s="6">
        <v>70</v>
      </c>
      <c r="K417" s="8" t="s">
        <v>22</v>
      </c>
      <c r="L417" s="5">
        <v>20</v>
      </c>
      <c r="P417" s="3"/>
      <c r="Q417" s="3"/>
      <c r="R417" s="3"/>
    </row>
    <row r="418" spans="1:18" x14ac:dyDescent="0.2">
      <c r="A418" s="7" t="s">
        <v>16</v>
      </c>
      <c r="B418" s="7" t="s">
        <v>60</v>
      </c>
      <c r="C418" s="7" t="s">
        <v>18</v>
      </c>
      <c r="D418" s="4">
        <v>29435005008103</v>
      </c>
      <c r="E418" s="8" t="s">
        <v>198</v>
      </c>
      <c r="F418" s="8" t="s">
        <v>199</v>
      </c>
      <c r="G418" s="7" t="s">
        <v>21</v>
      </c>
      <c r="H418" s="47" t="s">
        <v>786</v>
      </c>
      <c r="I418" s="47" t="s">
        <v>787</v>
      </c>
      <c r="J418" s="6">
        <v>70</v>
      </c>
      <c r="K418" s="8" t="s">
        <v>22</v>
      </c>
      <c r="L418" s="5">
        <v>5</v>
      </c>
      <c r="P418" s="3"/>
      <c r="Q418" s="3"/>
      <c r="R418" s="3"/>
    </row>
    <row r="419" spans="1:18" x14ac:dyDescent="0.2">
      <c r="A419" s="7" t="s">
        <v>16</v>
      </c>
      <c r="B419" s="7" t="s">
        <v>60</v>
      </c>
      <c r="C419" s="7" t="s">
        <v>18</v>
      </c>
      <c r="D419" s="4">
        <v>29435005008294</v>
      </c>
      <c r="E419" s="8" t="s">
        <v>130</v>
      </c>
      <c r="F419" s="8" t="s">
        <v>131</v>
      </c>
      <c r="G419" s="7" t="s">
        <v>21</v>
      </c>
      <c r="H419" s="47" t="s">
        <v>786</v>
      </c>
      <c r="I419" s="47" t="s">
        <v>787</v>
      </c>
      <c r="J419" s="6">
        <v>70</v>
      </c>
      <c r="K419" s="8" t="s">
        <v>22</v>
      </c>
      <c r="L419" s="5">
        <v>300</v>
      </c>
      <c r="P419" s="3"/>
      <c r="Q419" s="3"/>
      <c r="R419" s="3"/>
    </row>
    <row r="420" spans="1:18" x14ac:dyDescent="0.2">
      <c r="A420" s="7" t="s">
        <v>16</v>
      </c>
      <c r="B420" s="7" t="s">
        <v>60</v>
      </c>
      <c r="C420" s="7" t="s">
        <v>18</v>
      </c>
      <c r="D420" s="4">
        <v>29435005008456</v>
      </c>
      <c r="E420" s="8" t="s">
        <v>132</v>
      </c>
      <c r="F420" s="8" t="s">
        <v>123</v>
      </c>
      <c r="G420" s="7" t="s">
        <v>21</v>
      </c>
      <c r="H420" s="47" t="s">
        <v>786</v>
      </c>
      <c r="I420" s="47" t="s">
        <v>787</v>
      </c>
      <c r="J420" s="6">
        <v>70</v>
      </c>
      <c r="K420" s="8" t="s">
        <v>22</v>
      </c>
      <c r="L420" s="5">
        <v>200</v>
      </c>
      <c r="P420" s="3"/>
      <c r="Q420" s="3"/>
      <c r="R420" s="3"/>
    </row>
    <row r="421" spans="1:18" x14ac:dyDescent="0.2">
      <c r="A421" s="7" t="s">
        <v>16</v>
      </c>
      <c r="B421" s="7" t="s">
        <v>60</v>
      </c>
      <c r="C421" s="7" t="s">
        <v>18</v>
      </c>
      <c r="D421" s="4">
        <v>43293604002120</v>
      </c>
      <c r="E421" s="8" t="s">
        <v>133</v>
      </c>
      <c r="F421" s="8" t="s">
        <v>134</v>
      </c>
      <c r="G421" s="7" t="s">
        <v>21</v>
      </c>
      <c r="H421" s="47" t="s">
        <v>786</v>
      </c>
      <c r="I421" s="47" t="s">
        <v>787</v>
      </c>
      <c r="J421" s="6">
        <v>70</v>
      </c>
      <c r="K421" s="8" t="s">
        <v>22</v>
      </c>
      <c r="L421" s="5">
        <v>65</v>
      </c>
      <c r="P421" s="3"/>
      <c r="Q421" s="3"/>
      <c r="R421" s="3"/>
    </row>
    <row r="422" spans="1:18" x14ac:dyDescent="0.2">
      <c r="A422" s="7" t="s">
        <v>16</v>
      </c>
      <c r="B422" s="7" t="s">
        <v>60</v>
      </c>
      <c r="C422" s="7" t="s">
        <v>18</v>
      </c>
      <c r="D422" s="4">
        <v>44456036000311</v>
      </c>
      <c r="E422" s="8" t="s">
        <v>135</v>
      </c>
      <c r="F422" s="8" t="s">
        <v>136</v>
      </c>
      <c r="G422" s="7" t="s">
        <v>21</v>
      </c>
      <c r="H422" s="47" t="s">
        <v>786</v>
      </c>
      <c r="I422" s="47" t="s">
        <v>787</v>
      </c>
      <c r="J422" s="6">
        <v>64</v>
      </c>
      <c r="K422" s="8" t="s">
        <v>68</v>
      </c>
      <c r="L422" s="5">
        <v>7</v>
      </c>
      <c r="P422" s="3"/>
      <c r="Q422" s="3"/>
      <c r="R422" s="3"/>
    </row>
    <row r="423" spans="1:18" x14ac:dyDescent="0.2">
      <c r="A423" s="7" t="s">
        <v>16</v>
      </c>
      <c r="B423" s="7" t="s">
        <v>60</v>
      </c>
      <c r="C423" s="7" t="s">
        <v>18</v>
      </c>
      <c r="D423" s="4">
        <v>44649812001614</v>
      </c>
      <c r="E423" s="8" t="s">
        <v>200</v>
      </c>
      <c r="F423" s="8" t="s">
        <v>153</v>
      </c>
      <c r="G423" s="7" t="s">
        <v>21</v>
      </c>
      <c r="H423" s="47" t="s">
        <v>786</v>
      </c>
      <c r="I423" s="47" t="s">
        <v>787</v>
      </c>
      <c r="J423" s="6">
        <v>64</v>
      </c>
      <c r="K423" s="8" t="s">
        <v>68</v>
      </c>
      <c r="L423" s="5">
        <v>4</v>
      </c>
      <c r="P423" s="3"/>
      <c r="Q423" s="3"/>
      <c r="R423" s="3"/>
    </row>
    <row r="424" spans="1:18" x14ac:dyDescent="0.2">
      <c r="A424" s="7" t="s">
        <v>16</v>
      </c>
      <c r="B424" s="7" t="s">
        <v>60</v>
      </c>
      <c r="C424" s="7" t="s">
        <v>18</v>
      </c>
      <c r="D424" s="4">
        <v>44649812019238</v>
      </c>
      <c r="E424" s="8" t="s">
        <v>139</v>
      </c>
      <c r="F424" s="8" t="s">
        <v>123</v>
      </c>
      <c r="G424" s="7" t="s">
        <v>21</v>
      </c>
      <c r="H424" s="47" t="s">
        <v>786</v>
      </c>
      <c r="I424" s="47" t="s">
        <v>787</v>
      </c>
      <c r="J424" s="6">
        <v>73</v>
      </c>
      <c r="K424" s="8" t="s">
        <v>69</v>
      </c>
      <c r="L424" s="5">
        <v>8</v>
      </c>
      <c r="P424" s="3"/>
      <c r="Q424" s="3"/>
      <c r="R424" s="3"/>
    </row>
    <row r="425" spans="1:18" x14ac:dyDescent="0.2">
      <c r="A425" s="7" t="s">
        <v>16</v>
      </c>
      <c r="B425" s="7" t="s">
        <v>60</v>
      </c>
      <c r="C425" s="7" t="s">
        <v>18</v>
      </c>
      <c r="D425" s="4">
        <v>44663631000590</v>
      </c>
      <c r="E425" s="8" t="s">
        <v>140</v>
      </c>
      <c r="F425" s="8" t="s">
        <v>141</v>
      </c>
      <c r="G425" s="7" t="s">
        <v>21</v>
      </c>
      <c r="H425" s="47" t="s">
        <v>786</v>
      </c>
      <c r="I425" s="47" t="s">
        <v>787</v>
      </c>
      <c r="J425" s="6">
        <v>70</v>
      </c>
      <c r="K425" s="8" t="s">
        <v>22</v>
      </c>
      <c r="L425" s="5">
        <v>195</v>
      </c>
      <c r="P425" s="3"/>
      <c r="Q425" s="3"/>
      <c r="R425" s="3"/>
    </row>
    <row r="426" spans="1:18" x14ac:dyDescent="0.2">
      <c r="A426" s="7" t="s">
        <v>16</v>
      </c>
      <c r="B426" s="7" t="s">
        <v>60</v>
      </c>
      <c r="C426" s="7" t="s">
        <v>18</v>
      </c>
      <c r="D426" s="4">
        <v>44663631000590</v>
      </c>
      <c r="E426" s="8" t="s">
        <v>140</v>
      </c>
      <c r="F426" s="8" t="s">
        <v>141</v>
      </c>
      <c r="G426" s="7" t="s">
        <v>21</v>
      </c>
      <c r="H426" s="47" t="s">
        <v>786</v>
      </c>
      <c r="I426" s="47" t="s">
        <v>787</v>
      </c>
      <c r="J426" s="6">
        <v>73</v>
      </c>
      <c r="K426" s="8" t="s">
        <v>69</v>
      </c>
      <c r="L426" s="5">
        <v>32</v>
      </c>
      <c r="P426" s="3"/>
      <c r="Q426" s="3"/>
      <c r="R426" s="3"/>
    </row>
    <row r="427" spans="1:18" x14ac:dyDescent="0.2">
      <c r="A427" s="7" t="s">
        <v>16</v>
      </c>
      <c r="B427" s="7" t="s">
        <v>60</v>
      </c>
      <c r="C427" s="7" t="s">
        <v>18</v>
      </c>
      <c r="D427" s="4">
        <v>44803922000293</v>
      </c>
      <c r="E427" s="8" t="s">
        <v>142</v>
      </c>
      <c r="F427" s="8" t="s">
        <v>143</v>
      </c>
      <c r="G427" s="7" t="s">
        <v>21</v>
      </c>
      <c r="H427" s="47" t="s">
        <v>786</v>
      </c>
      <c r="I427" s="47" t="s">
        <v>787</v>
      </c>
      <c r="J427" s="6">
        <v>73</v>
      </c>
      <c r="K427" s="8" t="s">
        <v>69</v>
      </c>
      <c r="L427" s="5">
        <v>8</v>
      </c>
      <c r="P427" s="3"/>
      <c r="Q427" s="3"/>
      <c r="R427" s="3"/>
    </row>
    <row r="428" spans="1:18" x14ac:dyDescent="0.2">
      <c r="A428" s="7" t="s">
        <v>16</v>
      </c>
      <c r="B428" s="7" t="s">
        <v>60</v>
      </c>
      <c r="C428" s="7" t="s">
        <v>18</v>
      </c>
      <c r="D428" s="4">
        <v>45118429001279</v>
      </c>
      <c r="E428" s="8" t="s">
        <v>144</v>
      </c>
      <c r="F428" s="8" t="s">
        <v>145</v>
      </c>
      <c r="G428" s="7" t="s">
        <v>21</v>
      </c>
      <c r="H428" s="47" t="s">
        <v>786</v>
      </c>
      <c r="I428" s="47" t="s">
        <v>787</v>
      </c>
      <c r="J428" s="6">
        <v>64</v>
      </c>
      <c r="K428" s="8" t="s">
        <v>68</v>
      </c>
      <c r="L428" s="5">
        <v>7</v>
      </c>
      <c r="P428" s="3"/>
      <c r="Q428" s="3"/>
      <c r="R428" s="3"/>
    </row>
    <row r="429" spans="1:18" x14ac:dyDescent="0.2">
      <c r="A429" s="7" t="s">
        <v>16</v>
      </c>
      <c r="B429" s="7" t="s">
        <v>60</v>
      </c>
      <c r="C429" s="7" t="s">
        <v>18</v>
      </c>
      <c r="D429" s="4">
        <v>45118429001279</v>
      </c>
      <c r="E429" s="8" t="s">
        <v>144</v>
      </c>
      <c r="F429" s="8" t="s">
        <v>145</v>
      </c>
      <c r="G429" s="7" t="s">
        <v>21</v>
      </c>
      <c r="H429" s="47" t="s">
        <v>786</v>
      </c>
      <c r="I429" s="47" t="s">
        <v>787</v>
      </c>
      <c r="J429" s="6">
        <v>70</v>
      </c>
      <c r="K429" s="8" t="s">
        <v>22</v>
      </c>
      <c r="L429" s="5">
        <v>100</v>
      </c>
      <c r="P429" s="3"/>
      <c r="Q429" s="3"/>
      <c r="R429" s="3"/>
    </row>
    <row r="430" spans="1:18" x14ac:dyDescent="0.2">
      <c r="A430" s="7" t="s">
        <v>16</v>
      </c>
      <c r="B430" s="7" t="s">
        <v>60</v>
      </c>
      <c r="C430" s="7" t="s">
        <v>18</v>
      </c>
      <c r="D430" s="4">
        <v>45118429001279</v>
      </c>
      <c r="E430" s="8" t="s">
        <v>144</v>
      </c>
      <c r="F430" s="8" t="s">
        <v>145</v>
      </c>
      <c r="G430" s="7" t="s">
        <v>21</v>
      </c>
      <c r="H430" s="47" t="s">
        <v>786</v>
      </c>
      <c r="I430" s="47" t="s">
        <v>787</v>
      </c>
      <c r="J430" s="6">
        <v>73</v>
      </c>
      <c r="K430" s="8" t="s">
        <v>69</v>
      </c>
      <c r="L430" s="5">
        <v>6</v>
      </c>
      <c r="P430" s="3"/>
      <c r="Q430" s="3"/>
      <c r="R430" s="3"/>
    </row>
    <row r="431" spans="1:18" x14ac:dyDescent="0.2">
      <c r="A431" s="7" t="s">
        <v>16</v>
      </c>
      <c r="B431" s="7" t="s">
        <v>60</v>
      </c>
      <c r="C431" s="7" t="s">
        <v>18</v>
      </c>
      <c r="D431" s="4">
        <v>45184066000117</v>
      </c>
      <c r="E431" s="8" t="s">
        <v>146</v>
      </c>
      <c r="F431" s="8" t="s">
        <v>117</v>
      </c>
      <c r="G431" s="7" t="s">
        <v>21</v>
      </c>
      <c r="H431" s="47" t="s">
        <v>786</v>
      </c>
      <c r="I431" s="47" t="s">
        <v>787</v>
      </c>
      <c r="J431" s="6">
        <v>70</v>
      </c>
      <c r="K431" s="8" t="s">
        <v>22</v>
      </c>
      <c r="L431" s="5">
        <v>100</v>
      </c>
      <c r="P431" s="3"/>
      <c r="Q431" s="3"/>
      <c r="R431" s="3"/>
    </row>
    <row r="432" spans="1:18" x14ac:dyDescent="0.2">
      <c r="A432" s="7" t="s">
        <v>16</v>
      </c>
      <c r="B432" s="7" t="s">
        <v>60</v>
      </c>
      <c r="C432" s="7" t="s">
        <v>18</v>
      </c>
      <c r="D432" s="4">
        <v>45184066000117</v>
      </c>
      <c r="E432" s="8" t="s">
        <v>146</v>
      </c>
      <c r="F432" s="8" t="s">
        <v>117</v>
      </c>
      <c r="G432" s="7" t="s">
        <v>21</v>
      </c>
      <c r="H432" s="47" t="s">
        <v>786</v>
      </c>
      <c r="I432" s="47" t="s">
        <v>787</v>
      </c>
      <c r="J432" s="6">
        <v>73</v>
      </c>
      <c r="K432" s="8" t="s">
        <v>69</v>
      </c>
      <c r="L432" s="5">
        <v>15</v>
      </c>
      <c r="P432" s="3"/>
      <c r="Q432" s="3"/>
      <c r="R432" s="3"/>
    </row>
    <row r="433" spans="1:18" x14ac:dyDescent="0.2">
      <c r="A433" s="7" t="s">
        <v>16</v>
      </c>
      <c r="B433" s="7" t="s">
        <v>60</v>
      </c>
      <c r="C433" s="7" t="s">
        <v>18</v>
      </c>
      <c r="D433" s="4">
        <v>45232246000550</v>
      </c>
      <c r="E433" s="8" t="s">
        <v>147</v>
      </c>
      <c r="F433" s="8" t="s">
        <v>109</v>
      </c>
      <c r="G433" s="7" t="s">
        <v>21</v>
      </c>
      <c r="H433" s="47" t="s">
        <v>786</v>
      </c>
      <c r="I433" s="47" t="s">
        <v>787</v>
      </c>
      <c r="J433" s="6">
        <v>70</v>
      </c>
      <c r="K433" s="8" t="s">
        <v>22</v>
      </c>
      <c r="L433" s="5">
        <v>360</v>
      </c>
      <c r="P433" s="3"/>
      <c r="Q433" s="3"/>
      <c r="R433" s="3"/>
    </row>
    <row r="434" spans="1:18" x14ac:dyDescent="0.2">
      <c r="A434" s="7" t="s">
        <v>16</v>
      </c>
      <c r="B434" s="7" t="s">
        <v>60</v>
      </c>
      <c r="C434" s="7" t="s">
        <v>18</v>
      </c>
      <c r="D434" s="4">
        <v>45232246000550</v>
      </c>
      <c r="E434" s="8" t="s">
        <v>147</v>
      </c>
      <c r="F434" s="8" t="s">
        <v>109</v>
      </c>
      <c r="G434" s="7" t="s">
        <v>21</v>
      </c>
      <c r="H434" s="47" t="s">
        <v>786</v>
      </c>
      <c r="I434" s="47" t="s">
        <v>787</v>
      </c>
      <c r="J434" s="6">
        <v>73</v>
      </c>
      <c r="K434" s="8" t="s">
        <v>69</v>
      </c>
      <c r="L434" s="5">
        <v>62</v>
      </c>
      <c r="P434" s="3"/>
      <c r="Q434" s="3"/>
      <c r="R434" s="3"/>
    </row>
    <row r="435" spans="1:18" x14ac:dyDescent="0.2">
      <c r="A435" s="7" t="s">
        <v>16</v>
      </c>
      <c r="B435" s="7" t="s">
        <v>60</v>
      </c>
      <c r="C435" s="7" t="s">
        <v>18</v>
      </c>
      <c r="D435" s="4">
        <v>45359213000576</v>
      </c>
      <c r="E435" s="8" t="s">
        <v>148</v>
      </c>
      <c r="F435" s="8" t="s">
        <v>149</v>
      </c>
      <c r="G435" s="7" t="s">
        <v>21</v>
      </c>
      <c r="H435" s="47" t="s">
        <v>786</v>
      </c>
      <c r="I435" s="47" t="s">
        <v>787</v>
      </c>
      <c r="J435" s="6">
        <v>73</v>
      </c>
      <c r="K435" s="8" t="s">
        <v>69</v>
      </c>
      <c r="L435" s="5">
        <v>8</v>
      </c>
      <c r="P435" s="3"/>
      <c r="Q435" s="3"/>
      <c r="R435" s="3"/>
    </row>
    <row r="436" spans="1:18" x14ac:dyDescent="0.2">
      <c r="A436" s="7" t="s">
        <v>16</v>
      </c>
      <c r="B436" s="7" t="s">
        <v>60</v>
      </c>
      <c r="C436" s="7" t="s">
        <v>18</v>
      </c>
      <c r="D436" s="4">
        <v>45399961000230</v>
      </c>
      <c r="E436" s="8" t="s">
        <v>150</v>
      </c>
      <c r="F436" s="8" t="s">
        <v>151</v>
      </c>
      <c r="G436" s="7" t="s">
        <v>21</v>
      </c>
      <c r="H436" s="47" t="s">
        <v>786</v>
      </c>
      <c r="I436" s="47" t="s">
        <v>787</v>
      </c>
      <c r="J436" s="6">
        <v>70</v>
      </c>
      <c r="K436" s="8" t="s">
        <v>22</v>
      </c>
      <c r="L436" s="5">
        <v>300</v>
      </c>
      <c r="P436" s="3"/>
      <c r="Q436" s="3"/>
      <c r="R436" s="3"/>
    </row>
    <row r="437" spans="1:18" x14ac:dyDescent="0.2">
      <c r="A437" s="7" t="s">
        <v>16</v>
      </c>
      <c r="B437" s="7" t="s">
        <v>60</v>
      </c>
      <c r="C437" s="7" t="s">
        <v>18</v>
      </c>
      <c r="D437" s="4">
        <v>45780103000150</v>
      </c>
      <c r="E437" s="8" t="s">
        <v>152</v>
      </c>
      <c r="F437" s="8" t="s">
        <v>153</v>
      </c>
      <c r="G437" s="7" t="s">
        <v>21</v>
      </c>
      <c r="H437" s="47" t="s">
        <v>786</v>
      </c>
      <c r="I437" s="47" t="s">
        <v>787</v>
      </c>
      <c r="J437" s="6">
        <v>70</v>
      </c>
      <c r="K437" s="8" t="s">
        <v>22</v>
      </c>
      <c r="L437" s="5">
        <v>615</v>
      </c>
      <c r="P437" s="3"/>
      <c r="Q437" s="3"/>
      <c r="R437" s="3"/>
    </row>
    <row r="438" spans="1:18" x14ac:dyDescent="0.2">
      <c r="A438" s="7" t="s">
        <v>16</v>
      </c>
      <c r="B438" s="7" t="s">
        <v>60</v>
      </c>
      <c r="C438" s="7" t="s">
        <v>18</v>
      </c>
      <c r="D438" s="4">
        <v>46009718000140</v>
      </c>
      <c r="E438" s="8" t="s">
        <v>154</v>
      </c>
      <c r="F438" s="8" t="s">
        <v>123</v>
      </c>
      <c r="G438" s="7" t="s">
        <v>21</v>
      </c>
      <c r="H438" s="47" t="s">
        <v>786</v>
      </c>
      <c r="I438" s="47" t="s">
        <v>787</v>
      </c>
      <c r="J438" s="6">
        <v>66</v>
      </c>
      <c r="K438" s="8" t="s">
        <v>99</v>
      </c>
      <c r="L438" s="5">
        <v>3</v>
      </c>
      <c r="P438" s="3"/>
      <c r="Q438" s="3"/>
      <c r="R438" s="3"/>
    </row>
    <row r="439" spans="1:18" x14ac:dyDescent="0.2">
      <c r="A439" s="7" t="s">
        <v>16</v>
      </c>
      <c r="B439" s="7" t="s">
        <v>60</v>
      </c>
      <c r="C439" s="7" t="s">
        <v>18</v>
      </c>
      <c r="D439" s="4">
        <v>46009718000140</v>
      </c>
      <c r="E439" s="8" t="s">
        <v>154</v>
      </c>
      <c r="F439" s="8" t="s">
        <v>123</v>
      </c>
      <c r="G439" s="7" t="s">
        <v>21</v>
      </c>
      <c r="H439" s="47" t="s">
        <v>786</v>
      </c>
      <c r="I439" s="47" t="s">
        <v>787</v>
      </c>
      <c r="J439" s="6">
        <v>70</v>
      </c>
      <c r="K439" s="8" t="s">
        <v>22</v>
      </c>
      <c r="L439" s="5">
        <v>850</v>
      </c>
      <c r="P439" s="3"/>
      <c r="Q439" s="3"/>
      <c r="R439" s="3"/>
    </row>
    <row r="440" spans="1:18" x14ac:dyDescent="0.2">
      <c r="A440" s="7" t="s">
        <v>16</v>
      </c>
      <c r="B440" s="7" t="s">
        <v>60</v>
      </c>
      <c r="C440" s="7" t="s">
        <v>18</v>
      </c>
      <c r="D440" s="4">
        <v>46009718000140</v>
      </c>
      <c r="E440" s="8" t="s">
        <v>154</v>
      </c>
      <c r="F440" s="8" t="s">
        <v>123</v>
      </c>
      <c r="G440" s="7" t="s">
        <v>21</v>
      </c>
      <c r="H440" s="47" t="s">
        <v>786</v>
      </c>
      <c r="I440" s="47" t="s">
        <v>787</v>
      </c>
      <c r="J440" s="6">
        <v>73</v>
      </c>
      <c r="K440" s="8" t="s">
        <v>69</v>
      </c>
      <c r="L440" s="5">
        <v>42</v>
      </c>
      <c r="P440" s="3"/>
      <c r="Q440" s="3"/>
      <c r="R440" s="3"/>
    </row>
    <row r="441" spans="1:18" x14ac:dyDescent="0.2">
      <c r="A441" s="7" t="s">
        <v>16</v>
      </c>
      <c r="B441" s="7" t="s">
        <v>60</v>
      </c>
      <c r="C441" s="7" t="s">
        <v>18</v>
      </c>
      <c r="D441" s="4">
        <v>46020301000269</v>
      </c>
      <c r="E441" s="8" t="s">
        <v>155</v>
      </c>
      <c r="F441" s="8" t="s">
        <v>123</v>
      </c>
      <c r="G441" s="7" t="s">
        <v>21</v>
      </c>
      <c r="H441" s="47" t="s">
        <v>786</v>
      </c>
      <c r="I441" s="47" t="s">
        <v>787</v>
      </c>
      <c r="J441" s="6">
        <v>64</v>
      </c>
      <c r="K441" s="8" t="s">
        <v>68</v>
      </c>
      <c r="L441" s="5">
        <v>1</v>
      </c>
      <c r="P441" s="3"/>
      <c r="Q441" s="3"/>
      <c r="R441" s="3"/>
    </row>
    <row r="442" spans="1:18" x14ac:dyDescent="0.2">
      <c r="A442" s="7" t="s">
        <v>16</v>
      </c>
      <c r="B442" s="7" t="s">
        <v>60</v>
      </c>
      <c r="C442" s="7" t="s">
        <v>18</v>
      </c>
      <c r="D442" s="4">
        <v>46020301000269</v>
      </c>
      <c r="E442" s="8" t="s">
        <v>155</v>
      </c>
      <c r="F442" s="8" t="s">
        <v>123</v>
      </c>
      <c r="G442" s="7" t="s">
        <v>21</v>
      </c>
      <c r="H442" s="47" t="s">
        <v>786</v>
      </c>
      <c r="I442" s="47" t="s">
        <v>787</v>
      </c>
      <c r="J442" s="6">
        <v>73</v>
      </c>
      <c r="K442" s="8" t="s">
        <v>69</v>
      </c>
      <c r="L442" s="5">
        <v>55</v>
      </c>
      <c r="P442" s="3"/>
      <c r="Q442" s="3"/>
      <c r="R442" s="3"/>
    </row>
    <row r="443" spans="1:18" x14ac:dyDescent="0.2">
      <c r="A443" s="7" t="s">
        <v>16</v>
      </c>
      <c r="B443" s="7" t="s">
        <v>60</v>
      </c>
      <c r="C443" s="7" t="s">
        <v>18</v>
      </c>
      <c r="D443" s="4">
        <v>46124624000111</v>
      </c>
      <c r="E443" s="8" t="s">
        <v>156</v>
      </c>
      <c r="F443" s="8" t="s">
        <v>123</v>
      </c>
      <c r="G443" s="7" t="s">
        <v>21</v>
      </c>
      <c r="H443" s="47" t="s">
        <v>786</v>
      </c>
      <c r="I443" s="47" t="s">
        <v>787</v>
      </c>
      <c r="J443" s="6">
        <v>70</v>
      </c>
      <c r="K443" s="8" t="s">
        <v>22</v>
      </c>
      <c r="L443" s="5">
        <v>265</v>
      </c>
      <c r="P443" s="3"/>
      <c r="Q443" s="3"/>
      <c r="R443" s="3"/>
    </row>
    <row r="444" spans="1:18" x14ac:dyDescent="0.2">
      <c r="A444" s="7" t="s">
        <v>16</v>
      </c>
      <c r="B444" s="7" t="s">
        <v>60</v>
      </c>
      <c r="C444" s="7" t="s">
        <v>18</v>
      </c>
      <c r="D444" s="4">
        <v>46124624000111</v>
      </c>
      <c r="E444" s="8" t="s">
        <v>156</v>
      </c>
      <c r="F444" s="8" t="s">
        <v>123</v>
      </c>
      <c r="G444" s="7" t="s">
        <v>21</v>
      </c>
      <c r="H444" s="47" t="s">
        <v>786</v>
      </c>
      <c r="I444" s="47" t="s">
        <v>787</v>
      </c>
      <c r="J444" s="6">
        <v>73</v>
      </c>
      <c r="K444" s="8" t="s">
        <v>69</v>
      </c>
      <c r="L444" s="5">
        <v>120</v>
      </c>
      <c r="P444" s="3"/>
      <c r="Q444" s="3"/>
      <c r="R444" s="3"/>
    </row>
    <row r="445" spans="1:18" x14ac:dyDescent="0.2">
      <c r="A445" s="7" t="s">
        <v>16</v>
      </c>
      <c r="B445" s="7" t="s">
        <v>60</v>
      </c>
      <c r="C445" s="7" t="s">
        <v>18</v>
      </c>
      <c r="D445" s="4">
        <v>46124624002599</v>
      </c>
      <c r="E445" s="8" t="s">
        <v>157</v>
      </c>
      <c r="F445" s="8" t="s">
        <v>158</v>
      </c>
      <c r="G445" s="7" t="s">
        <v>21</v>
      </c>
      <c r="H445" s="47" t="s">
        <v>786</v>
      </c>
      <c r="I445" s="47" t="s">
        <v>787</v>
      </c>
      <c r="J445" s="6">
        <v>70</v>
      </c>
      <c r="K445" s="8" t="s">
        <v>22</v>
      </c>
      <c r="L445" s="5">
        <v>1250</v>
      </c>
      <c r="P445" s="3"/>
      <c r="Q445" s="3"/>
      <c r="R445" s="3"/>
    </row>
    <row r="446" spans="1:18" x14ac:dyDescent="0.2">
      <c r="A446" s="7" t="s">
        <v>16</v>
      </c>
      <c r="B446" s="7" t="s">
        <v>60</v>
      </c>
      <c r="C446" s="7" t="s">
        <v>18</v>
      </c>
      <c r="D446" s="4">
        <v>46124624002599</v>
      </c>
      <c r="E446" s="8" t="s">
        <v>157</v>
      </c>
      <c r="F446" s="8" t="s">
        <v>158</v>
      </c>
      <c r="G446" s="7" t="s">
        <v>21</v>
      </c>
      <c r="H446" s="47" t="s">
        <v>786</v>
      </c>
      <c r="I446" s="47" t="s">
        <v>787</v>
      </c>
      <c r="J446" s="6">
        <v>73</v>
      </c>
      <c r="K446" s="8" t="s">
        <v>69</v>
      </c>
      <c r="L446" s="5">
        <v>80</v>
      </c>
      <c r="P446" s="3"/>
      <c r="Q446" s="3"/>
      <c r="R446" s="3"/>
    </row>
    <row r="447" spans="1:18" x14ac:dyDescent="0.2">
      <c r="A447" s="7" t="s">
        <v>16</v>
      </c>
      <c r="B447" s="7" t="s">
        <v>60</v>
      </c>
      <c r="C447" s="7" t="s">
        <v>18</v>
      </c>
      <c r="D447" s="4">
        <v>46374500003533</v>
      </c>
      <c r="E447" s="8" t="s">
        <v>159</v>
      </c>
      <c r="F447" s="8" t="s">
        <v>109</v>
      </c>
      <c r="G447" s="7" t="s">
        <v>21</v>
      </c>
      <c r="H447" s="47" t="s">
        <v>786</v>
      </c>
      <c r="I447" s="47" t="s">
        <v>787</v>
      </c>
      <c r="J447" s="6">
        <v>70</v>
      </c>
      <c r="K447" s="8" t="s">
        <v>22</v>
      </c>
      <c r="L447" s="5">
        <v>1000</v>
      </c>
      <c r="P447" s="3"/>
      <c r="Q447" s="3"/>
      <c r="R447" s="3"/>
    </row>
    <row r="448" spans="1:18" x14ac:dyDescent="0.2">
      <c r="A448" s="7" t="s">
        <v>16</v>
      </c>
      <c r="B448" s="7" t="s">
        <v>60</v>
      </c>
      <c r="C448" s="7" t="s">
        <v>18</v>
      </c>
      <c r="D448" s="4">
        <v>46374500009221</v>
      </c>
      <c r="E448" s="8" t="s">
        <v>201</v>
      </c>
      <c r="F448" s="8" t="s">
        <v>202</v>
      </c>
      <c r="G448" s="7" t="s">
        <v>21</v>
      </c>
      <c r="H448" s="47" t="s">
        <v>786</v>
      </c>
      <c r="I448" s="47" t="s">
        <v>787</v>
      </c>
      <c r="J448" s="6">
        <v>70</v>
      </c>
      <c r="K448" s="8" t="s">
        <v>22</v>
      </c>
      <c r="L448" s="5">
        <v>900</v>
      </c>
      <c r="P448" s="3"/>
      <c r="Q448" s="3"/>
      <c r="R448" s="3"/>
    </row>
    <row r="449" spans="1:18" x14ac:dyDescent="0.2">
      <c r="A449" s="7" t="s">
        <v>16</v>
      </c>
      <c r="B449" s="7" t="s">
        <v>60</v>
      </c>
      <c r="C449" s="7" t="s">
        <v>18</v>
      </c>
      <c r="D449" s="4">
        <v>46643466000106</v>
      </c>
      <c r="E449" s="8" t="s">
        <v>203</v>
      </c>
      <c r="F449" s="8" t="s">
        <v>117</v>
      </c>
      <c r="G449" s="7" t="s">
        <v>21</v>
      </c>
      <c r="H449" s="47" t="s">
        <v>786</v>
      </c>
      <c r="I449" s="47" t="s">
        <v>787</v>
      </c>
      <c r="J449" s="6">
        <v>70</v>
      </c>
      <c r="K449" s="8" t="s">
        <v>22</v>
      </c>
      <c r="L449" s="5">
        <v>700</v>
      </c>
      <c r="P449" s="3"/>
      <c r="Q449" s="3"/>
      <c r="R449" s="3"/>
    </row>
    <row r="450" spans="1:18" x14ac:dyDescent="0.2">
      <c r="A450" s="7" t="s">
        <v>16</v>
      </c>
      <c r="B450" s="7" t="s">
        <v>60</v>
      </c>
      <c r="C450" s="7" t="s">
        <v>18</v>
      </c>
      <c r="D450" s="4">
        <v>47565155000996</v>
      </c>
      <c r="E450" s="8" t="s">
        <v>204</v>
      </c>
      <c r="F450" s="8" t="s">
        <v>205</v>
      </c>
      <c r="G450" s="7" t="s">
        <v>21</v>
      </c>
      <c r="H450" s="47" t="s">
        <v>786</v>
      </c>
      <c r="I450" s="47" t="s">
        <v>787</v>
      </c>
      <c r="J450" s="6">
        <v>62</v>
      </c>
      <c r="K450" s="8" t="s">
        <v>74</v>
      </c>
      <c r="L450" s="5">
        <v>3</v>
      </c>
      <c r="P450" s="3"/>
      <c r="Q450" s="3"/>
      <c r="R450" s="3"/>
    </row>
    <row r="451" spans="1:18" x14ac:dyDescent="0.2">
      <c r="A451" s="7" t="s">
        <v>16</v>
      </c>
      <c r="B451" s="7" t="s">
        <v>60</v>
      </c>
      <c r="C451" s="7" t="s">
        <v>18</v>
      </c>
      <c r="D451" s="4">
        <v>47565155000996</v>
      </c>
      <c r="E451" s="8" t="s">
        <v>204</v>
      </c>
      <c r="F451" s="8" t="s">
        <v>205</v>
      </c>
      <c r="G451" s="7" t="s">
        <v>21</v>
      </c>
      <c r="H451" s="47" t="s">
        <v>786</v>
      </c>
      <c r="I451" s="47" t="s">
        <v>787</v>
      </c>
      <c r="J451" s="6">
        <v>64</v>
      </c>
      <c r="K451" s="8" t="s">
        <v>68</v>
      </c>
      <c r="L451" s="5">
        <v>4</v>
      </c>
      <c r="P451" s="3"/>
      <c r="Q451" s="3"/>
      <c r="R451" s="3"/>
    </row>
    <row r="452" spans="1:18" x14ac:dyDescent="0.2">
      <c r="A452" s="7" t="s">
        <v>16</v>
      </c>
      <c r="B452" s="7" t="s">
        <v>60</v>
      </c>
      <c r="C452" s="7" t="s">
        <v>18</v>
      </c>
      <c r="D452" s="4">
        <v>48468284000171</v>
      </c>
      <c r="E452" s="8" t="s">
        <v>161</v>
      </c>
      <c r="F452" s="8" t="s">
        <v>162</v>
      </c>
      <c r="G452" s="7" t="s">
        <v>21</v>
      </c>
      <c r="H452" s="47" t="s">
        <v>786</v>
      </c>
      <c r="I452" s="47" t="s">
        <v>787</v>
      </c>
      <c r="J452" s="6">
        <v>70</v>
      </c>
      <c r="K452" s="8" t="s">
        <v>22</v>
      </c>
      <c r="L452" s="5">
        <v>200</v>
      </c>
      <c r="P452" s="3"/>
      <c r="Q452" s="3"/>
      <c r="R452" s="3"/>
    </row>
    <row r="453" spans="1:18" x14ac:dyDescent="0.2">
      <c r="A453" s="7" t="s">
        <v>16</v>
      </c>
      <c r="B453" s="7" t="s">
        <v>60</v>
      </c>
      <c r="C453" s="7" t="s">
        <v>18</v>
      </c>
      <c r="D453" s="4">
        <v>50486026000160</v>
      </c>
      <c r="E453" s="8" t="s">
        <v>163</v>
      </c>
      <c r="F453" s="8" t="s">
        <v>164</v>
      </c>
      <c r="G453" s="7" t="s">
        <v>21</v>
      </c>
      <c r="H453" s="47" t="s">
        <v>786</v>
      </c>
      <c r="I453" s="47" t="s">
        <v>787</v>
      </c>
      <c r="J453" s="6">
        <v>70</v>
      </c>
      <c r="K453" s="8" t="s">
        <v>22</v>
      </c>
      <c r="L453" s="5">
        <v>110</v>
      </c>
      <c r="P453" s="3"/>
      <c r="Q453" s="3"/>
      <c r="R453" s="3"/>
    </row>
    <row r="454" spans="1:18" x14ac:dyDescent="0.2">
      <c r="A454" s="7" t="s">
        <v>16</v>
      </c>
      <c r="B454" s="7" t="s">
        <v>60</v>
      </c>
      <c r="C454" s="7" t="s">
        <v>18</v>
      </c>
      <c r="D454" s="4">
        <v>50944198000130</v>
      </c>
      <c r="E454" s="8" t="s">
        <v>206</v>
      </c>
      <c r="F454" s="8" t="s">
        <v>153</v>
      </c>
      <c r="G454" s="7" t="s">
        <v>21</v>
      </c>
      <c r="H454" s="47" t="s">
        <v>786</v>
      </c>
      <c r="I454" s="47" t="s">
        <v>787</v>
      </c>
      <c r="J454" s="6">
        <v>64</v>
      </c>
      <c r="K454" s="8" t="s">
        <v>68</v>
      </c>
      <c r="L454" s="5">
        <v>8</v>
      </c>
      <c r="P454" s="3"/>
      <c r="Q454" s="3"/>
      <c r="R454" s="3"/>
    </row>
    <row r="455" spans="1:18" x14ac:dyDescent="0.2">
      <c r="A455" s="7" t="s">
        <v>16</v>
      </c>
      <c r="B455" s="7" t="s">
        <v>60</v>
      </c>
      <c r="C455" s="7" t="s">
        <v>18</v>
      </c>
      <c r="D455" s="4">
        <v>51093193000456</v>
      </c>
      <c r="E455" s="8" t="s">
        <v>207</v>
      </c>
      <c r="F455" s="8" t="s">
        <v>185</v>
      </c>
      <c r="G455" s="7" t="s">
        <v>21</v>
      </c>
      <c r="H455" s="47" t="s">
        <v>786</v>
      </c>
      <c r="I455" s="47" t="s">
        <v>787</v>
      </c>
      <c r="J455" s="6">
        <v>70</v>
      </c>
      <c r="K455" s="8" t="s">
        <v>22</v>
      </c>
      <c r="L455" s="5">
        <v>20</v>
      </c>
      <c r="P455" s="3"/>
      <c r="Q455" s="3"/>
      <c r="R455" s="3"/>
    </row>
    <row r="456" spans="1:18" x14ac:dyDescent="0.2">
      <c r="A456" s="7" t="s">
        <v>16</v>
      </c>
      <c r="B456" s="7" t="s">
        <v>60</v>
      </c>
      <c r="C456" s="7" t="s">
        <v>18</v>
      </c>
      <c r="D456" s="4">
        <v>51885242000140</v>
      </c>
      <c r="E456" s="8" t="s">
        <v>166</v>
      </c>
      <c r="F456" s="8" t="s">
        <v>123</v>
      </c>
      <c r="G456" s="7" t="s">
        <v>21</v>
      </c>
      <c r="H456" s="47" t="s">
        <v>786</v>
      </c>
      <c r="I456" s="47" t="s">
        <v>787</v>
      </c>
      <c r="J456" s="6">
        <v>73</v>
      </c>
      <c r="K456" s="8" t="s">
        <v>69</v>
      </c>
      <c r="L456" s="5">
        <v>160</v>
      </c>
      <c r="P456" s="3"/>
      <c r="Q456" s="3"/>
      <c r="R456" s="3"/>
    </row>
    <row r="457" spans="1:18" x14ac:dyDescent="0.2">
      <c r="A457" s="7" t="s">
        <v>16</v>
      </c>
      <c r="B457" s="7" t="s">
        <v>60</v>
      </c>
      <c r="C457" s="7" t="s">
        <v>18</v>
      </c>
      <c r="D457" s="4">
        <v>52852100000140</v>
      </c>
      <c r="E457" s="8" t="s">
        <v>208</v>
      </c>
      <c r="F457" s="8" t="s">
        <v>209</v>
      </c>
      <c r="G457" s="7" t="s">
        <v>21</v>
      </c>
      <c r="H457" s="47" t="s">
        <v>786</v>
      </c>
      <c r="I457" s="47" t="s">
        <v>787</v>
      </c>
      <c r="J457" s="6">
        <v>70</v>
      </c>
      <c r="K457" s="8" t="s">
        <v>22</v>
      </c>
      <c r="L457" s="5">
        <v>300</v>
      </c>
      <c r="P457" s="3"/>
      <c r="Q457" s="3"/>
      <c r="R457" s="3"/>
    </row>
    <row r="458" spans="1:18" x14ac:dyDescent="0.2">
      <c r="A458" s="7" t="s">
        <v>16</v>
      </c>
      <c r="B458" s="7" t="s">
        <v>60</v>
      </c>
      <c r="C458" s="7" t="s">
        <v>18</v>
      </c>
      <c r="D458" s="4">
        <v>53311999000156</v>
      </c>
      <c r="E458" s="8" t="s">
        <v>210</v>
      </c>
      <c r="F458" s="8" t="s">
        <v>211</v>
      </c>
      <c r="G458" s="7" t="s">
        <v>21</v>
      </c>
      <c r="H458" s="47" t="s">
        <v>786</v>
      </c>
      <c r="I458" s="47" t="s">
        <v>787</v>
      </c>
      <c r="J458" s="6">
        <v>64</v>
      </c>
      <c r="K458" s="8" t="s">
        <v>68</v>
      </c>
      <c r="L458" s="5">
        <v>2</v>
      </c>
      <c r="P458" s="3"/>
      <c r="Q458" s="3"/>
      <c r="R458" s="3"/>
    </row>
    <row r="459" spans="1:18" x14ac:dyDescent="0.2">
      <c r="A459" s="7" t="s">
        <v>16</v>
      </c>
      <c r="B459" s="7" t="s">
        <v>60</v>
      </c>
      <c r="C459" s="7" t="s">
        <v>18</v>
      </c>
      <c r="D459" s="4">
        <v>54012406000385</v>
      </c>
      <c r="E459" s="8" t="s">
        <v>167</v>
      </c>
      <c r="F459" s="8" t="s">
        <v>168</v>
      </c>
      <c r="G459" s="7" t="s">
        <v>21</v>
      </c>
      <c r="H459" s="47" t="s">
        <v>786</v>
      </c>
      <c r="I459" s="47" t="s">
        <v>787</v>
      </c>
      <c r="J459" s="6">
        <v>70</v>
      </c>
      <c r="K459" s="8" t="s">
        <v>22</v>
      </c>
      <c r="L459" s="5">
        <v>70</v>
      </c>
      <c r="P459" s="3"/>
      <c r="Q459" s="3"/>
      <c r="R459" s="3"/>
    </row>
    <row r="460" spans="1:18" x14ac:dyDescent="0.2">
      <c r="A460" s="7" t="s">
        <v>16</v>
      </c>
      <c r="B460" s="7" t="s">
        <v>60</v>
      </c>
      <c r="C460" s="7" t="s">
        <v>18</v>
      </c>
      <c r="D460" s="4">
        <v>57722118000140</v>
      </c>
      <c r="E460" s="8" t="s">
        <v>188</v>
      </c>
      <c r="F460" s="8" t="s">
        <v>109</v>
      </c>
      <c r="G460" s="7" t="s">
        <v>21</v>
      </c>
      <c r="H460" s="47" t="s">
        <v>786</v>
      </c>
      <c r="I460" s="47" t="s">
        <v>787</v>
      </c>
      <c r="J460" s="6">
        <v>70</v>
      </c>
      <c r="K460" s="8" t="s">
        <v>22</v>
      </c>
      <c r="L460" s="5">
        <v>150</v>
      </c>
      <c r="P460" s="3"/>
      <c r="Q460" s="3"/>
      <c r="R460" s="3"/>
    </row>
    <row r="461" spans="1:18" x14ac:dyDescent="0.2">
      <c r="A461" s="7" t="s">
        <v>16</v>
      </c>
      <c r="B461" s="7" t="s">
        <v>60</v>
      </c>
      <c r="C461" s="7" t="s">
        <v>18</v>
      </c>
      <c r="D461" s="4">
        <v>58229691001070</v>
      </c>
      <c r="E461" s="8" t="s">
        <v>171</v>
      </c>
      <c r="F461" s="8" t="s">
        <v>129</v>
      </c>
      <c r="G461" s="7" t="s">
        <v>21</v>
      </c>
      <c r="H461" s="47" t="s">
        <v>786</v>
      </c>
      <c r="I461" s="47" t="s">
        <v>787</v>
      </c>
      <c r="J461" s="6">
        <v>73</v>
      </c>
      <c r="K461" s="8" t="s">
        <v>69</v>
      </c>
      <c r="L461" s="5">
        <v>32</v>
      </c>
      <c r="P461" s="3"/>
      <c r="Q461" s="3"/>
      <c r="R461" s="3"/>
    </row>
    <row r="462" spans="1:18" x14ac:dyDescent="0.2">
      <c r="A462" s="7" t="s">
        <v>16</v>
      </c>
      <c r="B462" s="7" t="s">
        <v>60</v>
      </c>
      <c r="C462" s="7" t="s">
        <v>18</v>
      </c>
      <c r="D462" s="4">
        <v>60003761000129</v>
      </c>
      <c r="E462" s="8" t="s">
        <v>174</v>
      </c>
      <c r="F462" s="8" t="s">
        <v>111</v>
      </c>
      <c r="G462" s="7" t="s">
        <v>21</v>
      </c>
      <c r="H462" s="47" t="s">
        <v>786</v>
      </c>
      <c r="I462" s="47" t="s">
        <v>787</v>
      </c>
      <c r="J462" s="6">
        <v>62</v>
      </c>
      <c r="K462" s="8" t="s">
        <v>74</v>
      </c>
      <c r="L462" s="5">
        <v>10</v>
      </c>
      <c r="P462" s="3"/>
      <c r="Q462" s="3"/>
      <c r="R462" s="3"/>
    </row>
    <row r="463" spans="1:18" x14ac:dyDescent="0.2">
      <c r="A463" s="7" t="s">
        <v>16</v>
      </c>
      <c r="B463" s="7" t="s">
        <v>60</v>
      </c>
      <c r="C463" s="7" t="s">
        <v>18</v>
      </c>
      <c r="D463" s="4">
        <v>60003761000129</v>
      </c>
      <c r="E463" s="8" t="s">
        <v>174</v>
      </c>
      <c r="F463" s="8" t="s">
        <v>111</v>
      </c>
      <c r="G463" s="7" t="s">
        <v>21</v>
      </c>
      <c r="H463" s="47" t="s">
        <v>786</v>
      </c>
      <c r="I463" s="47" t="s">
        <v>787</v>
      </c>
      <c r="J463" s="6">
        <v>64</v>
      </c>
      <c r="K463" s="8" t="s">
        <v>68</v>
      </c>
      <c r="L463" s="5">
        <v>15</v>
      </c>
      <c r="P463" s="3"/>
      <c r="Q463" s="3"/>
      <c r="R463" s="3"/>
    </row>
    <row r="464" spans="1:18" x14ac:dyDescent="0.2">
      <c r="A464" s="7" t="s">
        <v>16</v>
      </c>
      <c r="B464" s="7" t="s">
        <v>60</v>
      </c>
      <c r="C464" s="7" t="s">
        <v>18</v>
      </c>
      <c r="D464" s="4">
        <v>60214517001187</v>
      </c>
      <c r="E464" s="8" t="s">
        <v>212</v>
      </c>
      <c r="F464" s="8" t="s">
        <v>213</v>
      </c>
      <c r="G464" s="7" t="s">
        <v>21</v>
      </c>
      <c r="H464" s="47" t="s">
        <v>786</v>
      </c>
      <c r="I464" s="47" t="s">
        <v>787</v>
      </c>
      <c r="J464" s="6">
        <v>70</v>
      </c>
      <c r="K464" s="8" t="s">
        <v>22</v>
      </c>
      <c r="L464" s="5">
        <v>20</v>
      </c>
      <c r="P464" s="3"/>
      <c r="Q464" s="3"/>
      <c r="R464" s="3"/>
    </row>
    <row r="465" spans="1:18" x14ac:dyDescent="0.2">
      <c r="A465" s="7" t="s">
        <v>16</v>
      </c>
      <c r="B465" s="7" t="s">
        <v>60</v>
      </c>
      <c r="C465" s="7" t="s">
        <v>18</v>
      </c>
      <c r="D465" s="4">
        <v>60214517001691</v>
      </c>
      <c r="E465" s="8" t="s">
        <v>176</v>
      </c>
      <c r="F465" s="8" t="s">
        <v>117</v>
      </c>
      <c r="G465" s="7" t="s">
        <v>21</v>
      </c>
      <c r="H465" s="47" t="s">
        <v>786</v>
      </c>
      <c r="I465" s="47" t="s">
        <v>787</v>
      </c>
      <c r="J465" s="6">
        <v>70</v>
      </c>
      <c r="K465" s="8" t="s">
        <v>22</v>
      </c>
      <c r="L465" s="5">
        <v>605</v>
      </c>
      <c r="P465" s="3"/>
      <c r="Q465" s="3"/>
      <c r="R465" s="3"/>
    </row>
    <row r="466" spans="1:18" x14ac:dyDescent="0.2">
      <c r="A466" s="7" t="s">
        <v>16</v>
      </c>
      <c r="B466" s="7" t="s">
        <v>60</v>
      </c>
      <c r="C466" s="7" t="s">
        <v>18</v>
      </c>
      <c r="D466" s="4">
        <v>68204486000113</v>
      </c>
      <c r="E466" s="8" t="s">
        <v>190</v>
      </c>
      <c r="F466" s="8" t="s">
        <v>191</v>
      </c>
      <c r="G466" s="7" t="s">
        <v>21</v>
      </c>
      <c r="H466" s="47" t="s">
        <v>786</v>
      </c>
      <c r="I466" s="47" t="s">
        <v>787</v>
      </c>
      <c r="J466" s="6">
        <v>70</v>
      </c>
      <c r="K466" s="8" t="s">
        <v>22</v>
      </c>
      <c r="L466" s="5">
        <v>150</v>
      </c>
      <c r="P466" s="3"/>
      <c r="Q466" s="3"/>
      <c r="R466" s="3"/>
    </row>
    <row r="467" spans="1:18" x14ac:dyDescent="0.2">
      <c r="A467" s="7" t="s">
        <v>16</v>
      </c>
      <c r="B467" s="7" t="s">
        <v>65</v>
      </c>
      <c r="C467" s="7" t="s">
        <v>66</v>
      </c>
      <c r="D467" s="4">
        <v>1613433010814</v>
      </c>
      <c r="E467" s="8" t="s">
        <v>214</v>
      </c>
      <c r="F467" s="8" t="s">
        <v>202</v>
      </c>
      <c r="G467" s="7" t="s">
        <v>21</v>
      </c>
      <c r="H467" s="47" t="s">
        <v>786</v>
      </c>
      <c r="I467" s="47" t="s">
        <v>787</v>
      </c>
      <c r="J467" s="6">
        <v>70</v>
      </c>
      <c r="K467" s="8" t="s">
        <v>22</v>
      </c>
      <c r="L467" s="5">
        <v>50</v>
      </c>
      <c r="P467" s="3"/>
      <c r="Q467" s="3"/>
      <c r="R467" s="3"/>
    </row>
    <row r="468" spans="1:18" x14ac:dyDescent="0.2">
      <c r="A468" s="7" t="s">
        <v>16</v>
      </c>
      <c r="B468" s="7" t="s">
        <v>65</v>
      </c>
      <c r="C468" s="7" t="s">
        <v>66</v>
      </c>
      <c r="D468" s="4">
        <v>4275687000129</v>
      </c>
      <c r="E468" s="8" t="s">
        <v>112</v>
      </c>
      <c r="F468" s="8" t="s">
        <v>113</v>
      </c>
      <c r="G468" s="7" t="s">
        <v>21</v>
      </c>
      <c r="H468" s="47" t="s">
        <v>786</v>
      </c>
      <c r="I468" s="47" t="s">
        <v>787</v>
      </c>
      <c r="J468" s="6">
        <v>73</v>
      </c>
      <c r="K468" s="8" t="s">
        <v>69</v>
      </c>
      <c r="L468" s="5">
        <v>20</v>
      </c>
      <c r="P468" s="3"/>
      <c r="Q468" s="3"/>
      <c r="R468" s="3"/>
    </row>
    <row r="469" spans="1:18" x14ac:dyDescent="0.2">
      <c r="A469" s="7" t="s">
        <v>16</v>
      </c>
      <c r="B469" s="7" t="s">
        <v>65</v>
      </c>
      <c r="C469" s="7" t="s">
        <v>66</v>
      </c>
      <c r="D469" s="4">
        <v>10447300000177</v>
      </c>
      <c r="E469" s="8" t="s">
        <v>122</v>
      </c>
      <c r="F469" s="8" t="s">
        <v>123</v>
      </c>
      <c r="G469" s="7" t="s">
        <v>21</v>
      </c>
      <c r="H469" s="47" t="s">
        <v>786</v>
      </c>
      <c r="I469" s="47" t="s">
        <v>787</v>
      </c>
      <c r="J469" s="6">
        <v>73</v>
      </c>
      <c r="K469" s="8" t="s">
        <v>69</v>
      </c>
      <c r="L469" s="5">
        <v>8</v>
      </c>
      <c r="P469" s="3"/>
      <c r="Q469" s="3"/>
      <c r="R469" s="3"/>
    </row>
    <row r="470" spans="1:18" x14ac:dyDescent="0.2">
      <c r="A470" s="7" t="s">
        <v>16</v>
      </c>
      <c r="B470" s="7" t="s">
        <v>65</v>
      </c>
      <c r="C470" s="7" t="s">
        <v>66</v>
      </c>
      <c r="D470" s="4">
        <v>13718999001041</v>
      </c>
      <c r="E470" s="8" t="s">
        <v>124</v>
      </c>
      <c r="F470" s="8" t="s">
        <v>115</v>
      </c>
      <c r="G470" s="7" t="s">
        <v>21</v>
      </c>
      <c r="H470" s="47" t="s">
        <v>786</v>
      </c>
      <c r="I470" s="47" t="s">
        <v>787</v>
      </c>
      <c r="J470" s="6">
        <v>73</v>
      </c>
      <c r="K470" s="8" t="s">
        <v>69</v>
      </c>
      <c r="L470" s="5">
        <v>4</v>
      </c>
      <c r="P470" s="3"/>
      <c r="Q470" s="3"/>
      <c r="R470" s="3"/>
    </row>
    <row r="471" spans="1:18" x14ac:dyDescent="0.2">
      <c r="A471" s="7" t="s">
        <v>16</v>
      </c>
      <c r="B471" s="7" t="s">
        <v>65</v>
      </c>
      <c r="C471" s="7" t="s">
        <v>66</v>
      </c>
      <c r="D471" s="4">
        <v>18321477000134</v>
      </c>
      <c r="E471" s="8" t="s">
        <v>125</v>
      </c>
      <c r="F471" s="8" t="s">
        <v>117</v>
      </c>
      <c r="G471" s="7" t="s">
        <v>21</v>
      </c>
      <c r="H471" s="47" t="s">
        <v>786</v>
      </c>
      <c r="I471" s="47" t="s">
        <v>787</v>
      </c>
      <c r="J471" s="6">
        <v>73</v>
      </c>
      <c r="K471" s="8" t="s">
        <v>69</v>
      </c>
      <c r="L471" s="5">
        <v>48</v>
      </c>
      <c r="P471" s="3"/>
      <c r="Q471" s="3"/>
      <c r="R471" s="3"/>
    </row>
    <row r="472" spans="1:18" x14ac:dyDescent="0.2">
      <c r="A472" s="7" t="s">
        <v>16</v>
      </c>
      <c r="B472" s="7" t="s">
        <v>65</v>
      </c>
      <c r="C472" s="7" t="s">
        <v>66</v>
      </c>
      <c r="D472" s="4">
        <v>43293604002120</v>
      </c>
      <c r="E472" s="8" t="s">
        <v>133</v>
      </c>
      <c r="F472" s="8" t="s">
        <v>134</v>
      </c>
      <c r="G472" s="7" t="s">
        <v>21</v>
      </c>
      <c r="H472" s="47" t="s">
        <v>786</v>
      </c>
      <c r="I472" s="47" t="s">
        <v>787</v>
      </c>
      <c r="J472" s="6">
        <v>70</v>
      </c>
      <c r="K472" s="8" t="s">
        <v>22</v>
      </c>
      <c r="L472" s="5">
        <v>50</v>
      </c>
      <c r="P472" s="3"/>
      <c r="Q472" s="3"/>
      <c r="R472" s="3"/>
    </row>
    <row r="473" spans="1:18" x14ac:dyDescent="0.2">
      <c r="A473" s="7" t="s">
        <v>16</v>
      </c>
      <c r="B473" s="7" t="s">
        <v>65</v>
      </c>
      <c r="C473" s="7" t="s">
        <v>66</v>
      </c>
      <c r="D473" s="4">
        <v>46020301000269</v>
      </c>
      <c r="E473" s="8" t="s">
        <v>155</v>
      </c>
      <c r="F473" s="8" t="s">
        <v>123</v>
      </c>
      <c r="G473" s="7" t="s">
        <v>21</v>
      </c>
      <c r="H473" s="47" t="s">
        <v>786</v>
      </c>
      <c r="I473" s="47" t="s">
        <v>787</v>
      </c>
      <c r="J473" s="6">
        <v>73</v>
      </c>
      <c r="K473" s="8" t="s">
        <v>69</v>
      </c>
      <c r="L473" s="5">
        <v>20</v>
      </c>
      <c r="P473" s="3"/>
      <c r="Q473" s="3"/>
      <c r="R473" s="3"/>
    </row>
    <row r="474" spans="1:18" x14ac:dyDescent="0.2">
      <c r="A474" s="7" t="s">
        <v>16</v>
      </c>
      <c r="B474" s="7" t="s">
        <v>65</v>
      </c>
      <c r="C474" s="7" t="s">
        <v>66</v>
      </c>
      <c r="D474" s="4">
        <v>46124624000111</v>
      </c>
      <c r="E474" s="8" t="s">
        <v>156</v>
      </c>
      <c r="F474" s="8" t="s">
        <v>123</v>
      </c>
      <c r="G474" s="7" t="s">
        <v>21</v>
      </c>
      <c r="H474" s="47" t="s">
        <v>786</v>
      </c>
      <c r="I474" s="47" t="s">
        <v>787</v>
      </c>
      <c r="J474" s="6">
        <v>70</v>
      </c>
      <c r="K474" s="8" t="s">
        <v>22</v>
      </c>
      <c r="L474" s="5">
        <v>450</v>
      </c>
      <c r="P474" s="3"/>
      <c r="Q474" s="3"/>
      <c r="R474" s="3"/>
    </row>
    <row r="475" spans="1:18" x14ac:dyDescent="0.2">
      <c r="A475" s="7" t="s">
        <v>16</v>
      </c>
      <c r="B475" s="7" t="s">
        <v>65</v>
      </c>
      <c r="C475" s="7" t="s">
        <v>66</v>
      </c>
      <c r="D475" s="4">
        <v>46124624000111</v>
      </c>
      <c r="E475" s="8" t="s">
        <v>156</v>
      </c>
      <c r="F475" s="8" t="s">
        <v>123</v>
      </c>
      <c r="G475" s="7" t="s">
        <v>21</v>
      </c>
      <c r="H475" s="47" t="s">
        <v>786</v>
      </c>
      <c r="I475" s="47" t="s">
        <v>787</v>
      </c>
      <c r="J475" s="6">
        <v>73</v>
      </c>
      <c r="K475" s="8" t="s">
        <v>69</v>
      </c>
      <c r="L475" s="5">
        <v>24</v>
      </c>
      <c r="P475" s="3"/>
      <c r="Q475" s="3"/>
      <c r="R475" s="3"/>
    </row>
    <row r="476" spans="1:18" x14ac:dyDescent="0.2">
      <c r="A476" s="7" t="s">
        <v>16</v>
      </c>
      <c r="B476" s="7" t="s">
        <v>65</v>
      </c>
      <c r="C476" s="7" t="s">
        <v>66</v>
      </c>
      <c r="D476" s="4">
        <v>46124624002599</v>
      </c>
      <c r="E476" s="8" t="s">
        <v>157</v>
      </c>
      <c r="F476" s="8" t="s">
        <v>158</v>
      </c>
      <c r="G476" s="7" t="s">
        <v>21</v>
      </c>
      <c r="H476" s="47" t="s">
        <v>786</v>
      </c>
      <c r="I476" s="47" t="s">
        <v>787</v>
      </c>
      <c r="J476" s="6">
        <v>73</v>
      </c>
      <c r="K476" s="8" t="s">
        <v>69</v>
      </c>
      <c r="L476" s="5">
        <v>120</v>
      </c>
      <c r="P476" s="3"/>
      <c r="Q476" s="3"/>
      <c r="R476" s="3"/>
    </row>
    <row r="477" spans="1:18" x14ac:dyDescent="0.2">
      <c r="A477" s="7" t="s">
        <v>16</v>
      </c>
      <c r="B477" s="7" t="s">
        <v>65</v>
      </c>
      <c r="C477" s="7" t="s">
        <v>66</v>
      </c>
      <c r="D477" s="4">
        <v>46643466000106</v>
      </c>
      <c r="E477" s="8" t="s">
        <v>203</v>
      </c>
      <c r="F477" s="8" t="s">
        <v>117</v>
      </c>
      <c r="G477" s="7" t="s">
        <v>21</v>
      </c>
      <c r="H477" s="47" t="s">
        <v>786</v>
      </c>
      <c r="I477" s="47" t="s">
        <v>787</v>
      </c>
      <c r="J477" s="6">
        <v>70</v>
      </c>
      <c r="K477" s="8" t="s">
        <v>22</v>
      </c>
      <c r="L477" s="5">
        <v>700</v>
      </c>
      <c r="P477" s="3"/>
      <c r="Q477" s="3"/>
      <c r="R477" s="3"/>
    </row>
    <row r="478" spans="1:18" x14ac:dyDescent="0.2">
      <c r="A478" s="7" t="s">
        <v>16</v>
      </c>
      <c r="B478" s="7" t="s">
        <v>65</v>
      </c>
      <c r="C478" s="7" t="s">
        <v>66</v>
      </c>
      <c r="D478" s="4">
        <v>51093193000456</v>
      </c>
      <c r="E478" s="8" t="s">
        <v>207</v>
      </c>
      <c r="F478" s="8" t="s">
        <v>185</v>
      </c>
      <c r="G478" s="7" t="s">
        <v>21</v>
      </c>
      <c r="H478" s="47" t="s">
        <v>786</v>
      </c>
      <c r="I478" s="47" t="s">
        <v>787</v>
      </c>
      <c r="J478" s="6">
        <v>70</v>
      </c>
      <c r="K478" s="8" t="s">
        <v>22</v>
      </c>
      <c r="L478" s="5">
        <v>20</v>
      </c>
      <c r="P478" s="3"/>
      <c r="Q478" s="3"/>
      <c r="R478" s="3"/>
    </row>
    <row r="479" spans="1:18" x14ac:dyDescent="0.2">
      <c r="A479" s="7" t="s">
        <v>16</v>
      </c>
      <c r="B479" s="7" t="s">
        <v>65</v>
      </c>
      <c r="C479" s="7" t="s">
        <v>66</v>
      </c>
      <c r="D479" s="4">
        <v>51722957014302</v>
      </c>
      <c r="E479" s="8" t="s">
        <v>215</v>
      </c>
      <c r="F479" s="8" t="s">
        <v>216</v>
      </c>
      <c r="G479" s="7" t="s">
        <v>21</v>
      </c>
      <c r="H479" s="47" t="s">
        <v>786</v>
      </c>
      <c r="I479" s="47" t="s">
        <v>787</v>
      </c>
      <c r="J479" s="6">
        <v>70</v>
      </c>
      <c r="K479" s="8" t="s">
        <v>22</v>
      </c>
      <c r="L479" s="5">
        <v>75</v>
      </c>
      <c r="P479" s="3"/>
      <c r="Q479" s="3"/>
      <c r="R479" s="3"/>
    </row>
    <row r="480" spans="1:18" x14ac:dyDescent="0.2">
      <c r="A480" s="7" t="s">
        <v>16</v>
      </c>
      <c r="B480" s="7" t="s">
        <v>65</v>
      </c>
      <c r="C480" s="7" t="s">
        <v>66</v>
      </c>
      <c r="D480" s="4">
        <v>57722118000302</v>
      </c>
      <c r="E480" s="8" t="s">
        <v>170</v>
      </c>
      <c r="F480" s="8" t="s">
        <v>109</v>
      </c>
      <c r="G480" s="7" t="s">
        <v>21</v>
      </c>
      <c r="H480" s="47" t="s">
        <v>786</v>
      </c>
      <c r="I480" s="47" t="s">
        <v>787</v>
      </c>
      <c r="J480" s="6">
        <v>73</v>
      </c>
      <c r="K480" s="8" t="s">
        <v>69</v>
      </c>
      <c r="L480" s="5">
        <v>18</v>
      </c>
      <c r="P480" s="3"/>
      <c r="Q480" s="3"/>
      <c r="R480" s="3"/>
    </row>
    <row r="481" spans="1:18" x14ac:dyDescent="0.2">
      <c r="A481" s="7" t="s">
        <v>16</v>
      </c>
      <c r="B481" s="7" t="s">
        <v>65</v>
      </c>
      <c r="C481" s="7" t="s">
        <v>66</v>
      </c>
      <c r="D481" s="4">
        <v>57723280000183</v>
      </c>
      <c r="E481" s="8" t="s">
        <v>217</v>
      </c>
      <c r="F481" s="8" t="s">
        <v>109</v>
      </c>
      <c r="G481" s="7" t="s">
        <v>21</v>
      </c>
      <c r="H481" s="47" t="s">
        <v>786</v>
      </c>
      <c r="I481" s="47" t="s">
        <v>787</v>
      </c>
      <c r="J481" s="6">
        <v>70</v>
      </c>
      <c r="K481" s="8" t="s">
        <v>22</v>
      </c>
      <c r="L481" s="5">
        <v>5</v>
      </c>
      <c r="P481" s="3"/>
      <c r="Q481" s="3"/>
      <c r="R481" s="3"/>
    </row>
    <row r="482" spans="1:18" x14ac:dyDescent="0.2">
      <c r="A482" s="7" t="s">
        <v>16</v>
      </c>
      <c r="B482" s="7" t="s">
        <v>65</v>
      </c>
      <c r="C482" s="7" t="s">
        <v>66</v>
      </c>
      <c r="D482" s="4">
        <v>60003761000129</v>
      </c>
      <c r="E482" s="8" t="s">
        <v>174</v>
      </c>
      <c r="F482" s="8" t="s">
        <v>111</v>
      </c>
      <c r="G482" s="7" t="s">
        <v>21</v>
      </c>
      <c r="H482" s="47" t="s">
        <v>786</v>
      </c>
      <c r="I482" s="47" t="s">
        <v>787</v>
      </c>
      <c r="J482" s="6">
        <v>62</v>
      </c>
      <c r="K482" s="8" t="s">
        <v>74</v>
      </c>
      <c r="L482" s="5">
        <v>12</v>
      </c>
      <c r="P482" s="3"/>
      <c r="Q482" s="3"/>
      <c r="R482" s="3"/>
    </row>
    <row r="483" spans="1:18" x14ac:dyDescent="0.2">
      <c r="A483" s="7" t="s">
        <v>16</v>
      </c>
      <c r="B483" s="7" t="s">
        <v>65</v>
      </c>
      <c r="C483" s="7" t="s">
        <v>66</v>
      </c>
      <c r="D483" s="4">
        <v>60214517001691</v>
      </c>
      <c r="E483" s="8" t="s">
        <v>176</v>
      </c>
      <c r="F483" s="8" t="s">
        <v>117</v>
      </c>
      <c r="G483" s="7" t="s">
        <v>21</v>
      </c>
      <c r="H483" s="47" t="s">
        <v>786</v>
      </c>
      <c r="I483" s="47" t="s">
        <v>787</v>
      </c>
      <c r="J483" s="6">
        <v>70</v>
      </c>
      <c r="K483" s="8" t="s">
        <v>22</v>
      </c>
      <c r="L483" s="5">
        <v>450</v>
      </c>
      <c r="P483" s="3"/>
      <c r="Q483" s="3"/>
      <c r="R483" s="3"/>
    </row>
    <row r="484" spans="1:18" x14ac:dyDescent="0.2">
      <c r="A484" s="7" t="s">
        <v>16</v>
      </c>
      <c r="B484" s="7" t="s">
        <v>17</v>
      </c>
      <c r="C484" s="7" t="s">
        <v>18</v>
      </c>
      <c r="D484" s="4">
        <v>12371009253</v>
      </c>
      <c r="E484" s="8" t="s">
        <v>218</v>
      </c>
      <c r="F484" s="8" t="s">
        <v>219</v>
      </c>
      <c r="G484" s="7" t="s">
        <v>220</v>
      </c>
      <c r="H484" s="47" t="s">
        <v>790</v>
      </c>
      <c r="I484" s="47" t="s">
        <v>791</v>
      </c>
      <c r="J484" s="6">
        <v>73</v>
      </c>
      <c r="K484" s="8" t="s">
        <v>69</v>
      </c>
      <c r="L484" s="5">
        <v>24</v>
      </c>
      <c r="P484" s="3"/>
      <c r="Q484" s="3"/>
      <c r="R484" s="3"/>
    </row>
    <row r="485" spans="1:18" x14ac:dyDescent="0.2">
      <c r="A485" s="7" t="s">
        <v>16</v>
      </c>
      <c r="B485" s="7" t="s">
        <v>55</v>
      </c>
      <c r="C485" s="7" t="s">
        <v>18</v>
      </c>
      <c r="D485" s="4">
        <v>700386513</v>
      </c>
      <c r="E485" s="8" t="s">
        <v>407</v>
      </c>
      <c r="F485" s="8" t="s">
        <v>408</v>
      </c>
      <c r="G485" s="7" t="s">
        <v>318</v>
      </c>
      <c r="H485" s="47" t="s">
        <v>790</v>
      </c>
      <c r="I485" s="47" t="s">
        <v>791</v>
      </c>
      <c r="J485" s="6">
        <v>66</v>
      </c>
      <c r="K485" s="8" t="s">
        <v>99</v>
      </c>
      <c r="L485" s="5">
        <v>4</v>
      </c>
      <c r="P485" s="3"/>
      <c r="Q485" s="3"/>
      <c r="R485" s="3"/>
    </row>
    <row r="486" spans="1:18" x14ac:dyDescent="0.2">
      <c r="A486" s="7" t="s">
        <v>16</v>
      </c>
      <c r="B486" s="7" t="s">
        <v>17</v>
      </c>
      <c r="C486" s="7" t="s">
        <v>18</v>
      </c>
      <c r="D486" s="4">
        <v>17376968601</v>
      </c>
      <c r="E486" s="8" t="s">
        <v>221</v>
      </c>
      <c r="F486" s="8" t="s">
        <v>222</v>
      </c>
      <c r="G486" s="7" t="s">
        <v>223</v>
      </c>
      <c r="H486" s="47" t="s">
        <v>784</v>
      </c>
      <c r="I486" s="47" t="s">
        <v>785</v>
      </c>
      <c r="J486" s="6">
        <v>66</v>
      </c>
      <c r="K486" s="8" t="s">
        <v>99</v>
      </c>
      <c r="L486" s="5">
        <v>24</v>
      </c>
      <c r="P486" s="3"/>
      <c r="Q486" s="3"/>
      <c r="R486" s="3"/>
    </row>
    <row r="487" spans="1:18" x14ac:dyDescent="0.2">
      <c r="A487" s="7" t="s">
        <v>16</v>
      </c>
      <c r="B487" s="7" t="s">
        <v>17</v>
      </c>
      <c r="C487" s="7" t="s">
        <v>18</v>
      </c>
      <c r="D487" s="4">
        <v>49791000144</v>
      </c>
      <c r="E487" s="8" t="s">
        <v>224</v>
      </c>
      <c r="F487" s="8" t="s">
        <v>225</v>
      </c>
      <c r="G487" s="7" t="s">
        <v>226</v>
      </c>
      <c r="H487" s="47" t="s">
        <v>790</v>
      </c>
      <c r="I487" s="47" t="s">
        <v>791</v>
      </c>
      <c r="J487" s="6">
        <v>62</v>
      </c>
      <c r="K487" s="8" t="s">
        <v>74</v>
      </c>
      <c r="L487" s="5">
        <v>4</v>
      </c>
      <c r="P487" s="3"/>
      <c r="Q487" s="3"/>
      <c r="R487" s="3"/>
    </row>
    <row r="488" spans="1:18" x14ac:dyDescent="0.2">
      <c r="A488" s="7" t="s">
        <v>16</v>
      </c>
      <c r="B488" s="7" t="s">
        <v>17</v>
      </c>
      <c r="C488" s="7" t="s">
        <v>18</v>
      </c>
      <c r="D488" s="4">
        <v>49791000144</v>
      </c>
      <c r="E488" s="8" t="s">
        <v>224</v>
      </c>
      <c r="F488" s="8" t="s">
        <v>225</v>
      </c>
      <c r="G488" s="7" t="s">
        <v>226</v>
      </c>
      <c r="H488" s="47" t="s">
        <v>790</v>
      </c>
      <c r="I488" s="47" t="s">
        <v>791</v>
      </c>
      <c r="J488" s="6">
        <v>64</v>
      </c>
      <c r="K488" s="8" t="s">
        <v>68</v>
      </c>
      <c r="L488" s="5">
        <v>13</v>
      </c>
      <c r="P488" s="3"/>
      <c r="Q488" s="3"/>
      <c r="R488" s="3"/>
    </row>
    <row r="489" spans="1:18" x14ac:dyDescent="0.2">
      <c r="A489" s="7" t="s">
        <v>16</v>
      </c>
      <c r="B489" s="7" t="s">
        <v>55</v>
      </c>
      <c r="C489" s="7" t="s">
        <v>18</v>
      </c>
      <c r="D489" s="4">
        <v>49791000144</v>
      </c>
      <c r="E489" s="8" t="s">
        <v>224</v>
      </c>
      <c r="F489" s="8" t="s">
        <v>225</v>
      </c>
      <c r="G489" s="7" t="s">
        <v>226</v>
      </c>
      <c r="H489" s="47" t="s">
        <v>790</v>
      </c>
      <c r="I489" s="47" t="s">
        <v>791</v>
      </c>
      <c r="J489" s="6">
        <v>62</v>
      </c>
      <c r="K489" s="8" t="s">
        <v>74</v>
      </c>
      <c r="L489" s="5">
        <v>4</v>
      </c>
      <c r="P489" s="3"/>
      <c r="Q489" s="3"/>
      <c r="R489" s="3"/>
    </row>
    <row r="490" spans="1:18" x14ac:dyDescent="0.2">
      <c r="A490" s="7" t="s">
        <v>16</v>
      </c>
      <c r="B490" s="7" t="s">
        <v>55</v>
      </c>
      <c r="C490" s="7" t="s">
        <v>18</v>
      </c>
      <c r="D490" s="4">
        <v>49791000144</v>
      </c>
      <c r="E490" s="8" t="s">
        <v>224</v>
      </c>
      <c r="F490" s="8" t="s">
        <v>225</v>
      </c>
      <c r="G490" s="7" t="s">
        <v>226</v>
      </c>
      <c r="H490" s="47" t="s">
        <v>790</v>
      </c>
      <c r="I490" s="47" t="s">
        <v>791</v>
      </c>
      <c r="J490" s="6">
        <v>64</v>
      </c>
      <c r="K490" s="8" t="s">
        <v>68</v>
      </c>
      <c r="L490" s="5">
        <v>9</v>
      </c>
      <c r="P490" s="3"/>
      <c r="Q490" s="3"/>
      <c r="R490" s="3"/>
    </row>
    <row r="491" spans="1:18" x14ac:dyDescent="0.2">
      <c r="A491" s="7" t="s">
        <v>16</v>
      </c>
      <c r="B491" s="7" t="s">
        <v>17</v>
      </c>
      <c r="C491" s="7" t="s">
        <v>18</v>
      </c>
      <c r="D491" s="4">
        <v>83925694404</v>
      </c>
      <c r="E491" s="8" t="s">
        <v>227</v>
      </c>
      <c r="F491" s="8" t="s">
        <v>228</v>
      </c>
      <c r="G491" s="7" t="s">
        <v>229</v>
      </c>
      <c r="H491" s="47" t="s">
        <v>790</v>
      </c>
      <c r="I491" s="47" t="s">
        <v>791</v>
      </c>
      <c r="J491" s="6">
        <v>66</v>
      </c>
      <c r="K491" s="8" t="s">
        <v>99</v>
      </c>
      <c r="L491" s="5">
        <v>24</v>
      </c>
      <c r="P491" s="3"/>
      <c r="Q491" s="3"/>
      <c r="R491" s="3"/>
    </row>
    <row r="492" spans="1:18" x14ac:dyDescent="0.2">
      <c r="A492" s="7" t="s">
        <v>16</v>
      </c>
      <c r="B492" s="7" t="s">
        <v>17</v>
      </c>
      <c r="C492" s="7" t="s">
        <v>18</v>
      </c>
      <c r="D492" s="4">
        <v>91777186234</v>
      </c>
      <c r="E492" s="8" t="s">
        <v>230</v>
      </c>
      <c r="F492" s="8" t="s">
        <v>219</v>
      </c>
      <c r="G492" s="7" t="s">
        <v>220</v>
      </c>
      <c r="H492" s="47" t="s">
        <v>790</v>
      </c>
      <c r="I492" s="47" t="s">
        <v>791</v>
      </c>
      <c r="J492" s="6">
        <v>73</v>
      </c>
      <c r="K492" s="8" t="s">
        <v>69</v>
      </c>
      <c r="L492" s="5">
        <v>36</v>
      </c>
      <c r="P492" s="3"/>
      <c r="Q492" s="3"/>
      <c r="R492" s="3"/>
    </row>
    <row r="493" spans="1:18" x14ac:dyDescent="0.2">
      <c r="A493" s="7" t="s">
        <v>16</v>
      </c>
      <c r="B493" s="7" t="s">
        <v>17</v>
      </c>
      <c r="C493" s="7" t="s">
        <v>18</v>
      </c>
      <c r="D493" s="4">
        <v>304148000110</v>
      </c>
      <c r="E493" s="8" t="s">
        <v>231</v>
      </c>
      <c r="F493" s="8" t="s">
        <v>232</v>
      </c>
      <c r="G493" s="7" t="s">
        <v>233</v>
      </c>
      <c r="H493" s="47" t="s">
        <v>784</v>
      </c>
      <c r="I493" s="47" t="s">
        <v>785</v>
      </c>
      <c r="J493" s="6">
        <v>73</v>
      </c>
      <c r="K493" s="8" t="s">
        <v>69</v>
      </c>
      <c r="L493" s="5">
        <v>48</v>
      </c>
      <c r="P493" s="3"/>
      <c r="Q493" s="3"/>
      <c r="R493" s="3"/>
    </row>
    <row r="494" spans="1:18" x14ac:dyDescent="0.2">
      <c r="A494" s="7" t="s">
        <v>16</v>
      </c>
      <c r="B494" s="7" t="s">
        <v>55</v>
      </c>
      <c r="C494" s="7" t="s">
        <v>18</v>
      </c>
      <c r="D494" s="4">
        <v>70306453673</v>
      </c>
      <c r="E494" s="8" t="s">
        <v>409</v>
      </c>
      <c r="F494" s="8" t="s">
        <v>410</v>
      </c>
      <c r="G494" s="7" t="s">
        <v>223</v>
      </c>
      <c r="H494" s="47" t="s">
        <v>784</v>
      </c>
      <c r="I494" s="47" t="s">
        <v>785</v>
      </c>
      <c r="J494" s="6">
        <v>66</v>
      </c>
      <c r="K494" s="8" t="s">
        <v>99</v>
      </c>
      <c r="L494" s="5">
        <v>20</v>
      </c>
      <c r="P494" s="3"/>
      <c r="Q494" s="3"/>
      <c r="R494" s="3"/>
    </row>
    <row r="495" spans="1:18" x14ac:dyDescent="0.2">
      <c r="A495" s="7" t="s">
        <v>16</v>
      </c>
      <c r="B495" s="7" t="s">
        <v>55</v>
      </c>
      <c r="C495" s="7" t="s">
        <v>18</v>
      </c>
      <c r="D495" s="4">
        <v>82854246004</v>
      </c>
      <c r="E495" s="8" t="s">
        <v>411</v>
      </c>
      <c r="F495" s="8" t="s">
        <v>305</v>
      </c>
      <c r="G495" s="7" t="s">
        <v>253</v>
      </c>
      <c r="H495" s="47" t="s">
        <v>784</v>
      </c>
      <c r="I495" s="47" t="s">
        <v>785</v>
      </c>
      <c r="J495" s="6">
        <v>73</v>
      </c>
      <c r="K495" s="8" t="s">
        <v>69</v>
      </c>
      <c r="L495" s="5">
        <v>64</v>
      </c>
      <c r="P495" s="3"/>
      <c r="Q495" s="3"/>
      <c r="R495" s="3"/>
    </row>
    <row r="496" spans="1:18" x14ac:dyDescent="0.2">
      <c r="A496" s="7" t="s">
        <v>16</v>
      </c>
      <c r="B496" s="7" t="s">
        <v>17</v>
      </c>
      <c r="C496" s="7" t="s">
        <v>18</v>
      </c>
      <c r="D496" s="4">
        <v>410960000120</v>
      </c>
      <c r="E496" s="8" t="s">
        <v>234</v>
      </c>
      <c r="F496" s="8" t="s">
        <v>235</v>
      </c>
      <c r="G496" s="7" t="s">
        <v>223</v>
      </c>
      <c r="H496" s="47" t="s">
        <v>784</v>
      </c>
      <c r="I496" s="47" t="s">
        <v>785</v>
      </c>
      <c r="J496" s="6">
        <v>73</v>
      </c>
      <c r="K496" s="8" t="s">
        <v>69</v>
      </c>
      <c r="L496" s="5">
        <v>36</v>
      </c>
      <c r="P496" s="3"/>
      <c r="Q496" s="3"/>
      <c r="R496" s="3"/>
    </row>
    <row r="497" spans="1:18" x14ac:dyDescent="0.2">
      <c r="A497" s="7" t="s">
        <v>16</v>
      </c>
      <c r="B497" s="7" t="s">
        <v>55</v>
      </c>
      <c r="C497" s="7" t="s">
        <v>18</v>
      </c>
      <c r="D497" s="4">
        <v>410960000120</v>
      </c>
      <c r="E497" s="8" t="s">
        <v>234</v>
      </c>
      <c r="F497" s="8" t="s">
        <v>235</v>
      </c>
      <c r="G497" s="7" t="s">
        <v>223</v>
      </c>
      <c r="H497" s="47" t="s">
        <v>784</v>
      </c>
      <c r="I497" s="47" t="s">
        <v>785</v>
      </c>
      <c r="J497" s="6">
        <v>73</v>
      </c>
      <c r="K497" s="8" t="s">
        <v>69</v>
      </c>
      <c r="L497" s="5">
        <v>64</v>
      </c>
      <c r="P497" s="3"/>
      <c r="Q497" s="3"/>
      <c r="R497" s="3"/>
    </row>
    <row r="498" spans="1:18" x14ac:dyDescent="0.2">
      <c r="A498" s="7" t="s">
        <v>16</v>
      </c>
      <c r="B498" s="7" t="s">
        <v>17</v>
      </c>
      <c r="C498" s="7" t="s">
        <v>18</v>
      </c>
      <c r="D498" s="4">
        <v>418954000119</v>
      </c>
      <c r="E498" s="8" t="s">
        <v>236</v>
      </c>
      <c r="F498" s="8" t="s">
        <v>237</v>
      </c>
      <c r="G498" s="7" t="s">
        <v>238</v>
      </c>
      <c r="H498" s="47" t="s">
        <v>790</v>
      </c>
      <c r="I498" s="47" t="s">
        <v>791</v>
      </c>
      <c r="J498" s="6">
        <v>64</v>
      </c>
      <c r="K498" s="8" t="s">
        <v>68</v>
      </c>
      <c r="L498" s="5">
        <v>10</v>
      </c>
      <c r="P498" s="3"/>
      <c r="Q498" s="3"/>
      <c r="R498" s="3"/>
    </row>
    <row r="499" spans="1:18" x14ac:dyDescent="0.2">
      <c r="A499" s="7" t="s">
        <v>16</v>
      </c>
      <c r="B499" s="7" t="s">
        <v>55</v>
      </c>
      <c r="C499" s="7" t="s">
        <v>18</v>
      </c>
      <c r="D499" s="4">
        <v>418954000119</v>
      </c>
      <c r="E499" s="8" t="s">
        <v>236</v>
      </c>
      <c r="F499" s="8" t="s">
        <v>237</v>
      </c>
      <c r="G499" s="7" t="s">
        <v>238</v>
      </c>
      <c r="H499" s="47" t="s">
        <v>790</v>
      </c>
      <c r="I499" s="47" t="s">
        <v>791</v>
      </c>
      <c r="J499" s="6">
        <v>64</v>
      </c>
      <c r="K499" s="8" t="s">
        <v>68</v>
      </c>
      <c r="L499" s="5">
        <v>10</v>
      </c>
      <c r="P499" s="3"/>
      <c r="Q499" s="3"/>
      <c r="R499" s="3"/>
    </row>
    <row r="500" spans="1:18" x14ac:dyDescent="0.2">
      <c r="A500" s="7" t="s">
        <v>16</v>
      </c>
      <c r="B500" s="7" t="s">
        <v>17</v>
      </c>
      <c r="C500" s="7" t="s">
        <v>18</v>
      </c>
      <c r="D500" s="4">
        <v>437007000175</v>
      </c>
      <c r="E500" s="8" t="s">
        <v>239</v>
      </c>
      <c r="F500" s="8" t="s">
        <v>240</v>
      </c>
      <c r="G500" s="7" t="s">
        <v>241</v>
      </c>
      <c r="H500" s="47" t="s">
        <v>784</v>
      </c>
      <c r="I500" s="47" t="s">
        <v>785</v>
      </c>
      <c r="J500" s="6">
        <v>73</v>
      </c>
      <c r="K500" s="8" t="s">
        <v>69</v>
      </c>
      <c r="L500" s="5">
        <v>358</v>
      </c>
      <c r="P500" s="3"/>
      <c r="Q500" s="3"/>
      <c r="R500" s="3"/>
    </row>
    <row r="501" spans="1:18" x14ac:dyDescent="0.2">
      <c r="A501" s="7" t="s">
        <v>16</v>
      </c>
      <c r="B501" s="7" t="s">
        <v>55</v>
      </c>
      <c r="C501" s="7" t="s">
        <v>18</v>
      </c>
      <c r="D501" s="4">
        <v>437007000175</v>
      </c>
      <c r="E501" s="8" t="s">
        <v>239</v>
      </c>
      <c r="F501" s="8" t="s">
        <v>240</v>
      </c>
      <c r="G501" s="7" t="s">
        <v>241</v>
      </c>
      <c r="H501" s="47" t="s">
        <v>784</v>
      </c>
      <c r="I501" s="47" t="s">
        <v>785</v>
      </c>
      <c r="J501" s="6">
        <v>73</v>
      </c>
      <c r="K501" s="8" t="s">
        <v>69</v>
      </c>
      <c r="L501" s="5">
        <v>228</v>
      </c>
      <c r="P501" s="3"/>
      <c r="Q501" s="3"/>
      <c r="R501" s="3"/>
    </row>
    <row r="502" spans="1:18" x14ac:dyDescent="0.2">
      <c r="A502" s="7" t="s">
        <v>16</v>
      </c>
      <c r="B502" s="7" t="s">
        <v>17</v>
      </c>
      <c r="C502" s="7" t="s">
        <v>18</v>
      </c>
      <c r="D502" s="4">
        <v>511816000180</v>
      </c>
      <c r="E502" s="8" t="s">
        <v>242</v>
      </c>
      <c r="F502" s="8" t="s">
        <v>225</v>
      </c>
      <c r="G502" s="7" t="s">
        <v>226</v>
      </c>
      <c r="H502" s="47" t="s">
        <v>790</v>
      </c>
      <c r="I502" s="47" t="s">
        <v>791</v>
      </c>
      <c r="J502" s="6">
        <v>64</v>
      </c>
      <c r="K502" s="8" t="s">
        <v>68</v>
      </c>
      <c r="L502" s="5">
        <v>8</v>
      </c>
      <c r="P502" s="3"/>
      <c r="Q502" s="3"/>
      <c r="R502" s="3"/>
    </row>
    <row r="503" spans="1:18" x14ac:dyDescent="0.2">
      <c r="A503" s="7" t="s">
        <v>16</v>
      </c>
      <c r="B503" s="7" t="s">
        <v>55</v>
      </c>
      <c r="C503" s="7" t="s">
        <v>18</v>
      </c>
      <c r="D503" s="4">
        <v>511816000180</v>
      </c>
      <c r="E503" s="8" t="s">
        <v>242</v>
      </c>
      <c r="F503" s="8" t="s">
        <v>225</v>
      </c>
      <c r="G503" s="7" t="s">
        <v>226</v>
      </c>
      <c r="H503" s="47" t="s">
        <v>790</v>
      </c>
      <c r="I503" s="47" t="s">
        <v>791</v>
      </c>
      <c r="J503" s="6">
        <v>62</v>
      </c>
      <c r="K503" s="8" t="s">
        <v>74</v>
      </c>
      <c r="L503" s="5">
        <v>4</v>
      </c>
      <c r="P503" s="3"/>
      <c r="Q503" s="3"/>
      <c r="R503" s="3"/>
    </row>
    <row r="504" spans="1:18" x14ac:dyDescent="0.2">
      <c r="A504" s="7" t="s">
        <v>16</v>
      </c>
      <c r="B504" s="7" t="s">
        <v>55</v>
      </c>
      <c r="C504" s="7" t="s">
        <v>18</v>
      </c>
      <c r="D504" s="4">
        <v>394544000851</v>
      </c>
      <c r="E504" s="8" t="s">
        <v>412</v>
      </c>
      <c r="F504" s="8" t="s">
        <v>225</v>
      </c>
      <c r="G504" s="7" t="s">
        <v>226</v>
      </c>
      <c r="H504" s="47" t="s">
        <v>790</v>
      </c>
      <c r="I504" s="47" t="s">
        <v>791</v>
      </c>
      <c r="J504" s="6">
        <v>66</v>
      </c>
      <c r="K504" s="8" t="s">
        <v>99</v>
      </c>
      <c r="L504" s="5">
        <v>12</v>
      </c>
      <c r="P504" s="3"/>
      <c r="Q504" s="3"/>
      <c r="R504" s="3"/>
    </row>
    <row r="505" spans="1:18" x14ac:dyDescent="0.2">
      <c r="A505" s="7" t="s">
        <v>16</v>
      </c>
      <c r="B505" s="7" t="s">
        <v>17</v>
      </c>
      <c r="C505" s="7" t="s">
        <v>18</v>
      </c>
      <c r="D505" s="4">
        <v>520237000101</v>
      </c>
      <c r="E505" s="8" t="s">
        <v>243</v>
      </c>
      <c r="F505" s="8" t="s">
        <v>225</v>
      </c>
      <c r="G505" s="7" t="s">
        <v>226</v>
      </c>
      <c r="H505" s="47" t="s">
        <v>790</v>
      </c>
      <c r="I505" s="47" t="s">
        <v>791</v>
      </c>
      <c r="J505" s="6">
        <v>73</v>
      </c>
      <c r="K505" s="8" t="s">
        <v>69</v>
      </c>
      <c r="L505" s="5">
        <v>102</v>
      </c>
      <c r="P505" s="3"/>
      <c r="Q505" s="3"/>
      <c r="R505" s="3"/>
    </row>
    <row r="506" spans="1:18" x14ac:dyDescent="0.2">
      <c r="A506" s="7" t="s">
        <v>16</v>
      </c>
      <c r="B506" s="7" t="s">
        <v>55</v>
      </c>
      <c r="C506" s="7" t="s">
        <v>18</v>
      </c>
      <c r="D506" s="4">
        <v>520237000101</v>
      </c>
      <c r="E506" s="8" t="s">
        <v>243</v>
      </c>
      <c r="F506" s="8" t="s">
        <v>225</v>
      </c>
      <c r="G506" s="7" t="s">
        <v>226</v>
      </c>
      <c r="H506" s="47" t="s">
        <v>790</v>
      </c>
      <c r="I506" s="47" t="s">
        <v>791</v>
      </c>
      <c r="J506" s="6">
        <v>73</v>
      </c>
      <c r="K506" s="8" t="s">
        <v>69</v>
      </c>
      <c r="L506" s="5">
        <v>259</v>
      </c>
      <c r="P506" s="3"/>
      <c r="Q506" s="3"/>
      <c r="R506" s="3"/>
    </row>
    <row r="507" spans="1:18" x14ac:dyDescent="0.2">
      <c r="A507" s="7" t="s">
        <v>16</v>
      </c>
      <c r="B507" s="7" t="s">
        <v>17</v>
      </c>
      <c r="C507" s="7" t="s">
        <v>18</v>
      </c>
      <c r="D507" s="4">
        <v>610980000144</v>
      </c>
      <c r="E507" s="8" t="s">
        <v>244</v>
      </c>
      <c r="F507" s="8" t="s">
        <v>225</v>
      </c>
      <c r="G507" s="7" t="s">
        <v>226</v>
      </c>
      <c r="H507" s="47" t="s">
        <v>790</v>
      </c>
      <c r="I507" s="47" t="s">
        <v>791</v>
      </c>
      <c r="J507" s="6">
        <v>64</v>
      </c>
      <c r="K507" s="8" t="s">
        <v>68</v>
      </c>
      <c r="L507" s="5">
        <v>24</v>
      </c>
      <c r="P507" s="3"/>
      <c r="Q507" s="3"/>
      <c r="R507" s="3"/>
    </row>
    <row r="508" spans="1:18" x14ac:dyDescent="0.2">
      <c r="A508" s="7" t="s">
        <v>16</v>
      </c>
      <c r="B508" s="7" t="s">
        <v>55</v>
      </c>
      <c r="C508" s="7" t="s">
        <v>18</v>
      </c>
      <c r="D508" s="4">
        <v>610980000144</v>
      </c>
      <c r="E508" s="8" t="s">
        <v>244</v>
      </c>
      <c r="F508" s="8" t="s">
        <v>225</v>
      </c>
      <c r="G508" s="7" t="s">
        <v>226</v>
      </c>
      <c r="H508" s="47" t="s">
        <v>790</v>
      </c>
      <c r="I508" s="47" t="s">
        <v>791</v>
      </c>
      <c r="J508" s="6">
        <v>64</v>
      </c>
      <c r="K508" s="8" t="s">
        <v>68</v>
      </c>
      <c r="L508" s="5">
        <v>5</v>
      </c>
      <c r="P508" s="3"/>
      <c r="Q508" s="3"/>
      <c r="R508" s="3"/>
    </row>
    <row r="509" spans="1:18" x14ac:dyDescent="0.2">
      <c r="A509" s="7" t="s">
        <v>16</v>
      </c>
      <c r="B509" s="7" t="s">
        <v>17</v>
      </c>
      <c r="C509" s="7" t="s">
        <v>18</v>
      </c>
      <c r="D509" s="4">
        <v>820737000150</v>
      </c>
      <c r="E509" s="8" t="s">
        <v>245</v>
      </c>
      <c r="F509" s="8" t="s">
        <v>246</v>
      </c>
      <c r="G509" s="7" t="s">
        <v>247</v>
      </c>
      <c r="H509" s="47" t="s">
        <v>790</v>
      </c>
      <c r="I509" s="47" t="s">
        <v>791</v>
      </c>
      <c r="J509" s="6">
        <v>64</v>
      </c>
      <c r="K509" s="8" t="s">
        <v>68</v>
      </c>
      <c r="L509" s="5">
        <v>30</v>
      </c>
      <c r="P509" s="3"/>
      <c r="Q509" s="3"/>
      <c r="R509" s="3"/>
    </row>
    <row r="510" spans="1:18" x14ac:dyDescent="0.2">
      <c r="A510" s="7" t="s">
        <v>16</v>
      </c>
      <c r="B510" s="7" t="s">
        <v>55</v>
      </c>
      <c r="C510" s="7" t="s">
        <v>18</v>
      </c>
      <c r="D510" s="4">
        <v>820737000150</v>
      </c>
      <c r="E510" s="8" t="s">
        <v>245</v>
      </c>
      <c r="F510" s="8" t="s">
        <v>246</v>
      </c>
      <c r="G510" s="7" t="s">
        <v>247</v>
      </c>
      <c r="H510" s="47" t="s">
        <v>790</v>
      </c>
      <c r="I510" s="47" t="s">
        <v>791</v>
      </c>
      <c r="J510" s="6">
        <v>64</v>
      </c>
      <c r="K510" s="8" t="s">
        <v>68</v>
      </c>
      <c r="L510" s="5">
        <v>173</v>
      </c>
      <c r="P510" s="3"/>
      <c r="Q510" s="3"/>
      <c r="R510" s="3"/>
    </row>
    <row r="511" spans="1:18" x14ac:dyDescent="0.2">
      <c r="A511" s="7" t="s">
        <v>16</v>
      </c>
      <c r="B511" s="7" t="s">
        <v>17</v>
      </c>
      <c r="C511" s="7" t="s">
        <v>18</v>
      </c>
      <c r="D511" s="4">
        <v>860841000179</v>
      </c>
      <c r="E511" s="8" t="s">
        <v>248</v>
      </c>
      <c r="F511" s="8" t="s">
        <v>249</v>
      </c>
      <c r="G511" s="7" t="s">
        <v>250</v>
      </c>
      <c r="H511" s="47" t="s">
        <v>790</v>
      </c>
      <c r="I511" s="47" t="s">
        <v>791</v>
      </c>
      <c r="J511" s="6">
        <v>64</v>
      </c>
      <c r="K511" s="8" t="s">
        <v>68</v>
      </c>
      <c r="L511" s="5">
        <v>2</v>
      </c>
      <c r="P511" s="3"/>
      <c r="Q511" s="3"/>
      <c r="R511" s="3"/>
    </row>
    <row r="512" spans="1:18" x14ac:dyDescent="0.2">
      <c r="A512" s="7" t="s">
        <v>16</v>
      </c>
      <c r="B512" s="7" t="s">
        <v>55</v>
      </c>
      <c r="C512" s="7" t="s">
        <v>18</v>
      </c>
      <c r="D512" s="4">
        <v>860841000179</v>
      </c>
      <c r="E512" s="8" t="s">
        <v>248</v>
      </c>
      <c r="F512" s="8" t="s">
        <v>249</v>
      </c>
      <c r="G512" s="7" t="s">
        <v>250</v>
      </c>
      <c r="H512" s="47" t="s">
        <v>790</v>
      </c>
      <c r="I512" s="47" t="s">
        <v>791</v>
      </c>
      <c r="J512" s="6">
        <v>64</v>
      </c>
      <c r="K512" s="8" t="s">
        <v>68</v>
      </c>
      <c r="L512" s="5">
        <v>-2</v>
      </c>
      <c r="P512" s="3"/>
      <c r="Q512" s="3"/>
      <c r="R512" s="3"/>
    </row>
    <row r="513" spans="1:18" x14ac:dyDescent="0.2">
      <c r="A513" s="7" t="s">
        <v>16</v>
      </c>
      <c r="B513" s="7" t="s">
        <v>17</v>
      </c>
      <c r="C513" s="7" t="s">
        <v>18</v>
      </c>
      <c r="D513" s="4">
        <v>1140803000104</v>
      </c>
      <c r="E513" s="8" t="s">
        <v>251</v>
      </c>
      <c r="F513" s="8" t="s">
        <v>252</v>
      </c>
      <c r="G513" s="7" t="s">
        <v>253</v>
      </c>
      <c r="H513" s="47" t="s">
        <v>784</v>
      </c>
      <c r="I513" s="47" t="s">
        <v>785</v>
      </c>
      <c r="J513" s="6">
        <v>73</v>
      </c>
      <c r="K513" s="8" t="s">
        <v>69</v>
      </c>
      <c r="L513" s="5">
        <v>32</v>
      </c>
      <c r="P513" s="3"/>
      <c r="Q513" s="3"/>
      <c r="R513" s="3"/>
    </row>
    <row r="514" spans="1:18" x14ac:dyDescent="0.2">
      <c r="A514" s="7" t="s">
        <v>16</v>
      </c>
      <c r="B514" s="7" t="s">
        <v>17</v>
      </c>
      <c r="C514" s="7" t="s">
        <v>18</v>
      </c>
      <c r="D514" s="4">
        <v>1326206000179</v>
      </c>
      <c r="E514" s="8" t="s">
        <v>254</v>
      </c>
      <c r="F514" s="8" t="s">
        <v>255</v>
      </c>
      <c r="G514" s="7" t="s">
        <v>238</v>
      </c>
      <c r="H514" s="47" t="s">
        <v>790</v>
      </c>
      <c r="I514" s="47" t="s">
        <v>791</v>
      </c>
      <c r="J514" s="6">
        <v>73</v>
      </c>
      <c r="K514" s="8" t="s">
        <v>69</v>
      </c>
      <c r="L514" s="5">
        <v>10</v>
      </c>
      <c r="P514" s="3"/>
      <c r="Q514" s="3"/>
      <c r="R514" s="3"/>
    </row>
    <row r="515" spans="1:18" x14ac:dyDescent="0.2">
      <c r="A515" s="7" t="s">
        <v>16</v>
      </c>
      <c r="B515" s="7" t="s">
        <v>55</v>
      </c>
      <c r="C515" s="7" t="s">
        <v>18</v>
      </c>
      <c r="D515" s="4">
        <v>1326206000179</v>
      </c>
      <c r="E515" s="8" t="s">
        <v>254</v>
      </c>
      <c r="F515" s="8" t="s">
        <v>255</v>
      </c>
      <c r="G515" s="7" t="s">
        <v>238</v>
      </c>
      <c r="H515" s="47" t="s">
        <v>790</v>
      </c>
      <c r="I515" s="47" t="s">
        <v>791</v>
      </c>
      <c r="J515" s="6">
        <v>73</v>
      </c>
      <c r="K515" s="8" t="s">
        <v>69</v>
      </c>
      <c r="L515" s="5">
        <v>18</v>
      </c>
      <c r="P515" s="3"/>
      <c r="Q515" s="3"/>
      <c r="R515" s="3"/>
    </row>
    <row r="516" spans="1:18" x14ac:dyDescent="0.2">
      <c r="A516" s="7" t="s">
        <v>16</v>
      </c>
      <c r="B516" s="7" t="s">
        <v>17</v>
      </c>
      <c r="C516" s="7" t="s">
        <v>18</v>
      </c>
      <c r="D516" s="4">
        <v>1507901000137</v>
      </c>
      <c r="E516" s="8" t="s">
        <v>256</v>
      </c>
      <c r="F516" s="8" t="s">
        <v>246</v>
      </c>
      <c r="G516" s="7" t="s">
        <v>247</v>
      </c>
      <c r="H516" s="47" t="s">
        <v>790</v>
      </c>
      <c r="I516" s="47" t="s">
        <v>791</v>
      </c>
      <c r="J516" s="6">
        <v>62</v>
      </c>
      <c r="K516" s="8" t="s">
        <v>74</v>
      </c>
      <c r="L516" s="5">
        <v>3</v>
      </c>
      <c r="P516" s="3"/>
      <c r="Q516" s="3"/>
      <c r="R516" s="3"/>
    </row>
    <row r="517" spans="1:18" x14ac:dyDescent="0.2">
      <c r="A517" s="7" t="s">
        <v>16</v>
      </c>
      <c r="B517" s="7" t="s">
        <v>17</v>
      </c>
      <c r="C517" s="7" t="s">
        <v>18</v>
      </c>
      <c r="D517" s="4">
        <v>1507901000137</v>
      </c>
      <c r="E517" s="8" t="s">
        <v>256</v>
      </c>
      <c r="F517" s="8" t="s">
        <v>246</v>
      </c>
      <c r="G517" s="7" t="s">
        <v>247</v>
      </c>
      <c r="H517" s="47" t="s">
        <v>790</v>
      </c>
      <c r="I517" s="47" t="s">
        <v>791</v>
      </c>
      <c r="J517" s="6">
        <v>64</v>
      </c>
      <c r="K517" s="8" t="s">
        <v>68</v>
      </c>
      <c r="L517" s="5">
        <v>10</v>
      </c>
      <c r="P517" s="3"/>
      <c r="Q517" s="3"/>
      <c r="R517" s="3"/>
    </row>
    <row r="518" spans="1:18" x14ac:dyDescent="0.2">
      <c r="A518" s="7" t="s">
        <v>16</v>
      </c>
      <c r="B518" s="7" t="s">
        <v>17</v>
      </c>
      <c r="C518" s="7" t="s">
        <v>18</v>
      </c>
      <c r="D518" s="4">
        <v>1517626000132</v>
      </c>
      <c r="E518" s="8" t="s">
        <v>257</v>
      </c>
      <c r="F518" s="8" t="s">
        <v>258</v>
      </c>
      <c r="G518" s="7" t="s">
        <v>259</v>
      </c>
      <c r="H518" s="47" t="s">
        <v>784</v>
      </c>
      <c r="I518" s="47" t="s">
        <v>785</v>
      </c>
      <c r="J518" s="6">
        <v>73</v>
      </c>
      <c r="K518" s="8" t="s">
        <v>69</v>
      </c>
      <c r="L518" s="5">
        <v>12</v>
      </c>
      <c r="P518" s="3"/>
      <c r="Q518" s="3"/>
      <c r="R518" s="3"/>
    </row>
    <row r="519" spans="1:18" x14ac:dyDescent="0.2">
      <c r="A519" s="7" t="s">
        <v>16</v>
      </c>
      <c r="B519" s="7" t="s">
        <v>17</v>
      </c>
      <c r="C519" s="7" t="s">
        <v>18</v>
      </c>
      <c r="D519" s="4">
        <v>1757351000104</v>
      </c>
      <c r="E519" s="8" t="s">
        <v>260</v>
      </c>
      <c r="F519" s="8" t="s">
        <v>261</v>
      </c>
      <c r="G519" s="7" t="s">
        <v>262</v>
      </c>
      <c r="H519" s="47" t="s">
        <v>790</v>
      </c>
      <c r="I519" s="47" t="s">
        <v>791</v>
      </c>
      <c r="J519" s="6">
        <v>64</v>
      </c>
      <c r="K519" s="8" t="s">
        <v>68</v>
      </c>
      <c r="L519" s="5">
        <v>6</v>
      </c>
      <c r="P519" s="3"/>
      <c r="Q519" s="3"/>
      <c r="R519" s="3"/>
    </row>
    <row r="520" spans="1:18" x14ac:dyDescent="0.2">
      <c r="A520" s="7" t="s">
        <v>16</v>
      </c>
      <c r="B520" s="7" t="s">
        <v>55</v>
      </c>
      <c r="C520" s="7" t="s">
        <v>18</v>
      </c>
      <c r="D520" s="4">
        <v>1757351000104</v>
      </c>
      <c r="E520" s="8" t="s">
        <v>260</v>
      </c>
      <c r="F520" s="8" t="s">
        <v>261</v>
      </c>
      <c r="G520" s="7" t="s">
        <v>262</v>
      </c>
      <c r="H520" s="47" t="s">
        <v>790</v>
      </c>
      <c r="I520" s="47" t="s">
        <v>791</v>
      </c>
      <c r="J520" s="6">
        <v>64</v>
      </c>
      <c r="K520" s="8" t="s">
        <v>68</v>
      </c>
      <c r="L520" s="5">
        <v>10</v>
      </c>
      <c r="P520" s="3"/>
      <c r="Q520" s="3"/>
      <c r="R520" s="3"/>
    </row>
    <row r="521" spans="1:18" x14ac:dyDescent="0.2">
      <c r="A521" s="7" t="s">
        <v>16</v>
      </c>
      <c r="B521" s="7" t="s">
        <v>17</v>
      </c>
      <c r="C521" s="7" t="s">
        <v>18</v>
      </c>
      <c r="D521" s="4">
        <v>2284062000440</v>
      </c>
      <c r="E521" s="8" t="s">
        <v>263</v>
      </c>
      <c r="F521" s="8" t="s">
        <v>264</v>
      </c>
      <c r="G521" s="7" t="s">
        <v>265</v>
      </c>
      <c r="H521" s="47" t="s">
        <v>790</v>
      </c>
      <c r="I521" s="47" t="s">
        <v>791</v>
      </c>
      <c r="J521" s="6">
        <v>64</v>
      </c>
      <c r="K521" s="8" t="s">
        <v>68</v>
      </c>
      <c r="L521" s="5">
        <v>21</v>
      </c>
      <c r="P521" s="3"/>
      <c r="Q521" s="3"/>
      <c r="R521" s="3"/>
    </row>
    <row r="522" spans="1:18" x14ac:dyDescent="0.2">
      <c r="A522" s="7" t="s">
        <v>16</v>
      </c>
      <c r="B522" s="7" t="s">
        <v>55</v>
      </c>
      <c r="C522" s="7" t="s">
        <v>18</v>
      </c>
      <c r="D522" s="4">
        <v>2284062000440</v>
      </c>
      <c r="E522" s="8" t="s">
        <v>263</v>
      </c>
      <c r="F522" s="8" t="s">
        <v>264</v>
      </c>
      <c r="G522" s="7" t="s">
        <v>265</v>
      </c>
      <c r="H522" s="47" t="s">
        <v>790</v>
      </c>
      <c r="I522" s="47" t="s">
        <v>791</v>
      </c>
      <c r="J522" s="6">
        <v>64</v>
      </c>
      <c r="K522" s="8" t="s">
        <v>68</v>
      </c>
      <c r="L522" s="5">
        <v>55</v>
      </c>
      <c r="P522" s="3"/>
      <c r="Q522" s="3"/>
      <c r="R522" s="3"/>
    </row>
    <row r="523" spans="1:18" x14ac:dyDescent="0.2">
      <c r="A523" s="7" t="s">
        <v>16</v>
      </c>
      <c r="B523" s="7" t="s">
        <v>17</v>
      </c>
      <c r="C523" s="7" t="s">
        <v>18</v>
      </c>
      <c r="D523" s="4">
        <v>2284062001170</v>
      </c>
      <c r="E523" s="8" t="s">
        <v>266</v>
      </c>
      <c r="F523" s="8" t="s">
        <v>267</v>
      </c>
      <c r="G523" s="7" t="s">
        <v>268</v>
      </c>
      <c r="H523" s="47" t="s">
        <v>790</v>
      </c>
      <c r="I523" s="47" t="s">
        <v>791</v>
      </c>
      <c r="J523" s="6">
        <v>62</v>
      </c>
      <c r="K523" s="8" t="s">
        <v>74</v>
      </c>
      <c r="L523" s="5">
        <v>5</v>
      </c>
      <c r="P523" s="3"/>
      <c r="Q523" s="3"/>
      <c r="R523" s="3"/>
    </row>
    <row r="524" spans="1:18" x14ac:dyDescent="0.2">
      <c r="A524" s="7" t="s">
        <v>16</v>
      </c>
      <c r="B524" s="7" t="s">
        <v>55</v>
      </c>
      <c r="C524" s="7" t="s">
        <v>18</v>
      </c>
      <c r="D524" s="4">
        <v>2284062001170</v>
      </c>
      <c r="E524" s="8" t="s">
        <v>266</v>
      </c>
      <c r="F524" s="8" t="s">
        <v>267</v>
      </c>
      <c r="G524" s="7" t="s">
        <v>268</v>
      </c>
      <c r="H524" s="47" t="s">
        <v>790</v>
      </c>
      <c r="I524" s="47" t="s">
        <v>791</v>
      </c>
      <c r="J524" s="6">
        <v>64</v>
      </c>
      <c r="K524" s="8" t="s">
        <v>68</v>
      </c>
      <c r="L524" s="5">
        <v>4</v>
      </c>
      <c r="P524" s="3"/>
      <c r="Q524" s="3"/>
      <c r="R524" s="3"/>
    </row>
    <row r="525" spans="1:18" x14ac:dyDescent="0.2">
      <c r="A525" s="7" t="s">
        <v>16</v>
      </c>
      <c r="B525" s="7" t="s">
        <v>17</v>
      </c>
      <c r="C525" s="7" t="s">
        <v>18</v>
      </c>
      <c r="D525" s="4">
        <v>2476067000203</v>
      </c>
      <c r="E525" s="8" t="s">
        <v>269</v>
      </c>
      <c r="F525" s="8" t="s">
        <v>237</v>
      </c>
      <c r="G525" s="7" t="s">
        <v>238</v>
      </c>
      <c r="H525" s="47" t="s">
        <v>790</v>
      </c>
      <c r="I525" s="47" t="s">
        <v>791</v>
      </c>
      <c r="J525" s="6">
        <v>73</v>
      </c>
      <c r="K525" s="8" t="s">
        <v>69</v>
      </c>
      <c r="L525" s="5">
        <v>20</v>
      </c>
      <c r="P525" s="3"/>
      <c r="Q525" s="3"/>
      <c r="R525" s="3"/>
    </row>
    <row r="526" spans="1:18" x14ac:dyDescent="0.2">
      <c r="A526" s="7" t="s">
        <v>16</v>
      </c>
      <c r="B526" s="7" t="s">
        <v>55</v>
      </c>
      <c r="C526" s="7" t="s">
        <v>18</v>
      </c>
      <c r="D526" s="4">
        <v>2476067000203</v>
      </c>
      <c r="E526" s="8" t="s">
        <v>269</v>
      </c>
      <c r="F526" s="8" t="s">
        <v>237</v>
      </c>
      <c r="G526" s="7" t="s">
        <v>238</v>
      </c>
      <c r="H526" s="47" t="s">
        <v>790</v>
      </c>
      <c r="I526" s="47" t="s">
        <v>791</v>
      </c>
      <c r="J526" s="6">
        <v>73</v>
      </c>
      <c r="K526" s="8" t="s">
        <v>69</v>
      </c>
      <c r="L526" s="5">
        <v>40</v>
      </c>
      <c r="P526" s="3"/>
      <c r="Q526" s="3"/>
      <c r="R526" s="3"/>
    </row>
    <row r="527" spans="1:18" x14ac:dyDescent="0.2">
      <c r="A527" s="7" t="s">
        <v>16</v>
      </c>
      <c r="B527" s="7" t="s">
        <v>17</v>
      </c>
      <c r="C527" s="7" t="s">
        <v>18</v>
      </c>
      <c r="D527" s="4">
        <v>2560878000107</v>
      </c>
      <c r="E527" s="8" t="s">
        <v>270</v>
      </c>
      <c r="F527" s="8" t="s">
        <v>225</v>
      </c>
      <c r="G527" s="7" t="s">
        <v>226</v>
      </c>
      <c r="H527" s="47" t="s">
        <v>790</v>
      </c>
      <c r="I527" s="47" t="s">
        <v>791</v>
      </c>
      <c r="J527" s="6">
        <v>62</v>
      </c>
      <c r="K527" s="8" t="s">
        <v>74</v>
      </c>
      <c r="L527" s="5">
        <v>1</v>
      </c>
      <c r="P527" s="3"/>
      <c r="Q527" s="3"/>
      <c r="R527" s="3"/>
    </row>
    <row r="528" spans="1:18" x14ac:dyDescent="0.2">
      <c r="A528" s="7" t="s">
        <v>16</v>
      </c>
      <c r="B528" s="7" t="s">
        <v>17</v>
      </c>
      <c r="C528" s="7" t="s">
        <v>18</v>
      </c>
      <c r="D528" s="4">
        <v>2560878000107</v>
      </c>
      <c r="E528" s="8" t="s">
        <v>270</v>
      </c>
      <c r="F528" s="8" t="s">
        <v>225</v>
      </c>
      <c r="G528" s="7" t="s">
        <v>226</v>
      </c>
      <c r="H528" s="47" t="s">
        <v>790</v>
      </c>
      <c r="I528" s="47" t="s">
        <v>791</v>
      </c>
      <c r="J528" s="6">
        <v>64</v>
      </c>
      <c r="K528" s="8" t="s">
        <v>68</v>
      </c>
      <c r="L528" s="5">
        <v>7</v>
      </c>
      <c r="P528" s="3"/>
      <c r="Q528" s="3"/>
      <c r="R528" s="3"/>
    </row>
    <row r="529" spans="1:18" x14ac:dyDescent="0.2">
      <c r="A529" s="7" t="s">
        <v>16</v>
      </c>
      <c r="B529" s="7" t="s">
        <v>55</v>
      </c>
      <c r="C529" s="7" t="s">
        <v>18</v>
      </c>
      <c r="D529" s="4">
        <v>2560878000107</v>
      </c>
      <c r="E529" s="8" t="s">
        <v>270</v>
      </c>
      <c r="F529" s="8" t="s">
        <v>225</v>
      </c>
      <c r="G529" s="7" t="s">
        <v>226</v>
      </c>
      <c r="H529" s="47" t="s">
        <v>790</v>
      </c>
      <c r="I529" s="47" t="s">
        <v>791</v>
      </c>
      <c r="J529" s="6">
        <v>73</v>
      </c>
      <c r="K529" s="8" t="s">
        <v>69</v>
      </c>
      <c r="L529" s="5">
        <v>1</v>
      </c>
      <c r="P529" s="3"/>
      <c r="Q529" s="3"/>
      <c r="R529" s="3"/>
    </row>
    <row r="530" spans="1:18" x14ac:dyDescent="0.2">
      <c r="A530" s="7" t="s">
        <v>16</v>
      </c>
      <c r="B530" s="7" t="s">
        <v>17</v>
      </c>
      <c r="C530" s="7" t="s">
        <v>18</v>
      </c>
      <c r="D530" s="4">
        <v>3533726001583</v>
      </c>
      <c r="E530" s="8" t="s">
        <v>271</v>
      </c>
      <c r="F530" s="8" t="s">
        <v>261</v>
      </c>
      <c r="G530" s="7" t="s">
        <v>262</v>
      </c>
      <c r="H530" s="47" t="s">
        <v>790</v>
      </c>
      <c r="I530" s="47" t="s">
        <v>791</v>
      </c>
      <c r="J530" s="6">
        <v>73</v>
      </c>
      <c r="K530" s="8" t="s">
        <v>69</v>
      </c>
      <c r="L530" s="5">
        <v>36</v>
      </c>
      <c r="P530" s="3"/>
      <c r="Q530" s="3"/>
      <c r="R530" s="3"/>
    </row>
    <row r="531" spans="1:18" x14ac:dyDescent="0.2">
      <c r="A531" s="7" t="s">
        <v>16</v>
      </c>
      <c r="B531" s="7" t="s">
        <v>17</v>
      </c>
      <c r="C531" s="7" t="s">
        <v>18</v>
      </c>
      <c r="D531" s="4">
        <v>3925419000142</v>
      </c>
      <c r="E531" s="8" t="s">
        <v>272</v>
      </c>
      <c r="F531" s="8" t="s">
        <v>261</v>
      </c>
      <c r="G531" s="7" t="s">
        <v>262</v>
      </c>
      <c r="H531" s="47" t="s">
        <v>790</v>
      </c>
      <c r="I531" s="47" t="s">
        <v>791</v>
      </c>
      <c r="J531" s="6">
        <v>64</v>
      </c>
      <c r="K531" s="8" t="s">
        <v>68</v>
      </c>
      <c r="L531" s="5">
        <v>13</v>
      </c>
      <c r="P531" s="3"/>
      <c r="Q531" s="3"/>
      <c r="R531" s="3"/>
    </row>
    <row r="532" spans="1:18" x14ac:dyDescent="0.2">
      <c r="A532" s="7" t="s">
        <v>16</v>
      </c>
      <c r="B532" s="7" t="s">
        <v>55</v>
      </c>
      <c r="C532" s="7" t="s">
        <v>18</v>
      </c>
      <c r="D532" s="4">
        <v>3925419000142</v>
      </c>
      <c r="E532" s="8" t="s">
        <v>272</v>
      </c>
      <c r="F532" s="8" t="s">
        <v>261</v>
      </c>
      <c r="G532" s="7" t="s">
        <v>262</v>
      </c>
      <c r="H532" s="47" t="s">
        <v>790</v>
      </c>
      <c r="I532" s="47" t="s">
        <v>791</v>
      </c>
      <c r="J532" s="6">
        <v>64</v>
      </c>
      <c r="K532" s="8" t="s">
        <v>68</v>
      </c>
      <c r="L532" s="5">
        <v>8</v>
      </c>
      <c r="P532" s="3"/>
      <c r="Q532" s="3"/>
      <c r="R532" s="3"/>
    </row>
    <row r="533" spans="1:18" x14ac:dyDescent="0.2">
      <c r="A533" s="7" t="s">
        <v>16</v>
      </c>
      <c r="B533" s="7" t="s">
        <v>55</v>
      </c>
      <c r="C533" s="7" t="s">
        <v>18</v>
      </c>
      <c r="D533" s="4">
        <v>2109397000180</v>
      </c>
      <c r="E533" s="8" t="s">
        <v>413</v>
      </c>
      <c r="F533" s="8" t="s">
        <v>246</v>
      </c>
      <c r="G533" s="7" t="s">
        <v>247</v>
      </c>
      <c r="H533" s="47" t="s">
        <v>790</v>
      </c>
      <c r="I533" s="47" t="s">
        <v>791</v>
      </c>
      <c r="J533" s="6">
        <v>64</v>
      </c>
      <c r="K533" s="8" t="s">
        <v>68</v>
      </c>
      <c r="L533" s="5">
        <v>30</v>
      </c>
      <c r="P533" s="3"/>
      <c r="Q533" s="3"/>
      <c r="R533" s="3"/>
    </row>
    <row r="534" spans="1:18" x14ac:dyDescent="0.2">
      <c r="A534" s="7" t="s">
        <v>16</v>
      </c>
      <c r="B534" s="7" t="s">
        <v>55</v>
      </c>
      <c r="C534" s="7" t="s">
        <v>18</v>
      </c>
      <c r="D534" s="4">
        <v>2284062000106</v>
      </c>
      <c r="E534" s="8" t="s">
        <v>414</v>
      </c>
      <c r="F534" s="8" t="s">
        <v>264</v>
      </c>
      <c r="G534" s="7" t="s">
        <v>265</v>
      </c>
      <c r="H534" s="47" t="s">
        <v>790</v>
      </c>
      <c r="I534" s="47" t="s">
        <v>791</v>
      </c>
      <c r="J534" s="6">
        <v>62</v>
      </c>
      <c r="K534" s="8" t="s">
        <v>74</v>
      </c>
      <c r="L534" s="5">
        <v>4</v>
      </c>
      <c r="P534" s="3"/>
      <c r="Q534" s="3"/>
      <c r="R534" s="3"/>
    </row>
    <row r="535" spans="1:18" x14ac:dyDescent="0.2">
      <c r="A535" s="7" t="s">
        <v>16</v>
      </c>
      <c r="B535" s="7" t="s">
        <v>55</v>
      </c>
      <c r="C535" s="7" t="s">
        <v>18</v>
      </c>
      <c r="D535" s="4">
        <v>2284062000106</v>
      </c>
      <c r="E535" s="8" t="s">
        <v>414</v>
      </c>
      <c r="F535" s="8" t="s">
        <v>264</v>
      </c>
      <c r="G535" s="7" t="s">
        <v>265</v>
      </c>
      <c r="H535" s="47" t="s">
        <v>790</v>
      </c>
      <c r="I535" s="47" t="s">
        <v>791</v>
      </c>
      <c r="J535" s="6">
        <v>64</v>
      </c>
      <c r="K535" s="8" t="s">
        <v>68</v>
      </c>
      <c r="L535" s="5">
        <v>6</v>
      </c>
      <c r="P535" s="3"/>
      <c r="Q535" s="3"/>
      <c r="R535" s="3"/>
    </row>
    <row r="536" spans="1:18" x14ac:dyDescent="0.2">
      <c r="A536" s="7" t="s">
        <v>16</v>
      </c>
      <c r="B536" s="7" t="s">
        <v>17</v>
      </c>
      <c r="C536" s="7" t="s">
        <v>18</v>
      </c>
      <c r="D536" s="4">
        <v>4201372001028</v>
      </c>
      <c r="E536" s="8" t="s">
        <v>273</v>
      </c>
      <c r="F536" s="8" t="s">
        <v>219</v>
      </c>
      <c r="G536" s="7" t="s">
        <v>220</v>
      </c>
      <c r="H536" s="47" t="s">
        <v>790</v>
      </c>
      <c r="I536" s="47" t="s">
        <v>791</v>
      </c>
      <c r="J536" s="6">
        <v>73</v>
      </c>
      <c r="K536" s="8" t="s">
        <v>69</v>
      </c>
      <c r="L536" s="5">
        <v>40</v>
      </c>
      <c r="P536" s="3"/>
      <c r="Q536" s="3"/>
      <c r="R536" s="3"/>
    </row>
    <row r="537" spans="1:18" x14ac:dyDescent="0.2">
      <c r="A537" s="7" t="s">
        <v>16</v>
      </c>
      <c r="B537" s="7" t="s">
        <v>55</v>
      </c>
      <c r="C537" s="7" t="s">
        <v>18</v>
      </c>
      <c r="D537" s="4">
        <v>4201372001028</v>
      </c>
      <c r="E537" s="8" t="s">
        <v>273</v>
      </c>
      <c r="F537" s="8" t="s">
        <v>219</v>
      </c>
      <c r="G537" s="7" t="s">
        <v>220</v>
      </c>
      <c r="H537" s="47" t="s">
        <v>790</v>
      </c>
      <c r="I537" s="47" t="s">
        <v>791</v>
      </c>
      <c r="J537" s="6">
        <v>73</v>
      </c>
      <c r="K537" s="8" t="s">
        <v>69</v>
      </c>
      <c r="L537" s="5">
        <v>52</v>
      </c>
      <c r="P537" s="3"/>
      <c r="Q537" s="3"/>
      <c r="R537" s="3"/>
    </row>
    <row r="538" spans="1:18" x14ac:dyDescent="0.2">
      <c r="A538" s="7" t="s">
        <v>16</v>
      </c>
      <c r="B538" s="7" t="s">
        <v>17</v>
      </c>
      <c r="C538" s="7" t="s">
        <v>18</v>
      </c>
      <c r="D538" s="4">
        <v>4602792000125</v>
      </c>
      <c r="E538" s="8" t="s">
        <v>274</v>
      </c>
      <c r="F538" s="8" t="s">
        <v>275</v>
      </c>
      <c r="G538" s="7" t="s">
        <v>276</v>
      </c>
      <c r="H538" s="47" t="s">
        <v>790</v>
      </c>
      <c r="I538" s="47" t="s">
        <v>791</v>
      </c>
      <c r="J538" s="6">
        <v>64</v>
      </c>
      <c r="K538" s="8" t="s">
        <v>68</v>
      </c>
      <c r="L538" s="5">
        <v>2</v>
      </c>
      <c r="P538" s="3"/>
      <c r="Q538" s="3"/>
      <c r="R538" s="3"/>
    </row>
    <row r="539" spans="1:18" x14ac:dyDescent="0.2">
      <c r="A539" s="7" t="s">
        <v>16</v>
      </c>
      <c r="B539" s="7" t="s">
        <v>55</v>
      </c>
      <c r="C539" s="7" t="s">
        <v>18</v>
      </c>
      <c r="D539" s="4">
        <v>4602792000125</v>
      </c>
      <c r="E539" s="8" t="s">
        <v>274</v>
      </c>
      <c r="F539" s="8" t="s">
        <v>275</v>
      </c>
      <c r="G539" s="7" t="s">
        <v>276</v>
      </c>
      <c r="H539" s="47" t="s">
        <v>790</v>
      </c>
      <c r="I539" s="47" t="s">
        <v>791</v>
      </c>
      <c r="J539" s="6">
        <v>64</v>
      </c>
      <c r="K539" s="8" t="s">
        <v>68</v>
      </c>
      <c r="L539" s="5">
        <v>3</v>
      </c>
      <c r="P539" s="3"/>
      <c r="Q539" s="3"/>
      <c r="R539" s="3"/>
    </row>
    <row r="540" spans="1:18" x14ac:dyDescent="0.2">
      <c r="A540" s="7" t="s">
        <v>16</v>
      </c>
      <c r="B540" s="7" t="s">
        <v>17</v>
      </c>
      <c r="C540" s="7" t="s">
        <v>18</v>
      </c>
      <c r="D540" s="4">
        <v>5469172000122</v>
      </c>
      <c r="E540" s="8" t="s">
        <v>277</v>
      </c>
      <c r="F540" s="8" t="s">
        <v>278</v>
      </c>
      <c r="G540" s="7" t="s">
        <v>276</v>
      </c>
      <c r="H540" s="47" t="s">
        <v>790</v>
      </c>
      <c r="I540" s="47" t="s">
        <v>791</v>
      </c>
      <c r="J540" s="6">
        <v>64</v>
      </c>
      <c r="K540" s="8" t="s">
        <v>68</v>
      </c>
      <c r="L540" s="5">
        <v>6</v>
      </c>
      <c r="P540" s="3"/>
      <c r="Q540" s="3"/>
      <c r="R540" s="3"/>
    </row>
    <row r="541" spans="1:18" x14ac:dyDescent="0.2">
      <c r="A541" s="7" t="s">
        <v>16</v>
      </c>
      <c r="B541" s="7" t="s">
        <v>17</v>
      </c>
      <c r="C541" s="7" t="s">
        <v>18</v>
      </c>
      <c r="D541" s="4">
        <v>5816630000152</v>
      </c>
      <c r="E541" s="8" t="s">
        <v>279</v>
      </c>
      <c r="F541" s="8" t="s">
        <v>278</v>
      </c>
      <c r="G541" s="7" t="s">
        <v>276</v>
      </c>
      <c r="H541" s="47" t="s">
        <v>790</v>
      </c>
      <c r="I541" s="47" t="s">
        <v>791</v>
      </c>
      <c r="J541" s="6">
        <v>64</v>
      </c>
      <c r="K541" s="8" t="s">
        <v>68</v>
      </c>
      <c r="L541" s="5">
        <v>18</v>
      </c>
      <c r="P541" s="3"/>
      <c r="Q541" s="3"/>
      <c r="R541" s="3"/>
    </row>
    <row r="542" spans="1:18" x14ac:dyDescent="0.2">
      <c r="A542" s="7" t="s">
        <v>16</v>
      </c>
      <c r="B542" s="7" t="s">
        <v>17</v>
      </c>
      <c r="C542" s="7" t="s">
        <v>18</v>
      </c>
      <c r="D542" s="4">
        <v>5867015000175</v>
      </c>
      <c r="E542" s="8" t="s">
        <v>280</v>
      </c>
      <c r="F542" s="8" t="s">
        <v>281</v>
      </c>
      <c r="G542" s="7" t="s">
        <v>282</v>
      </c>
      <c r="H542" s="47" t="s">
        <v>790</v>
      </c>
      <c r="I542" s="47" t="s">
        <v>791</v>
      </c>
      <c r="J542" s="6">
        <v>73</v>
      </c>
      <c r="K542" s="8" t="s">
        <v>69</v>
      </c>
      <c r="L542" s="5">
        <v>8</v>
      </c>
      <c r="P542" s="3"/>
      <c r="Q542" s="3"/>
      <c r="R542" s="3"/>
    </row>
    <row r="543" spans="1:18" x14ac:dyDescent="0.2">
      <c r="A543" s="7" t="s">
        <v>16</v>
      </c>
      <c r="B543" s="7" t="s">
        <v>17</v>
      </c>
      <c r="C543" s="7" t="s">
        <v>18</v>
      </c>
      <c r="D543" s="4">
        <v>5868278000280</v>
      </c>
      <c r="E543" s="8" t="s">
        <v>283</v>
      </c>
      <c r="F543" s="8" t="s">
        <v>281</v>
      </c>
      <c r="G543" s="7" t="s">
        <v>282</v>
      </c>
      <c r="H543" s="47" t="s">
        <v>790</v>
      </c>
      <c r="I543" s="47" t="s">
        <v>791</v>
      </c>
      <c r="J543" s="6">
        <v>64</v>
      </c>
      <c r="K543" s="8" t="s">
        <v>68</v>
      </c>
      <c r="L543" s="5">
        <v>20</v>
      </c>
      <c r="P543" s="3"/>
      <c r="Q543" s="3"/>
      <c r="R543" s="3"/>
    </row>
    <row r="544" spans="1:18" x14ac:dyDescent="0.2">
      <c r="A544" s="7" t="s">
        <v>16</v>
      </c>
      <c r="B544" s="7" t="s">
        <v>17</v>
      </c>
      <c r="C544" s="7" t="s">
        <v>18</v>
      </c>
      <c r="D544" s="4">
        <v>5868278000280</v>
      </c>
      <c r="E544" s="8" t="s">
        <v>283</v>
      </c>
      <c r="F544" s="8" t="s">
        <v>281</v>
      </c>
      <c r="G544" s="7" t="s">
        <v>282</v>
      </c>
      <c r="H544" s="47" t="s">
        <v>790</v>
      </c>
      <c r="I544" s="47" t="s">
        <v>791</v>
      </c>
      <c r="J544" s="6">
        <v>73</v>
      </c>
      <c r="K544" s="8" t="s">
        <v>69</v>
      </c>
      <c r="L544" s="5">
        <v>16</v>
      </c>
      <c r="P544" s="3"/>
      <c r="Q544" s="3"/>
      <c r="R544" s="3"/>
    </row>
    <row r="545" spans="1:18" x14ac:dyDescent="0.2">
      <c r="A545" s="7" t="s">
        <v>16</v>
      </c>
      <c r="B545" s="7" t="s">
        <v>17</v>
      </c>
      <c r="C545" s="7" t="s">
        <v>18</v>
      </c>
      <c r="D545" s="4">
        <v>5874946000109</v>
      </c>
      <c r="E545" s="8" t="s">
        <v>284</v>
      </c>
      <c r="F545" s="8" t="s">
        <v>281</v>
      </c>
      <c r="G545" s="7" t="s">
        <v>282</v>
      </c>
      <c r="H545" s="47" t="s">
        <v>790</v>
      </c>
      <c r="I545" s="47" t="s">
        <v>791</v>
      </c>
      <c r="J545" s="6">
        <v>62</v>
      </c>
      <c r="K545" s="8" t="s">
        <v>74</v>
      </c>
      <c r="L545" s="5">
        <v>6</v>
      </c>
      <c r="P545" s="3"/>
      <c r="Q545" s="3"/>
      <c r="R545" s="3"/>
    </row>
    <row r="546" spans="1:18" x14ac:dyDescent="0.2">
      <c r="A546" s="7" t="s">
        <v>16</v>
      </c>
      <c r="B546" s="7" t="s">
        <v>17</v>
      </c>
      <c r="C546" s="7" t="s">
        <v>18</v>
      </c>
      <c r="D546" s="4">
        <v>5874946000109</v>
      </c>
      <c r="E546" s="8" t="s">
        <v>284</v>
      </c>
      <c r="F546" s="8" t="s">
        <v>281</v>
      </c>
      <c r="G546" s="7" t="s">
        <v>282</v>
      </c>
      <c r="H546" s="47" t="s">
        <v>790</v>
      </c>
      <c r="I546" s="47" t="s">
        <v>791</v>
      </c>
      <c r="J546" s="6">
        <v>64</v>
      </c>
      <c r="K546" s="8" t="s">
        <v>68</v>
      </c>
      <c r="L546" s="5">
        <v>2</v>
      </c>
      <c r="P546" s="3"/>
      <c r="Q546" s="3"/>
      <c r="R546" s="3"/>
    </row>
    <row r="547" spans="1:18" x14ac:dyDescent="0.2">
      <c r="A547" s="7" t="s">
        <v>16</v>
      </c>
      <c r="B547" s="7" t="s">
        <v>55</v>
      </c>
      <c r="C547" s="7" t="s">
        <v>18</v>
      </c>
      <c r="D547" s="4">
        <v>3376102000102</v>
      </c>
      <c r="E547" s="8" t="s">
        <v>415</v>
      </c>
      <c r="F547" s="8" t="s">
        <v>278</v>
      </c>
      <c r="G547" s="7" t="s">
        <v>276</v>
      </c>
      <c r="H547" s="47" t="s">
        <v>790</v>
      </c>
      <c r="I547" s="47" t="s">
        <v>791</v>
      </c>
      <c r="J547" s="6">
        <v>62</v>
      </c>
      <c r="K547" s="8" t="s">
        <v>74</v>
      </c>
      <c r="L547" s="5">
        <v>3</v>
      </c>
      <c r="P547" s="3"/>
      <c r="Q547" s="3"/>
      <c r="R547" s="3"/>
    </row>
    <row r="548" spans="1:18" x14ac:dyDescent="0.2">
      <c r="A548" s="7" t="s">
        <v>16</v>
      </c>
      <c r="B548" s="7" t="s">
        <v>17</v>
      </c>
      <c r="C548" s="7" t="s">
        <v>18</v>
      </c>
      <c r="D548" s="4">
        <v>6047087001372</v>
      </c>
      <c r="E548" s="8" t="s">
        <v>285</v>
      </c>
      <c r="F548" s="8" t="s">
        <v>286</v>
      </c>
      <c r="G548" s="7" t="s">
        <v>241</v>
      </c>
      <c r="H548" s="47" t="s">
        <v>784</v>
      </c>
      <c r="I548" s="47" t="s">
        <v>785</v>
      </c>
      <c r="J548" s="6">
        <v>62</v>
      </c>
      <c r="K548" s="8" t="s">
        <v>74</v>
      </c>
      <c r="L548" s="5">
        <v>12</v>
      </c>
      <c r="P548" s="3"/>
      <c r="Q548" s="3"/>
      <c r="R548" s="3"/>
    </row>
    <row r="549" spans="1:18" x14ac:dyDescent="0.2">
      <c r="A549" s="7" t="s">
        <v>16</v>
      </c>
      <c r="B549" s="7" t="s">
        <v>17</v>
      </c>
      <c r="C549" s="7" t="s">
        <v>18</v>
      </c>
      <c r="D549" s="4">
        <v>6047087004126</v>
      </c>
      <c r="E549" s="8" t="s">
        <v>287</v>
      </c>
      <c r="F549" s="8" t="s">
        <v>225</v>
      </c>
      <c r="G549" s="7" t="s">
        <v>226</v>
      </c>
      <c r="H549" s="47" t="s">
        <v>790</v>
      </c>
      <c r="I549" s="47" t="s">
        <v>791</v>
      </c>
      <c r="J549" s="6">
        <v>64</v>
      </c>
      <c r="K549" s="8" t="s">
        <v>68</v>
      </c>
      <c r="L549" s="5">
        <v>3</v>
      </c>
      <c r="P549" s="3"/>
      <c r="Q549" s="3"/>
      <c r="R549" s="3"/>
    </row>
    <row r="550" spans="1:18" x14ac:dyDescent="0.2">
      <c r="A550" s="7" t="s">
        <v>16</v>
      </c>
      <c r="B550" s="7" t="s">
        <v>17</v>
      </c>
      <c r="C550" s="7" t="s">
        <v>18</v>
      </c>
      <c r="D550" s="4">
        <v>6047087004207</v>
      </c>
      <c r="E550" s="8" t="s">
        <v>288</v>
      </c>
      <c r="F550" s="8" t="s">
        <v>225</v>
      </c>
      <c r="G550" s="7" t="s">
        <v>226</v>
      </c>
      <c r="H550" s="47" t="s">
        <v>790</v>
      </c>
      <c r="I550" s="47" t="s">
        <v>791</v>
      </c>
      <c r="J550" s="6">
        <v>64</v>
      </c>
      <c r="K550" s="8" t="s">
        <v>68</v>
      </c>
      <c r="L550" s="5">
        <v>45</v>
      </c>
      <c r="P550" s="3"/>
      <c r="Q550" s="3"/>
      <c r="R550" s="3"/>
    </row>
    <row r="551" spans="1:18" x14ac:dyDescent="0.2">
      <c r="A551" s="7" t="s">
        <v>16</v>
      </c>
      <c r="B551" s="7" t="s">
        <v>17</v>
      </c>
      <c r="C551" s="7" t="s">
        <v>18</v>
      </c>
      <c r="D551" s="4">
        <v>6070425000153</v>
      </c>
      <c r="E551" s="8" t="s">
        <v>289</v>
      </c>
      <c r="F551" s="8" t="s">
        <v>290</v>
      </c>
      <c r="G551" s="7" t="s">
        <v>291</v>
      </c>
      <c r="H551" s="47" t="s">
        <v>790</v>
      </c>
      <c r="I551" s="47" t="s">
        <v>791</v>
      </c>
      <c r="J551" s="6">
        <v>73</v>
      </c>
      <c r="K551" s="8" t="s">
        <v>69</v>
      </c>
      <c r="L551" s="5">
        <v>12</v>
      </c>
      <c r="P551" s="3"/>
      <c r="Q551" s="3"/>
      <c r="R551" s="3"/>
    </row>
    <row r="552" spans="1:18" x14ac:dyDescent="0.2">
      <c r="A552" s="7" t="s">
        <v>16</v>
      </c>
      <c r="B552" s="7" t="s">
        <v>17</v>
      </c>
      <c r="C552" s="7" t="s">
        <v>18</v>
      </c>
      <c r="D552" s="4">
        <v>6190522000180</v>
      </c>
      <c r="E552" s="8" t="s">
        <v>292</v>
      </c>
      <c r="F552" s="8" t="s">
        <v>293</v>
      </c>
      <c r="G552" s="7" t="s">
        <v>238</v>
      </c>
      <c r="H552" s="47" t="s">
        <v>790</v>
      </c>
      <c r="I552" s="47" t="s">
        <v>791</v>
      </c>
      <c r="J552" s="6">
        <v>66</v>
      </c>
      <c r="K552" s="8" t="s">
        <v>99</v>
      </c>
      <c r="L552" s="5">
        <v>24</v>
      </c>
      <c r="P552" s="3"/>
      <c r="Q552" s="3"/>
      <c r="R552" s="3"/>
    </row>
    <row r="553" spans="1:18" x14ac:dyDescent="0.2">
      <c r="A553" s="7" t="s">
        <v>16</v>
      </c>
      <c r="B553" s="7" t="s">
        <v>17</v>
      </c>
      <c r="C553" s="7" t="s">
        <v>18</v>
      </c>
      <c r="D553" s="4">
        <v>6555031000276</v>
      </c>
      <c r="E553" s="8" t="s">
        <v>294</v>
      </c>
      <c r="F553" s="8" t="s">
        <v>295</v>
      </c>
      <c r="G553" s="7" t="s">
        <v>296</v>
      </c>
      <c r="H553" s="47" t="s">
        <v>790</v>
      </c>
      <c r="I553" s="47" t="s">
        <v>791</v>
      </c>
      <c r="J553" s="6">
        <v>73</v>
      </c>
      <c r="K553" s="8" t="s">
        <v>69</v>
      </c>
      <c r="L553" s="5">
        <v>12</v>
      </c>
      <c r="P553" s="3"/>
      <c r="Q553" s="3"/>
      <c r="R553" s="3"/>
    </row>
    <row r="554" spans="1:18" x14ac:dyDescent="0.2">
      <c r="A554" s="7" t="s">
        <v>16</v>
      </c>
      <c r="B554" s="7" t="s">
        <v>17</v>
      </c>
      <c r="C554" s="7" t="s">
        <v>18</v>
      </c>
      <c r="D554" s="4">
        <v>7272636000212</v>
      </c>
      <c r="E554" s="8" t="s">
        <v>297</v>
      </c>
      <c r="F554" s="8" t="s">
        <v>281</v>
      </c>
      <c r="G554" s="7" t="s">
        <v>282</v>
      </c>
      <c r="H554" s="47" t="s">
        <v>790</v>
      </c>
      <c r="I554" s="47" t="s">
        <v>791</v>
      </c>
      <c r="J554" s="6">
        <v>62</v>
      </c>
      <c r="K554" s="8" t="s">
        <v>74</v>
      </c>
      <c r="L554" s="5">
        <v>30</v>
      </c>
      <c r="P554" s="3"/>
      <c r="Q554" s="3"/>
      <c r="R554" s="3"/>
    </row>
    <row r="555" spans="1:18" x14ac:dyDescent="0.2">
      <c r="A555" s="7" t="s">
        <v>16</v>
      </c>
      <c r="B555" s="7" t="s">
        <v>17</v>
      </c>
      <c r="C555" s="7" t="s">
        <v>18</v>
      </c>
      <c r="D555" s="4">
        <v>7794623001528</v>
      </c>
      <c r="E555" s="8" t="s">
        <v>298</v>
      </c>
      <c r="F555" s="8" t="s">
        <v>299</v>
      </c>
      <c r="G555" s="7" t="s">
        <v>241</v>
      </c>
      <c r="H555" s="47" t="s">
        <v>784</v>
      </c>
      <c r="I555" s="47" t="s">
        <v>785</v>
      </c>
      <c r="J555" s="6">
        <v>73</v>
      </c>
      <c r="K555" s="8" t="s">
        <v>69</v>
      </c>
      <c r="L555" s="5">
        <v>28</v>
      </c>
      <c r="P555" s="3"/>
      <c r="Q555" s="3"/>
      <c r="R555" s="3"/>
    </row>
    <row r="556" spans="1:18" x14ac:dyDescent="0.2">
      <c r="A556" s="7" t="s">
        <v>16</v>
      </c>
      <c r="B556" s="7" t="s">
        <v>17</v>
      </c>
      <c r="C556" s="7" t="s">
        <v>18</v>
      </c>
      <c r="D556" s="4">
        <v>7835044000180</v>
      </c>
      <c r="E556" s="8" t="s">
        <v>300</v>
      </c>
      <c r="F556" s="8" t="s">
        <v>281</v>
      </c>
      <c r="G556" s="7" t="s">
        <v>282</v>
      </c>
      <c r="H556" s="47" t="s">
        <v>790</v>
      </c>
      <c r="I556" s="47" t="s">
        <v>791</v>
      </c>
      <c r="J556" s="6">
        <v>62</v>
      </c>
      <c r="K556" s="8" t="s">
        <v>74</v>
      </c>
      <c r="L556" s="5">
        <v>10</v>
      </c>
      <c r="P556" s="3"/>
      <c r="Q556" s="3"/>
      <c r="R556" s="3"/>
    </row>
    <row r="557" spans="1:18" x14ac:dyDescent="0.2">
      <c r="A557" s="7" t="s">
        <v>16</v>
      </c>
      <c r="B557" s="7" t="s">
        <v>17</v>
      </c>
      <c r="C557" s="7" t="s">
        <v>18</v>
      </c>
      <c r="D557" s="4">
        <v>8319329000121</v>
      </c>
      <c r="E557" s="8" t="s">
        <v>301</v>
      </c>
      <c r="F557" s="8" t="s">
        <v>246</v>
      </c>
      <c r="G557" s="7" t="s">
        <v>247</v>
      </c>
      <c r="H557" s="47" t="s">
        <v>790</v>
      </c>
      <c r="I557" s="47" t="s">
        <v>791</v>
      </c>
      <c r="J557" s="6">
        <v>64</v>
      </c>
      <c r="K557" s="8" t="s">
        <v>68</v>
      </c>
      <c r="L557" s="5">
        <v>4</v>
      </c>
      <c r="P557" s="3"/>
      <c r="Q557" s="3"/>
      <c r="R557" s="3"/>
    </row>
    <row r="558" spans="1:18" x14ac:dyDescent="0.2">
      <c r="A558" s="7" t="s">
        <v>16</v>
      </c>
      <c r="B558" s="7" t="s">
        <v>17</v>
      </c>
      <c r="C558" s="7" t="s">
        <v>18</v>
      </c>
      <c r="D558" s="4">
        <v>8337586000196</v>
      </c>
      <c r="E558" s="8" t="s">
        <v>302</v>
      </c>
      <c r="F558" s="8" t="s">
        <v>246</v>
      </c>
      <c r="G558" s="7" t="s">
        <v>247</v>
      </c>
      <c r="H558" s="47" t="s">
        <v>790</v>
      </c>
      <c r="I558" s="47" t="s">
        <v>791</v>
      </c>
      <c r="J558" s="6">
        <v>64</v>
      </c>
      <c r="K558" s="8" t="s">
        <v>68</v>
      </c>
      <c r="L558" s="5">
        <v>1</v>
      </c>
      <c r="P558" s="3"/>
      <c r="Q558" s="3"/>
      <c r="R558" s="3"/>
    </row>
    <row r="559" spans="1:18" x14ac:dyDescent="0.2">
      <c r="A559" s="7" t="s">
        <v>16</v>
      </c>
      <c r="B559" s="7" t="s">
        <v>17</v>
      </c>
      <c r="C559" s="7" t="s">
        <v>18</v>
      </c>
      <c r="D559" s="4">
        <v>8680639000681</v>
      </c>
      <c r="E559" s="8" t="s">
        <v>303</v>
      </c>
      <c r="F559" s="8" t="s">
        <v>228</v>
      </c>
      <c r="G559" s="7" t="s">
        <v>229</v>
      </c>
      <c r="H559" s="47" t="s">
        <v>790</v>
      </c>
      <c r="I559" s="47" t="s">
        <v>791</v>
      </c>
      <c r="J559" s="6">
        <v>73</v>
      </c>
      <c r="K559" s="8" t="s">
        <v>69</v>
      </c>
      <c r="L559" s="5">
        <v>36</v>
      </c>
      <c r="P559" s="3"/>
      <c r="Q559" s="3"/>
      <c r="R559" s="3"/>
    </row>
    <row r="560" spans="1:18" x14ac:dyDescent="0.2">
      <c r="A560" s="7" t="s">
        <v>16</v>
      </c>
      <c r="B560" s="7" t="s">
        <v>17</v>
      </c>
      <c r="C560" s="7" t="s">
        <v>18</v>
      </c>
      <c r="D560" s="4">
        <v>9087150000230</v>
      </c>
      <c r="E560" s="8" t="s">
        <v>304</v>
      </c>
      <c r="F560" s="8" t="s">
        <v>305</v>
      </c>
      <c r="G560" s="7" t="s">
        <v>253</v>
      </c>
      <c r="H560" s="47" t="s">
        <v>784</v>
      </c>
      <c r="I560" s="47" t="s">
        <v>785</v>
      </c>
      <c r="J560" s="6">
        <v>73</v>
      </c>
      <c r="K560" s="8" t="s">
        <v>69</v>
      </c>
      <c r="L560" s="5">
        <v>8</v>
      </c>
      <c r="P560" s="3"/>
      <c r="Q560" s="3"/>
      <c r="R560" s="3"/>
    </row>
    <row r="561" spans="1:18" x14ac:dyDescent="0.2">
      <c r="A561" s="7" t="s">
        <v>16</v>
      </c>
      <c r="B561" s="7" t="s">
        <v>17</v>
      </c>
      <c r="C561" s="7" t="s">
        <v>18</v>
      </c>
      <c r="D561" s="4">
        <v>10839561000132</v>
      </c>
      <c r="E561" s="8" t="s">
        <v>306</v>
      </c>
      <c r="F561" s="8" t="s">
        <v>264</v>
      </c>
      <c r="G561" s="7" t="s">
        <v>265</v>
      </c>
      <c r="H561" s="47" t="s">
        <v>790</v>
      </c>
      <c r="I561" s="47" t="s">
        <v>791</v>
      </c>
      <c r="J561" s="6">
        <v>73</v>
      </c>
      <c r="K561" s="8" t="s">
        <v>69</v>
      </c>
      <c r="L561" s="5">
        <v>60</v>
      </c>
      <c r="P561" s="3"/>
      <c r="Q561" s="3"/>
      <c r="R561" s="3"/>
    </row>
    <row r="562" spans="1:18" x14ac:dyDescent="0.2">
      <c r="A562" s="7" t="s">
        <v>16</v>
      </c>
      <c r="B562" s="7" t="s">
        <v>17</v>
      </c>
      <c r="C562" s="7" t="s">
        <v>18</v>
      </c>
      <c r="D562" s="4">
        <v>10892164000124</v>
      </c>
      <c r="E562" s="8" t="s">
        <v>307</v>
      </c>
      <c r="F562" s="8" t="s">
        <v>264</v>
      </c>
      <c r="G562" s="7" t="s">
        <v>265</v>
      </c>
      <c r="H562" s="47" t="s">
        <v>790</v>
      </c>
      <c r="I562" s="47" t="s">
        <v>791</v>
      </c>
      <c r="J562" s="6">
        <v>62</v>
      </c>
      <c r="K562" s="8" t="s">
        <v>74</v>
      </c>
      <c r="L562" s="5">
        <v>17</v>
      </c>
      <c r="P562" s="3"/>
      <c r="Q562" s="3"/>
      <c r="R562" s="3"/>
    </row>
    <row r="563" spans="1:18" x14ac:dyDescent="0.2">
      <c r="A563" s="7" t="s">
        <v>16</v>
      </c>
      <c r="B563" s="7" t="s">
        <v>17</v>
      </c>
      <c r="C563" s="7" t="s">
        <v>18</v>
      </c>
      <c r="D563" s="4">
        <v>10892164000124</v>
      </c>
      <c r="E563" s="8" t="s">
        <v>307</v>
      </c>
      <c r="F563" s="8" t="s">
        <v>264</v>
      </c>
      <c r="G563" s="7" t="s">
        <v>265</v>
      </c>
      <c r="H563" s="47" t="s">
        <v>790</v>
      </c>
      <c r="I563" s="47" t="s">
        <v>791</v>
      </c>
      <c r="J563" s="6">
        <v>64</v>
      </c>
      <c r="K563" s="8" t="s">
        <v>68</v>
      </c>
      <c r="L563" s="5">
        <v>45</v>
      </c>
      <c r="P563" s="3"/>
      <c r="Q563" s="3"/>
      <c r="R563" s="3"/>
    </row>
    <row r="564" spans="1:18" x14ac:dyDescent="0.2">
      <c r="A564" s="7" t="s">
        <v>16</v>
      </c>
      <c r="B564" s="7" t="s">
        <v>17</v>
      </c>
      <c r="C564" s="7" t="s">
        <v>18</v>
      </c>
      <c r="D564" s="4">
        <v>10988301000129</v>
      </c>
      <c r="E564" s="8" t="s">
        <v>308</v>
      </c>
      <c r="F564" s="8" t="s">
        <v>264</v>
      </c>
      <c r="G564" s="7" t="s">
        <v>265</v>
      </c>
      <c r="H564" s="47" t="s">
        <v>790</v>
      </c>
      <c r="I564" s="47" t="s">
        <v>791</v>
      </c>
      <c r="J564" s="6">
        <v>64</v>
      </c>
      <c r="K564" s="8" t="s">
        <v>68</v>
      </c>
      <c r="L564" s="5">
        <v>10</v>
      </c>
      <c r="P564" s="3"/>
      <c r="Q564" s="3"/>
      <c r="R564" s="3"/>
    </row>
    <row r="565" spans="1:18" x14ac:dyDescent="0.2">
      <c r="A565" s="7" t="s">
        <v>16</v>
      </c>
      <c r="B565" s="7" t="s">
        <v>17</v>
      </c>
      <c r="C565" s="7" t="s">
        <v>18</v>
      </c>
      <c r="D565" s="4">
        <v>11006293000130</v>
      </c>
      <c r="E565" s="8" t="s">
        <v>309</v>
      </c>
      <c r="F565" s="8" t="s">
        <v>310</v>
      </c>
      <c r="G565" s="7" t="s">
        <v>268</v>
      </c>
      <c r="H565" s="47" t="s">
        <v>790</v>
      </c>
      <c r="I565" s="47" t="s">
        <v>791</v>
      </c>
      <c r="J565" s="6">
        <v>73</v>
      </c>
      <c r="K565" s="8" t="s">
        <v>69</v>
      </c>
      <c r="L565" s="5">
        <v>40</v>
      </c>
      <c r="P565" s="3"/>
      <c r="Q565" s="3"/>
      <c r="R565" s="3"/>
    </row>
    <row r="566" spans="1:18" x14ac:dyDescent="0.2">
      <c r="A566" s="7" t="s">
        <v>16</v>
      </c>
      <c r="B566" s="7" t="s">
        <v>17</v>
      </c>
      <c r="C566" s="7" t="s">
        <v>18</v>
      </c>
      <c r="D566" s="4">
        <v>11452240000143</v>
      </c>
      <c r="E566" s="8" t="s">
        <v>311</v>
      </c>
      <c r="F566" s="8" t="s">
        <v>264</v>
      </c>
      <c r="G566" s="7" t="s">
        <v>265</v>
      </c>
      <c r="H566" s="47" t="s">
        <v>790</v>
      </c>
      <c r="I566" s="47" t="s">
        <v>791</v>
      </c>
      <c r="J566" s="6">
        <v>62</v>
      </c>
      <c r="K566" s="8" t="s">
        <v>74</v>
      </c>
      <c r="L566" s="5">
        <v>6</v>
      </c>
      <c r="P566" s="3"/>
      <c r="Q566" s="3"/>
      <c r="R566" s="3"/>
    </row>
    <row r="567" spans="1:18" x14ac:dyDescent="0.2">
      <c r="A567" s="7" t="s">
        <v>16</v>
      </c>
      <c r="B567" s="7" t="s">
        <v>17</v>
      </c>
      <c r="C567" s="7" t="s">
        <v>18</v>
      </c>
      <c r="D567" s="4">
        <v>11859927000106</v>
      </c>
      <c r="E567" s="8" t="s">
        <v>312</v>
      </c>
      <c r="F567" s="8" t="s">
        <v>225</v>
      </c>
      <c r="G567" s="7" t="s">
        <v>226</v>
      </c>
      <c r="H567" s="47" t="s">
        <v>790</v>
      </c>
      <c r="I567" s="47" t="s">
        <v>791</v>
      </c>
      <c r="J567" s="6">
        <v>73</v>
      </c>
      <c r="K567" s="8" t="s">
        <v>69</v>
      </c>
      <c r="L567" s="5">
        <v>44</v>
      </c>
      <c r="P567" s="3"/>
      <c r="Q567" s="3"/>
      <c r="R567" s="3"/>
    </row>
    <row r="568" spans="1:18" x14ac:dyDescent="0.2">
      <c r="A568" s="7" t="s">
        <v>16</v>
      </c>
      <c r="B568" s="7" t="s">
        <v>17</v>
      </c>
      <c r="C568" s="7" t="s">
        <v>18</v>
      </c>
      <c r="D568" s="4">
        <v>12361267010318</v>
      </c>
      <c r="E568" s="8" t="s">
        <v>313</v>
      </c>
      <c r="F568" s="8" t="s">
        <v>278</v>
      </c>
      <c r="G568" s="7" t="s">
        <v>276</v>
      </c>
      <c r="H568" s="47" t="s">
        <v>790</v>
      </c>
      <c r="I568" s="47" t="s">
        <v>791</v>
      </c>
      <c r="J568" s="6">
        <v>64</v>
      </c>
      <c r="K568" s="8" t="s">
        <v>68</v>
      </c>
      <c r="L568" s="5">
        <v>7</v>
      </c>
      <c r="P568" s="3"/>
      <c r="Q568" s="3"/>
      <c r="R568" s="3"/>
    </row>
    <row r="569" spans="1:18" x14ac:dyDescent="0.2">
      <c r="A569" s="7" t="s">
        <v>16</v>
      </c>
      <c r="B569" s="7" t="s">
        <v>17</v>
      </c>
      <c r="C569" s="7" t="s">
        <v>18</v>
      </c>
      <c r="D569" s="4">
        <v>12361267011802</v>
      </c>
      <c r="E569" s="8" t="s">
        <v>314</v>
      </c>
      <c r="F569" s="8" t="s">
        <v>281</v>
      </c>
      <c r="G569" s="7" t="s">
        <v>282</v>
      </c>
      <c r="H569" s="47" t="s">
        <v>790</v>
      </c>
      <c r="I569" s="47" t="s">
        <v>791</v>
      </c>
      <c r="J569" s="6">
        <v>62</v>
      </c>
      <c r="K569" s="8" t="s">
        <v>74</v>
      </c>
      <c r="L569" s="5">
        <v>6</v>
      </c>
      <c r="P569" s="3"/>
      <c r="Q569" s="3"/>
      <c r="R569" s="3"/>
    </row>
    <row r="570" spans="1:18" x14ac:dyDescent="0.2">
      <c r="A570" s="7" t="s">
        <v>16</v>
      </c>
      <c r="B570" s="7" t="s">
        <v>17</v>
      </c>
      <c r="C570" s="7" t="s">
        <v>18</v>
      </c>
      <c r="D570" s="4">
        <v>12361267011802</v>
      </c>
      <c r="E570" s="8" t="s">
        <v>314</v>
      </c>
      <c r="F570" s="8" t="s">
        <v>281</v>
      </c>
      <c r="G570" s="7" t="s">
        <v>282</v>
      </c>
      <c r="H570" s="47" t="s">
        <v>790</v>
      </c>
      <c r="I570" s="47" t="s">
        <v>791</v>
      </c>
      <c r="J570" s="6">
        <v>64</v>
      </c>
      <c r="K570" s="8" t="s">
        <v>68</v>
      </c>
      <c r="L570" s="5">
        <v>4</v>
      </c>
      <c r="P570" s="3"/>
      <c r="Q570" s="3"/>
      <c r="R570" s="3"/>
    </row>
    <row r="571" spans="1:18" x14ac:dyDescent="0.2">
      <c r="A571" s="7" t="s">
        <v>16</v>
      </c>
      <c r="B571" s="7" t="s">
        <v>17</v>
      </c>
      <c r="C571" s="7" t="s">
        <v>18</v>
      </c>
      <c r="D571" s="4">
        <v>13016092000140</v>
      </c>
      <c r="E571" s="8" t="s">
        <v>315</v>
      </c>
      <c r="F571" s="8" t="s">
        <v>278</v>
      </c>
      <c r="G571" s="7" t="s">
        <v>276</v>
      </c>
      <c r="H571" s="47" t="s">
        <v>790</v>
      </c>
      <c r="I571" s="47" t="s">
        <v>791</v>
      </c>
      <c r="J571" s="6">
        <v>64</v>
      </c>
      <c r="K571" s="8" t="s">
        <v>68</v>
      </c>
      <c r="L571" s="5">
        <v>10</v>
      </c>
      <c r="P571" s="3"/>
      <c r="Q571" s="3"/>
      <c r="R571" s="3"/>
    </row>
    <row r="572" spans="1:18" x14ac:dyDescent="0.2">
      <c r="A572" s="7" t="s">
        <v>16</v>
      </c>
      <c r="B572" s="7" t="s">
        <v>17</v>
      </c>
      <c r="C572" s="7" t="s">
        <v>18</v>
      </c>
      <c r="D572" s="4">
        <v>13016332000106</v>
      </c>
      <c r="E572" s="8" t="s">
        <v>316</v>
      </c>
      <c r="F572" s="8" t="s">
        <v>317</v>
      </c>
      <c r="G572" s="7" t="s">
        <v>318</v>
      </c>
      <c r="H572" s="47" t="s">
        <v>790</v>
      </c>
      <c r="I572" s="47" t="s">
        <v>791</v>
      </c>
      <c r="J572" s="6">
        <v>62</v>
      </c>
      <c r="K572" s="8" t="s">
        <v>74</v>
      </c>
      <c r="L572" s="5">
        <v>3</v>
      </c>
      <c r="P572" s="3"/>
      <c r="Q572" s="3"/>
      <c r="R572" s="3"/>
    </row>
    <row r="573" spans="1:18" x14ac:dyDescent="0.2">
      <c r="A573" s="7" t="s">
        <v>16</v>
      </c>
      <c r="B573" s="7" t="s">
        <v>17</v>
      </c>
      <c r="C573" s="7" t="s">
        <v>18</v>
      </c>
      <c r="D573" s="4">
        <v>13131370000100</v>
      </c>
      <c r="E573" s="8" t="s">
        <v>319</v>
      </c>
      <c r="F573" s="8" t="s">
        <v>317</v>
      </c>
      <c r="G573" s="7" t="s">
        <v>318</v>
      </c>
      <c r="H573" s="47" t="s">
        <v>790</v>
      </c>
      <c r="I573" s="47" t="s">
        <v>791</v>
      </c>
      <c r="J573" s="6">
        <v>73</v>
      </c>
      <c r="K573" s="8" t="s">
        <v>69</v>
      </c>
      <c r="L573" s="5">
        <v>60</v>
      </c>
      <c r="P573" s="3"/>
      <c r="Q573" s="3"/>
      <c r="R573" s="3"/>
    </row>
    <row r="574" spans="1:18" x14ac:dyDescent="0.2">
      <c r="A574" s="7" t="s">
        <v>16</v>
      </c>
      <c r="B574" s="7" t="s">
        <v>17</v>
      </c>
      <c r="C574" s="7" t="s">
        <v>18</v>
      </c>
      <c r="D574" s="4">
        <v>13356779000124</v>
      </c>
      <c r="E574" s="8" t="s">
        <v>320</v>
      </c>
      <c r="F574" s="8" t="s">
        <v>317</v>
      </c>
      <c r="G574" s="7" t="s">
        <v>318</v>
      </c>
      <c r="H574" s="47" t="s">
        <v>790</v>
      </c>
      <c r="I574" s="47" t="s">
        <v>791</v>
      </c>
      <c r="J574" s="6">
        <v>62</v>
      </c>
      <c r="K574" s="8" t="s">
        <v>74</v>
      </c>
      <c r="L574" s="5">
        <v>4</v>
      </c>
      <c r="P574" s="3"/>
      <c r="Q574" s="3"/>
      <c r="R574" s="3"/>
    </row>
    <row r="575" spans="1:18" x14ac:dyDescent="0.2">
      <c r="A575" s="7" t="s">
        <v>16</v>
      </c>
      <c r="B575" s="7" t="s">
        <v>17</v>
      </c>
      <c r="C575" s="7" t="s">
        <v>18</v>
      </c>
      <c r="D575" s="4">
        <v>13952064000134</v>
      </c>
      <c r="E575" s="8" t="s">
        <v>321</v>
      </c>
      <c r="F575" s="8" t="s">
        <v>278</v>
      </c>
      <c r="G575" s="7" t="s">
        <v>276</v>
      </c>
      <c r="H575" s="47" t="s">
        <v>790</v>
      </c>
      <c r="I575" s="47" t="s">
        <v>791</v>
      </c>
      <c r="J575" s="6">
        <v>62</v>
      </c>
      <c r="K575" s="8" t="s">
        <v>74</v>
      </c>
      <c r="L575" s="5">
        <v>3</v>
      </c>
      <c r="P575" s="3"/>
      <c r="Q575" s="3"/>
      <c r="R575" s="3"/>
    </row>
    <row r="576" spans="1:18" x14ac:dyDescent="0.2">
      <c r="A576" s="7" t="s">
        <v>16</v>
      </c>
      <c r="B576" s="7" t="s">
        <v>17</v>
      </c>
      <c r="C576" s="7" t="s">
        <v>18</v>
      </c>
      <c r="D576" s="4">
        <v>14074546000100</v>
      </c>
      <c r="E576" s="8" t="s">
        <v>322</v>
      </c>
      <c r="F576" s="8" t="s">
        <v>323</v>
      </c>
      <c r="G576" s="7" t="s">
        <v>276</v>
      </c>
      <c r="H576" s="47" t="s">
        <v>790</v>
      </c>
      <c r="I576" s="47" t="s">
        <v>791</v>
      </c>
      <c r="J576" s="6">
        <v>64</v>
      </c>
      <c r="K576" s="8" t="s">
        <v>68</v>
      </c>
      <c r="L576" s="5">
        <v>1</v>
      </c>
      <c r="P576" s="3"/>
      <c r="Q576" s="3"/>
      <c r="R576" s="3"/>
    </row>
    <row r="577" spans="1:18" x14ac:dyDescent="0.2">
      <c r="A577" s="7" t="s">
        <v>16</v>
      </c>
      <c r="B577" s="7" t="s">
        <v>17</v>
      </c>
      <c r="C577" s="7" t="s">
        <v>18</v>
      </c>
      <c r="D577" s="4">
        <v>14408631000159</v>
      </c>
      <c r="E577" s="8" t="s">
        <v>324</v>
      </c>
      <c r="F577" s="8" t="s">
        <v>325</v>
      </c>
      <c r="G577" s="7" t="s">
        <v>223</v>
      </c>
      <c r="H577" s="47" t="s">
        <v>784</v>
      </c>
      <c r="I577" s="47" t="s">
        <v>785</v>
      </c>
      <c r="J577" s="6">
        <v>73</v>
      </c>
      <c r="K577" s="8" t="s">
        <v>69</v>
      </c>
      <c r="L577" s="5">
        <v>8</v>
      </c>
      <c r="P577" s="3"/>
      <c r="Q577" s="3"/>
      <c r="R577" s="3"/>
    </row>
    <row r="578" spans="1:18" x14ac:dyDescent="0.2">
      <c r="A578" s="7" t="s">
        <v>16</v>
      </c>
      <c r="B578" s="7" t="s">
        <v>17</v>
      </c>
      <c r="C578" s="7" t="s">
        <v>18</v>
      </c>
      <c r="D578" s="4">
        <v>15016827000160</v>
      </c>
      <c r="E578" s="8" t="s">
        <v>326</v>
      </c>
      <c r="F578" s="8" t="s">
        <v>261</v>
      </c>
      <c r="G578" s="7" t="s">
        <v>262</v>
      </c>
      <c r="H578" s="47" t="s">
        <v>790</v>
      </c>
      <c r="I578" s="47" t="s">
        <v>791</v>
      </c>
      <c r="J578" s="6">
        <v>62</v>
      </c>
      <c r="K578" s="8" t="s">
        <v>74</v>
      </c>
      <c r="L578" s="5">
        <v>4</v>
      </c>
      <c r="P578" s="3"/>
      <c r="Q578" s="3"/>
      <c r="R578" s="3"/>
    </row>
    <row r="579" spans="1:18" x14ac:dyDescent="0.2">
      <c r="A579" s="7" t="s">
        <v>16</v>
      </c>
      <c r="B579" s="7" t="s">
        <v>17</v>
      </c>
      <c r="C579" s="7" t="s">
        <v>18</v>
      </c>
      <c r="D579" s="4">
        <v>15016827000160</v>
      </c>
      <c r="E579" s="8" t="s">
        <v>326</v>
      </c>
      <c r="F579" s="8" t="s">
        <v>261</v>
      </c>
      <c r="G579" s="7" t="s">
        <v>262</v>
      </c>
      <c r="H579" s="47" t="s">
        <v>790</v>
      </c>
      <c r="I579" s="47" t="s">
        <v>791</v>
      </c>
      <c r="J579" s="6">
        <v>64</v>
      </c>
      <c r="K579" s="8" t="s">
        <v>68</v>
      </c>
      <c r="L579" s="5">
        <v>10</v>
      </c>
      <c r="P579" s="3"/>
      <c r="Q579" s="3"/>
      <c r="R579" s="3"/>
    </row>
    <row r="580" spans="1:18" x14ac:dyDescent="0.2">
      <c r="A580" s="7" t="s">
        <v>16</v>
      </c>
      <c r="B580" s="7" t="s">
        <v>17</v>
      </c>
      <c r="C580" s="7" t="s">
        <v>18</v>
      </c>
      <c r="D580" s="4">
        <v>15126437000224</v>
      </c>
      <c r="E580" s="8" t="s">
        <v>327</v>
      </c>
      <c r="F580" s="8" t="s">
        <v>295</v>
      </c>
      <c r="G580" s="7" t="s">
        <v>296</v>
      </c>
      <c r="H580" s="47" t="s">
        <v>790</v>
      </c>
      <c r="I580" s="47" t="s">
        <v>791</v>
      </c>
      <c r="J580" s="6">
        <v>64</v>
      </c>
      <c r="K580" s="8" t="s">
        <v>68</v>
      </c>
      <c r="L580" s="5">
        <v>5</v>
      </c>
      <c r="P580" s="3"/>
      <c r="Q580" s="3"/>
      <c r="R580" s="3"/>
    </row>
    <row r="581" spans="1:18" x14ac:dyDescent="0.2">
      <c r="A581" s="7" t="s">
        <v>16</v>
      </c>
      <c r="B581" s="7" t="s">
        <v>17</v>
      </c>
      <c r="C581" s="7" t="s">
        <v>18</v>
      </c>
      <c r="D581" s="4">
        <v>15126437000496</v>
      </c>
      <c r="E581" s="8" t="s">
        <v>328</v>
      </c>
      <c r="F581" s="8" t="s">
        <v>310</v>
      </c>
      <c r="G581" s="7" t="s">
        <v>268</v>
      </c>
      <c r="H581" s="47" t="s">
        <v>790</v>
      </c>
      <c r="I581" s="47" t="s">
        <v>791</v>
      </c>
      <c r="J581" s="6">
        <v>62</v>
      </c>
      <c r="K581" s="8" t="s">
        <v>74</v>
      </c>
      <c r="L581" s="5">
        <v>1</v>
      </c>
      <c r="P581" s="3"/>
      <c r="Q581" s="3"/>
      <c r="R581" s="3"/>
    </row>
    <row r="582" spans="1:18" x14ac:dyDescent="0.2">
      <c r="A582" s="7" t="s">
        <v>16</v>
      </c>
      <c r="B582" s="7" t="s">
        <v>17</v>
      </c>
      <c r="C582" s="7" t="s">
        <v>18</v>
      </c>
      <c r="D582" s="4">
        <v>15126437000739</v>
      </c>
      <c r="E582" s="8" t="s">
        <v>329</v>
      </c>
      <c r="F582" s="8" t="s">
        <v>246</v>
      </c>
      <c r="G582" s="7" t="s">
        <v>247</v>
      </c>
      <c r="H582" s="47" t="s">
        <v>790</v>
      </c>
      <c r="I582" s="47" t="s">
        <v>791</v>
      </c>
      <c r="J582" s="6">
        <v>64</v>
      </c>
      <c r="K582" s="8" t="s">
        <v>68</v>
      </c>
      <c r="L582" s="5">
        <v>100</v>
      </c>
      <c r="P582" s="3"/>
      <c r="Q582" s="3"/>
      <c r="R582" s="3"/>
    </row>
    <row r="583" spans="1:18" x14ac:dyDescent="0.2">
      <c r="A583" s="7" t="s">
        <v>16</v>
      </c>
      <c r="B583" s="7" t="s">
        <v>17</v>
      </c>
      <c r="C583" s="7" t="s">
        <v>18</v>
      </c>
      <c r="D583" s="4">
        <v>15126437001972</v>
      </c>
      <c r="E583" s="8" t="s">
        <v>330</v>
      </c>
      <c r="F583" s="8" t="s">
        <v>331</v>
      </c>
      <c r="G583" s="7" t="s">
        <v>253</v>
      </c>
      <c r="H583" s="47" t="s">
        <v>784</v>
      </c>
      <c r="I583" s="47" t="s">
        <v>785</v>
      </c>
      <c r="J583" s="6">
        <v>64</v>
      </c>
      <c r="K583" s="8" t="s">
        <v>68</v>
      </c>
      <c r="L583" s="5">
        <v>15</v>
      </c>
      <c r="P583" s="3"/>
      <c r="Q583" s="3"/>
      <c r="R583" s="3"/>
    </row>
    <row r="584" spans="1:18" x14ac:dyDescent="0.2">
      <c r="A584" s="7" t="s">
        <v>16</v>
      </c>
      <c r="B584" s="7" t="s">
        <v>17</v>
      </c>
      <c r="C584" s="7" t="s">
        <v>18</v>
      </c>
      <c r="D584" s="4">
        <v>15153745000249</v>
      </c>
      <c r="E584" s="8" t="s">
        <v>332</v>
      </c>
      <c r="F584" s="8" t="s">
        <v>278</v>
      </c>
      <c r="G584" s="7" t="s">
        <v>276</v>
      </c>
      <c r="H584" s="47" t="s">
        <v>790</v>
      </c>
      <c r="I584" s="47" t="s">
        <v>791</v>
      </c>
      <c r="J584" s="6">
        <v>62</v>
      </c>
      <c r="K584" s="8" t="s">
        <v>74</v>
      </c>
      <c r="L584" s="5">
        <v>2</v>
      </c>
      <c r="P584" s="3"/>
      <c r="Q584" s="3"/>
      <c r="R584" s="3"/>
    </row>
    <row r="585" spans="1:18" x14ac:dyDescent="0.2">
      <c r="A585" s="7" t="s">
        <v>16</v>
      </c>
      <c r="B585" s="7" t="s">
        <v>17</v>
      </c>
      <c r="C585" s="7" t="s">
        <v>18</v>
      </c>
      <c r="D585" s="4">
        <v>15153745002705</v>
      </c>
      <c r="E585" s="8" t="s">
        <v>333</v>
      </c>
      <c r="F585" s="8" t="s">
        <v>278</v>
      </c>
      <c r="G585" s="7" t="s">
        <v>276</v>
      </c>
      <c r="H585" s="47" t="s">
        <v>790</v>
      </c>
      <c r="I585" s="47" t="s">
        <v>791</v>
      </c>
      <c r="J585" s="6">
        <v>64</v>
      </c>
      <c r="K585" s="8" t="s">
        <v>68</v>
      </c>
      <c r="L585" s="5">
        <v>11</v>
      </c>
      <c r="P585" s="3"/>
      <c r="Q585" s="3"/>
      <c r="R585" s="3"/>
    </row>
    <row r="586" spans="1:18" x14ac:dyDescent="0.2">
      <c r="A586" s="7" t="s">
        <v>16</v>
      </c>
      <c r="B586" s="7" t="s">
        <v>17</v>
      </c>
      <c r="C586" s="7" t="s">
        <v>18</v>
      </c>
      <c r="D586" s="4">
        <v>15166416000151</v>
      </c>
      <c r="E586" s="8" t="s">
        <v>334</v>
      </c>
      <c r="F586" s="8" t="s">
        <v>278</v>
      </c>
      <c r="G586" s="7" t="s">
        <v>276</v>
      </c>
      <c r="H586" s="47" t="s">
        <v>790</v>
      </c>
      <c r="I586" s="47" t="s">
        <v>791</v>
      </c>
      <c r="J586" s="6">
        <v>62</v>
      </c>
      <c r="K586" s="8" t="s">
        <v>74</v>
      </c>
      <c r="L586" s="5">
        <v>11</v>
      </c>
      <c r="P586" s="3"/>
      <c r="Q586" s="3"/>
      <c r="R586" s="3"/>
    </row>
    <row r="587" spans="1:18" x14ac:dyDescent="0.2">
      <c r="A587" s="7" t="s">
        <v>16</v>
      </c>
      <c r="B587" s="7" t="s">
        <v>17</v>
      </c>
      <c r="C587" s="7" t="s">
        <v>18</v>
      </c>
      <c r="D587" s="4">
        <v>15166416000151</v>
      </c>
      <c r="E587" s="8" t="s">
        <v>334</v>
      </c>
      <c r="F587" s="8" t="s">
        <v>278</v>
      </c>
      <c r="G587" s="7" t="s">
        <v>276</v>
      </c>
      <c r="H587" s="47" t="s">
        <v>790</v>
      </c>
      <c r="I587" s="47" t="s">
        <v>791</v>
      </c>
      <c r="J587" s="6">
        <v>64</v>
      </c>
      <c r="K587" s="8" t="s">
        <v>68</v>
      </c>
      <c r="L587" s="5">
        <v>17</v>
      </c>
      <c r="P587" s="3"/>
      <c r="Q587" s="3"/>
      <c r="R587" s="3"/>
    </row>
    <row r="588" spans="1:18" x14ac:dyDescent="0.2">
      <c r="A588" s="7" t="s">
        <v>16</v>
      </c>
      <c r="B588" s="7" t="s">
        <v>17</v>
      </c>
      <c r="C588" s="7" t="s">
        <v>18</v>
      </c>
      <c r="D588" s="4">
        <v>15170723000106</v>
      </c>
      <c r="E588" s="8" t="s">
        <v>335</v>
      </c>
      <c r="F588" s="8" t="s">
        <v>278</v>
      </c>
      <c r="G588" s="7" t="s">
        <v>276</v>
      </c>
      <c r="H588" s="47" t="s">
        <v>790</v>
      </c>
      <c r="I588" s="47" t="s">
        <v>791</v>
      </c>
      <c r="J588" s="6">
        <v>62</v>
      </c>
      <c r="K588" s="8" t="s">
        <v>74</v>
      </c>
      <c r="L588" s="5">
        <v>1</v>
      </c>
      <c r="P588" s="3"/>
      <c r="Q588" s="3"/>
      <c r="R588" s="3"/>
    </row>
    <row r="589" spans="1:18" x14ac:dyDescent="0.2">
      <c r="A589" s="7" t="s">
        <v>16</v>
      </c>
      <c r="B589" s="7" t="s">
        <v>17</v>
      </c>
      <c r="C589" s="7" t="s">
        <v>18</v>
      </c>
      <c r="D589" s="4">
        <v>15170723000106</v>
      </c>
      <c r="E589" s="8" t="s">
        <v>335</v>
      </c>
      <c r="F589" s="8" t="s">
        <v>278</v>
      </c>
      <c r="G589" s="7" t="s">
        <v>276</v>
      </c>
      <c r="H589" s="47" t="s">
        <v>790</v>
      </c>
      <c r="I589" s="47" t="s">
        <v>791</v>
      </c>
      <c r="J589" s="6">
        <v>64</v>
      </c>
      <c r="K589" s="8" t="s">
        <v>68</v>
      </c>
      <c r="L589" s="5">
        <v>11</v>
      </c>
      <c r="P589" s="3"/>
      <c r="Q589" s="3"/>
      <c r="R589" s="3"/>
    </row>
    <row r="590" spans="1:18" x14ac:dyDescent="0.2">
      <c r="A590" s="7" t="s">
        <v>16</v>
      </c>
      <c r="B590" s="7" t="s">
        <v>17</v>
      </c>
      <c r="C590" s="7" t="s">
        <v>18</v>
      </c>
      <c r="D590" s="4">
        <v>15170723000530</v>
      </c>
      <c r="E590" s="8" t="s">
        <v>336</v>
      </c>
      <c r="F590" s="8" t="s">
        <v>323</v>
      </c>
      <c r="G590" s="7" t="s">
        <v>276</v>
      </c>
      <c r="H590" s="47" t="s">
        <v>790</v>
      </c>
      <c r="I590" s="47" t="s">
        <v>791</v>
      </c>
      <c r="J590" s="6">
        <v>64</v>
      </c>
      <c r="K590" s="8" t="s">
        <v>68</v>
      </c>
      <c r="L590" s="5">
        <v>1</v>
      </c>
      <c r="P590" s="3"/>
      <c r="Q590" s="3"/>
      <c r="R590" s="3"/>
    </row>
    <row r="591" spans="1:18" x14ac:dyDescent="0.2">
      <c r="A591" s="7" t="s">
        <v>16</v>
      </c>
      <c r="B591" s="7" t="s">
        <v>17</v>
      </c>
      <c r="C591" s="7" t="s">
        <v>18</v>
      </c>
      <c r="D591" s="4">
        <v>15180714000368</v>
      </c>
      <c r="E591" s="8" t="s">
        <v>337</v>
      </c>
      <c r="F591" s="8" t="s">
        <v>278</v>
      </c>
      <c r="G591" s="7" t="s">
        <v>276</v>
      </c>
      <c r="H591" s="47" t="s">
        <v>790</v>
      </c>
      <c r="I591" s="47" t="s">
        <v>791</v>
      </c>
      <c r="J591" s="6">
        <v>64</v>
      </c>
      <c r="K591" s="8" t="s">
        <v>68</v>
      </c>
      <c r="L591" s="5">
        <v>12</v>
      </c>
      <c r="P591" s="3"/>
      <c r="Q591" s="3"/>
      <c r="R591" s="3"/>
    </row>
    <row r="592" spans="1:18" x14ac:dyDescent="0.2">
      <c r="A592" s="7" t="s">
        <v>16</v>
      </c>
      <c r="B592" s="7" t="s">
        <v>17</v>
      </c>
      <c r="C592" s="7" t="s">
        <v>18</v>
      </c>
      <c r="D592" s="4">
        <v>15180714000520</v>
      </c>
      <c r="E592" s="8" t="s">
        <v>338</v>
      </c>
      <c r="F592" s="8" t="s">
        <v>278</v>
      </c>
      <c r="G592" s="7" t="s">
        <v>276</v>
      </c>
      <c r="H592" s="47" t="s">
        <v>790</v>
      </c>
      <c r="I592" s="47" t="s">
        <v>791</v>
      </c>
      <c r="J592" s="6">
        <v>62</v>
      </c>
      <c r="K592" s="8" t="s">
        <v>74</v>
      </c>
      <c r="L592" s="5">
        <v>5</v>
      </c>
      <c r="P592" s="3"/>
      <c r="Q592" s="3"/>
      <c r="R592" s="3"/>
    </row>
    <row r="593" spans="1:18" x14ac:dyDescent="0.2">
      <c r="A593" s="7" t="s">
        <v>16</v>
      </c>
      <c r="B593" s="7" t="s">
        <v>17</v>
      </c>
      <c r="C593" s="7" t="s">
        <v>18</v>
      </c>
      <c r="D593" s="4">
        <v>15194004000125</v>
      </c>
      <c r="E593" s="8" t="s">
        <v>339</v>
      </c>
      <c r="F593" s="8" t="s">
        <v>278</v>
      </c>
      <c r="G593" s="7" t="s">
        <v>276</v>
      </c>
      <c r="H593" s="47" t="s">
        <v>790</v>
      </c>
      <c r="I593" s="47" t="s">
        <v>791</v>
      </c>
      <c r="J593" s="6">
        <v>64</v>
      </c>
      <c r="K593" s="8" t="s">
        <v>68</v>
      </c>
      <c r="L593" s="5">
        <v>2</v>
      </c>
      <c r="P593" s="3"/>
      <c r="Q593" s="3"/>
      <c r="R593" s="3"/>
    </row>
    <row r="594" spans="1:18" x14ac:dyDescent="0.2">
      <c r="A594" s="7" t="s">
        <v>16</v>
      </c>
      <c r="B594" s="7" t="s">
        <v>17</v>
      </c>
      <c r="C594" s="7" t="s">
        <v>18</v>
      </c>
      <c r="D594" s="4">
        <v>15242761000127</v>
      </c>
      <c r="E594" s="8" t="s">
        <v>340</v>
      </c>
      <c r="F594" s="8" t="s">
        <v>278</v>
      </c>
      <c r="G594" s="7" t="s">
        <v>276</v>
      </c>
      <c r="H594" s="47" t="s">
        <v>790</v>
      </c>
      <c r="I594" s="47" t="s">
        <v>791</v>
      </c>
      <c r="J594" s="6">
        <v>73</v>
      </c>
      <c r="K594" s="8" t="s">
        <v>69</v>
      </c>
      <c r="L594" s="5">
        <v>114</v>
      </c>
      <c r="P594" s="3"/>
      <c r="Q594" s="3"/>
      <c r="R594" s="3"/>
    </row>
    <row r="595" spans="1:18" x14ac:dyDescent="0.2">
      <c r="A595" s="7" t="s">
        <v>16</v>
      </c>
      <c r="B595" s="7" t="s">
        <v>17</v>
      </c>
      <c r="C595" s="7" t="s">
        <v>18</v>
      </c>
      <c r="D595" s="4">
        <v>16676520000159</v>
      </c>
      <c r="E595" s="8" t="s">
        <v>341</v>
      </c>
      <c r="F595" s="8" t="s">
        <v>235</v>
      </c>
      <c r="G595" s="7" t="s">
        <v>223</v>
      </c>
      <c r="H595" s="47" t="s">
        <v>784</v>
      </c>
      <c r="I595" s="47" t="s">
        <v>785</v>
      </c>
      <c r="J595" s="6">
        <v>66</v>
      </c>
      <c r="K595" s="8" t="s">
        <v>99</v>
      </c>
      <c r="L595" s="5">
        <v>2</v>
      </c>
      <c r="P595" s="3"/>
      <c r="Q595" s="3"/>
      <c r="R595" s="3"/>
    </row>
    <row r="596" spans="1:18" x14ac:dyDescent="0.2">
      <c r="A596" s="7" t="s">
        <v>16</v>
      </c>
      <c r="B596" s="7" t="s">
        <v>17</v>
      </c>
      <c r="C596" s="7" t="s">
        <v>18</v>
      </c>
      <c r="D596" s="4">
        <v>16739984000167</v>
      </c>
      <c r="E596" s="8" t="s">
        <v>342</v>
      </c>
      <c r="F596" s="8" t="s">
        <v>225</v>
      </c>
      <c r="G596" s="7" t="s">
        <v>226</v>
      </c>
      <c r="H596" s="47" t="s">
        <v>790</v>
      </c>
      <c r="I596" s="47" t="s">
        <v>791</v>
      </c>
      <c r="J596" s="6">
        <v>73</v>
      </c>
      <c r="K596" s="8" t="s">
        <v>69</v>
      </c>
      <c r="L596" s="5">
        <v>41</v>
      </c>
      <c r="P596" s="3"/>
      <c r="Q596" s="3"/>
      <c r="R596" s="3"/>
    </row>
    <row r="597" spans="1:18" x14ac:dyDescent="0.2">
      <c r="A597" s="7" t="s">
        <v>16</v>
      </c>
      <c r="B597" s="7" t="s">
        <v>17</v>
      </c>
      <c r="C597" s="7" t="s">
        <v>18</v>
      </c>
      <c r="D597" s="4">
        <v>17034086000176</v>
      </c>
      <c r="E597" s="8" t="s">
        <v>343</v>
      </c>
      <c r="F597" s="8" t="s">
        <v>344</v>
      </c>
      <c r="G597" s="7" t="s">
        <v>259</v>
      </c>
      <c r="H597" s="47" t="s">
        <v>784</v>
      </c>
      <c r="I597" s="47" t="s">
        <v>785</v>
      </c>
      <c r="J597" s="6">
        <v>64</v>
      </c>
      <c r="K597" s="8" t="s">
        <v>68</v>
      </c>
      <c r="L597" s="5">
        <v>5</v>
      </c>
      <c r="P597" s="3"/>
      <c r="Q597" s="3"/>
      <c r="R597" s="3"/>
    </row>
    <row r="598" spans="1:18" x14ac:dyDescent="0.2">
      <c r="A598" s="7" t="s">
        <v>16</v>
      </c>
      <c r="B598" s="7" t="s">
        <v>17</v>
      </c>
      <c r="C598" s="7" t="s">
        <v>18</v>
      </c>
      <c r="D598" s="4">
        <v>17087591000189</v>
      </c>
      <c r="E598" s="8" t="s">
        <v>345</v>
      </c>
      <c r="F598" s="8" t="s">
        <v>346</v>
      </c>
      <c r="G598" s="7" t="s">
        <v>223</v>
      </c>
      <c r="H598" s="47" t="s">
        <v>784</v>
      </c>
      <c r="I598" s="47" t="s">
        <v>785</v>
      </c>
      <c r="J598" s="6">
        <v>62</v>
      </c>
      <c r="K598" s="8" t="s">
        <v>74</v>
      </c>
      <c r="L598" s="5">
        <v>7</v>
      </c>
      <c r="P598" s="3"/>
      <c r="Q598" s="3"/>
      <c r="R598" s="3"/>
    </row>
    <row r="599" spans="1:18" x14ac:dyDescent="0.2">
      <c r="A599" s="7" t="s">
        <v>16</v>
      </c>
      <c r="B599" s="7" t="s">
        <v>17</v>
      </c>
      <c r="C599" s="7" t="s">
        <v>18</v>
      </c>
      <c r="D599" s="4">
        <v>17214149000176</v>
      </c>
      <c r="E599" s="8" t="s">
        <v>347</v>
      </c>
      <c r="F599" s="8" t="s">
        <v>235</v>
      </c>
      <c r="G599" s="7" t="s">
        <v>223</v>
      </c>
      <c r="H599" s="47" t="s">
        <v>784</v>
      </c>
      <c r="I599" s="47" t="s">
        <v>785</v>
      </c>
      <c r="J599" s="6">
        <v>62</v>
      </c>
      <c r="K599" s="8" t="s">
        <v>74</v>
      </c>
      <c r="L599" s="5">
        <v>10</v>
      </c>
      <c r="P599" s="3"/>
      <c r="Q599" s="3"/>
      <c r="R599" s="3"/>
    </row>
    <row r="600" spans="1:18" x14ac:dyDescent="0.2">
      <c r="A600" s="7" t="s">
        <v>16</v>
      </c>
      <c r="B600" s="7" t="s">
        <v>17</v>
      </c>
      <c r="C600" s="7" t="s">
        <v>18</v>
      </c>
      <c r="D600" s="4">
        <v>17689407000928</v>
      </c>
      <c r="E600" s="8" t="s">
        <v>348</v>
      </c>
      <c r="F600" s="8" t="s">
        <v>349</v>
      </c>
      <c r="G600" s="7" t="s">
        <v>223</v>
      </c>
      <c r="H600" s="47" t="s">
        <v>784</v>
      </c>
      <c r="I600" s="47" t="s">
        <v>785</v>
      </c>
      <c r="J600" s="6">
        <v>73</v>
      </c>
      <c r="K600" s="8" t="s">
        <v>69</v>
      </c>
      <c r="L600" s="5">
        <v>4</v>
      </c>
      <c r="P600" s="3"/>
      <c r="Q600" s="3"/>
      <c r="R600" s="3"/>
    </row>
    <row r="601" spans="1:18" x14ac:dyDescent="0.2">
      <c r="A601" s="7" t="s">
        <v>16</v>
      </c>
      <c r="B601" s="7" t="s">
        <v>17</v>
      </c>
      <c r="C601" s="7" t="s">
        <v>18</v>
      </c>
      <c r="D601" s="4">
        <v>18484378000173</v>
      </c>
      <c r="E601" s="8" t="s">
        <v>350</v>
      </c>
      <c r="F601" s="8" t="s">
        <v>346</v>
      </c>
      <c r="G601" s="7" t="s">
        <v>223</v>
      </c>
      <c r="H601" s="47" t="s">
        <v>784</v>
      </c>
      <c r="I601" s="47" t="s">
        <v>785</v>
      </c>
      <c r="J601" s="6">
        <v>62</v>
      </c>
      <c r="K601" s="8" t="s">
        <v>74</v>
      </c>
      <c r="L601" s="5">
        <v>3</v>
      </c>
      <c r="P601" s="3"/>
      <c r="Q601" s="3"/>
      <c r="R601" s="3"/>
    </row>
    <row r="602" spans="1:18" x14ac:dyDescent="0.2">
      <c r="A602" s="7" t="s">
        <v>16</v>
      </c>
      <c r="B602" s="7" t="s">
        <v>17</v>
      </c>
      <c r="C602" s="7" t="s">
        <v>18</v>
      </c>
      <c r="D602" s="4">
        <v>19878404000100</v>
      </c>
      <c r="E602" s="8" t="s">
        <v>351</v>
      </c>
      <c r="F602" s="8" t="s">
        <v>352</v>
      </c>
      <c r="G602" s="7" t="s">
        <v>223</v>
      </c>
      <c r="H602" s="47" t="s">
        <v>784</v>
      </c>
      <c r="I602" s="47" t="s">
        <v>785</v>
      </c>
      <c r="J602" s="6">
        <v>73</v>
      </c>
      <c r="K602" s="8" t="s">
        <v>69</v>
      </c>
      <c r="L602" s="5">
        <v>120</v>
      </c>
      <c r="P602" s="3"/>
      <c r="Q602" s="3"/>
      <c r="R602" s="3"/>
    </row>
    <row r="603" spans="1:18" x14ac:dyDescent="0.2">
      <c r="A603" s="7" t="s">
        <v>16</v>
      </c>
      <c r="B603" s="7" t="s">
        <v>17</v>
      </c>
      <c r="C603" s="7" t="s">
        <v>18</v>
      </c>
      <c r="D603" s="4">
        <v>20150900000122</v>
      </c>
      <c r="E603" s="8" t="s">
        <v>353</v>
      </c>
      <c r="F603" s="8" t="s">
        <v>346</v>
      </c>
      <c r="G603" s="7" t="s">
        <v>223</v>
      </c>
      <c r="H603" s="47" t="s">
        <v>784</v>
      </c>
      <c r="I603" s="47" t="s">
        <v>785</v>
      </c>
      <c r="J603" s="6">
        <v>73</v>
      </c>
      <c r="K603" s="8" t="s">
        <v>69</v>
      </c>
      <c r="L603" s="5">
        <v>6</v>
      </c>
      <c r="P603" s="3"/>
      <c r="Q603" s="3"/>
      <c r="R603" s="3"/>
    </row>
    <row r="604" spans="1:18" x14ac:dyDescent="0.2">
      <c r="A604" s="7" t="s">
        <v>16</v>
      </c>
      <c r="B604" s="7" t="s">
        <v>17</v>
      </c>
      <c r="C604" s="7" t="s">
        <v>18</v>
      </c>
      <c r="D604" s="4">
        <v>21040696000311</v>
      </c>
      <c r="E604" s="8" t="s">
        <v>354</v>
      </c>
      <c r="F604" s="8" t="s">
        <v>355</v>
      </c>
      <c r="G604" s="7" t="s">
        <v>223</v>
      </c>
      <c r="H604" s="47" t="s">
        <v>784</v>
      </c>
      <c r="I604" s="47" t="s">
        <v>785</v>
      </c>
      <c r="J604" s="6">
        <v>62</v>
      </c>
      <c r="K604" s="8" t="s">
        <v>74</v>
      </c>
      <c r="L604" s="5">
        <v>2</v>
      </c>
      <c r="P604" s="3"/>
      <c r="Q604" s="3"/>
      <c r="R604" s="3"/>
    </row>
    <row r="605" spans="1:18" x14ac:dyDescent="0.2">
      <c r="A605" s="7" t="s">
        <v>16</v>
      </c>
      <c r="B605" s="7" t="s">
        <v>17</v>
      </c>
      <c r="C605" s="7" t="s">
        <v>18</v>
      </c>
      <c r="D605" s="4">
        <v>23338387000196</v>
      </c>
      <c r="E605" s="8" t="s">
        <v>356</v>
      </c>
      <c r="F605" s="8" t="s">
        <v>357</v>
      </c>
      <c r="G605" s="7" t="s">
        <v>223</v>
      </c>
      <c r="H605" s="47" t="s">
        <v>784</v>
      </c>
      <c r="I605" s="47" t="s">
        <v>785</v>
      </c>
      <c r="J605" s="6">
        <v>73</v>
      </c>
      <c r="K605" s="8" t="s">
        <v>69</v>
      </c>
      <c r="L605" s="5">
        <v>10</v>
      </c>
      <c r="P605" s="3"/>
      <c r="Q605" s="3"/>
      <c r="R605" s="3"/>
    </row>
    <row r="606" spans="1:18" x14ac:dyDescent="0.2">
      <c r="A606" s="7" t="s">
        <v>16</v>
      </c>
      <c r="B606" s="7" t="s">
        <v>17</v>
      </c>
      <c r="C606" s="7" t="s">
        <v>18</v>
      </c>
      <c r="D606" s="4">
        <v>24232886008303</v>
      </c>
      <c r="E606" s="8" t="s">
        <v>358</v>
      </c>
      <c r="F606" s="8" t="s">
        <v>359</v>
      </c>
      <c r="G606" s="7" t="s">
        <v>220</v>
      </c>
      <c r="H606" s="47" t="s">
        <v>790</v>
      </c>
      <c r="I606" s="47" t="s">
        <v>791</v>
      </c>
      <c r="J606" s="6">
        <v>62</v>
      </c>
      <c r="K606" s="8" t="s">
        <v>74</v>
      </c>
      <c r="L606" s="5">
        <v>3</v>
      </c>
      <c r="P606" s="3"/>
      <c r="Q606" s="3"/>
      <c r="R606" s="3"/>
    </row>
    <row r="607" spans="1:18" x14ac:dyDescent="0.2">
      <c r="A607" s="7" t="s">
        <v>16</v>
      </c>
      <c r="B607" s="7" t="s">
        <v>17</v>
      </c>
      <c r="C607" s="7" t="s">
        <v>18</v>
      </c>
      <c r="D607" s="4">
        <v>24232886008303</v>
      </c>
      <c r="E607" s="8" t="s">
        <v>358</v>
      </c>
      <c r="F607" s="8" t="s">
        <v>359</v>
      </c>
      <c r="G607" s="7" t="s">
        <v>220</v>
      </c>
      <c r="H607" s="47" t="s">
        <v>790</v>
      </c>
      <c r="I607" s="47" t="s">
        <v>791</v>
      </c>
      <c r="J607" s="6">
        <v>64</v>
      </c>
      <c r="K607" s="8" t="s">
        <v>68</v>
      </c>
      <c r="L607" s="5">
        <v>3</v>
      </c>
      <c r="P607" s="3"/>
      <c r="Q607" s="3"/>
      <c r="R607" s="3"/>
    </row>
    <row r="608" spans="1:18" x14ac:dyDescent="0.2">
      <c r="A608" s="7" t="s">
        <v>16</v>
      </c>
      <c r="B608" s="7" t="s">
        <v>17</v>
      </c>
      <c r="C608" s="7" t="s">
        <v>18</v>
      </c>
      <c r="D608" s="4">
        <v>24464109000229</v>
      </c>
      <c r="E608" s="8" t="s">
        <v>360</v>
      </c>
      <c r="F608" s="8" t="s">
        <v>361</v>
      </c>
      <c r="G608" s="7" t="s">
        <v>362</v>
      </c>
      <c r="H608" s="47" t="s">
        <v>790</v>
      </c>
      <c r="I608" s="47" t="s">
        <v>791</v>
      </c>
      <c r="J608" s="6">
        <v>66</v>
      </c>
      <c r="K608" s="8" t="s">
        <v>99</v>
      </c>
      <c r="L608" s="5">
        <v>50</v>
      </c>
      <c r="P608" s="3"/>
      <c r="Q608" s="3"/>
      <c r="R608" s="3"/>
    </row>
    <row r="609" spans="1:18" x14ac:dyDescent="0.2">
      <c r="A609" s="7" t="s">
        <v>16</v>
      </c>
      <c r="B609" s="7" t="s">
        <v>17</v>
      </c>
      <c r="C609" s="7" t="s">
        <v>18</v>
      </c>
      <c r="D609" s="4">
        <v>26947257000149</v>
      </c>
      <c r="E609" s="8" t="s">
        <v>363</v>
      </c>
      <c r="F609" s="8" t="s">
        <v>305</v>
      </c>
      <c r="G609" s="7" t="s">
        <v>253</v>
      </c>
      <c r="H609" s="47" t="s">
        <v>784</v>
      </c>
      <c r="I609" s="47" t="s">
        <v>785</v>
      </c>
      <c r="J609" s="6">
        <v>62</v>
      </c>
      <c r="K609" s="8" t="s">
        <v>74</v>
      </c>
      <c r="L609" s="5">
        <v>6</v>
      </c>
      <c r="P609" s="3"/>
      <c r="Q609" s="3"/>
      <c r="R609" s="3"/>
    </row>
    <row r="610" spans="1:18" x14ac:dyDescent="0.2">
      <c r="A610" s="7" t="s">
        <v>16</v>
      </c>
      <c r="B610" s="7" t="s">
        <v>17</v>
      </c>
      <c r="C610" s="7" t="s">
        <v>18</v>
      </c>
      <c r="D610" s="4">
        <v>27372066000169</v>
      </c>
      <c r="E610" s="8" t="s">
        <v>364</v>
      </c>
      <c r="F610" s="8" t="s">
        <v>278</v>
      </c>
      <c r="G610" s="7" t="s">
        <v>276</v>
      </c>
      <c r="H610" s="47" t="s">
        <v>790</v>
      </c>
      <c r="I610" s="47" t="s">
        <v>791</v>
      </c>
      <c r="J610" s="6">
        <v>64</v>
      </c>
      <c r="K610" s="8" t="s">
        <v>68</v>
      </c>
      <c r="L610" s="5">
        <v>17</v>
      </c>
      <c r="P610" s="3"/>
      <c r="Q610" s="3"/>
      <c r="R610" s="3"/>
    </row>
    <row r="611" spans="1:18" x14ac:dyDescent="0.2">
      <c r="A611" s="7" t="s">
        <v>16</v>
      </c>
      <c r="B611" s="7" t="s">
        <v>17</v>
      </c>
      <c r="C611" s="7" t="s">
        <v>18</v>
      </c>
      <c r="D611" s="4">
        <v>28481233000172</v>
      </c>
      <c r="E611" s="8" t="s">
        <v>365</v>
      </c>
      <c r="F611" s="8" t="s">
        <v>225</v>
      </c>
      <c r="G611" s="7" t="s">
        <v>226</v>
      </c>
      <c r="H611" s="47" t="s">
        <v>790</v>
      </c>
      <c r="I611" s="47" t="s">
        <v>791</v>
      </c>
      <c r="J611" s="6">
        <v>64</v>
      </c>
      <c r="K611" s="8" t="s">
        <v>68</v>
      </c>
      <c r="L611" s="5">
        <v>130</v>
      </c>
      <c r="P611" s="3"/>
      <c r="Q611" s="3"/>
      <c r="R611" s="3"/>
    </row>
    <row r="612" spans="1:18" x14ac:dyDescent="0.2">
      <c r="A612" s="7" t="s">
        <v>16</v>
      </c>
      <c r="B612" s="7" t="s">
        <v>17</v>
      </c>
      <c r="C612" s="7" t="s">
        <v>18</v>
      </c>
      <c r="D612" s="4">
        <v>28806545000532</v>
      </c>
      <c r="E612" s="8" t="s">
        <v>366</v>
      </c>
      <c r="F612" s="8" t="s">
        <v>367</v>
      </c>
      <c r="G612" s="7" t="s">
        <v>241</v>
      </c>
      <c r="H612" s="47" t="s">
        <v>784</v>
      </c>
      <c r="I612" s="47" t="s">
        <v>785</v>
      </c>
      <c r="J612" s="6">
        <v>73</v>
      </c>
      <c r="K612" s="8" t="s">
        <v>69</v>
      </c>
      <c r="L612" s="5">
        <v>128</v>
      </c>
      <c r="P612" s="3"/>
      <c r="Q612" s="3"/>
      <c r="R612" s="3"/>
    </row>
    <row r="613" spans="1:18" x14ac:dyDescent="0.2">
      <c r="A613" s="7" t="s">
        <v>16</v>
      </c>
      <c r="B613" s="7" t="s">
        <v>17</v>
      </c>
      <c r="C613" s="7" t="s">
        <v>18</v>
      </c>
      <c r="D613" s="4">
        <v>29072642000188</v>
      </c>
      <c r="E613" s="8" t="s">
        <v>368</v>
      </c>
      <c r="F613" s="8" t="s">
        <v>369</v>
      </c>
      <c r="G613" s="7" t="s">
        <v>241</v>
      </c>
      <c r="H613" s="47" t="s">
        <v>784</v>
      </c>
      <c r="I613" s="47" t="s">
        <v>785</v>
      </c>
      <c r="J613" s="6">
        <v>64</v>
      </c>
      <c r="K613" s="8" t="s">
        <v>68</v>
      </c>
      <c r="L613" s="5">
        <v>2</v>
      </c>
      <c r="P613" s="3"/>
      <c r="Q613" s="3"/>
      <c r="R613" s="3"/>
    </row>
    <row r="614" spans="1:18" x14ac:dyDescent="0.2">
      <c r="A614" s="7" t="s">
        <v>16</v>
      </c>
      <c r="B614" s="7" t="s">
        <v>17</v>
      </c>
      <c r="C614" s="7" t="s">
        <v>18</v>
      </c>
      <c r="D614" s="4">
        <v>29435005004620</v>
      </c>
      <c r="E614" s="8" t="s">
        <v>370</v>
      </c>
      <c r="F614" s="8" t="s">
        <v>225</v>
      </c>
      <c r="G614" s="7" t="s">
        <v>226</v>
      </c>
      <c r="H614" s="47" t="s">
        <v>790</v>
      </c>
      <c r="I614" s="47" t="s">
        <v>791</v>
      </c>
      <c r="J614" s="6">
        <v>62</v>
      </c>
      <c r="K614" s="8" t="s">
        <v>74</v>
      </c>
      <c r="L614" s="5">
        <v>5</v>
      </c>
      <c r="P614" s="3"/>
      <c r="Q614" s="3"/>
      <c r="R614" s="3"/>
    </row>
    <row r="615" spans="1:18" x14ac:dyDescent="0.2">
      <c r="A615" s="7" t="s">
        <v>16</v>
      </c>
      <c r="B615" s="7" t="s">
        <v>17</v>
      </c>
      <c r="C615" s="7" t="s">
        <v>18</v>
      </c>
      <c r="D615" s="4">
        <v>29435005004620</v>
      </c>
      <c r="E615" s="8" t="s">
        <v>370</v>
      </c>
      <c r="F615" s="8" t="s">
        <v>225</v>
      </c>
      <c r="G615" s="7" t="s">
        <v>226</v>
      </c>
      <c r="H615" s="47" t="s">
        <v>790</v>
      </c>
      <c r="I615" s="47" t="s">
        <v>791</v>
      </c>
      <c r="J615" s="6">
        <v>64</v>
      </c>
      <c r="K615" s="8" t="s">
        <v>68</v>
      </c>
      <c r="L615" s="5">
        <v>10</v>
      </c>
      <c r="P615" s="3"/>
      <c r="Q615" s="3"/>
      <c r="R615" s="3"/>
    </row>
    <row r="616" spans="1:18" x14ac:dyDescent="0.2">
      <c r="A616" s="7" t="s">
        <v>16</v>
      </c>
      <c r="B616" s="7" t="s">
        <v>17</v>
      </c>
      <c r="C616" s="7" t="s">
        <v>18</v>
      </c>
      <c r="D616" s="4">
        <v>29435005007484</v>
      </c>
      <c r="E616" s="8" t="s">
        <v>371</v>
      </c>
      <c r="F616" s="8" t="s">
        <v>281</v>
      </c>
      <c r="G616" s="7" t="s">
        <v>282</v>
      </c>
      <c r="H616" s="47" t="s">
        <v>790</v>
      </c>
      <c r="I616" s="47" t="s">
        <v>791</v>
      </c>
      <c r="J616" s="6">
        <v>62</v>
      </c>
      <c r="K616" s="8" t="s">
        <v>74</v>
      </c>
      <c r="L616" s="5">
        <v>7</v>
      </c>
      <c r="P616" s="3"/>
      <c r="Q616" s="3"/>
      <c r="R616" s="3"/>
    </row>
    <row r="617" spans="1:18" x14ac:dyDescent="0.2">
      <c r="A617" s="7" t="s">
        <v>16</v>
      </c>
      <c r="B617" s="7" t="s">
        <v>17</v>
      </c>
      <c r="C617" s="7" t="s">
        <v>18</v>
      </c>
      <c r="D617" s="4">
        <v>29435005007484</v>
      </c>
      <c r="E617" s="8" t="s">
        <v>371</v>
      </c>
      <c r="F617" s="8" t="s">
        <v>281</v>
      </c>
      <c r="G617" s="7" t="s">
        <v>282</v>
      </c>
      <c r="H617" s="47" t="s">
        <v>790</v>
      </c>
      <c r="I617" s="47" t="s">
        <v>791</v>
      </c>
      <c r="J617" s="6">
        <v>64</v>
      </c>
      <c r="K617" s="8" t="s">
        <v>68</v>
      </c>
      <c r="L617" s="5">
        <v>36</v>
      </c>
      <c r="P617" s="3"/>
      <c r="Q617" s="3"/>
      <c r="R617" s="3"/>
    </row>
    <row r="618" spans="1:18" x14ac:dyDescent="0.2">
      <c r="A618" s="7" t="s">
        <v>16</v>
      </c>
      <c r="B618" s="7" t="s">
        <v>17</v>
      </c>
      <c r="C618" s="7" t="s">
        <v>18</v>
      </c>
      <c r="D618" s="4">
        <v>29435005009851</v>
      </c>
      <c r="E618" s="8" t="s">
        <v>372</v>
      </c>
      <c r="F618" s="8" t="s">
        <v>246</v>
      </c>
      <c r="G618" s="7" t="s">
        <v>247</v>
      </c>
      <c r="H618" s="47" t="s">
        <v>790</v>
      </c>
      <c r="I618" s="47" t="s">
        <v>791</v>
      </c>
      <c r="J618" s="6">
        <v>64</v>
      </c>
      <c r="K618" s="8" t="s">
        <v>68</v>
      </c>
      <c r="L618" s="5">
        <v>15</v>
      </c>
      <c r="P618" s="3"/>
      <c r="Q618" s="3"/>
      <c r="R618" s="3"/>
    </row>
    <row r="619" spans="1:18" x14ac:dyDescent="0.2">
      <c r="A619" s="7" t="s">
        <v>16</v>
      </c>
      <c r="B619" s="7" t="s">
        <v>17</v>
      </c>
      <c r="C619" s="7" t="s">
        <v>18</v>
      </c>
      <c r="D619" s="4">
        <v>35830868000446</v>
      </c>
      <c r="E619" s="8" t="s">
        <v>373</v>
      </c>
      <c r="F619" s="8" t="s">
        <v>374</v>
      </c>
      <c r="G619" s="7" t="s">
        <v>241</v>
      </c>
      <c r="H619" s="47" t="s">
        <v>784</v>
      </c>
      <c r="I619" s="47" t="s">
        <v>785</v>
      </c>
      <c r="J619" s="6">
        <v>64</v>
      </c>
      <c r="K619" s="8" t="s">
        <v>68</v>
      </c>
      <c r="L619" s="5">
        <v>3</v>
      </c>
      <c r="P619" s="3"/>
      <c r="Q619" s="3"/>
      <c r="R619" s="3"/>
    </row>
    <row r="620" spans="1:18" x14ac:dyDescent="0.2">
      <c r="A620" s="7" t="s">
        <v>16</v>
      </c>
      <c r="B620" s="7" t="s">
        <v>17</v>
      </c>
      <c r="C620" s="7" t="s">
        <v>18</v>
      </c>
      <c r="D620" s="4">
        <v>37108388000159</v>
      </c>
      <c r="E620" s="8" t="s">
        <v>375</v>
      </c>
      <c r="F620" s="8" t="s">
        <v>225</v>
      </c>
      <c r="G620" s="7" t="s">
        <v>226</v>
      </c>
      <c r="H620" s="47" t="s">
        <v>790</v>
      </c>
      <c r="I620" s="47" t="s">
        <v>791</v>
      </c>
      <c r="J620" s="6">
        <v>62</v>
      </c>
      <c r="K620" s="8" t="s">
        <v>74</v>
      </c>
      <c r="L620" s="5">
        <v>15</v>
      </c>
      <c r="P620" s="3"/>
      <c r="Q620" s="3"/>
      <c r="R620" s="3"/>
    </row>
    <row r="621" spans="1:18" x14ac:dyDescent="0.2">
      <c r="A621" s="7" t="s">
        <v>16</v>
      </c>
      <c r="B621" s="7" t="s">
        <v>17</v>
      </c>
      <c r="C621" s="7" t="s">
        <v>18</v>
      </c>
      <c r="D621" s="4">
        <v>37108388000159</v>
      </c>
      <c r="E621" s="8" t="s">
        <v>375</v>
      </c>
      <c r="F621" s="8" t="s">
        <v>225</v>
      </c>
      <c r="G621" s="7" t="s">
        <v>226</v>
      </c>
      <c r="H621" s="47" t="s">
        <v>790</v>
      </c>
      <c r="I621" s="47" t="s">
        <v>791</v>
      </c>
      <c r="J621" s="6">
        <v>64</v>
      </c>
      <c r="K621" s="8" t="s">
        <v>68</v>
      </c>
      <c r="L621" s="5">
        <v>37</v>
      </c>
      <c r="P621" s="3"/>
      <c r="Q621" s="3"/>
      <c r="R621" s="3"/>
    </row>
    <row r="622" spans="1:18" x14ac:dyDescent="0.2">
      <c r="A622" s="7" t="s">
        <v>16</v>
      </c>
      <c r="B622" s="7" t="s">
        <v>17</v>
      </c>
      <c r="C622" s="7" t="s">
        <v>18</v>
      </c>
      <c r="D622" s="4">
        <v>38000485000196</v>
      </c>
      <c r="E622" s="8" t="s">
        <v>376</v>
      </c>
      <c r="F622" s="8" t="s">
        <v>225</v>
      </c>
      <c r="G622" s="7" t="s">
        <v>226</v>
      </c>
      <c r="H622" s="47" t="s">
        <v>790</v>
      </c>
      <c r="I622" s="47" t="s">
        <v>791</v>
      </c>
      <c r="J622" s="6">
        <v>64</v>
      </c>
      <c r="K622" s="8" t="s">
        <v>68</v>
      </c>
      <c r="L622" s="5">
        <v>3</v>
      </c>
      <c r="P622" s="3"/>
      <c r="Q622" s="3"/>
      <c r="R622" s="3"/>
    </row>
    <row r="623" spans="1:18" x14ac:dyDescent="0.2">
      <c r="A623" s="7" t="s">
        <v>16</v>
      </c>
      <c r="B623" s="7" t="s">
        <v>17</v>
      </c>
      <c r="C623" s="7" t="s">
        <v>18</v>
      </c>
      <c r="D623" s="4">
        <v>60884855001207</v>
      </c>
      <c r="E623" s="8" t="s">
        <v>377</v>
      </c>
      <c r="F623" s="8" t="s">
        <v>240</v>
      </c>
      <c r="G623" s="7" t="s">
        <v>241</v>
      </c>
      <c r="H623" s="47" t="s">
        <v>784</v>
      </c>
      <c r="I623" s="47" t="s">
        <v>785</v>
      </c>
      <c r="J623" s="6">
        <v>62</v>
      </c>
      <c r="K623" s="8" t="s">
        <v>74</v>
      </c>
      <c r="L623" s="5">
        <v>24</v>
      </c>
      <c r="P623" s="3"/>
      <c r="Q623" s="3"/>
      <c r="R623" s="3"/>
    </row>
    <row r="624" spans="1:18" x14ac:dyDescent="0.2">
      <c r="A624" s="7" t="s">
        <v>16</v>
      </c>
      <c r="B624" s="7" t="s">
        <v>17</v>
      </c>
      <c r="C624" s="7" t="s">
        <v>18</v>
      </c>
      <c r="D624" s="4">
        <v>60884855001207</v>
      </c>
      <c r="E624" s="8" t="s">
        <v>377</v>
      </c>
      <c r="F624" s="8" t="s">
        <v>240</v>
      </c>
      <c r="G624" s="7" t="s">
        <v>241</v>
      </c>
      <c r="H624" s="47" t="s">
        <v>784</v>
      </c>
      <c r="I624" s="47" t="s">
        <v>785</v>
      </c>
      <c r="J624" s="6">
        <v>64</v>
      </c>
      <c r="K624" s="8" t="s">
        <v>68</v>
      </c>
      <c r="L624" s="5">
        <v>83</v>
      </c>
      <c r="P624" s="3"/>
      <c r="Q624" s="3"/>
      <c r="R624" s="3"/>
    </row>
    <row r="625" spans="1:18" x14ac:dyDescent="0.2">
      <c r="A625" s="7" t="s">
        <v>16</v>
      </c>
      <c r="B625" s="7" t="s">
        <v>17</v>
      </c>
      <c r="C625" s="7" t="s">
        <v>18</v>
      </c>
      <c r="D625" s="4">
        <v>60884855001207</v>
      </c>
      <c r="E625" s="8" t="s">
        <v>377</v>
      </c>
      <c r="F625" s="8" t="s">
        <v>240</v>
      </c>
      <c r="G625" s="7" t="s">
        <v>241</v>
      </c>
      <c r="H625" s="47" t="s">
        <v>784</v>
      </c>
      <c r="I625" s="47" t="s">
        <v>785</v>
      </c>
      <c r="J625" s="6">
        <v>73</v>
      </c>
      <c r="K625" s="8" t="s">
        <v>69</v>
      </c>
      <c r="L625" s="5">
        <v>18</v>
      </c>
      <c r="P625" s="3"/>
      <c r="Q625" s="3"/>
      <c r="R625" s="3"/>
    </row>
    <row r="626" spans="1:18" x14ac:dyDescent="0.2">
      <c r="A626" s="7" t="s">
        <v>16</v>
      </c>
      <c r="B626" s="7" t="s">
        <v>17</v>
      </c>
      <c r="C626" s="7" t="s">
        <v>18</v>
      </c>
      <c r="D626" s="4">
        <v>60884855002289</v>
      </c>
      <c r="E626" s="8" t="s">
        <v>378</v>
      </c>
      <c r="F626" s="8" t="s">
        <v>225</v>
      </c>
      <c r="G626" s="7" t="s">
        <v>226</v>
      </c>
      <c r="H626" s="47" t="s">
        <v>790</v>
      </c>
      <c r="I626" s="47" t="s">
        <v>791</v>
      </c>
      <c r="J626" s="6">
        <v>62</v>
      </c>
      <c r="K626" s="8" t="s">
        <v>74</v>
      </c>
      <c r="L626" s="5">
        <v>11</v>
      </c>
      <c r="P626" s="3"/>
      <c r="Q626" s="3"/>
      <c r="R626" s="3"/>
    </row>
    <row r="627" spans="1:18" x14ac:dyDescent="0.2">
      <c r="A627" s="7" t="s">
        <v>16</v>
      </c>
      <c r="B627" s="7" t="s">
        <v>17</v>
      </c>
      <c r="C627" s="7" t="s">
        <v>18</v>
      </c>
      <c r="D627" s="4">
        <v>60884855002289</v>
      </c>
      <c r="E627" s="8" t="s">
        <v>378</v>
      </c>
      <c r="F627" s="8" t="s">
        <v>225</v>
      </c>
      <c r="G627" s="7" t="s">
        <v>226</v>
      </c>
      <c r="H627" s="47" t="s">
        <v>790</v>
      </c>
      <c r="I627" s="47" t="s">
        <v>791</v>
      </c>
      <c r="J627" s="6">
        <v>64</v>
      </c>
      <c r="K627" s="8" t="s">
        <v>68</v>
      </c>
      <c r="L627" s="5">
        <v>90</v>
      </c>
      <c r="P627" s="3"/>
      <c r="Q627" s="3"/>
      <c r="R627" s="3"/>
    </row>
    <row r="628" spans="1:18" x14ac:dyDescent="0.2">
      <c r="A628" s="7" t="s">
        <v>16</v>
      </c>
      <c r="B628" s="7" t="s">
        <v>17</v>
      </c>
      <c r="C628" s="7" t="s">
        <v>18</v>
      </c>
      <c r="D628" s="4">
        <v>60922168005226</v>
      </c>
      <c r="E628" s="8" t="s">
        <v>379</v>
      </c>
      <c r="F628" s="8" t="s">
        <v>380</v>
      </c>
      <c r="G628" s="7" t="s">
        <v>259</v>
      </c>
      <c r="H628" s="47" t="s">
        <v>784</v>
      </c>
      <c r="I628" s="47" t="s">
        <v>785</v>
      </c>
      <c r="J628" s="6">
        <v>64</v>
      </c>
      <c r="K628" s="8" t="s">
        <v>68</v>
      </c>
      <c r="L628" s="5">
        <v>1</v>
      </c>
      <c r="P628" s="3"/>
      <c r="Q628" s="3"/>
      <c r="R628" s="3"/>
    </row>
    <row r="629" spans="1:18" x14ac:dyDescent="0.2">
      <c r="A629" s="7" t="s">
        <v>16</v>
      </c>
      <c r="B629" s="7" t="s">
        <v>17</v>
      </c>
      <c r="C629" s="7" t="s">
        <v>18</v>
      </c>
      <c r="D629" s="4">
        <v>60975737003509</v>
      </c>
      <c r="E629" s="8" t="s">
        <v>381</v>
      </c>
      <c r="F629" s="8" t="s">
        <v>281</v>
      </c>
      <c r="G629" s="7" t="s">
        <v>282</v>
      </c>
      <c r="H629" s="47" t="s">
        <v>790</v>
      </c>
      <c r="I629" s="47" t="s">
        <v>791</v>
      </c>
      <c r="J629" s="6">
        <v>62</v>
      </c>
      <c r="K629" s="8" t="s">
        <v>74</v>
      </c>
      <c r="L629" s="5">
        <v>12</v>
      </c>
      <c r="P629" s="3"/>
      <c r="Q629" s="3"/>
      <c r="R629" s="3"/>
    </row>
    <row r="630" spans="1:18" x14ac:dyDescent="0.2">
      <c r="A630" s="7" t="s">
        <v>16</v>
      </c>
      <c r="B630" s="7" t="s">
        <v>17</v>
      </c>
      <c r="C630" s="7" t="s">
        <v>18</v>
      </c>
      <c r="D630" s="4">
        <v>60975737003509</v>
      </c>
      <c r="E630" s="8" t="s">
        <v>381</v>
      </c>
      <c r="F630" s="8" t="s">
        <v>281</v>
      </c>
      <c r="G630" s="7" t="s">
        <v>282</v>
      </c>
      <c r="H630" s="47" t="s">
        <v>790</v>
      </c>
      <c r="I630" s="47" t="s">
        <v>791</v>
      </c>
      <c r="J630" s="6">
        <v>64</v>
      </c>
      <c r="K630" s="8" t="s">
        <v>68</v>
      </c>
      <c r="L630" s="5">
        <v>4</v>
      </c>
      <c r="P630" s="3"/>
      <c r="Q630" s="3"/>
      <c r="R630" s="3"/>
    </row>
    <row r="631" spans="1:18" x14ac:dyDescent="0.2">
      <c r="A631" s="7" t="s">
        <v>16</v>
      </c>
      <c r="B631" s="7" t="s">
        <v>17</v>
      </c>
      <c r="C631" s="7" t="s">
        <v>18</v>
      </c>
      <c r="D631" s="4">
        <v>61590410000558</v>
      </c>
      <c r="E631" s="8" t="s">
        <v>382</v>
      </c>
      <c r="F631" s="8" t="s">
        <v>225</v>
      </c>
      <c r="G631" s="7" t="s">
        <v>226</v>
      </c>
      <c r="H631" s="47" t="s">
        <v>790</v>
      </c>
      <c r="I631" s="47" t="s">
        <v>791</v>
      </c>
      <c r="J631" s="6">
        <v>73</v>
      </c>
      <c r="K631" s="8" t="s">
        <v>69</v>
      </c>
      <c r="L631" s="5">
        <v>16</v>
      </c>
      <c r="P631" s="3"/>
      <c r="Q631" s="3"/>
      <c r="R631" s="3"/>
    </row>
    <row r="632" spans="1:18" x14ac:dyDescent="0.2">
      <c r="A632" s="7" t="s">
        <v>16</v>
      </c>
      <c r="B632" s="7" t="s">
        <v>17</v>
      </c>
      <c r="C632" s="7" t="s">
        <v>18</v>
      </c>
      <c r="D632" s="4">
        <v>74031865000151</v>
      </c>
      <c r="E632" s="8" t="s">
        <v>383</v>
      </c>
      <c r="F632" s="8" t="s">
        <v>281</v>
      </c>
      <c r="G632" s="7" t="s">
        <v>282</v>
      </c>
      <c r="H632" s="47" t="s">
        <v>790</v>
      </c>
      <c r="I632" s="47" t="s">
        <v>791</v>
      </c>
      <c r="J632" s="6">
        <v>62</v>
      </c>
      <c r="K632" s="8" t="s">
        <v>74</v>
      </c>
      <c r="L632" s="5">
        <v>420</v>
      </c>
      <c r="P632" s="3"/>
      <c r="Q632" s="3"/>
      <c r="R632" s="3"/>
    </row>
    <row r="633" spans="1:18" x14ac:dyDescent="0.2">
      <c r="A633" s="7" t="s">
        <v>16</v>
      </c>
      <c r="B633" s="7" t="s">
        <v>17</v>
      </c>
      <c r="C633" s="7" t="s">
        <v>18</v>
      </c>
      <c r="D633" s="4">
        <v>74031865000151</v>
      </c>
      <c r="E633" s="8" t="s">
        <v>383</v>
      </c>
      <c r="F633" s="8" t="s">
        <v>281</v>
      </c>
      <c r="G633" s="7" t="s">
        <v>282</v>
      </c>
      <c r="H633" s="47" t="s">
        <v>790</v>
      </c>
      <c r="I633" s="47" t="s">
        <v>791</v>
      </c>
      <c r="J633" s="6">
        <v>64</v>
      </c>
      <c r="K633" s="8" t="s">
        <v>68</v>
      </c>
      <c r="L633" s="5">
        <v>100</v>
      </c>
      <c r="P633" s="3"/>
      <c r="Q633" s="3"/>
      <c r="R633" s="3"/>
    </row>
    <row r="634" spans="1:18" x14ac:dyDescent="0.2">
      <c r="A634" s="7" t="s">
        <v>16</v>
      </c>
      <c r="B634" s="7" t="s">
        <v>17</v>
      </c>
      <c r="C634" s="7" t="s">
        <v>18</v>
      </c>
      <c r="D634" s="4">
        <v>76555069000143</v>
      </c>
      <c r="E634" s="8" t="s">
        <v>384</v>
      </c>
      <c r="F634" s="8" t="s">
        <v>385</v>
      </c>
      <c r="G634" s="7" t="s">
        <v>233</v>
      </c>
      <c r="H634" s="47" t="s">
        <v>784</v>
      </c>
      <c r="I634" s="47" t="s">
        <v>785</v>
      </c>
      <c r="J634" s="6">
        <v>62</v>
      </c>
      <c r="K634" s="8" t="s">
        <v>74</v>
      </c>
      <c r="L634" s="5">
        <v>2</v>
      </c>
      <c r="P634" s="3"/>
      <c r="Q634" s="3"/>
      <c r="R634" s="3"/>
    </row>
    <row r="635" spans="1:18" x14ac:dyDescent="0.2">
      <c r="A635" s="7" t="s">
        <v>16</v>
      </c>
      <c r="B635" s="7" t="s">
        <v>17</v>
      </c>
      <c r="C635" s="7" t="s">
        <v>18</v>
      </c>
      <c r="D635" s="4">
        <v>76591569000130</v>
      </c>
      <c r="E635" s="8" t="s">
        <v>386</v>
      </c>
      <c r="F635" s="8" t="s">
        <v>385</v>
      </c>
      <c r="G635" s="7" t="s">
        <v>233</v>
      </c>
      <c r="H635" s="47" t="s">
        <v>784</v>
      </c>
      <c r="I635" s="47" t="s">
        <v>785</v>
      </c>
      <c r="J635" s="6">
        <v>73</v>
      </c>
      <c r="K635" s="8" t="s">
        <v>69</v>
      </c>
      <c r="L635" s="5">
        <v>24</v>
      </c>
      <c r="P635" s="3"/>
      <c r="Q635" s="3"/>
      <c r="R635" s="3"/>
    </row>
    <row r="636" spans="1:18" x14ac:dyDescent="0.2">
      <c r="A636" s="7" t="s">
        <v>16</v>
      </c>
      <c r="B636" s="7" t="s">
        <v>17</v>
      </c>
      <c r="C636" s="7" t="s">
        <v>18</v>
      </c>
      <c r="D636" s="4">
        <v>80673411000187</v>
      </c>
      <c r="E636" s="8" t="s">
        <v>387</v>
      </c>
      <c r="F636" s="8" t="s">
        <v>388</v>
      </c>
      <c r="G636" s="7" t="s">
        <v>259</v>
      </c>
      <c r="H636" s="47" t="s">
        <v>784</v>
      </c>
      <c r="I636" s="47" t="s">
        <v>785</v>
      </c>
      <c r="J636" s="6">
        <v>66</v>
      </c>
      <c r="K636" s="8" t="s">
        <v>99</v>
      </c>
      <c r="L636" s="5">
        <v>74</v>
      </c>
      <c r="P636" s="3"/>
      <c r="Q636" s="3"/>
      <c r="R636" s="3"/>
    </row>
    <row r="637" spans="1:18" x14ac:dyDescent="0.2">
      <c r="A637" s="7" t="s">
        <v>16</v>
      </c>
      <c r="B637" s="7" t="s">
        <v>17</v>
      </c>
      <c r="C637" s="7" t="s">
        <v>18</v>
      </c>
      <c r="D637" s="4">
        <v>83899526000425</v>
      </c>
      <c r="E637" s="8" t="s">
        <v>389</v>
      </c>
      <c r="F637" s="8" t="s">
        <v>388</v>
      </c>
      <c r="G637" s="7" t="s">
        <v>259</v>
      </c>
      <c r="H637" s="47" t="s">
        <v>784</v>
      </c>
      <c r="I637" s="47" t="s">
        <v>785</v>
      </c>
      <c r="J637" s="6">
        <v>62</v>
      </c>
      <c r="K637" s="8" t="s">
        <v>74</v>
      </c>
      <c r="L637" s="5">
        <v>17</v>
      </c>
      <c r="P637" s="3"/>
      <c r="Q637" s="3"/>
      <c r="R637" s="3"/>
    </row>
    <row r="638" spans="1:18" x14ac:dyDescent="0.2">
      <c r="A638" s="7" t="s">
        <v>16</v>
      </c>
      <c r="B638" s="7" t="s">
        <v>17</v>
      </c>
      <c r="C638" s="7" t="s">
        <v>18</v>
      </c>
      <c r="D638" s="4">
        <v>85377174000392</v>
      </c>
      <c r="E638" s="8" t="s">
        <v>390</v>
      </c>
      <c r="F638" s="8" t="s">
        <v>258</v>
      </c>
      <c r="G638" s="7" t="s">
        <v>259</v>
      </c>
      <c r="H638" s="47" t="s">
        <v>784</v>
      </c>
      <c r="I638" s="47" t="s">
        <v>785</v>
      </c>
      <c r="J638" s="6">
        <v>73</v>
      </c>
      <c r="K638" s="8" t="s">
        <v>69</v>
      </c>
      <c r="L638" s="5">
        <v>15</v>
      </c>
      <c r="P638" s="3"/>
      <c r="Q638" s="3"/>
      <c r="R638" s="3"/>
    </row>
    <row r="639" spans="1:18" x14ac:dyDescent="0.2">
      <c r="A639" s="7" t="s">
        <v>16</v>
      </c>
      <c r="B639" s="7" t="s">
        <v>17</v>
      </c>
      <c r="C639" s="7" t="s">
        <v>18</v>
      </c>
      <c r="D639" s="4">
        <v>87020517000120</v>
      </c>
      <c r="E639" s="8" t="s">
        <v>391</v>
      </c>
      <c r="F639" s="8" t="s">
        <v>305</v>
      </c>
      <c r="G639" s="7" t="s">
        <v>253</v>
      </c>
      <c r="H639" s="47" t="s">
        <v>784</v>
      </c>
      <c r="I639" s="47" t="s">
        <v>785</v>
      </c>
      <c r="J639" s="6">
        <v>62</v>
      </c>
      <c r="K639" s="8" t="s">
        <v>74</v>
      </c>
      <c r="L639" s="5">
        <v>25</v>
      </c>
      <c r="P639" s="3"/>
      <c r="Q639" s="3"/>
      <c r="R639" s="3"/>
    </row>
    <row r="640" spans="1:18" x14ac:dyDescent="0.2">
      <c r="A640" s="7" t="s">
        <v>16</v>
      </c>
      <c r="B640" s="7" t="s">
        <v>17</v>
      </c>
      <c r="C640" s="7" t="s">
        <v>18</v>
      </c>
      <c r="D640" s="4">
        <v>87020517000120</v>
      </c>
      <c r="E640" s="8" t="s">
        <v>391</v>
      </c>
      <c r="F640" s="8" t="s">
        <v>305</v>
      </c>
      <c r="G640" s="7" t="s">
        <v>253</v>
      </c>
      <c r="H640" s="47" t="s">
        <v>784</v>
      </c>
      <c r="I640" s="47" t="s">
        <v>785</v>
      </c>
      <c r="J640" s="6">
        <v>64</v>
      </c>
      <c r="K640" s="8" t="s">
        <v>68</v>
      </c>
      <c r="L640" s="5">
        <v>10</v>
      </c>
      <c r="P640" s="3"/>
      <c r="Q640" s="3"/>
      <c r="R640" s="3"/>
    </row>
    <row r="641" spans="1:18" x14ac:dyDescent="0.2">
      <c r="A641" s="7" t="s">
        <v>16</v>
      </c>
      <c r="B641" s="7" t="s">
        <v>17</v>
      </c>
      <c r="C641" s="7" t="s">
        <v>18</v>
      </c>
      <c r="D641" s="4">
        <v>87547444000120</v>
      </c>
      <c r="E641" s="8" t="s">
        <v>392</v>
      </c>
      <c r="F641" s="8" t="s">
        <v>393</v>
      </c>
      <c r="G641" s="7" t="s">
        <v>253</v>
      </c>
      <c r="H641" s="47" t="s">
        <v>784</v>
      </c>
      <c r="I641" s="47" t="s">
        <v>785</v>
      </c>
      <c r="J641" s="6">
        <v>64</v>
      </c>
      <c r="K641" s="8" t="s">
        <v>68</v>
      </c>
      <c r="L641" s="5">
        <v>2</v>
      </c>
      <c r="P641" s="3"/>
      <c r="Q641" s="3"/>
      <c r="R641" s="3"/>
    </row>
    <row r="642" spans="1:18" x14ac:dyDescent="0.2">
      <c r="A642" s="7" t="s">
        <v>16</v>
      </c>
      <c r="B642" s="7" t="s">
        <v>17</v>
      </c>
      <c r="C642" s="7" t="s">
        <v>18</v>
      </c>
      <c r="D642" s="4">
        <v>87827689002405</v>
      </c>
      <c r="E642" s="8" t="s">
        <v>394</v>
      </c>
      <c r="F642" s="8" t="s">
        <v>252</v>
      </c>
      <c r="G642" s="7" t="s">
        <v>253</v>
      </c>
      <c r="H642" s="47" t="s">
        <v>784</v>
      </c>
      <c r="I642" s="47" t="s">
        <v>785</v>
      </c>
      <c r="J642" s="6">
        <v>73</v>
      </c>
      <c r="K642" s="8" t="s">
        <v>69</v>
      </c>
      <c r="L642" s="5">
        <v>38</v>
      </c>
      <c r="P642" s="3"/>
      <c r="Q642" s="3"/>
      <c r="R642" s="3"/>
    </row>
    <row r="643" spans="1:18" x14ac:dyDescent="0.2">
      <c r="A643" s="7" t="s">
        <v>16</v>
      </c>
      <c r="B643" s="7" t="s">
        <v>17</v>
      </c>
      <c r="C643" s="7" t="s">
        <v>18</v>
      </c>
      <c r="D643" s="4">
        <v>87958625000149</v>
      </c>
      <c r="E643" s="8" t="s">
        <v>395</v>
      </c>
      <c r="F643" s="8" t="s">
        <v>305</v>
      </c>
      <c r="G643" s="7" t="s">
        <v>253</v>
      </c>
      <c r="H643" s="47" t="s">
        <v>784</v>
      </c>
      <c r="I643" s="47" t="s">
        <v>785</v>
      </c>
      <c r="J643" s="6">
        <v>66</v>
      </c>
      <c r="K643" s="8" t="s">
        <v>99</v>
      </c>
      <c r="L643" s="5">
        <v>12</v>
      </c>
      <c r="P643" s="3"/>
      <c r="Q643" s="3"/>
      <c r="R643" s="3"/>
    </row>
    <row r="644" spans="1:18" x14ac:dyDescent="0.2">
      <c r="A644" s="7" t="s">
        <v>16</v>
      </c>
      <c r="B644" s="7" t="s">
        <v>17</v>
      </c>
      <c r="C644" s="7" t="s">
        <v>18</v>
      </c>
      <c r="D644" s="4">
        <v>88625686002443</v>
      </c>
      <c r="E644" s="8" t="s">
        <v>396</v>
      </c>
      <c r="F644" s="8" t="s">
        <v>305</v>
      </c>
      <c r="G644" s="7" t="s">
        <v>253</v>
      </c>
      <c r="H644" s="47" t="s">
        <v>784</v>
      </c>
      <c r="I644" s="47" t="s">
        <v>785</v>
      </c>
      <c r="J644" s="6">
        <v>62</v>
      </c>
      <c r="K644" s="8" t="s">
        <v>74</v>
      </c>
      <c r="L644" s="5">
        <v>5</v>
      </c>
      <c r="P644" s="3"/>
      <c r="Q644" s="3"/>
      <c r="R644" s="3"/>
    </row>
    <row r="645" spans="1:18" x14ac:dyDescent="0.2">
      <c r="A645" s="7" t="s">
        <v>16</v>
      </c>
      <c r="B645" s="7" t="s">
        <v>17</v>
      </c>
      <c r="C645" s="7" t="s">
        <v>18</v>
      </c>
      <c r="D645" s="4">
        <v>88625686002443</v>
      </c>
      <c r="E645" s="8" t="s">
        <v>396</v>
      </c>
      <c r="F645" s="8" t="s">
        <v>305</v>
      </c>
      <c r="G645" s="7" t="s">
        <v>253</v>
      </c>
      <c r="H645" s="47" t="s">
        <v>784</v>
      </c>
      <c r="I645" s="47" t="s">
        <v>785</v>
      </c>
      <c r="J645" s="6">
        <v>64</v>
      </c>
      <c r="K645" s="8" t="s">
        <v>68</v>
      </c>
      <c r="L645" s="5">
        <v>24</v>
      </c>
      <c r="P645" s="3"/>
      <c r="Q645" s="3"/>
      <c r="R645" s="3"/>
    </row>
    <row r="646" spans="1:18" x14ac:dyDescent="0.2">
      <c r="A646" s="7" t="s">
        <v>16</v>
      </c>
      <c r="B646" s="7" t="s">
        <v>17</v>
      </c>
      <c r="C646" s="7" t="s">
        <v>18</v>
      </c>
      <c r="D646" s="4">
        <v>88630413000796</v>
      </c>
      <c r="E646" s="8" t="s">
        <v>397</v>
      </c>
      <c r="F646" s="8" t="s">
        <v>305</v>
      </c>
      <c r="G646" s="7" t="s">
        <v>253</v>
      </c>
      <c r="H646" s="47" t="s">
        <v>784</v>
      </c>
      <c r="I646" s="47" t="s">
        <v>785</v>
      </c>
      <c r="J646" s="6">
        <v>62</v>
      </c>
      <c r="K646" s="8" t="s">
        <v>74</v>
      </c>
      <c r="L646" s="5">
        <v>14</v>
      </c>
      <c r="P646" s="3"/>
      <c r="Q646" s="3"/>
      <c r="R646" s="3"/>
    </row>
    <row r="647" spans="1:18" x14ac:dyDescent="0.2">
      <c r="A647" s="7" t="s">
        <v>16</v>
      </c>
      <c r="B647" s="7" t="s">
        <v>17</v>
      </c>
      <c r="C647" s="7" t="s">
        <v>18</v>
      </c>
      <c r="D647" s="4">
        <v>88630413000796</v>
      </c>
      <c r="E647" s="8" t="s">
        <v>397</v>
      </c>
      <c r="F647" s="8" t="s">
        <v>305</v>
      </c>
      <c r="G647" s="7" t="s">
        <v>253</v>
      </c>
      <c r="H647" s="47" t="s">
        <v>784</v>
      </c>
      <c r="I647" s="47" t="s">
        <v>785</v>
      </c>
      <c r="J647" s="6">
        <v>64</v>
      </c>
      <c r="K647" s="8" t="s">
        <v>68</v>
      </c>
      <c r="L647" s="5">
        <v>6</v>
      </c>
      <c r="P647" s="3"/>
      <c r="Q647" s="3"/>
      <c r="R647" s="3"/>
    </row>
    <row r="648" spans="1:18" x14ac:dyDescent="0.2">
      <c r="A648" s="7" t="s">
        <v>16</v>
      </c>
      <c r="B648" s="7" t="s">
        <v>17</v>
      </c>
      <c r="C648" s="7" t="s">
        <v>18</v>
      </c>
      <c r="D648" s="4">
        <v>92021062000360</v>
      </c>
      <c r="E648" s="8" t="s">
        <v>398</v>
      </c>
      <c r="F648" s="8" t="s">
        <v>399</v>
      </c>
      <c r="G648" s="7" t="s">
        <v>253</v>
      </c>
      <c r="H648" s="47" t="s">
        <v>784</v>
      </c>
      <c r="I648" s="47" t="s">
        <v>785</v>
      </c>
      <c r="J648" s="6">
        <v>73</v>
      </c>
      <c r="K648" s="8" t="s">
        <v>69</v>
      </c>
      <c r="L648" s="5">
        <v>144</v>
      </c>
      <c r="P648" s="3"/>
      <c r="Q648" s="3"/>
      <c r="R648" s="3"/>
    </row>
    <row r="649" spans="1:18" x14ac:dyDescent="0.2">
      <c r="A649" s="7" t="s">
        <v>16</v>
      </c>
      <c r="B649" s="7" t="s">
        <v>17</v>
      </c>
      <c r="C649" s="7" t="s">
        <v>18</v>
      </c>
      <c r="D649" s="4">
        <v>92685833000151</v>
      </c>
      <c r="E649" s="8" t="s">
        <v>400</v>
      </c>
      <c r="F649" s="8" t="s">
        <v>305</v>
      </c>
      <c r="G649" s="7" t="s">
        <v>253</v>
      </c>
      <c r="H649" s="47" t="s">
        <v>784</v>
      </c>
      <c r="I649" s="47" t="s">
        <v>785</v>
      </c>
      <c r="J649" s="6">
        <v>62</v>
      </c>
      <c r="K649" s="8" t="s">
        <v>74</v>
      </c>
      <c r="L649" s="5">
        <v>40</v>
      </c>
      <c r="P649" s="3"/>
      <c r="Q649" s="3"/>
      <c r="R649" s="3"/>
    </row>
    <row r="650" spans="1:18" x14ac:dyDescent="0.2">
      <c r="A650" s="7" t="s">
        <v>16</v>
      </c>
      <c r="B650" s="7" t="s">
        <v>17</v>
      </c>
      <c r="C650" s="7" t="s">
        <v>18</v>
      </c>
      <c r="D650" s="4">
        <v>92685833000151</v>
      </c>
      <c r="E650" s="8" t="s">
        <v>400</v>
      </c>
      <c r="F650" s="8" t="s">
        <v>305</v>
      </c>
      <c r="G650" s="7" t="s">
        <v>253</v>
      </c>
      <c r="H650" s="47" t="s">
        <v>784</v>
      </c>
      <c r="I650" s="47" t="s">
        <v>785</v>
      </c>
      <c r="J650" s="6">
        <v>64</v>
      </c>
      <c r="K650" s="8" t="s">
        <v>68</v>
      </c>
      <c r="L650" s="5">
        <v>16</v>
      </c>
      <c r="P650" s="3"/>
      <c r="Q650" s="3"/>
      <c r="R650" s="3"/>
    </row>
    <row r="651" spans="1:18" x14ac:dyDescent="0.2">
      <c r="A651" s="7" t="s">
        <v>16</v>
      </c>
      <c r="B651" s="7" t="s">
        <v>17</v>
      </c>
      <c r="C651" s="7" t="s">
        <v>18</v>
      </c>
      <c r="D651" s="4">
        <v>92685833000151</v>
      </c>
      <c r="E651" s="8" t="s">
        <v>400</v>
      </c>
      <c r="F651" s="8" t="s">
        <v>305</v>
      </c>
      <c r="G651" s="7" t="s">
        <v>253</v>
      </c>
      <c r="H651" s="47" t="s">
        <v>784</v>
      </c>
      <c r="I651" s="47" t="s">
        <v>785</v>
      </c>
      <c r="J651" s="6">
        <v>73</v>
      </c>
      <c r="K651" s="8" t="s">
        <v>69</v>
      </c>
      <c r="L651" s="5">
        <v>4</v>
      </c>
      <c r="P651" s="3"/>
      <c r="Q651" s="3"/>
      <c r="R651" s="3"/>
    </row>
    <row r="652" spans="1:18" x14ac:dyDescent="0.2">
      <c r="A652" s="7" t="s">
        <v>16</v>
      </c>
      <c r="B652" s="7" t="s">
        <v>17</v>
      </c>
      <c r="C652" s="7" t="s">
        <v>18</v>
      </c>
      <c r="D652" s="4">
        <v>92741016000254</v>
      </c>
      <c r="E652" s="8" t="s">
        <v>401</v>
      </c>
      <c r="F652" s="8" t="s">
        <v>305</v>
      </c>
      <c r="G652" s="7" t="s">
        <v>253</v>
      </c>
      <c r="H652" s="47" t="s">
        <v>784</v>
      </c>
      <c r="I652" s="47" t="s">
        <v>785</v>
      </c>
      <c r="J652" s="6">
        <v>64</v>
      </c>
      <c r="K652" s="8" t="s">
        <v>68</v>
      </c>
      <c r="L652" s="5">
        <v>5</v>
      </c>
      <c r="P652" s="3"/>
      <c r="Q652" s="3"/>
      <c r="R652" s="3"/>
    </row>
    <row r="653" spans="1:18" x14ac:dyDescent="0.2">
      <c r="A653" s="7" t="s">
        <v>16</v>
      </c>
      <c r="B653" s="7" t="s">
        <v>17</v>
      </c>
      <c r="C653" s="7" t="s">
        <v>18</v>
      </c>
      <c r="D653" s="4">
        <v>92787118000391</v>
      </c>
      <c r="E653" s="8" t="s">
        <v>402</v>
      </c>
      <c r="F653" s="8" t="s">
        <v>305</v>
      </c>
      <c r="G653" s="7" t="s">
        <v>253</v>
      </c>
      <c r="H653" s="47" t="s">
        <v>784</v>
      </c>
      <c r="I653" s="47" t="s">
        <v>785</v>
      </c>
      <c r="J653" s="6">
        <v>64</v>
      </c>
      <c r="K653" s="8" t="s">
        <v>68</v>
      </c>
      <c r="L653" s="5">
        <v>12</v>
      </c>
      <c r="P653" s="3"/>
      <c r="Q653" s="3"/>
      <c r="R653" s="3"/>
    </row>
    <row r="654" spans="1:18" x14ac:dyDescent="0.2">
      <c r="A654" s="7" t="s">
        <v>16</v>
      </c>
      <c r="B654" s="7" t="s">
        <v>17</v>
      </c>
      <c r="C654" s="7" t="s">
        <v>18</v>
      </c>
      <c r="D654" s="4">
        <v>92815000000168</v>
      </c>
      <c r="E654" s="8" t="s">
        <v>403</v>
      </c>
      <c r="F654" s="8" t="s">
        <v>305</v>
      </c>
      <c r="G654" s="7" t="s">
        <v>253</v>
      </c>
      <c r="H654" s="47" t="s">
        <v>784</v>
      </c>
      <c r="I654" s="47" t="s">
        <v>785</v>
      </c>
      <c r="J654" s="6">
        <v>62</v>
      </c>
      <c r="K654" s="8" t="s">
        <v>74</v>
      </c>
      <c r="L654" s="5">
        <v>62</v>
      </c>
      <c r="P654" s="3"/>
      <c r="Q654" s="3"/>
      <c r="R654" s="3"/>
    </row>
    <row r="655" spans="1:18" x14ac:dyDescent="0.2">
      <c r="A655" s="7" t="s">
        <v>16</v>
      </c>
      <c r="B655" s="7" t="s">
        <v>17</v>
      </c>
      <c r="C655" s="7" t="s">
        <v>18</v>
      </c>
      <c r="D655" s="4">
        <v>92815000000168</v>
      </c>
      <c r="E655" s="8" t="s">
        <v>403</v>
      </c>
      <c r="F655" s="8" t="s">
        <v>305</v>
      </c>
      <c r="G655" s="7" t="s">
        <v>253</v>
      </c>
      <c r="H655" s="47" t="s">
        <v>784</v>
      </c>
      <c r="I655" s="47" t="s">
        <v>785</v>
      </c>
      <c r="J655" s="6">
        <v>64</v>
      </c>
      <c r="K655" s="8" t="s">
        <v>68</v>
      </c>
      <c r="L655" s="5">
        <v>8</v>
      </c>
      <c r="P655" s="3"/>
      <c r="Q655" s="3"/>
      <c r="R655" s="3"/>
    </row>
    <row r="656" spans="1:18" x14ac:dyDescent="0.2">
      <c r="A656" s="7" t="s">
        <v>16</v>
      </c>
      <c r="B656" s="7" t="s">
        <v>17</v>
      </c>
      <c r="C656" s="7" t="s">
        <v>18</v>
      </c>
      <c r="D656" s="4">
        <v>92815000000168</v>
      </c>
      <c r="E656" s="8" t="s">
        <v>403</v>
      </c>
      <c r="F656" s="8" t="s">
        <v>305</v>
      </c>
      <c r="G656" s="7" t="s">
        <v>253</v>
      </c>
      <c r="H656" s="47" t="s">
        <v>784</v>
      </c>
      <c r="I656" s="47" t="s">
        <v>785</v>
      </c>
      <c r="J656" s="6">
        <v>73</v>
      </c>
      <c r="K656" s="8" t="s">
        <v>69</v>
      </c>
      <c r="L656" s="5">
        <v>38</v>
      </c>
      <c r="P656" s="3"/>
      <c r="Q656" s="3"/>
      <c r="R656" s="3"/>
    </row>
    <row r="657" spans="1:18" x14ac:dyDescent="0.2">
      <c r="A657" s="7" t="s">
        <v>16</v>
      </c>
      <c r="B657" s="7" t="s">
        <v>17</v>
      </c>
      <c r="C657" s="7" t="s">
        <v>18</v>
      </c>
      <c r="D657" s="4">
        <v>92898550000198</v>
      </c>
      <c r="E657" s="8" t="s">
        <v>404</v>
      </c>
      <c r="F657" s="8" t="s">
        <v>305</v>
      </c>
      <c r="G657" s="7" t="s">
        <v>253</v>
      </c>
      <c r="H657" s="47" t="s">
        <v>784</v>
      </c>
      <c r="I657" s="47" t="s">
        <v>785</v>
      </c>
      <c r="J657" s="6">
        <v>64</v>
      </c>
      <c r="K657" s="8" t="s">
        <v>68</v>
      </c>
      <c r="L657" s="5">
        <v>14</v>
      </c>
      <c r="P657" s="3"/>
      <c r="Q657" s="3"/>
      <c r="R657" s="3"/>
    </row>
    <row r="658" spans="1:18" x14ac:dyDescent="0.2">
      <c r="A658" s="7" t="s">
        <v>16</v>
      </c>
      <c r="B658" s="7" t="s">
        <v>17</v>
      </c>
      <c r="C658" s="7" t="s">
        <v>18</v>
      </c>
      <c r="D658" s="4">
        <v>92898550000600</v>
      </c>
      <c r="E658" s="8" t="s">
        <v>405</v>
      </c>
      <c r="F658" s="8" t="s">
        <v>225</v>
      </c>
      <c r="G658" s="7" t="s">
        <v>226</v>
      </c>
      <c r="H658" s="47" t="s">
        <v>790</v>
      </c>
      <c r="I658" s="47" t="s">
        <v>791</v>
      </c>
      <c r="J658" s="6">
        <v>64</v>
      </c>
      <c r="K658" s="8" t="s">
        <v>68</v>
      </c>
      <c r="L658" s="5">
        <v>4</v>
      </c>
      <c r="P658" s="3"/>
      <c r="Q658" s="3"/>
      <c r="R658" s="3"/>
    </row>
    <row r="659" spans="1:18" x14ac:dyDescent="0.2">
      <c r="A659" s="7" t="s">
        <v>16</v>
      </c>
      <c r="B659" s="7" t="s">
        <v>17</v>
      </c>
      <c r="C659" s="7" t="s">
        <v>18</v>
      </c>
      <c r="D659" s="4">
        <v>95610887000146</v>
      </c>
      <c r="E659" s="8" t="s">
        <v>406</v>
      </c>
      <c r="F659" s="8" t="s">
        <v>331</v>
      </c>
      <c r="G659" s="7" t="s">
        <v>253</v>
      </c>
      <c r="H659" s="47" t="s">
        <v>784</v>
      </c>
      <c r="I659" s="47" t="s">
        <v>785</v>
      </c>
      <c r="J659" s="6">
        <v>62</v>
      </c>
      <c r="K659" s="8" t="s">
        <v>74</v>
      </c>
      <c r="L659" s="5">
        <v>4</v>
      </c>
      <c r="P659" s="3"/>
      <c r="Q659" s="3"/>
      <c r="R659" s="3"/>
    </row>
    <row r="660" spans="1:18" x14ac:dyDescent="0.2">
      <c r="A660" s="7" t="s">
        <v>16</v>
      </c>
      <c r="B660" s="7" t="s">
        <v>55</v>
      </c>
      <c r="C660" s="7" t="s">
        <v>18</v>
      </c>
      <c r="D660" s="4">
        <v>4786490000154</v>
      </c>
      <c r="E660" s="8" t="s">
        <v>416</v>
      </c>
      <c r="F660" s="8" t="s">
        <v>417</v>
      </c>
      <c r="G660" s="7" t="s">
        <v>418</v>
      </c>
      <c r="H660" s="47" t="s">
        <v>784</v>
      </c>
      <c r="I660" s="47" t="s">
        <v>785</v>
      </c>
      <c r="J660" s="6">
        <v>73</v>
      </c>
      <c r="K660" s="8" t="s">
        <v>69</v>
      </c>
      <c r="L660" s="5">
        <v>14</v>
      </c>
      <c r="P660" s="3"/>
      <c r="Q660" s="3"/>
      <c r="R660" s="3"/>
    </row>
    <row r="661" spans="1:18" x14ac:dyDescent="0.2">
      <c r="A661" s="7" t="s">
        <v>16</v>
      </c>
      <c r="B661" s="7" t="s">
        <v>55</v>
      </c>
      <c r="C661" s="7" t="s">
        <v>18</v>
      </c>
      <c r="D661" s="4">
        <v>5054929000117</v>
      </c>
      <c r="E661" s="8" t="s">
        <v>419</v>
      </c>
      <c r="F661" s="8" t="s">
        <v>219</v>
      </c>
      <c r="G661" s="7" t="s">
        <v>220</v>
      </c>
      <c r="H661" s="47" t="s">
        <v>790</v>
      </c>
      <c r="I661" s="47" t="s">
        <v>791</v>
      </c>
      <c r="J661" s="6">
        <v>73</v>
      </c>
      <c r="K661" s="8" t="s">
        <v>69</v>
      </c>
      <c r="L661" s="5">
        <v>48</v>
      </c>
      <c r="P661" s="3"/>
      <c r="Q661" s="3"/>
      <c r="R661" s="3"/>
    </row>
    <row r="662" spans="1:18" x14ac:dyDescent="0.2">
      <c r="A662" s="7" t="s">
        <v>16</v>
      </c>
      <c r="B662" s="7" t="s">
        <v>55</v>
      </c>
      <c r="C662" s="7" t="s">
        <v>18</v>
      </c>
      <c r="D662" s="4">
        <v>5469172000122</v>
      </c>
      <c r="E662" s="8" t="s">
        <v>277</v>
      </c>
      <c r="F662" s="8" t="s">
        <v>278</v>
      </c>
      <c r="G662" s="7" t="s">
        <v>276</v>
      </c>
      <c r="H662" s="47" t="s">
        <v>790</v>
      </c>
      <c r="I662" s="47" t="s">
        <v>791</v>
      </c>
      <c r="J662" s="6">
        <v>62</v>
      </c>
      <c r="K662" s="8" t="s">
        <v>74</v>
      </c>
      <c r="L662" s="5">
        <v>7</v>
      </c>
      <c r="P662" s="3"/>
      <c r="Q662" s="3"/>
      <c r="R662" s="3"/>
    </row>
    <row r="663" spans="1:18" x14ac:dyDescent="0.2">
      <c r="A663" s="7" t="s">
        <v>16</v>
      </c>
      <c r="B663" s="7" t="s">
        <v>55</v>
      </c>
      <c r="C663" s="7" t="s">
        <v>18</v>
      </c>
      <c r="D663" s="4">
        <v>5469172000122</v>
      </c>
      <c r="E663" s="8" t="s">
        <v>277</v>
      </c>
      <c r="F663" s="8" t="s">
        <v>278</v>
      </c>
      <c r="G663" s="7" t="s">
        <v>276</v>
      </c>
      <c r="H663" s="47" t="s">
        <v>790</v>
      </c>
      <c r="I663" s="47" t="s">
        <v>791</v>
      </c>
      <c r="J663" s="6">
        <v>64</v>
      </c>
      <c r="K663" s="8" t="s">
        <v>68</v>
      </c>
      <c r="L663" s="5">
        <v>11</v>
      </c>
      <c r="P663" s="3"/>
      <c r="Q663" s="3"/>
      <c r="R663" s="3"/>
    </row>
    <row r="664" spans="1:18" x14ac:dyDescent="0.2">
      <c r="A664" s="7" t="s">
        <v>16</v>
      </c>
      <c r="B664" s="7" t="s">
        <v>55</v>
      </c>
      <c r="C664" s="7" t="s">
        <v>18</v>
      </c>
      <c r="D664" s="4">
        <v>5652543000107</v>
      </c>
      <c r="E664" s="8" t="s">
        <v>420</v>
      </c>
      <c r="F664" s="8" t="s">
        <v>421</v>
      </c>
      <c r="G664" s="7" t="s">
        <v>276</v>
      </c>
      <c r="H664" s="47" t="s">
        <v>790</v>
      </c>
      <c r="I664" s="47" t="s">
        <v>791</v>
      </c>
      <c r="J664" s="6">
        <v>64</v>
      </c>
      <c r="K664" s="8" t="s">
        <v>68</v>
      </c>
      <c r="L664" s="5">
        <v>2</v>
      </c>
      <c r="P664" s="3"/>
      <c r="Q664" s="3"/>
      <c r="R664" s="3"/>
    </row>
    <row r="665" spans="1:18" x14ac:dyDescent="0.2">
      <c r="A665" s="7" t="s">
        <v>16</v>
      </c>
      <c r="B665" s="7" t="s">
        <v>55</v>
      </c>
      <c r="C665" s="7" t="s">
        <v>18</v>
      </c>
      <c r="D665" s="4">
        <v>5816630000152</v>
      </c>
      <c r="E665" s="8" t="s">
        <v>279</v>
      </c>
      <c r="F665" s="8" t="s">
        <v>278</v>
      </c>
      <c r="G665" s="7" t="s">
        <v>276</v>
      </c>
      <c r="H665" s="47" t="s">
        <v>790</v>
      </c>
      <c r="I665" s="47" t="s">
        <v>791</v>
      </c>
      <c r="J665" s="6">
        <v>62</v>
      </c>
      <c r="K665" s="8" t="s">
        <v>74</v>
      </c>
      <c r="L665" s="5">
        <v>5</v>
      </c>
      <c r="P665" s="3"/>
      <c r="Q665" s="3"/>
      <c r="R665" s="3"/>
    </row>
    <row r="666" spans="1:18" x14ac:dyDescent="0.2">
      <c r="A666" s="7" t="s">
        <v>16</v>
      </c>
      <c r="B666" s="7" t="s">
        <v>55</v>
      </c>
      <c r="C666" s="7" t="s">
        <v>18</v>
      </c>
      <c r="D666" s="4">
        <v>5816630000152</v>
      </c>
      <c r="E666" s="8" t="s">
        <v>279</v>
      </c>
      <c r="F666" s="8" t="s">
        <v>278</v>
      </c>
      <c r="G666" s="7" t="s">
        <v>276</v>
      </c>
      <c r="H666" s="47" t="s">
        <v>790</v>
      </c>
      <c r="I666" s="47" t="s">
        <v>791</v>
      </c>
      <c r="J666" s="6">
        <v>64</v>
      </c>
      <c r="K666" s="8" t="s">
        <v>68</v>
      </c>
      <c r="L666" s="5">
        <v>15</v>
      </c>
      <c r="P666" s="3"/>
      <c r="Q666" s="3"/>
      <c r="R666" s="3"/>
    </row>
    <row r="667" spans="1:18" x14ac:dyDescent="0.2">
      <c r="A667" s="7" t="s">
        <v>16</v>
      </c>
      <c r="B667" s="7" t="s">
        <v>55</v>
      </c>
      <c r="C667" s="7" t="s">
        <v>18</v>
      </c>
      <c r="D667" s="4">
        <v>5867015000175</v>
      </c>
      <c r="E667" s="8" t="s">
        <v>280</v>
      </c>
      <c r="F667" s="8" t="s">
        <v>281</v>
      </c>
      <c r="G667" s="7" t="s">
        <v>282</v>
      </c>
      <c r="H667" s="47" t="s">
        <v>790</v>
      </c>
      <c r="I667" s="47" t="s">
        <v>791</v>
      </c>
      <c r="J667" s="6">
        <v>73</v>
      </c>
      <c r="K667" s="8" t="s">
        <v>69</v>
      </c>
      <c r="L667" s="5">
        <v>12</v>
      </c>
      <c r="P667" s="3"/>
      <c r="Q667" s="3"/>
      <c r="R667" s="3"/>
    </row>
    <row r="668" spans="1:18" x14ac:dyDescent="0.2">
      <c r="A668" s="7" t="s">
        <v>16</v>
      </c>
      <c r="B668" s="7" t="s">
        <v>55</v>
      </c>
      <c r="C668" s="7" t="s">
        <v>18</v>
      </c>
      <c r="D668" s="4">
        <v>5868278000280</v>
      </c>
      <c r="E668" s="8" t="s">
        <v>283</v>
      </c>
      <c r="F668" s="8" t="s">
        <v>281</v>
      </c>
      <c r="G668" s="7" t="s">
        <v>282</v>
      </c>
      <c r="H668" s="47" t="s">
        <v>790</v>
      </c>
      <c r="I668" s="47" t="s">
        <v>791</v>
      </c>
      <c r="J668" s="6">
        <v>62</v>
      </c>
      <c r="K668" s="8" t="s">
        <v>74</v>
      </c>
      <c r="L668" s="5">
        <v>10</v>
      </c>
      <c r="P668" s="3"/>
      <c r="Q668" s="3"/>
      <c r="R668" s="3"/>
    </row>
    <row r="669" spans="1:18" x14ac:dyDescent="0.2">
      <c r="A669" s="7" t="s">
        <v>16</v>
      </c>
      <c r="B669" s="7" t="s">
        <v>55</v>
      </c>
      <c r="C669" s="7" t="s">
        <v>18</v>
      </c>
      <c r="D669" s="4">
        <v>5868278000280</v>
      </c>
      <c r="E669" s="8" t="s">
        <v>283</v>
      </c>
      <c r="F669" s="8" t="s">
        <v>281</v>
      </c>
      <c r="G669" s="7" t="s">
        <v>282</v>
      </c>
      <c r="H669" s="47" t="s">
        <v>790</v>
      </c>
      <c r="I669" s="47" t="s">
        <v>791</v>
      </c>
      <c r="J669" s="6">
        <v>73</v>
      </c>
      <c r="K669" s="8" t="s">
        <v>69</v>
      </c>
      <c r="L669" s="5">
        <v>46</v>
      </c>
      <c r="P669" s="3"/>
      <c r="Q669" s="3"/>
      <c r="R669" s="3"/>
    </row>
    <row r="670" spans="1:18" x14ac:dyDescent="0.2">
      <c r="A670" s="7" t="s">
        <v>16</v>
      </c>
      <c r="B670" s="7" t="s">
        <v>55</v>
      </c>
      <c r="C670" s="7" t="s">
        <v>18</v>
      </c>
      <c r="D670" s="4">
        <v>5874946000281</v>
      </c>
      <c r="E670" s="8" t="s">
        <v>422</v>
      </c>
      <c r="F670" s="8" t="s">
        <v>281</v>
      </c>
      <c r="G670" s="7" t="s">
        <v>282</v>
      </c>
      <c r="H670" s="47" t="s">
        <v>790</v>
      </c>
      <c r="I670" s="47" t="s">
        <v>791</v>
      </c>
      <c r="J670" s="6">
        <v>62</v>
      </c>
      <c r="K670" s="8" t="s">
        <v>74</v>
      </c>
      <c r="L670" s="5">
        <v>5</v>
      </c>
      <c r="P670" s="3"/>
      <c r="Q670" s="3"/>
      <c r="R670" s="3"/>
    </row>
    <row r="671" spans="1:18" x14ac:dyDescent="0.2">
      <c r="A671" s="7" t="s">
        <v>16</v>
      </c>
      <c r="B671" s="7" t="s">
        <v>55</v>
      </c>
      <c r="C671" s="7" t="s">
        <v>18</v>
      </c>
      <c r="D671" s="4">
        <v>5874946000281</v>
      </c>
      <c r="E671" s="8" t="s">
        <v>422</v>
      </c>
      <c r="F671" s="8" t="s">
        <v>281</v>
      </c>
      <c r="G671" s="7" t="s">
        <v>282</v>
      </c>
      <c r="H671" s="47" t="s">
        <v>790</v>
      </c>
      <c r="I671" s="47" t="s">
        <v>791</v>
      </c>
      <c r="J671" s="6">
        <v>64</v>
      </c>
      <c r="K671" s="8" t="s">
        <v>68</v>
      </c>
      <c r="L671" s="5">
        <v>11</v>
      </c>
      <c r="P671" s="3"/>
      <c r="Q671" s="3"/>
      <c r="R671" s="3"/>
    </row>
    <row r="672" spans="1:18" x14ac:dyDescent="0.2">
      <c r="A672" s="7" t="s">
        <v>16</v>
      </c>
      <c r="B672" s="7" t="s">
        <v>55</v>
      </c>
      <c r="C672" s="7" t="s">
        <v>18</v>
      </c>
      <c r="D672" s="4">
        <v>6047087001372</v>
      </c>
      <c r="E672" s="8" t="s">
        <v>285</v>
      </c>
      <c r="F672" s="8" t="s">
        <v>286</v>
      </c>
      <c r="G672" s="7" t="s">
        <v>241</v>
      </c>
      <c r="H672" s="47" t="s">
        <v>784</v>
      </c>
      <c r="I672" s="47" t="s">
        <v>785</v>
      </c>
      <c r="J672" s="6">
        <v>62</v>
      </c>
      <c r="K672" s="8" t="s">
        <v>74</v>
      </c>
      <c r="L672" s="5">
        <v>4</v>
      </c>
      <c r="P672" s="3"/>
      <c r="Q672" s="3"/>
      <c r="R672" s="3"/>
    </row>
    <row r="673" spans="1:18" x14ac:dyDescent="0.2">
      <c r="A673" s="7" t="s">
        <v>16</v>
      </c>
      <c r="B673" s="7" t="s">
        <v>55</v>
      </c>
      <c r="C673" s="7" t="s">
        <v>18</v>
      </c>
      <c r="D673" s="4">
        <v>6047087001372</v>
      </c>
      <c r="E673" s="8" t="s">
        <v>285</v>
      </c>
      <c r="F673" s="8" t="s">
        <v>286</v>
      </c>
      <c r="G673" s="7" t="s">
        <v>241</v>
      </c>
      <c r="H673" s="47" t="s">
        <v>784</v>
      </c>
      <c r="I673" s="47" t="s">
        <v>785</v>
      </c>
      <c r="J673" s="6">
        <v>64</v>
      </c>
      <c r="K673" s="8" t="s">
        <v>68</v>
      </c>
      <c r="L673" s="5">
        <v>3</v>
      </c>
      <c r="P673" s="3"/>
      <c r="Q673" s="3"/>
      <c r="R673" s="3"/>
    </row>
    <row r="674" spans="1:18" x14ac:dyDescent="0.2">
      <c r="A674" s="7" t="s">
        <v>16</v>
      </c>
      <c r="B674" s="7" t="s">
        <v>55</v>
      </c>
      <c r="C674" s="7" t="s">
        <v>18</v>
      </c>
      <c r="D674" s="4">
        <v>6047087004126</v>
      </c>
      <c r="E674" s="8" t="s">
        <v>287</v>
      </c>
      <c r="F674" s="8" t="s">
        <v>225</v>
      </c>
      <c r="G674" s="7" t="s">
        <v>226</v>
      </c>
      <c r="H674" s="47" t="s">
        <v>790</v>
      </c>
      <c r="I674" s="47" t="s">
        <v>791</v>
      </c>
      <c r="J674" s="6">
        <v>64</v>
      </c>
      <c r="K674" s="8" t="s">
        <v>68</v>
      </c>
      <c r="L674" s="5">
        <v>7</v>
      </c>
      <c r="P674" s="3"/>
      <c r="Q674" s="3"/>
      <c r="R674" s="3"/>
    </row>
    <row r="675" spans="1:18" x14ac:dyDescent="0.2">
      <c r="A675" s="7" t="s">
        <v>16</v>
      </c>
      <c r="B675" s="7" t="s">
        <v>55</v>
      </c>
      <c r="C675" s="7" t="s">
        <v>18</v>
      </c>
      <c r="D675" s="4">
        <v>6047087004207</v>
      </c>
      <c r="E675" s="8" t="s">
        <v>288</v>
      </c>
      <c r="F675" s="8" t="s">
        <v>225</v>
      </c>
      <c r="G675" s="7" t="s">
        <v>226</v>
      </c>
      <c r="H675" s="47" t="s">
        <v>790</v>
      </c>
      <c r="I675" s="47" t="s">
        <v>791</v>
      </c>
      <c r="J675" s="6">
        <v>64</v>
      </c>
      <c r="K675" s="8" t="s">
        <v>68</v>
      </c>
      <c r="L675" s="5">
        <v>8</v>
      </c>
      <c r="P675" s="3"/>
      <c r="Q675" s="3"/>
      <c r="R675" s="3"/>
    </row>
    <row r="676" spans="1:18" x14ac:dyDescent="0.2">
      <c r="A676" s="7" t="s">
        <v>16</v>
      </c>
      <c r="B676" s="7" t="s">
        <v>55</v>
      </c>
      <c r="C676" s="7" t="s">
        <v>18</v>
      </c>
      <c r="D676" s="4">
        <v>6047087009276</v>
      </c>
      <c r="E676" s="8" t="s">
        <v>423</v>
      </c>
      <c r="F676" s="8" t="s">
        <v>264</v>
      </c>
      <c r="G676" s="7" t="s">
        <v>265</v>
      </c>
      <c r="H676" s="47" t="s">
        <v>790</v>
      </c>
      <c r="I676" s="47" t="s">
        <v>791</v>
      </c>
      <c r="J676" s="6">
        <v>62</v>
      </c>
      <c r="K676" s="8" t="s">
        <v>74</v>
      </c>
      <c r="L676" s="5">
        <v>2</v>
      </c>
      <c r="P676" s="3"/>
      <c r="Q676" s="3"/>
      <c r="R676" s="3"/>
    </row>
    <row r="677" spans="1:18" x14ac:dyDescent="0.2">
      <c r="A677" s="7" t="s">
        <v>16</v>
      </c>
      <c r="B677" s="7" t="s">
        <v>55</v>
      </c>
      <c r="C677" s="7" t="s">
        <v>18</v>
      </c>
      <c r="D677" s="4">
        <v>6555031000276</v>
      </c>
      <c r="E677" s="8" t="s">
        <v>294</v>
      </c>
      <c r="F677" s="8" t="s">
        <v>295</v>
      </c>
      <c r="G677" s="7" t="s">
        <v>296</v>
      </c>
      <c r="H677" s="47" t="s">
        <v>790</v>
      </c>
      <c r="I677" s="47" t="s">
        <v>791</v>
      </c>
      <c r="J677" s="6">
        <v>73</v>
      </c>
      <c r="K677" s="8" t="s">
        <v>69</v>
      </c>
      <c r="L677" s="5">
        <v>20</v>
      </c>
      <c r="P677" s="3"/>
      <c r="Q677" s="3"/>
      <c r="R677" s="3"/>
    </row>
    <row r="678" spans="1:18" x14ac:dyDescent="0.2">
      <c r="A678" s="7" t="s">
        <v>16</v>
      </c>
      <c r="B678" s="7" t="s">
        <v>55</v>
      </c>
      <c r="C678" s="7" t="s">
        <v>18</v>
      </c>
      <c r="D678" s="4">
        <v>7245269000187</v>
      </c>
      <c r="E678" s="8" t="s">
        <v>424</v>
      </c>
      <c r="F678" s="8" t="s">
        <v>281</v>
      </c>
      <c r="G678" s="7" t="s">
        <v>282</v>
      </c>
      <c r="H678" s="47" t="s">
        <v>790</v>
      </c>
      <c r="I678" s="47" t="s">
        <v>791</v>
      </c>
      <c r="J678" s="6">
        <v>64</v>
      </c>
      <c r="K678" s="8" t="s">
        <v>68</v>
      </c>
      <c r="L678" s="5">
        <v>7</v>
      </c>
      <c r="P678" s="3"/>
      <c r="Q678" s="3"/>
      <c r="R678" s="3"/>
    </row>
    <row r="679" spans="1:18" x14ac:dyDescent="0.2">
      <c r="A679" s="7" t="s">
        <v>16</v>
      </c>
      <c r="B679" s="7" t="s">
        <v>55</v>
      </c>
      <c r="C679" s="7" t="s">
        <v>18</v>
      </c>
      <c r="D679" s="4">
        <v>7734165000136</v>
      </c>
      <c r="E679" s="8" t="s">
        <v>425</v>
      </c>
      <c r="F679" s="8" t="s">
        <v>385</v>
      </c>
      <c r="G679" s="7" t="s">
        <v>233</v>
      </c>
      <c r="H679" s="47" t="s">
        <v>784</v>
      </c>
      <c r="I679" s="47" t="s">
        <v>785</v>
      </c>
      <c r="J679" s="6">
        <v>73</v>
      </c>
      <c r="K679" s="8" t="s">
        <v>69</v>
      </c>
      <c r="L679" s="5">
        <v>120</v>
      </c>
      <c r="P679" s="3"/>
      <c r="Q679" s="3"/>
      <c r="R679" s="3"/>
    </row>
    <row r="680" spans="1:18" x14ac:dyDescent="0.2">
      <c r="A680" s="7" t="s">
        <v>16</v>
      </c>
      <c r="B680" s="7" t="s">
        <v>55</v>
      </c>
      <c r="C680" s="7" t="s">
        <v>18</v>
      </c>
      <c r="D680" s="4">
        <v>7794623001528</v>
      </c>
      <c r="E680" s="8" t="s">
        <v>298</v>
      </c>
      <c r="F680" s="8" t="s">
        <v>299</v>
      </c>
      <c r="G680" s="7" t="s">
        <v>241</v>
      </c>
      <c r="H680" s="47" t="s">
        <v>784</v>
      </c>
      <c r="I680" s="47" t="s">
        <v>785</v>
      </c>
      <c r="J680" s="6">
        <v>73</v>
      </c>
      <c r="K680" s="8" t="s">
        <v>69</v>
      </c>
      <c r="L680" s="5">
        <v>28</v>
      </c>
      <c r="P680" s="3"/>
      <c r="Q680" s="3"/>
      <c r="R680" s="3"/>
    </row>
    <row r="681" spans="1:18" x14ac:dyDescent="0.2">
      <c r="A681" s="7" t="s">
        <v>16</v>
      </c>
      <c r="B681" s="7" t="s">
        <v>55</v>
      </c>
      <c r="C681" s="7" t="s">
        <v>18</v>
      </c>
      <c r="D681" s="4">
        <v>8319329000121</v>
      </c>
      <c r="E681" s="8" t="s">
        <v>301</v>
      </c>
      <c r="F681" s="8" t="s">
        <v>246</v>
      </c>
      <c r="G681" s="7" t="s">
        <v>247</v>
      </c>
      <c r="H681" s="47" t="s">
        <v>790</v>
      </c>
      <c r="I681" s="47" t="s">
        <v>791</v>
      </c>
      <c r="J681" s="6">
        <v>64</v>
      </c>
      <c r="K681" s="8" t="s">
        <v>68</v>
      </c>
      <c r="L681" s="5">
        <v>26</v>
      </c>
      <c r="P681" s="3"/>
      <c r="Q681" s="3"/>
      <c r="R681" s="3"/>
    </row>
    <row r="682" spans="1:18" x14ac:dyDescent="0.2">
      <c r="A682" s="7" t="s">
        <v>16</v>
      </c>
      <c r="B682" s="7" t="s">
        <v>55</v>
      </c>
      <c r="C682" s="7" t="s">
        <v>18</v>
      </c>
      <c r="D682" s="4">
        <v>8380701001772</v>
      </c>
      <c r="E682" s="8" t="s">
        <v>426</v>
      </c>
      <c r="F682" s="8" t="s">
        <v>246</v>
      </c>
      <c r="G682" s="7" t="s">
        <v>247</v>
      </c>
      <c r="H682" s="47" t="s">
        <v>790</v>
      </c>
      <c r="I682" s="47" t="s">
        <v>791</v>
      </c>
      <c r="J682" s="6">
        <v>64</v>
      </c>
      <c r="K682" s="8" t="s">
        <v>68</v>
      </c>
      <c r="L682" s="5">
        <v>50</v>
      </c>
      <c r="P682" s="3"/>
      <c r="Q682" s="3"/>
      <c r="R682" s="3"/>
    </row>
    <row r="683" spans="1:18" x14ac:dyDescent="0.2">
      <c r="A683" s="7" t="s">
        <v>16</v>
      </c>
      <c r="B683" s="7" t="s">
        <v>55</v>
      </c>
      <c r="C683" s="7" t="s">
        <v>18</v>
      </c>
      <c r="D683" s="4">
        <v>8562523000133</v>
      </c>
      <c r="E683" s="8" t="s">
        <v>427</v>
      </c>
      <c r="F683" s="8" t="s">
        <v>286</v>
      </c>
      <c r="G683" s="7" t="s">
        <v>241</v>
      </c>
      <c r="H683" s="47" t="s">
        <v>784</v>
      </c>
      <c r="I683" s="47" t="s">
        <v>785</v>
      </c>
      <c r="J683" s="6">
        <v>62</v>
      </c>
      <c r="K683" s="8" t="s">
        <v>74</v>
      </c>
      <c r="L683" s="5">
        <v>2</v>
      </c>
      <c r="P683" s="3"/>
      <c r="Q683" s="3"/>
      <c r="R683" s="3"/>
    </row>
    <row r="684" spans="1:18" x14ac:dyDescent="0.2">
      <c r="A684" s="7" t="s">
        <v>16</v>
      </c>
      <c r="B684" s="7" t="s">
        <v>55</v>
      </c>
      <c r="C684" s="7" t="s">
        <v>18</v>
      </c>
      <c r="D684" s="4">
        <v>8562523000133</v>
      </c>
      <c r="E684" s="8" t="s">
        <v>427</v>
      </c>
      <c r="F684" s="8" t="s">
        <v>286</v>
      </c>
      <c r="G684" s="7" t="s">
        <v>241</v>
      </c>
      <c r="H684" s="47" t="s">
        <v>784</v>
      </c>
      <c r="I684" s="47" t="s">
        <v>785</v>
      </c>
      <c r="J684" s="6">
        <v>64</v>
      </c>
      <c r="K684" s="8" t="s">
        <v>68</v>
      </c>
      <c r="L684" s="5">
        <v>5</v>
      </c>
      <c r="P684" s="3"/>
      <c r="Q684" s="3"/>
      <c r="R684" s="3"/>
    </row>
    <row r="685" spans="1:18" x14ac:dyDescent="0.2">
      <c r="A685" s="7" t="s">
        <v>16</v>
      </c>
      <c r="B685" s="7" t="s">
        <v>55</v>
      </c>
      <c r="C685" s="7" t="s">
        <v>18</v>
      </c>
      <c r="D685" s="4">
        <v>8597121000174</v>
      </c>
      <c r="E685" s="8" t="s">
        <v>428</v>
      </c>
      <c r="F685" s="8" t="s">
        <v>385</v>
      </c>
      <c r="G685" s="7" t="s">
        <v>233</v>
      </c>
      <c r="H685" s="47" t="s">
        <v>784</v>
      </c>
      <c r="I685" s="47" t="s">
        <v>785</v>
      </c>
      <c r="J685" s="6">
        <v>66</v>
      </c>
      <c r="K685" s="8" t="s">
        <v>99</v>
      </c>
      <c r="L685" s="5">
        <v>80</v>
      </c>
      <c r="P685" s="3"/>
      <c r="Q685" s="3"/>
      <c r="R685" s="3"/>
    </row>
    <row r="686" spans="1:18" x14ac:dyDescent="0.2">
      <c r="A686" s="7" t="s">
        <v>16</v>
      </c>
      <c r="B686" s="7" t="s">
        <v>55</v>
      </c>
      <c r="C686" s="7" t="s">
        <v>18</v>
      </c>
      <c r="D686" s="4">
        <v>8680639000681</v>
      </c>
      <c r="E686" s="8" t="s">
        <v>303</v>
      </c>
      <c r="F686" s="8" t="s">
        <v>228</v>
      </c>
      <c r="G686" s="7" t="s">
        <v>229</v>
      </c>
      <c r="H686" s="47" t="s">
        <v>790</v>
      </c>
      <c r="I686" s="47" t="s">
        <v>791</v>
      </c>
      <c r="J686" s="6">
        <v>73</v>
      </c>
      <c r="K686" s="8" t="s">
        <v>69</v>
      </c>
      <c r="L686" s="5">
        <v>68</v>
      </c>
      <c r="P686" s="3"/>
      <c r="Q686" s="3"/>
      <c r="R686" s="3"/>
    </row>
    <row r="687" spans="1:18" x14ac:dyDescent="0.2">
      <c r="A687" s="7" t="s">
        <v>16</v>
      </c>
      <c r="B687" s="7" t="s">
        <v>55</v>
      </c>
      <c r="C687" s="7" t="s">
        <v>18</v>
      </c>
      <c r="D687" s="4">
        <v>9039744000275</v>
      </c>
      <c r="E687" s="8" t="s">
        <v>429</v>
      </c>
      <c r="F687" s="8" t="s">
        <v>430</v>
      </c>
      <c r="G687" s="7" t="s">
        <v>265</v>
      </c>
      <c r="H687" s="47" t="s">
        <v>790</v>
      </c>
      <c r="I687" s="47" t="s">
        <v>791</v>
      </c>
      <c r="J687" s="6">
        <v>64</v>
      </c>
      <c r="K687" s="8" t="s">
        <v>68</v>
      </c>
      <c r="L687" s="5">
        <v>1</v>
      </c>
      <c r="P687" s="3"/>
      <c r="Q687" s="3"/>
      <c r="R687" s="3"/>
    </row>
    <row r="688" spans="1:18" x14ac:dyDescent="0.2">
      <c r="A688" s="7" t="s">
        <v>16</v>
      </c>
      <c r="B688" s="7" t="s">
        <v>55</v>
      </c>
      <c r="C688" s="7" t="s">
        <v>18</v>
      </c>
      <c r="D688" s="4">
        <v>9087150000230</v>
      </c>
      <c r="E688" s="8" t="s">
        <v>304</v>
      </c>
      <c r="F688" s="8" t="s">
        <v>305</v>
      </c>
      <c r="G688" s="7" t="s">
        <v>253</v>
      </c>
      <c r="H688" s="47" t="s">
        <v>784</v>
      </c>
      <c r="I688" s="47" t="s">
        <v>785</v>
      </c>
      <c r="J688" s="6">
        <v>73</v>
      </c>
      <c r="K688" s="8" t="s">
        <v>69</v>
      </c>
      <c r="L688" s="5">
        <v>10</v>
      </c>
      <c r="P688" s="3"/>
      <c r="Q688" s="3"/>
      <c r="R688" s="3"/>
    </row>
    <row r="689" spans="1:18" x14ac:dyDescent="0.2">
      <c r="A689" s="7" t="s">
        <v>16</v>
      </c>
      <c r="B689" s="7" t="s">
        <v>55</v>
      </c>
      <c r="C689" s="7" t="s">
        <v>18</v>
      </c>
      <c r="D689" s="4">
        <v>9549061000268</v>
      </c>
      <c r="E689" s="8" t="s">
        <v>431</v>
      </c>
      <c r="F689" s="8" t="s">
        <v>432</v>
      </c>
      <c r="G689" s="7" t="s">
        <v>253</v>
      </c>
      <c r="H689" s="47" t="s">
        <v>784</v>
      </c>
      <c r="I689" s="47" t="s">
        <v>785</v>
      </c>
      <c r="J689" s="6">
        <v>64</v>
      </c>
      <c r="K689" s="8" t="s">
        <v>68</v>
      </c>
      <c r="L689" s="5">
        <v>3</v>
      </c>
      <c r="P689" s="3"/>
      <c r="Q689" s="3"/>
      <c r="R689" s="3"/>
    </row>
    <row r="690" spans="1:18" x14ac:dyDescent="0.2">
      <c r="A690" s="7" t="s">
        <v>16</v>
      </c>
      <c r="B690" s="7" t="s">
        <v>55</v>
      </c>
      <c r="C690" s="7" t="s">
        <v>18</v>
      </c>
      <c r="D690" s="4">
        <v>10839561000132</v>
      </c>
      <c r="E690" s="8" t="s">
        <v>306</v>
      </c>
      <c r="F690" s="8" t="s">
        <v>264</v>
      </c>
      <c r="G690" s="7" t="s">
        <v>265</v>
      </c>
      <c r="H690" s="47" t="s">
        <v>790</v>
      </c>
      <c r="I690" s="47" t="s">
        <v>791</v>
      </c>
      <c r="J690" s="6">
        <v>73</v>
      </c>
      <c r="K690" s="8" t="s">
        <v>69</v>
      </c>
      <c r="L690" s="5">
        <v>32</v>
      </c>
      <c r="P690" s="3"/>
      <c r="Q690" s="3"/>
      <c r="R690" s="3"/>
    </row>
    <row r="691" spans="1:18" x14ac:dyDescent="0.2">
      <c r="A691" s="7" t="s">
        <v>16</v>
      </c>
      <c r="B691" s="7" t="s">
        <v>55</v>
      </c>
      <c r="C691" s="7" t="s">
        <v>18</v>
      </c>
      <c r="D691" s="4">
        <v>10942995000163</v>
      </c>
      <c r="E691" s="8" t="s">
        <v>433</v>
      </c>
      <c r="F691" s="8" t="s">
        <v>225</v>
      </c>
      <c r="G691" s="7" t="s">
        <v>226</v>
      </c>
      <c r="H691" s="47" t="s">
        <v>790</v>
      </c>
      <c r="I691" s="47" t="s">
        <v>791</v>
      </c>
      <c r="J691" s="6">
        <v>73</v>
      </c>
      <c r="K691" s="8" t="s">
        <v>69</v>
      </c>
      <c r="L691" s="5">
        <v>40</v>
      </c>
      <c r="P691" s="3"/>
      <c r="Q691" s="3"/>
      <c r="R691" s="3"/>
    </row>
    <row r="692" spans="1:18" x14ac:dyDescent="0.2">
      <c r="A692" s="7" t="s">
        <v>16</v>
      </c>
      <c r="B692" s="7" t="s">
        <v>55</v>
      </c>
      <c r="C692" s="7" t="s">
        <v>18</v>
      </c>
      <c r="D692" s="4">
        <v>11022597001597</v>
      </c>
      <c r="E692" s="8" t="s">
        <v>434</v>
      </c>
      <c r="F692" s="8" t="s">
        <v>264</v>
      </c>
      <c r="G692" s="7" t="s">
        <v>265</v>
      </c>
      <c r="H692" s="47" t="s">
        <v>790</v>
      </c>
      <c r="I692" s="47" t="s">
        <v>791</v>
      </c>
      <c r="J692" s="6">
        <v>64</v>
      </c>
      <c r="K692" s="8" t="s">
        <v>68</v>
      </c>
      <c r="L692" s="5">
        <v>25</v>
      </c>
      <c r="P692" s="3"/>
      <c r="Q692" s="3"/>
      <c r="R692" s="3"/>
    </row>
    <row r="693" spans="1:18" x14ac:dyDescent="0.2">
      <c r="A693" s="7" t="s">
        <v>16</v>
      </c>
      <c r="B693" s="7" t="s">
        <v>55</v>
      </c>
      <c r="C693" s="7" t="s">
        <v>18</v>
      </c>
      <c r="D693" s="4">
        <v>11452240000143</v>
      </c>
      <c r="E693" s="8" t="s">
        <v>311</v>
      </c>
      <c r="F693" s="8" t="s">
        <v>264</v>
      </c>
      <c r="G693" s="7" t="s">
        <v>265</v>
      </c>
      <c r="H693" s="47" t="s">
        <v>790</v>
      </c>
      <c r="I693" s="47" t="s">
        <v>791</v>
      </c>
      <c r="J693" s="6">
        <v>62</v>
      </c>
      <c r="K693" s="8" t="s">
        <v>74</v>
      </c>
      <c r="L693" s="5">
        <v>1</v>
      </c>
      <c r="P693" s="3"/>
      <c r="Q693" s="3"/>
      <c r="R693" s="3"/>
    </row>
    <row r="694" spans="1:18" x14ac:dyDescent="0.2">
      <c r="A694" s="7" t="s">
        <v>16</v>
      </c>
      <c r="B694" s="7" t="s">
        <v>55</v>
      </c>
      <c r="C694" s="7" t="s">
        <v>18</v>
      </c>
      <c r="D694" s="4">
        <v>11794674000121</v>
      </c>
      <c r="E694" s="8" t="s">
        <v>435</v>
      </c>
      <c r="F694" s="8" t="s">
        <v>281</v>
      </c>
      <c r="G694" s="7" t="s">
        <v>282</v>
      </c>
      <c r="H694" s="47" t="s">
        <v>790</v>
      </c>
      <c r="I694" s="47" t="s">
        <v>791</v>
      </c>
      <c r="J694" s="6">
        <v>64</v>
      </c>
      <c r="K694" s="8" t="s">
        <v>68</v>
      </c>
      <c r="L694" s="5">
        <v>50</v>
      </c>
      <c r="P694" s="3"/>
      <c r="Q694" s="3"/>
      <c r="R694" s="3"/>
    </row>
    <row r="695" spans="1:18" x14ac:dyDescent="0.2">
      <c r="A695" s="7" t="s">
        <v>16</v>
      </c>
      <c r="B695" s="7" t="s">
        <v>55</v>
      </c>
      <c r="C695" s="7" t="s">
        <v>18</v>
      </c>
      <c r="D695" s="4">
        <v>11859927000106</v>
      </c>
      <c r="E695" s="8" t="s">
        <v>312</v>
      </c>
      <c r="F695" s="8" t="s">
        <v>225</v>
      </c>
      <c r="G695" s="7" t="s">
        <v>226</v>
      </c>
      <c r="H695" s="47" t="s">
        <v>790</v>
      </c>
      <c r="I695" s="47" t="s">
        <v>791</v>
      </c>
      <c r="J695" s="6">
        <v>73</v>
      </c>
      <c r="K695" s="8" t="s">
        <v>69</v>
      </c>
      <c r="L695" s="5">
        <v>49</v>
      </c>
      <c r="P695" s="3"/>
      <c r="Q695" s="3"/>
      <c r="R695" s="3"/>
    </row>
    <row r="696" spans="1:18" x14ac:dyDescent="0.2">
      <c r="A696" s="7" t="s">
        <v>16</v>
      </c>
      <c r="B696" s="7" t="s">
        <v>55</v>
      </c>
      <c r="C696" s="7" t="s">
        <v>18</v>
      </c>
      <c r="D696" s="4">
        <v>11943553000102</v>
      </c>
      <c r="E696" s="8" t="s">
        <v>436</v>
      </c>
      <c r="F696" s="8" t="s">
        <v>278</v>
      </c>
      <c r="G696" s="7" t="s">
        <v>276</v>
      </c>
      <c r="H696" s="47" t="s">
        <v>790</v>
      </c>
      <c r="I696" s="47" t="s">
        <v>791</v>
      </c>
      <c r="J696" s="6">
        <v>64</v>
      </c>
      <c r="K696" s="8" t="s">
        <v>68</v>
      </c>
      <c r="L696" s="5">
        <v>2</v>
      </c>
      <c r="P696" s="3"/>
      <c r="Q696" s="3"/>
      <c r="R696" s="3"/>
    </row>
    <row r="697" spans="1:18" x14ac:dyDescent="0.2">
      <c r="A697" s="7" t="s">
        <v>16</v>
      </c>
      <c r="B697" s="7" t="s">
        <v>55</v>
      </c>
      <c r="C697" s="7" t="s">
        <v>18</v>
      </c>
      <c r="D697" s="4">
        <v>12361267010318</v>
      </c>
      <c r="E697" s="8" t="s">
        <v>313</v>
      </c>
      <c r="F697" s="8" t="s">
        <v>278</v>
      </c>
      <c r="G697" s="7" t="s">
        <v>276</v>
      </c>
      <c r="H697" s="47" t="s">
        <v>790</v>
      </c>
      <c r="I697" s="47" t="s">
        <v>791</v>
      </c>
      <c r="J697" s="6">
        <v>62</v>
      </c>
      <c r="K697" s="8" t="s">
        <v>74</v>
      </c>
      <c r="L697" s="5">
        <v>5</v>
      </c>
      <c r="P697" s="3"/>
      <c r="Q697" s="3"/>
      <c r="R697" s="3"/>
    </row>
    <row r="698" spans="1:18" x14ac:dyDescent="0.2">
      <c r="A698" s="7" t="s">
        <v>16</v>
      </c>
      <c r="B698" s="7" t="s">
        <v>55</v>
      </c>
      <c r="C698" s="7" t="s">
        <v>18</v>
      </c>
      <c r="D698" s="4">
        <v>12361267010318</v>
      </c>
      <c r="E698" s="8" t="s">
        <v>313</v>
      </c>
      <c r="F698" s="8" t="s">
        <v>278</v>
      </c>
      <c r="G698" s="7" t="s">
        <v>276</v>
      </c>
      <c r="H698" s="47" t="s">
        <v>790</v>
      </c>
      <c r="I698" s="47" t="s">
        <v>791</v>
      </c>
      <c r="J698" s="6">
        <v>64</v>
      </c>
      <c r="K698" s="8" t="s">
        <v>68</v>
      </c>
      <c r="L698" s="5">
        <v>11</v>
      </c>
      <c r="P698" s="3"/>
      <c r="Q698" s="3"/>
      <c r="R698" s="3"/>
    </row>
    <row r="699" spans="1:18" x14ac:dyDescent="0.2">
      <c r="A699" s="7" t="s">
        <v>16</v>
      </c>
      <c r="B699" s="7" t="s">
        <v>55</v>
      </c>
      <c r="C699" s="7" t="s">
        <v>18</v>
      </c>
      <c r="D699" s="4">
        <v>12442737000496</v>
      </c>
      <c r="E699" s="8" t="s">
        <v>437</v>
      </c>
      <c r="F699" s="8" t="s">
        <v>361</v>
      </c>
      <c r="G699" s="7" t="s">
        <v>362</v>
      </c>
      <c r="H699" s="47" t="s">
        <v>790</v>
      </c>
      <c r="I699" s="47" t="s">
        <v>791</v>
      </c>
      <c r="J699" s="6">
        <v>62</v>
      </c>
      <c r="K699" s="8" t="s">
        <v>74</v>
      </c>
      <c r="L699" s="5">
        <v>2</v>
      </c>
      <c r="P699" s="3"/>
      <c r="Q699" s="3"/>
      <c r="R699" s="3"/>
    </row>
    <row r="700" spans="1:18" x14ac:dyDescent="0.2">
      <c r="A700" s="7" t="s">
        <v>16</v>
      </c>
      <c r="B700" s="7" t="s">
        <v>55</v>
      </c>
      <c r="C700" s="7" t="s">
        <v>18</v>
      </c>
      <c r="D700" s="4">
        <v>12442737000496</v>
      </c>
      <c r="E700" s="8" t="s">
        <v>437</v>
      </c>
      <c r="F700" s="8" t="s">
        <v>361</v>
      </c>
      <c r="G700" s="7" t="s">
        <v>362</v>
      </c>
      <c r="H700" s="47" t="s">
        <v>790</v>
      </c>
      <c r="I700" s="47" t="s">
        <v>791</v>
      </c>
      <c r="J700" s="6">
        <v>64</v>
      </c>
      <c r="K700" s="8" t="s">
        <v>68</v>
      </c>
      <c r="L700" s="5">
        <v>3</v>
      </c>
      <c r="P700" s="3"/>
      <c r="Q700" s="3"/>
      <c r="R700" s="3"/>
    </row>
    <row r="701" spans="1:18" x14ac:dyDescent="0.2">
      <c r="A701" s="7" t="s">
        <v>16</v>
      </c>
      <c r="B701" s="7" t="s">
        <v>55</v>
      </c>
      <c r="C701" s="7" t="s">
        <v>18</v>
      </c>
      <c r="D701" s="4">
        <v>13016092000140</v>
      </c>
      <c r="E701" s="8" t="s">
        <v>315</v>
      </c>
      <c r="F701" s="8" t="s">
        <v>278</v>
      </c>
      <c r="G701" s="7" t="s">
        <v>276</v>
      </c>
      <c r="H701" s="47" t="s">
        <v>790</v>
      </c>
      <c r="I701" s="47" t="s">
        <v>791</v>
      </c>
      <c r="J701" s="6">
        <v>64</v>
      </c>
      <c r="K701" s="8" t="s">
        <v>68</v>
      </c>
      <c r="L701" s="5">
        <v>10</v>
      </c>
      <c r="P701" s="3"/>
      <c r="Q701" s="3"/>
      <c r="R701" s="3"/>
    </row>
    <row r="702" spans="1:18" x14ac:dyDescent="0.2">
      <c r="A702" s="7" t="s">
        <v>16</v>
      </c>
      <c r="B702" s="7" t="s">
        <v>55</v>
      </c>
      <c r="C702" s="7" t="s">
        <v>18</v>
      </c>
      <c r="D702" s="4">
        <v>13016332000106</v>
      </c>
      <c r="E702" s="8" t="s">
        <v>316</v>
      </c>
      <c r="F702" s="8" t="s">
        <v>317</v>
      </c>
      <c r="G702" s="7" t="s">
        <v>318</v>
      </c>
      <c r="H702" s="47" t="s">
        <v>790</v>
      </c>
      <c r="I702" s="47" t="s">
        <v>791</v>
      </c>
      <c r="J702" s="6">
        <v>62</v>
      </c>
      <c r="K702" s="8" t="s">
        <v>74</v>
      </c>
      <c r="L702" s="5">
        <v>6</v>
      </c>
      <c r="P702" s="3"/>
      <c r="Q702" s="3"/>
      <c r="R702" s="3"/>
    </row>
    <row r="703" spans="1:18" x14ac:dyDescent="0.2">
      <c r="A703" s="7" t="s">
        <v>16</v>
      </c>
      <c r="B703" s="7" t="s">
        <v>55</v>
      </c>
      <c r="C703" s="7" t="s">
        <v>18</v>
      </c>
      <c r="D703" s="4">
        <v>13131370000100</v>
      </c>
      <c r="E703" s="8" t="s">
        <v>319</v>
      </c>
      <c r="F703" s="8" t="s">
        <v>317</v>
      </c>
      <c r="G703" s="7" t="s">
        <v>318</v>
      </c>
      <c r="H703" s="47" t="s">
        <v>790</v>
      </c>
      <c r="I703" s="47" t="s">
        <v>791</v>
      </c>
      <c r="J703" s="6">
        <v>62</v>
      </c>
      <c r="K703" s="8" t="s">
        <v>74</v>
      </c>
      <c r="L703" s="5">
        <v>6</v>
      </c>
      <c r="P703" s="3"/>
      <c r="Q703" s="3"/>
      <c r="R703" s="3"/>
    </row>
    <row r="704" spans="1:18" x14ac:dyDescent="0.2">
      <c r="A704" s="7" t="s">
        <v>16</v>
      </c>
      <c r="B704" s="7" t="s">
        <v>55</v>
      </c>
      <c r="C704" s="7" t="s">
        <v>18</v>
      </c>
      <c r="D704" s="4">
        <v>13131370000100</v>
      </c>
      <c r="E704" s="8" t="s">
        <v>319</v>
      </c>
      <c r="F704" s="8" t="s">
        <v>317</v>
      </c>
      <c r="G704" s="7" t="s">
        <v>318</v>
      </c>
      <c r="H704" s="47" t="s">
        <v>790</v>
      </c>
      <c r="I704" s="47" t="s">
        <v>791</v>
      </c>
      <c r="J704" s="6">
        <v>73</v>
      </c>
      <c r="K704" s="8" t="s">
        <v>69</v>
      </c>
      <c r="L704" s="5">
        <v>44</v>
      </c>
      <c r="P704" s="3"/>
      <c r="Q704" s="3"/>
      <c r="R704" s="3"/>
    </row>
    <row r="705" spans="1:18" x14ac:dyDescent="0.2">
      <c r="A705" s="7" t="s">
        <v>16</v>
      </c>
      <c r="B705" s="7" t="s">
        <v>55</v>
      </c>
      <c r="C705" s="7" t="s">
        <v>18</v>
      </c>
      <c r="D705" s="4">
        <v>13262578000168</v>
      </c>
      <c r="E705" s="8" t="s">
        <v>438</v>
      </c>
      <c r="F705" s="8" t="s">
        <v>246</v>
      </c>
      <c r="G705" s="7" t="s">
        <v>247</v>
      </c>
      <c r="H705" s="47" t="s">
        <v>790</v>
      </c>
      <c r="I705" s="47" t="s">
        <v>791</v>
      </c>
      <c r="J705" s="6">
        <v>66</v>
      </c>
      <c r="K705" s="8" t="s">
        <v>99</v>
      </c>
      <c r="L705" s="5">
        <v>6</v>
      </c>
      <c r="P705" s="3"/>
      <c r="Q705" s="3"/>
      <c r="R705" s="3"/>
    </row>
    <row r="706" spans="1:18" x14ac:dyDescent="0.2">
      <c r="A706" s="7" t="s">
        <v>16</v>
      </c>
      <c r="B706" s="7" t="s">
        <v>55</v>
      </c>
      <c r="C706" s="7" t="s">
        <v>18</v>
      </c>
      <c r="D706" s="4">
        <v>13952064000134</v>
      </c>
      <c r="E706" s="8" t="s">
        <v>321</v>
      </c>
      <c r="F706" s="8" t="s">
        <v>278</v>
      </c>
      <c r="G706" s="7" t="s">
        <v>276</v>
      </c>
      <c r="H706" s="47" t="s">
        <v>790</v>
      </c>
      <c r="I706" s="47" t="s">
        <v>791</v>
      </c>
      <c r="J706" s="6">
        <v>64</v>
      </c>
      <c r="K706" s="8" t="s">
        <v>68</v>
      </c>
      <c r="L706" s="5">
        <v>8</v>
      </c>
      <c r="P706" s="3"/>
      <c r="Q706" s="3"/>
      <c r="R706" s="3"/>
    </row>
    <row r="707" spans="1:18" x14ac:dyDescent="0.2">
      <c r="A707" s="7" t="s">
        <v>16</v>
      </c>
      <c r="B707" s="7" t="s">
        <v>55</v>
      </c>
      <c r="C707" s="7" t="s">
        <v>18</v>
      </c>
      <c r="D707" s="4">
        <v>14408631000159</v>
      </c>
      <c r="E707" s="8" t="s">
        <v>324</v>
      </c>
      <c r="F707" s="8" t="s">
        <v>325</v>
      </c>
      <c r="G707" s="7" t="s">
        <v>223</v>
      </c>
      <c r="H707" s="47" t="s">
        <v>784</v>
      </c>
      <c r="I707" s="47" t="s">
        <v>785</v>
      </c>
      <c r="J707" s="6">
        <v>73</v>
      </c>
      <c r="K707" s="8" t="s">
        <v>69</v>
      </c>
      <c r="L707" s="5">
        <v>8</v>
      </c>
      <c r="P707" s="3"/>
      <c r="Q707" s="3"/>
      <c r="R707" s="3"/>
    </row>
    <row r="708" spans="1:18" x14ac:dyDescent="0.2">
      <c r="A708" s="7" t="s">
        <v>16</v>
      </c>
      <c r="B708" s="7" t="s">
        <v>55</v>
      </c>
      <c r="C708" s="7" t="s">
        <v>18</v>
      </c>
      <c r="D708" s="4">
        <v>15126437000496</v>
      </c>
      <c r="E708" s="8" t="s">
        <v>328</v>
      </c>
      <c r="F708" s="8" t="s">
        <v>310</v>
      </c>
      <c r="G708" s="7" t="s">
        <v>268</v>
      </c>
      <c r="H708" s="47" t="s">
        <v>790</v>
      </c>
      <c r="I708" s="47" t="s">
        <v>791</v>
      </c>
      <c r="J708" s="6">
        <v>62</v>
      </c>
      <c r="K708" s="8" t="s">
        <v>74</v>
      </c>
      <c r="L708" s="5">
        <v>9</v>
      </c>
      <c r="P708" s="3"/>
      <c r="Q708" s="3"/>
      <c r="R708" s="3"/>
    </row>
    <row r="709" spans="1:18" x14ac:dyDescent="0.2">
      <c r="A709" s="7" t="s">
        <v>16</v>
      </c>
      <c r="B709" s="7" t="s">
        <v>55</v>
      </c>
      <c r="C709" s="7" t="s">
        <v>18</v>
      </c>
      <c r="D709" s="4">
        <v>15126437000496</v>
      </c>
      <c r="E709" s="8" t="s">
        <v>328</v>
      </c>
      <c r="F709" s="8" t="s">
        <v>310</v>
      </c>
      <c r="G709" s="7" t="s">
        <v>268</v>
      </c>
      <c r="H709" s="47" t="s">
        <v>790</v>
      </c>
      <c r="I709" s="47" t="s">
        <v>791</v>
      </c>
      <c r="J709" s="6">
        <v>64</v>
      </c>
      <c r="K709" s="8" t="s">
        <v>68</v>
      </c>
      <c r="L709" s="5">
        <v>4</v>
      </c>
      <c r="P709" s="3"/>
      <c r="Q709" s="3"/>
      <c r="R709" s="3"/>
    </row>
    <row r="710" spans="1:18" x14ac:dyDescent="0.2">
      <c r="A710" s="7" t="s">
        <v>16</v>
      </c>
      <c r="B710" s="7" t="s">
        <v>55</v>
      </c>
      <c r="C710" s="7" t="s">
        <v>18</v>
      </c>
      <c r="D710" s="4">
        <v>15126437001468</v>
      </c>
      <c r="E710" s="8" t="s">
        <v>439</v>
      </c>
      <c r="F710" s="8" t="s">
        <v>281</v>
      </c>
      <c r="G710" s="7" t="s">
        <v>282</v>
      </c>
      <c r="H710" s="47" t="s">
        <v>790</v>
      </c>
      <c r="I710" s="47" t="s">
        <v>791</v>
      </c>
      <c r="J710" s="6">
        <v>64</v>
      </c>
      <c r="K710" s="8" t="s">
        <v>68</v>
      </c>
      <c r="L710" s="5">
        <v>20</v>
      </c>
      <c r="P710" s="3"/>
      <c r="Q710" s="3"/>
      <c r="R710" s="3"/>
    </row>
    <row r="711" spans="1:18" x14ac:dyDescent="0.2">
      <c r="A711" s="7" t="s">
        <v>16</v>
      </c>
      <c r="B711" s="7" t="s">
        <v>55</v>
      </c>
      <c r="C711" s="7" t="s">
        <v>18</v>
      </c>
      <c r="D711" s="4">
        <v>15126437001972</v>
      </c>
      <c r="E711" s="8" t="s">
        <v>330</v>
      </c>
      <c r="F711" s="8" t="s">
        <v>331</v>
      </c>
      <c r="G711" s="7" t="s">
        <v>253</v>
      </c>
      <c r="H711" s="47" t="s">
        <v>784</v>
      </c>
      <c r="I711" s="47" t="s">
        <v>785</v>
      </c>
      <c r="J711" s="6">
        <v>62</v>
      </c>
      <c r="K711" s="8" t="s">
        <v>74</v>
      </c>
      <c r="L711" s="5">
        <v>15</v>
      </c>
      <c r="P711" s="3"/>
      <c r="Q711" s="3"/>
      <c r="R711" s="3"/>
    </row>
    <row r="712" spans="1:18" x14ac:dyDescent="0.2">
      <c r="A712" s="7" t="s">
        <v>16</v>
      </c>
      <c r="B712" s="7" t="s">
        <v>55</v>
      </c>
      <c r="C712" s="7" t="s">
        <v>18</v>
      </c>
      <c r="D712" s="4">
        <v>15140254000182</v>
      </c>
      <c r="E712" s="8" t="s">
        <v>440</v>
      </c>
      <c r="F712" s="8" t="s">
        <v>278</v>
      </c>
      <c r="G712" s="7" t="s">
        <v>276</v>
      </c>
      <c r="H712" s="47" t="s">
        <v>790</v>
      </c>
      <c r="I712" s="47" t="s">
        <v>791</v>
      </c>
      <c r="J712" s="6">
        <v>73</v>
      </c>
      <c r="K712" s="8" t="s">
        <v>69</v>
      </c>
      <c r="L712" s="5">
        <v>2</v>
      </c>
      <c r="P712" s="3"/>
      <c r="Q712" s="3"/>
      <c r="R712" s="3"/>
    </row>
    <row r="713" spans="1:18" x14ac:dyDescent="0.2">
      <c r="A713" s="7" t="s">
        <v>16</v>
      </c>
      <c r="B713" s="7" t="s">
        <v>55</v>
      </c>
      <c r="C713" s="7" t="s">
        <v>18</v>
      </c>
      <c r="D713" s="4">
        <v>15153745002705</v>
      </c>
      <c r="E713" s="8" t="s">
        <v>333</v>
      </c>
      <c r="F713" s="8" t="s">
        <v>278</v>
      </c>
      <c r="G713" s="7" t="s">
        <v>276</v>
      </c>
      <c r="H713" s="47" t="s">
        <v>790</v>
      </c>
      <c r="I713" s="47" t="s">
        <v>791</v>
      </c>
      <c r="J713" s="6">
        <v>64</v>
      </c>
      <c r="K713" s="8" t="s">
        <v>68</v>
      </c>
      <c r="L713" s="5">
        <v>10</v>
      </c>
      <c r="P713" s="3"/>
      <c r="Q713" s="3"/>
      <c r="R713" s="3"/>
    </row>
    <row r="714" spans="1:18" x14ac:dyDescent="0.2">
      <c r="A714" s="7" t="s">
        <v>16</v>
      </c>
      <c r="B714" s="7" t="s">
        <v>55</v>
      </c>
      <c r="C714" s="7" t="s">
        <v>18</v>
      </c>
      <c r="D714" s="4">
        <v>15166416000151</v>
      </c>
      <c r="E714" s="8" t="s">
        <v>334</v>
      </c>
      <c r="F714" s="8" t="s">
        <v>278</v>
      </c>
      <c r="G714" s="7" t="s">
        <v>276</v>
      </c>
      <c r="H714" s="47" t="s">
        <v>790</v>
      </c>
      <c r="I714" s="47" t="s">
        <v>791</v>
      </c>
      <c r="J714" s="6">
        <v>62</v>
      </c>
      <c r="K714" s="8" t="s">
        <v>74</v>
      </c>
      <c r="L714" s="5">
        <v>8</v>
      </c>
      <c r="P714" s="3"/>
      <c r="Q714" s="3"/>
      <c r="R714" s="3"/>
    </row>
    <row r="715" spans="1:18" x14ac:dyDescent="0.2">
      <c r="A715" s="7" t="s">
        <v>16</v>
      </c>
      <c r="B715" s="7" t="s">
        <v>55</v>
      </c>
      <c r="C715" s="7" t="s">
        <v>18</v>
      </c>
      <c r="D715" s="4">
        <v>15166416000151</v>
      </c>
      <c r="E715" s="8" t="s">
        <v>334</v>
      </c>
      <c r="F715" s="8" t="s">
        <v>278</v>
      </c>
      <c r="G715" s="7" t="s">
        <v>276</v>
      </c>
      <c r="H715" s="47" t="s">
        <v>790</v>
      </c>
      <c r="I715" s="47" t="s">
        <v>791</v>
      </c>
      <c r="J715" s="6">
        <v>64</v>
      </c>
      <c r="K715" s="8" t="s">
        <v>68</v>
      </c>
      <c r="L715" s="5">
        <v>29</v>
      </c>
      <c r="P715" s="3"/>
      <c r="Q715" s="3"/>
      <c r="R715" s="3"/>
    </row>
    <row r="716" spans="1:18" x14ac:dyDescent="0.2">
      <c r="A716" s="7" t="s">
        <v>16</v>
      </c>
      <c r="B716" s="7" t="s">
        <v>55</v>
      </c>
      <c r="C716" s="7" t="s">
        <v>18</v>
      </c>
      <c r="D716" s="4">
        <v>15194004000125</v>
      </c>
      <c r="E716" s="8" t="s">
        <v>339</v>
      </c>
      <c r="F716" s="8" t="s">
        <v>278</v>
      </c>
      <c r="G716" s="7" t="s">
        <v>276</v>
      </c>
      <c r="H716" s="47" t="s">
        <v>790</v>
      </c>
      <c r="I716" s="47" t="s">
        <v>791</v>
      </c>
      <c r="J716" s="6">
        <v>64</v>
      </c>
      <c r="K716" s="8" t="s">
        <v>68</v>
      </c>
      <c r="L716" s="5">
        <v>5</v>
      </c>
      <c r="P716" s="3"/>
      <c r="Q716" s="3"/>
      <c r="R716" s="3"/>
    </row>
    <row r="717" spans="1:18" x14ac:dyDescent="0.2">
      <c r="A717" s="7" t="s">
        <v>16</v>
      </c>
      <c r="B717" s="7" t="s">
        <v>55</v>
      </c>
      <c r="C717" s="7" t="s">
        <v>18</v>
      </c>
      <c r="D717" s="4">
        <v>16064313000577</v>
      </c>
      <c r="E717" s="8" t="s">
        <v>441</v>
      </c>
      <c r="F717" s="8" t="s">
        <v>317</v>
      </c>
      <c r="G717" s="7" t="s">
        <v>318</v>
      </c>
      <c r="H717" s="47" t="s">
        <v>790</v>
      </c>
      <c r="I717" s="47" t="s">
        <v>791</v>
      </c>
      <c r="J717" s="6">
        <v>73</v>
      </c>
      <c r="K717" s="8" t="s">
        <v>69</v>
      </c>
      <c r="L717" s="5">
        <v>23</v>
      </c>
      <c r="P717" s="3"/>
      <c r="Q717" s="3"/>
      <c r="R717" s="3"/>
    </row>
    <row r="718" spans="1:18" x14ac:dyDescent="0.2">
      <c r="A718" s="7" t="s">
        <v>16</v>
      </c>
      <c r="B718" s="7" t="s">
        <v>55</v>
      </c>
      <c r="C718" s="7" t="s">
        <v>18</v>
      </c>
      <c r="D718" s="4">
        <v>16475154000250</v>
      </c>
      <c r="E718" s="8" t="s">
        <v>442</v>
      </c>
      <c r="F718" s="8" t="s">
        <v>278</v>
      </c>
      <c r="G718" s="7" t="s">
        <v>276</v>
      </c>
      <c r="H718" s="47" t="s">
        <v>790</v>
      </c>
      <c r="I718" s="47" t="s">
        <v>791</v>
      </c>
      <c r="J718" s="6">
        <v>64</v>
      </c>
      <c r="K718" s="8" t="s">
        <v>68</v>
      </c>
      <c r="L718" s="5">
        <v>3</v>
      </c>
      <c r="P718" s="3"/>
      <c r="Q718" s="3"/>
      <c r="R718" s="3"/>
    </row>
    <row r="719" spans="1:18" x14ac:dyDescent="0.2">
      <c r="A719" s="7" t="s">
        <v>16</v>
      </c>
      <c r="B719" s="7" t="s">
        <v>55</v>
      </c>
      <c r="C719" s="7" t="s">
        <v>18</v>
      </c>
      <c r="D719" s="4">
        <v>16739984000167</v>
      </c>
      <c r="E719" s="8" t="s">
        <v>342</v>
      </c>
      <c r="F719" s="8" t="s">
        <v>225</v>
      </c>
      <c r="G719" s="7" t="s">
        <v>226</v>
      </c>
      <c r="H719" s="47" t="s">
        <v>790</v>
      </c>
      <c r="I719" s="47" t="s">
        <v>791</v>
      </c>
      <c r="J719" s="6">
        <v>73</v>
      </c>
      <c r="K719" s="8" t="s">
        <v>69</v>
      </c>
      <c r="L719" s="5">
        <v>36</v>
      </c>
      <c r="P719" s="3"/>
      <c r="Q719" s="3"/>
      <c r="R719" s="3"/>
    </row>
    <row r="720" spans="1:18" x14ac:dyDescent="0.2">
      <c r="A720" s="7" t="s">
        <v>16</v>
      </c>
      <c r="B720" s="7" t="s">
        <v>55</v>
      </c>
      <c r="C720" s="7" t="s">
        <v>18</v>
      </c>
      <c r="D720" s="4">
        <v>17214149000176</v>
      </c>
      <c r="E720" s="8" t="s">
        <v>347</v>
      </c>
      <c r="F720" s="8" t="s">
        <v>235</v>
      </c>
      <c r="G720" s="7" t="s">
        <v>223</v>
      </c>
      <c r="H720" s="47" t="s">
        <v>784</v>
      </c>
      <c r="I720" s="47" t="s">
        <v>785</v>
      </c>
      <c r="J720" s="6">
        <v>62</v>
      </c>
      <c r="K720" s="8" t="s">
        <v>74</v>
      </c>
      <c r="L720" s="5">
        <v>18</v>
      </c>
      <c r="P720" s="3"/>
      <c r="Q720" s="3"/>
      <c r="R720" s="3"/>
    </row>
    <row r="721" spans="1:18" x14ac:dyDescent="0.2">
      <c r="A721" s="7" t="s">
        <v>16</v>
      </c>
      <c r="B721" s="7" t="s">
        <v>55</v>
      </c>
      <c r="C721" s="7" t="s">
        <v>18</v>
      </c>
      <c r="D721" s="4">
        <v>17689407000928</v>
      </c>
      <c r="E721" s="8" t="s">
        <v>348</v>
      </c>
      <c r="F721" s="8" t="s">
        <v>349</v>
      </c>
      <c r="G721" s="7" t="s">
        <v>223</v>
      </c>
      <c r="H721" s="47" t="s">
        <v>784</v>
      </c>
      <c r="I721" s="47" t="s">
        <v>785</v>
      </c>
      <c r="J721" s="6">
        <v>73</v>
      </c>
      <c r="K721" s="8" t="s">
        <v>69</v>
      </c>
      <c r="L721" s="5">
        <v>6</v>
      </c>
      <c r="P721" s="3"/>
      <c r="Q721" s="3"/>
      <c r="R721" s="3"/>
    </row>
    <row r="722" spans="1:18" x14ac:dyDescent="0.2">
      <c r="A722" s="7" t="s">
        <v>16</v>
      </c>
      <c r="B722" s="7" t="s">
        <v>55</v>
      </c>
      <c r="C722" s="7" t="s">
        <v>18</v>
      </c>
      <c r="D722" s="4">
        <v>18484378000173</v>
      </c>
      <c r="E722" s="8" t="s">
        <v>350</v>
      </c>
      <c r="F722" s="8" t="s">
        <v>346</v>
      </c>
      <c r="G722" s="7" t="s">
        <v>223</v>
      </c>
      <c r="H722" s="47" t="s">
        <v>784</v>
      </c>
      <c r="I722" s="47" t="s">
        <v>785</v>
      </c>
      <c r="J722" s="6">
        <v>62</v>
      </c>
      <c r="K722" s="8" t="s">
        <v>74</v>
      </c>
      <c r="L722" s="5">
        <v>2</v>
      </c>
      <c r="P722" s="3"/>
      <c r="Q722" s="3"/>
      <c r="R722" s="3"/>
    </row>
    <row r="723" spans="1:18" x14ac:dyDescent="0.2">
      <c r="A723" s="7" t="s">
        <v>16</v>
      </c>
      <c r="B723" s="7" t="s">
        <v>55</v>
      </c>
      <c r="C723" s="7" t="s">
        <v>18</v>
      </c>
      <c r="D723" s="4">
        <v>19878404000100</v>
      </c>
      <c r="E723" s="8" t="s">
        <v>351</v>
      </c>
      <c r="F723" s="8" t="s">
        <v>352</v>
      </c>
      <c r="G723" s="7" t="s">
        <v>223</v>
      </c>
      <c r="H723" s="47" t="s">
        <v>784</v>
      </c>
      <c r="I723" s="47" t="s">
        <v>785</v>
      </c>
      <c r="J723" s="6">
        <v>73</v>
      </c>
      <c r="K723" s="8" t="s">
        <v>69</v>
      </c>
      <c r="L723" s="5">
        <v>80</v>
      </c>
      <c r="P723" s="3"/>
      <c r="Q723" s="3"/>
      <c r="R723" s="3"/>
    </row>
    <row r="724" spans="1:18" x14ac:dyDescent="0.2">
      <c r="A724" s="7" t="s">
        <v>16</v>
      </c>
      <c r="B724" s="7" t="s">
        <v>55</v>
      </c>
      <c r="C724" s="7" t="s">
        <v>18</v>
      </c>
      <c r="D724" s="4">
        <v>20909271000171</v>
      </c>
      <c r="E724" s="8" t="s">
        <v>443</v>
      </c>
      <c r="F724" s="8" t="s">
        <v>444</v>
      </c>
      <c r="G724" s="7" t="s">
        <v>223</v>
      </c>
      <c r="H724" s="47" t="s">
        <v>784</v>
      </c>
      <c r="I724" s="47" t="s">
        <v>785</v>
      </c>
      <c r="J724" s="6">
        <v>73</v>
      </c>
      <c r="K724" s="8" t="s">
        <v>69</v>
      </c>
      <c r="L724" s="5">
        <v>51</v>
      </c>
      <c r="P724" s="3"/>
      <c r="Q724" s="3"/>
      <c r="R724" s="3"/>
    </row>
    <row r="725" spans="1:18" x14ac:dyDescent="0.2">
      <c r="A725" s="7" t="s">
        <v>16</v>
      </c>
      <c r="B725" s="7" t="s">
        <v>55</v>
      </c>
      <c r="C725" s="7" t="s">
        <v>18</v>
      </c>
      <c r="D725" s="4">
        <v>21040696000311</v>
      </c>
      <c r="E725" s="8" t="s">
        <v>354</v>
      </c>
      <c r="F725" s="8" t="s">
        <v>355</v>
      </c>
      <c r="G725" s="7" t="s">
        <v>223</v>
      </c>
      <c r="H725" s="47" t="s">
        <v>784</v>
      </c>
      <c r="I725" s="47" t="s">
        <v>785</v>
      </c>
      <c r="J725" s="6">
        <v>62</v>
      </c>
      <c r="K725" s="8" t="s">
        <v>74</v>
      </c>
      <c r="L725" s="5">
        <v>5</v>
      </c>
      <c r="P725" s="3"/>
      <c r="Q725" s="3"/>
      <c r="R725" s="3"/>
    </row>
    <row r="726" spans="1:18" x14ac:dyDescent="0.2">
      <c r="A726" s="7" t="s">
        <v>16</v>
      </c>
      <c r="B726" s="7" t="s">
        <v>55</v>
      </c>
      <c r="C726" s="7" t="s">
        <v>18</v>
      </c>
      <c r="D726" s="4">
        <v>21040696000311</v>
      </c>
      <c r="E726" s="8" t="s">
        <v>354</v>
      </c>
      <c r="F726" s="8" t="s">
        <v>355</v>
      </c>
      <c r="G726" s="7" t="s">
        <v>223</v>
      </c>
      <c r="H726" s="47" t="s">
        <v>784</v>
      </c>
      <c r="I726" s="47" t="s">
        <v>785</v>
      </c>
      <c r="J726" s="6">
        <v>64</v>
      </c>
      <c r="K726" s="8" t="s">
        <v>68</v>
      </c>
      <c r="L726" s="5">
        <v>4</v>
      </c>
      <c r="P726" s="3"/>
      <c r="Q726" s="3"/>
      <c r="R726" s="3"/>
    </row>
    <row r="727" spans="1:18" x14ac:dyDescent="0.2">
      <c r="A727" s="7" t="s">
        <v>16</v>
      </c>
      <c r="B727" s="7" t="s">
        <v>55</v>
      </c>
      <c r="C727" s="7" t="s">
        <v>18</v>
      </c>
      <c r="D727" s="4">
        <v>21299615000130</v>
      </c>
      <c r="E727" s="8" t="s">
        <v>445</v>
      </c>
      <c r="F727" s="8" t="s">
        <v>446</v>
      </c>
      <c r="G727" s="7" t="s">
        <v>223</v>
      </c>
      <c r="H727" s="47" t="s">
        <v>784</v>
      </c>
      <c r="I727" s="47" t="s">
        <v>785</v>
      </c>
      <c r="J727" s="6">
        <v>66</v>
      </c>
      <c r="K727" s="8" t="s">
        <v>99</v>
      </c>
      <c r="L727" s="5">
        <v>6</v>
      </c>
      <c r="P727" s="3"/>
      <c r="Q727" s="3"/>
      <c r="R727" s="3"/>
    </row>
    <row r="728" spans="1:18" x14ac:dyDescent="0.2">
      <c r="A728" s="7" t="s">
        <v>16</v>
      </c>
      <c r="B728" s="7" t="s">
        <v>55</v>
      </c>
      <c r="C728" s="7" t="s">
        <v>18</v>
      </c>
      <c r="D728" s="4">
        <v>23406564000124</v>
      </c>
      <c r="E728" s="8" t="s">
        <v>447</v>
      </c>
      <c r="F728" s="8" t="s">
        <v>448</v>
      </c>
      <c r="G728" s="7" t="s">
        <v>223</v>
      </c>
      <c r="H728" s="47" t="s">
        <v>784</v>
      </c>
      <c r="I728" s="47" t="s">
        <v>785</v>
      </c>
      <c r="J728" s="6">
        <v>66</v>
      </c>
      <c r="K728" s="8" t="s">
        <v>99</v>
      </c>
      <c r="L728" s="5">
        <v>6</v>
      </c>
      <c r="P728" s="3"/>
      <c r="Q728" s="3"/>
      <c r="R728" s="3"/>
    </row>
    <row r="729" spans="1:18" x14ac:dyDescent="0.2">
      <c r="A729" s="7" t="s">
        <v>16</v>
      </c>
      <c r="B729" s="7" t="s">
        <v>55</v>
      </c>
      <c r="C729" s="7" t="s">
        <v>18</v>
      </c>
      <c r="D729" s="4">
        <v>24232886008303</v>
      </c>
      <c r="E729" s="8" t="s">
        <v>358</v>
      </c>
      <c r="F729" s="8" t="s">
        <v>359</v>
      </c>
      <c r="G729" s="7" t="s">
        <v>220</v>
      </c>
      <c r="H729" s="47" t="s">
        <v>790</v>
      </c>
      <c r="I729" s="47" t="s">
        <v>791</v>
      </c>
      <c r="J729" s="6">
        <v>64</v>
      </c>
      <c r="K729" s="8" t="s">
        <v>68</v>
      </c>
      <c r="L729" s="5">
        <v>2</v>
      </c>
      <c r="P729" s="3"/>
      <c r="Q729" s="3"/>
      <c r="R729" s="3"/>
    </row>
    <row r="730" spans="1:18" x14ac:dyDescent="0.2">
      <c r="A730" s="7" t="s">
        <v>16</v>
      </c>
      <c r="B730" s="7" t="s">
        <v>55</v>
      </c>
      <c r="C730" s="7" t="s">
        <v>18</v>
      </c>
      <c r="D730" s="4">
        <v>24464109000229</v>
      </c>
      <c r="E730" s="8" t="s">
        <v>360</v>
      </c>
      <c r="F730" s="8" t="s">
        <v>361</v>
      </c>
      <c r="G730" s="7" t="s">
        <v>362</v>
      </c>
      <c r="H730" s="47" t="s">
        <v>790</v>
      </c>
      <c r="I730" s="47" t="s">
        <v>791</v>
      </c>
      <c r="J730" s="6">
        <v>66</v>
      </c>
      <c r="K730" s="8" t="s">
        <v>99</v>
      </c>
      <c r="L730" s="5">
        <v>4</v>
      </c>
      <c r="P730" s="3"/>
      <c r="Q730" s="3"/>
      <c r="R730" s="3"/>
    </row>
    <row r="731" spans="1:18" x14ac:dyDescent="0.2">
      <c r="A731" s="7" t="s">
        <v>16</v>
      </c>
      <c r="B731" s="7" t="s">
        <v>55</v>
      </c>
      <c r="C731" s="7" t="s">
        <v>18</v>
      </c>
      <c r="D731" s="4">
        <v>25761040000187</v>
      </c>
      <c r="E731" s="8" t="s">
        <v>449</v>
      </c>
      <c r="F731" s="8" t="s">
        <v>346</v>
      </c>
      <c r="G731" s="7" t="s">
        <v>223</v>
      </c>
      <c r="H731" s="47" t="s">
        <v>784</v>
      </c>
      <c r="I731" s="47" t="s">
        <v>785</v>
      </c>
      <c r="J731" s="6">
        <v>62</v>
      </c>
      <c r="K731" s="8" t="s">
        <v>74</v>
      </c>
      <c r="L731" s="5">
        <v>2</v>
      </c>
      <c r="P731" s="3"/>
      <c r="Q731" s="3"/>
      <c r="R731" s="3"/>
    </row>
    <row r="732" spans="1:18" x14ac:dyDescent="0.2">
      <c r="A732" s="7" t="s">
        <v>16</v>
      </c>
      <c r="B732" s="7" t="s">
        <v>55</v>
      </c>
      <c r="C732" s="7" t="s">
        <v>18</v>
      </c>
      <c r="D732" s="4">
        <v>27372066000169</v>
      </c>
      <c r="E732" s="8" t="s">
        <v>364</v>
      </c>
      <c r="F732" s="8" t="s">
        <v>278</v>
      </c>
      <c r="G732" s="7" t="s">
        <v>276</v>
      </c>
      <c r="H732" s="47" t="s">
        <v>790</v>
      </c>
      <c r="I732" s="47" t="s">
        <v>791</v>
      </c>
      <c r="J732" s="6">
        <v>64</v>
      </c>
      <c r="K732" s="8" t="s">
        <v>68</v>
      </c>
      <c r="L732" s="5">
        <v>4</v>
      </c>
      <c r="P732" s="3"/>
      <c r="Q732" s="3"/>
      <c r="R732" s="3"/>
    </row>
    <row r="733" spans="1:18" x14ac:dyDescent="0.2">
      <c r="A733" s="7" t="s">
        <v>16</v>
      </c>
      <c r="B733" s="7" t="s">
        <v>55</v>
      </c>
      <c r="C733" s="7" t="s">
        <v>18</v>
      </c>
      <c r="D733" s="4">
        <v>27578434001525</v>
      </c>
      <c r="E733" s="8" t="s">
        <v>450</v>
      </c>
      <c r="F733" s="8" t="s">
        <v>451</v>
      </c>
      <c r="G733" s="7" t="s">
        <v>418</v>
      </c>
      <c r="H733" s="47" t="s">
        <v>784</v>
      </c>
      <c r="I733" s="47" t="s">
        <v>785</v>
      </c>
      <c r="J733" s="6">
        <v>66</v>
      </c>
      <c r="K733" s="8" t="s">
        <v>99</v>
      </c>
      <c r="L733" s="5">
        <v>4</v>
      </c>
      <c r="P733" s="3"/>
      <c r="Q733" s="3"/>
      <c r="R733" s="3"/>
    </row>
    <row r="734" spans="1:18" x14ac:dyDescent="0.2">
      <c r="A734" s="7" t="s">
        <v>16</v>
      </c>
      <c r="B734" s="7" t="s">
        <v>55</v>
      </c>
      <c r="C734" s="7" t="s">
        <v>18</v>
      </c>
      <c r="D734" s="4">
        <v>28806545000532</v>
      </c>
      <c r="E734" s="8" t="s">
        <v>366</v>
      </c>
      <c r="F734" s="8" t="s">
        <v>367</v>
      </c>
      <c r="G734" s="7" t="s">
        <v>241</v>
      </c>
      <c r="H734" s="47" t="s">
        <v>784</v>
      </c>
      <c r="I734" s="47" t="s">
        <v>785</v>
      </c>
      <c r="J734" s="6">
        <v>73</v>
      </c>
      <c r="K734" s="8" t="s">
        <v>69</v>
      </c>
      <c r="L734" s="5">
        <v>96</v>
      </c>
      <c r="P734" s="3"/>
      <c r="Q734" s="3"/>
      <c r="R734" s="3"/>
    </row>
    <row r="735" spans="1:18" x14ac:dyDescent="0.2">
      <c r="A735" s="7" t="s">
        <v>16</v>
      </c>
      <c r="B735" s="7" t="s">
        <v>55</v>
      </c>
      <c r="C735" s="7" t="s">
        <v>18</v>
      </c>
      <c r="D735" s="4">
        <v>29435005004620</v>
      </c>
      <c r="E735" s="8" t="s">
        <v>370</v>
      </c>
      <c r="F735" s="8" t="s">
        <v>225</v>
      </c>
      <c r="G735" s="7" t="s">
        <v>226</v>
      </c>
      <c r="H735" s="47" t="s">
        <v>790</v>
      </c>
      <c r="I735" s="47" t="s">
        <v>791</v>
      </c>
      <c r="J735" s="6">
        <v>64</v>
      </c>
      <c r="K735" s="8" t="s">
        <v>68</v>
      </c>
      <c r="L735" s="5">
        <v>30</v>
      </c>
      <c r="P735" s="3"/>
      <c r="Q735" s="3"/>
      <c r="R735" s="3"/>
    </row>
    <row r="736" spans="1:18" x14ac:dyDescent="0.2">
      <c r="A736" s="7" t="s">
        <v>16</v>
      </c>
      <c r="B736" s="7" t="s">
        <v>55</v>
      </c>
      <c r="C736" s="7" t="s">
        <v>18</v>
      </c>
      <c r="D736" s="4">
        <v>29435005009851</v>
      </c>
      <c r="E736" s="8" t="s">
        <v>372</v>
      </c>
      <c r="F736" s="8" t="s">
        <v>246</v>
      </c>
      <c r="G736" s="7" t="s">
        <v>247</v>
      </c>
      <c r="H736" s="47" t="s">
        <v>790</v>
      </c>
      <c r="I736" s="47" t="s">
        <v>791</v>
      </c>
      <c r="J736" s="6">
        <v>64</v>
      </c>
      <c r="K736" s="8" t="s">
        <v>68</v>
      </c>
      <c r="L736" s="5">
        <v>15</v>
      </c>
      <c r="P736" s="3"/>
      <c r="Q736" s="3"/>
      <c r="R736" s="3"/>
    </row>
    <row r="737" spans="1:18" x14ac:dyDescent="0.2">
      <c r="A737" s="7" t="s">
        <v>16</v>
      </c>
      <c r="B737" s="7" t="s">
        <v>55</v>
      </c>
      <c r="C737" s="7" t="s">
        <v>18</v>
      </c>
      <c r="D737" s="4">
        <v>29640612000120</v>
      </c>
      <c r="E737" s="8" t="s">
        <v>452</v>
      </c>
      <c r="F737" s="8" t="s">
        <v>453</v>
      </c>
      <c r="G737" s="7" t="s">
        <v>241</v>
      </c>
      <c r="H737" s="47" t="s">
        <v>784</v>
      </c>
      <c r="I737" s="47" t="s">
        <v>785</v>
      </c>
      <c r="J737" s="6">
        <v>62</v>
      </c>
      <c r="K737" s="8" t="s">
        <v>74</v>
      </c>
      <c r="L737" s="5">
        <v>1</v>
      </c>
      <c r="P737" s="3"/>
      <c r="Q737" s="3"/>
      <c r="R737" s="3"/>
    </row>
    <row r="738" spans="1:18" x14ac:dyDescent="0.2">
      <c r="A738" s="7" t="s">
        <v>16</v>
      </c>
      <c r="B738" s="7" t="s">
        <v>55</v>
      </c>
      <c r="C738" s="7" t="s">
        <v>18</v>
      </c>
      <c r="D738" s="4">
        <v>29908956000178</v>
      </c>
      <c r="E738" s="8" t="s">
        <v>454</v>
      </c>
      <c r="F738" s="8" t="s">
        <v>455</v>
      </c>
      <c r="G738" s="7" t="s">
        <v>253</v>
      </c>
      <c r="H738" s="47" t="s">
        <v>784</v>
      </c>
      <c r="I738" s="47" t="s">
        <v>785</v>
      </c>
      <c r="J738" s="6">
        <v>66</v>
      </c>
      <c r="K738" s="8" t="s">
        <v>99</v>
      </c>
      <c r="L738" s="5">
        <v>4</v>
      </c>
      <c r="P738" s="3"/>
      <c r="Q738" s="3"/>
      <c r="R738" s="3"/>
    </row>
    <row r="739" spans="1:18" x14ac:dyDescent="0.2">
      <c r="A739" s="7" t="s">
        <v>16</v>
      </c>
      <c r="B739" s="7" t="s">
        <v>55</v>
      </c>
      <c r="C739" s="7" t="s">
        <v>18</v>
      </c>
      <c r="D739" s="4">
        <v>30079461000162</v>
      </c>
      <c r="E739" s="8" t="s">
        <v>456</v>
      </c>
      <c r="F739" s="8" t="s">
        <v>240</v>
      </c>
      <c r="G739" s="7" t="s">
        <v>241</v>
      </c>
      <c r="H739" s="47" t="s">
        <v>784</v>
      </c>
      <c r="I739" s="47" t="s">
        <v>785</v>
      </c>
      <c r="J739" s="6">
        <v>62</v>
      </c>
      <c r="K739" s="8" t="s">
        <v>74</v>
      </c>
      <c r="L739" s="5">
        <v>2</v>
      </c>
      <c r="P739" s="3"/>
      <c r="Q739" s="3"/>
      <c r="R739" s="3"/>
    </row>
    <row r="740" spans="1:18" x14ac:dyDescent="0.2">
      <c r="A740" s="7" t="s">
        <v>16</v>
      </c>
      <c r="B740" s="7" t="s">
        <v>55</v>
      </c>
      <c r="C740" s="7" t="s">
        <v>18</v>
      </c>
      <c r="D740" s="4">
        <v>30079461000162</v>
      </c>
      <c r="E740" s="8" t="s">
        <v>456</v>
      </c>
      <c r="F740" s="8" t="s">
        <v>240</v>
      </c>
      <c r="G740" s="7" t="s">
        <v>241</v>
      </c>
      <c r="H740" s="47" t="s">
        <v>784</v>
      </c>
      <c r="I740" s="47" t="s">
        <v>785</v>
      </c>
      <c r="J740" s="6">
        <v>64</v>
      </c>
      <c r="K740" s="8" t="s">
        <v>68</v>
      </c>
      <c r="L740" s="5">
        <v>16</v>
      </c>
      <c r="P740" s="3"/>
      <c r="Q740" s="3"/>
      <c r="R740" s="3"/>
    </row>
    <row r="741" spans="1:18" x14ac:dyDescent="0.2">
      <c r="A741" s="7" t="s">
        <v>16</v>
      </c>
      <c r="B741" s="7" t="s">
        <v>55</v>
      </c>
      <c r="C741" s="7" t="s">
        <v>18</v>
      </c>
      <c r="D741" s="4">
        <v>35917970000726</v>
      </c>
      <c r="E741" s="8" t="s">
        <v>457</v>
      </c>
      <c r="F741" s="8" t="s">
        <v>458</v>
      </c>
      <c r="G741" s="7" t="s">
        <v>241</v>
      </c>
      <c r="H741" s="47" t="s">
        <v>784</v>
      </c>
      <c r="I741" s="47" t="s">
        <v>785</v>
      </c>
      <c r="J741" s="6">
        <v>73</v>
      </c>
      <c r="K741" s="8" t="s">
        <v>69</v>
      </c>
      <c r="L741" s="5">
        <v>15</v>
      </c>
      <c r="P741" s="3"/>
      <c r="Q741" s="3"/>
      <c r="R741" s="3"/>
    </row>
    <row r="742" spans="1:18" x14ac:dyDescent="0.2">
      <c r="A742" s="7" t="s">
        <v>16</v>
      </c>
      <c r="B742" s="7" t="s">
        <v>55</v>
      </c>
      <c r="C742" s="7" t="s">
        <v>18</v>
      </c>
      <c r="D742" s="4">
        <v>37108388000159</v>
      </c>
      <c r="E742" s="8" t="s">
        <v>375</v>
      </c>
      <c r="F742" s="8" t="s">
        <v>225</v>
      </c>
      <c r="G742" s="7" t="s">
        <v>226</v>
      </c>
      <c r="H742" s="47" t="s">
        <v>790</v>
      </c>
      <c r="I742" s="47" t="s">
        <v>791</v>
      </c>
      <c r="J742" s="6">
        <v>64</v>
      </c>
      <c r="K742" s="8" t="s">
        <v>68</v>
      </c>
      <c r="L742" s="5">
        <v>30</v>
      </c>
      <c r="P742" s="3"/>
      <c r="Q742" s="3"/>
      <c r="R742" s="3"/>
    </row>
    <row r="743" spans="1:18" x14ac:dyDescent="0.2">
      <c r="A743" s="7" t="s">
        <v>16</v>
      </c>
      <c r="B743" s="7" t="s">
        <v>55</v>
      </c>
      <c r="C743" s="7" t="s">
        <v>18</v>
      </c>
      <c r="D743" s="4">
        <v>60884855001207</v>
      </c>
      <c r="E743" s="8" t="s">
        <v>377</v>
      </c>
      <c r="F743" s="8" t="s">
        <v>240</v>
      </c>
      <c r="G743" s="7" t="s">
        <v>241</v>
      </c>
      <c r="H743" s="47" t="s">
        <v>784</v>
      </c>
      <c r="I743" s="47" t="s">
        <v>785</v>
      </c>
      <c r="J743" s="6">
        <v>62</v>
      </c>
      <c r="K743" s="8" t="s">
        <v>74</v>
      </c>
      <c r="L743" s="5">
        <v>6</v>
      </c>
      <c r="P743" s="3"/>
      <c r="Q743" s="3"/>
      <c r="R743" s="3"/>
    </row>
    <row r="744" spans="1:18" x14ac:dyDescent="0.2">
      <c r="A744" s="7" t="s">
        <v>16</v>
      </c>
      <c r="B744" s="7" t="s">
        <v>55</v>
      </c>
      <c r="C744" s="7" t="s">
        <v>18</v>
      </c>
      <c r="D744" s="4">
        <v>60884855001207</v>
      </c>
      <c r="E744" s="8" t="s">
        <v>377</v>
      </c>
      <c r="F744" s="8" t="s">
        <v>240</v>
      </c>
      <c r="G744" s="7" t="s">
        <v>241</v>
      </c>
      <c r="H744" s="47" t="s">
        <v>784</v>
      </c>
      <c r="I744" s="47" t="s">
        <v>785</v>
      </c>
      <c r="J744" s="6">
        <v>64</v>
      </c>
      <c r="K744" s="8" t="s">
        <v>68</v>
      </c>
      <c r="L744" s="5">
        <v>17</v>
      </c>
      <c r="P744" s="3"/>
      <c r="Q744" s="3"/>
      <c r="R744" s="3"/>
    </row>
    <row r="745" spans="1:18" x14ac:dyDescent="0.2">
      <c r="A745" s="7" t="s">
        <v>16</v>
      </c>
      <c r="B745" s="7" t="s">
        <v>55</v>
      </c>
      <c r="C745" s="7" t="s">
        <v>18</v>
      </c>
      <c r="D745" s="4">
        <v>60884855001207</v>
      </c>
      <c r="E745" s="8" t="s">
        <v>377</v>
      </c>
      <c r="F745" s="8" t="s">
        <v>240</v>
      </c>
      <c r="G745" s="7" t="s">
        <v>241</v>
      </c>
      <c r="H745" s="47" t="s">
        <v>784</v>
      </c>
      <c r="I745" s="47" t="s">
        <v>785</v>
      </c>
      <c r="J745" s="6">
        <v>73</v>
      </c>
      <c r="K745" s="8" t="s">
        <v>69</v>
      </c>
      <c r="L745" s="5">
        <v>18</v>
      </c>
      <c r="P745" s="3"/>
      <c r="Q745" s="3"/>
      <c r="R745" s="3"/>
    </row>
    <row r="746" spans="1:18" x14ac:dyDescent="0.2">
      <c r="A746" s="7" t="s">
        <v>16</v>
      </c>
      <c r="B746" s="7" t="s">
        <v>55</v>
      </c>
      <c r="C746" s="7" t="s">
        <v>18</v>
      </c>
      <c r="D746" s="4">
        <v>60884855002289</v>
      </c>
      <c r="E746" s="8" t="s">
        <v>378</v>
      </c>
      <c r="F746" s="8" t="s">
        <v>225</v>
      </c>
      <c r="G746" s="7" t="s">
        <v>226</v>
      </c>
      <c r="H746" s="47" t="s">
        <v>790</v>
      </c>
      <c r="I746" s="47" t="s">
        <v>791</v>
      </c>
      <c r="J746" s="6">
        <v>62</v>
      </c>
      <c r="K746" s="8" t="s">
        <v>74</v>
      </c>
      <c r="L746" s="5">
        <v>7</v>
      </c>
      <c r="P746" s="3"/>
      <c r="Q746" s="3"/>
      <c r="R746" s="3"/>
    </row>
    <row r="747" spans="1:18" x14ac:dyDescent="0.2">
      <c r="A747" s="7" t="s">
        <v>16</v>
      </c>
      <c r="B747" s="7" t="s">
        <v>55</v>
      </c>
      <c r="C747" s="7" t="s">
        <v>18</v>
      </c>
      <c r="D747" s="4">
        <v>60884855002289</v>
      </c>
      <c r="E747" s="8" t="s">
        <v>378</v>
      </c>
      <c r="F747" s="8" t="s">
        <v>225</v>
      </c>
      <c r="G747" s="7" t="s">
        <v>226</v>
      </c>
      <c r="H747" s="47" t="s">
        <v>790</v>
      </c>
      <c r="I747" s="47" t="s">
        <v>791</v>
      </c>
      <c r="J747" s="6">
        <v>64</v>
      </c>
      <c r="K747" s="8" t="s">
        <v>68</v>
      </c>
      <c r="L747" s="5">
        <v>24</v>
      </c>
      <c r="P747" s="3"/>
      <c r="Q747" s="3"/>
      <c r="R747" s="3"/>
    </row>
    <row r="748" spans="1:18" x14ac:dyDescent="0.2">
      <c r="A748" s="7" t="s">
        <v>16</v>
      </c>
      <c r="B748" s="7" t="s">
        <v>55</v>
      </c>
      <c r="C748" s="7" t="s">
        <v>18</v>
      </c>
      <c r="D748" s="4">
        <v>60922168005226</v>
      </c>
      <c r="E748" s="8" t="s">
        <v>379</v>
      </c>
      <c r="F748" s="8" t="s">
        <v>380</v>
      </c>
      <c r="G748" s="7" t="s">
        <v>259</v>
      </c>
      <c r="H748" s="47" t="s">
        <v>784</v>
      </c>
      <c r="I748" s="47" t="s">
        <v>785</v>
      </c>
      <c r="J748" s="6">
        <v>62</v>
      </c>
      <c r="K748" s="8" t="s">
        <v>74</v>
      </c>
      <c r="L748" s="5">
        <v>7</v>
      </c>
      <c r="P748" s="3"/>
      <c r="Q748" s="3"/>
      <c r="R748" s="3"/>
    </row>
    <row r="749" spans="1:18" x14ac:dyDescent="0.2">
      <c r="A749" s="7" t="s">
        <v>16</v>
      </c>
      <c r="B749" s="7" t="s">
        <v>55</v>
      </c>
      <c r="C749" s="7" t="s">
        <v>18</v>
      </c>
      <c r="D749" s="4">
        <v>60922168005226</v>
      </c>
      <c r="E749" s="8" t="s">
        <v>379</v>
      </c>
      <c r="F749" s="8" t="s">
        <v>380</v>
      </c>
      <c r="G749" s="7" t="s">
        <v>259</v>
      </c>
      <c r="H749" s="47" t="s">
        <v>784</v>
      </c>
      <c r="I749" s="47" t="s">
        <v>785</v>
      </c>
      <c r="J749" s="6">
        <v>64</v>
      </c>
      <c r="K749" s="8" t="s">
        <v>68</v>
      </c>
      <c r="L749" s="5">
        <v>2</v>
      </c>
      <c r="P749" s="3"/>
      <c r="Q749" s="3"/>
      <c r="R749" s="3"/>
    </row>
    <row r="750" spans="1:18" x14ac:dyDescent="0.2">
      <c r="A750" s="7" t="s">
        <v>16</v>
      </c>
      <c r="B750" s="7" t="s">
        <v>55</v>
      </c>
      <c r="C750" s="7" t="s">
        <v>18</v>
      </c>
      <c r="D750" s="4">
        <v>60975737003509</v>
      </c>
      <c r="E750" s="8" t="s">
        <v>381</v>
      </c>
      <c r="F750" s="8" t="s">
        <v>281</v>
      </c>
      <c r="G750" s="7" t="s">
        <v>282</v>
      </c>
      <c r="H750" s="47" t="s">
        <v>790</v>
      </c>
      <c r="I750" s="47" t="s">
        <v>791</v>
      </c>
      <c r="J750" s="6">
        <v>62</v>
      </c>
      <c r="K750" s="8" t="s">
        <v>74</v>
      </c>
      <c r="L750" s="5">
        <v>4</v>
      </c>
      <c r="P750" s="3"/>
      <c r="Q750" s="3"/>
      <c r="R750" s="3"/>
    </row>
    <row r="751" spans="1:18" x14ac:dyDescent="0.2">
      <c r="A751" s="7" t="s">
        <v>16</v>
      </c>
      <c r="B751" s="7" t="s">
        <v>55</v>
      </c>
      <c r="C751" s="7" t="s">
        <v>18</v>
      </c>
      <c r="D751" s="4">
        <v>60975737003509</v>
      </c>
      <c r="E751" s="8" t="s">
        <v>381</v>
      </c>
      <c r="F751" s="8" t="s">
        <v>281</v>
      </c>
      <c r="G751" s="7" t="s">
        <v>282</v>
      </c>
      <c r="H751" s="47" t="s">
        <v>790</v>
      </c>
      <c r="I751" s="47" t="s">
        <v>791</v>
      </c>
      <c r="J751" s="6">
        <v>64</v>
      </c>
      <c r="K751" s="8" t="s">
        <v>68</v>
      </c>
      <c r="L751" s="5">
        <v>6</v>
      </c>
      <c r="P751" s="3"/>
      <c r="Q751" s="3"/>
      <c r="R751" s="3"/>
    </row>
    <row r="752" spans="1:18" x14ac:dyDescent="0.2">
      <c r="A752" s="7" t="s">
        <v>16</v>
      </c>
      <c r="B752" s="7" t="s">
        <v>55</v>
      </c>
      <c r="C752" s="7" t="s">
        <v>18</v>
      </c>
      <c r="D752" s="4">
        <v>61590410000558</v>
      </c>
      <c r="E752" s="8" t="s">
        <v>382</v>
      </c>
      <c r="F752" s="8" t="s">
        <v>225</v>
      </c>
      <c r="G752" s="7" t="s">
        <v>226</v>
      </c>
      <c r="H752" s="47" t="s">
        <v>790</v>
      </c>
      <c r="I752" s="47" t="s">
        <v>791</v>
      </c>
      <c r="J752" s="6">
        <v>73</v>
      </c>
      <c r="K752" s="8" t="s">
        <v>69</v>
      </c>
      <c r="L752" s="5">
        <v>16</v>
      </c>
      <c r="P752" s="3"/>
      <c r="Q752" s="3"/>
      <c r="R752" s="3"/>
    </row>
    <row r="753" spans="1:18" x14ac:dyDescent="0.2">
      <c r="A753" s="7" t="s">
        <v>16</v>
      </c>
      <c r="B753" s="7" t="s">
        <v>55</v>
      </c>
      <c r="C753" s="7" t="s">
        <v>18</v>
      </c>
      <c r="D753" s="4">
        <v>68709211000212</v>
      </c>
      <c r="E753" s="8" t="s">
        <v>459</v>
      </c>
      <c r="F753" s="8" t="s">
        <v>369</v>
      </c>
      <c r="G753" s="7" t="s">
        <v>241</v>
      </c>
      <c r="H753" s="47" t="s">
        <v>784</v>
      </c>
      <c r="I753" s="47" t="s">
        <v>785</v>
      </c>
      <c r="J753" s="6">
        <v>64</v>
      </c>
      <c r="K753" s="8" t="s">
        <v>68</v>
      </c>
      <c r="L753" s="5">
        <v>1</v>
      </c>
      <c r="P753" s="3"/>
      <c r="Q753" s="3"/>
      <c r="R753" s="3"/>
    </row>
    <row r="754" spans="1:18" x14ac:dyDescent="0.2">
      <c r="A754" s="7" t="s">
        <v>16</v>
      </c>
      <c r="B754" s="7" t="s">
        <v>55</v>
      </c>
      <c r="C754" s="7" t="s">
        <v>18</v>
      </c>
      <c r="D754" s="4">
        <v>74031865000151</v>
      </c>
      <c r="E754" s="8" t="s">
        <v>383</v>
      </c>
      <c r="F754" s="8" t="s">
        <v>281</v>
      </c>
      <c r="G754" s="7" t="s">
        <v>282</v>
      </c>
      <c r="H754" s="47" t="s">
        <v>790</v>
      </c>
      <c r="I754" s="47" t="s">
        <v>791</v>
      </c>
      <c r="J754" s="6">
        <v>64</v>
      </c>
      <c r="K754" s="8" t="s">
        <v>68</v>
      </c>
      <c r="L754" s="5">
        <v>800</v>
      </c>
      <c r="P754" s="3"/>
      <c r="Q754" s="3"/>
      <c r="R754" s="3"/>
    </row>
    <row r="755" spans="1:18" x14ac:dyDescent="0.2">
      <c r="A755" s="7" t="s">
        <v>16</v>
      </c>
      <c r="B755" s="7" t="s">
        <v>55</v>
      </c>
      <c r="C755" s="7" t="s">
        <v>18</v>
      </c>
      <c r="D755" s="4">
        <v>77858611001414</v>
      </c>
      <c r="E755" s="8" t="s">
        <v>460</v>
      </c>
      <c r="F755" s="8" t="s">
        <v>344</v>
      </c>
      <c r="G755" s="7" t="s">
        <v>259</v>
      </c>
      <c r="H755" s="47" t="s">
        <v>784</v>
      </c>
      <c r="I755" s="47" t="s">
        <v>785</v>
      </c>
      <c r="J755" s="6">
        <v>64</v>
      </c>
      <c r="K755" s="8" t="s">
        <v>68</v>
      </c>
      <c r="L755" s="5">
        <v>5</v>
      </c>
      <c r="P755" s="3"/>
      <c r="Q755" s="3"/>
      <c r="R755" s="3"/>
    </row>
    <row r="756" spans="1:18" x14ac:dyDescent="0.2">
      <c r="A756" s="7" t="s">
        <v>16</v>
      </c>
      <c r="B756" s="7" t="s">
        <v>55</v>
      </c>
      <c r="C756" s="7" t="s">
        <v>18</v>
      </c>
      <c r="D756" s="4">
        <v>80673411000187</v>
      </c>
      <c r="E756" s="8" t="s">
        <v>387</v>
      </c>
      <c r="F756" s="8" t="s">
        <v>388</v>
      </c>
      <c r="G756" s="7" t="s">
        <v>259</v>
      </c>
      <c r="H756" s="47" t="s">
        <v>784</v>
      </c>
      <c r="I756" s="47" t="s">
        <v>785</v>
      </c>
      <c r="J756" s="6">
        <v>73</v>
      </c>
      <c r="K756" s="8" t="s">
        <v>69</v>
      </c>
      <c r="L756" s="5">
        <v>48</v>
      </c>
      <c r="P756" s="3"/>
      <c r="Q756" s="3"/>
      <c r="R756" s="3"/>
    </row>
    <row r="757" spans="1:18" x14ac:dyDescent="0.2">
      <c r="A757" s="7" t="s">
        <v>16</v>
      </c>
      <c r="B757" s="7" t="s">
        <v>55</v>
      </c>
      <c r="C757" s="7" t="s">
        <v>18</v>
      </c>
      <c r="D757" s="4">
        <v>83899526000425</v>
      </c>
      <c r="E757" s="8" t="s">
        <v>389</v>
      </c>
      <c r="F757" s="8" t="s">
        <v>388</v>
      </c>
      <c r="G757" s="7" t="s">
        <v>259</v>
      </c>
      <c r="H757" s="47" t="s">
        <v>784</v>
      </c>
      <c r="I757" s="47" t="s">
        <v>785</v>
      </c>
      <c r="J757" s="6">
        <v>62</v>
      </c>
      <c r="K757" s="8" t="s">
        <v>74</v>
      </c>
      <c r="L757" s="5">
        <v>3</v>
      </c>
      <c r="P757" s="3"/>
      <c r="Q757" s="3"/>
      <c r="R757" s="3"/>
    </row>
    <row r="758" spans="1:18" x14ac:dyDescent="0.2">
      <c r="A758" s="7" t="s">
        <v>16</v>
      </c>
      <c r="B758" s="7" t="s">
        <v>55</v>
      </c>
      <c r="C758" s="7" t="s">
        <v>18</v>
      </c>
      <c r="D758" s="4">
        <v>85377174000392</v>
      </c>
      <c r="E758" s="8" t="s">
        <v>390</v>
      </c>
      <c r="F758" s="8" t="s">
        <v>258</v>
      </c>
      <c r="G758" s="7" t="s">
        <v>259</v>
      </c>
      <c r="H758" s="47" t="s">
        <v>784</v>
      </c>
      <c r="I758" s="47" t="s">
        <v>785</v>
      </c>
      <c r="J758" s="6">
        <v>73</v>
      </c>
      <c r="K758" s="8" t="s">
        <v>69</v>
      </c>
      <c r="L758" s="5">
        <v>12</v>
      </c>
      <c r="P758" s="3"/>
      <c r="Q758" s="3"/>
      <c r="R758" s="3"/>
    </row>
    <row r="759" spans="1:18" x14ac:dyDescent="0.2">
      <c r="A759" s="7" t="s">
        <v>16</v>
      </c>
      <c r="B759" s="7" t="s">
        <v>55</v>
      </c>
      <c r="C759" s="7" t="s">
        <v>18</v>
      </c>
      <c r="D759" s="4">
        <v>87020517000120</v>
      </c>
      <c r="E759" s="8" t="s">
        <v>391</v>
      </c>
      <c r="F759" s="8" t="s">
        <v>305</v>
      </c>
      <c r="G759" s="7" t="s">
        <v>253</v>
      </c>
      <c r="H759" s="47" t="s">
        <v>784</v>
      </c>
      <c r="I759" s="47" t="s">
        <v>785</v>
      </c>
      <c r="J759" s="6">
        <v>62</v>
      </c>
      <c r="K759" s="8" t="s">
        <v>74</v>
      </c>
      <c r="L759" s="5">
        <v>30</v>
      </c>
      <c r="P759" s="3"/>
      <c r="Q759" s="3"/>
      <c r="R759" s="3"/>
    </row>
    <row r="760" spans="1:18" x14ac:dyDescent="0.2">
      <c r="A760" s="7" t="s">
        <v>16</v>
      </c>
      <c r="B760" s="7" t="s">
        <v>55</v>
      </c>
      <c r="C760" s="7" t="s">
        <v>18</v>
      </c>
      <c r="D760" s="4">
        <v>87020517000120</v>
      </c>
      <c r="E760" s="8" t="s">
        <v>391</v>
      </c>
      <c r="F760" s="8" t="s">
        <v>305</v>
      </c>
      <c r="G760" s="7" t="s">
        <v>253</v>
      </c>
      <c r="H760" s="47" t="s">
        <v>784</v>
      </c>
      <c r="I760" s="47" t="s">
        <v>785</v>
      </c>
      <c r="J760" s="6">
        <v>64</v>
      </c>
      <c r="K760" s="8" t="s">
        <v>68</v>
      </c>
      <c r="L760" s="5">
        <v>8</v>
      </c>
      <c r="P760" s="3"/>
      <c r="Q760" s="3"/>
      <c r="R760" s="3"/>
    </row>
    <row r="761" spans="1:18" x14ac:dyDescent="0.2">
      <c r="A761" s="7" t="s">
        <v>16</v>
      </c>
      <c r="B761" s="7" t="s">
        <v>55</v>
      </c>
      <c r="C761" s="7" t="s">
        <v>18</v>
      </c>
      <c r="D761" s="4">
        <v>87317764001084</v>
      </c>
      <c r="E761" s="8" t="s">
        <v>461</v>
      </c>
      <c r="F761" s="8" t="s">
        <v>305</v>
      </c>
      <c r="G761" s="7" t="s">
        <v>253</v>
      </c>
      <c r="H761" s="47" t="s">
        <v>784</v>
      </c>
      <c r="I761" s="47" t="s">
        <v>785</v>
      </c>
      <c r="J761" s="6">
        <v>62</v>
      </c>
      <c r="K761" s="8" t="s">
        <v>74</v>
      </c>
      <c r="L761" s="5">
        <v>4</v>
      </c>
      <c r="P761" s="3"/>
      <c r="Q761" s="3"/>
      <c r="R761" s="3"/>
    </row>
    <row r="762" spans="1:18" x14ac:dyDescent="0.2">
      <c r="A762" s="7" t="s">
        <v>16</v>
      </c>
      <c r="B762" s="7" t="s">
        <v>55</v>
      </c>
      <c r="C762" s="7" t="s">
        <v>18</v>
      </c>
      <c r="D762" s="4">
        <v>87547444000120</v>
      </c>
      <c r="E762" s="8" t="s">
        <v>392</v>
      </c>
      <c r="F762" s="8" t="s">
        <v>393</v>
      </c>
      <c r="G762" s="7" t="s">
        <v>253</v>
      </c>
      <c r="H762" s="47" t="s">
        <v>784</v>
      </c>
      <c r="I762" s="47" t="s">
        <v>785</v>
      </c>
      <c r="J762" s="6">
        <v>64</v>
      </c>
      <c r="K762" s="8" t="s">
        <v>68</v>
      </c>
      <c r="L762" s="5">
        <v>5</v>
      </c>
      <c r="P762" s="3"/>
      <c r="Q762" s="3"/>
      <c r="R762" s="3"/>
    </row>
    <row r="763" spans="1:18" x14ac:dyDescent="0.2">
      <c r="A763" s="7" t="s">
        <v>16</v>
      </c>
      <c r="B763" s="7" t="s">
        <v>55</v>
      </c>
      <c r="C763" s="7" t="s">
        <v>18</v>
      </c>
      <c r="D763" s="4">
        <v>87827689002405</v>
      </c>
      <c r="E763" s="8" t="s">
        <v>394</v>
      </c>
      <c r="F763" s="8" t="s">
        <v>252</v>
      </c>
      <c r="G763" s="7" t="s">
        <v>253</v>
      </c>
      <c r="H763" s="47" t="s">
        <v>784</v>
      </c>
      <c r="I763" s="47" t="s">
        <v>785</v>
      </c>
      <c r="J763" s="6">
        <v>73</v>
      </c>
      <c r="K763" s="8" t="s">
        <v>69</v>
      </c>
      <c r="L763" s="5">
        <v>274</v>
      </c>
      <c r="P763" s="3"/>
      <c r="Q763" s="3"/>
      <c r="R763" s="3"/>
    </row>
    <row r="764" spans="1:18" x14ac:dyDescent="0.2">
      <c r="A764" s="7" t="s">
        <v>16</v>
      </c>
      <c r="B764" s="7" t="s">
        <v>55</v>
      </c>
      <c r="C764" s="7" t="s">
        <v>18</v>
      </c>
      <c r="D764" s="4">
        <v>88625686002443</v>
      </c>
      <c r="E764" s="8" t="s">
        <v>396</v>
      </c>
      <c r="F764" s="8" t="s">
        <v>305</v>
      </c>
      <c r="G764" s="7" t="s">
        <v>253</v>
      </c>
      <c r="H764" s="47" t="s">
        <v>784</v>
      </c>
      <c r="I764" s="47" t="s">
        <v>785</v>
      </c>
      <c r="J764" s="6">
        <v>64</v>
      </c>
      <c r="K764" s="8" t="s">
        <v>68</v>
      </c>
      <c r="L764" s="5">
        <v>10</v>
      </c>
      <c r="P764" s="3"/>
      <c r="Q764" s="3"/>
      <c r="R764" s="3"/>
    </row>
    <row r="765" spans="1:18" x14ac:dyDescent="0.2">
      <c r="A765" s="7" t="s">
        <v>16</v>
      </c>
      <c r="B765" s="7" t="s">
        <v>55</v>
      </c>
      <c r="C765" s="7" t="s">
        <v>18</v>
      </c>
      <c r="D765" s="4">
        <v>88630413000796</v>
      </c>
      <c r="E765" s="8" t="s">
        <v>397</v>
      </c>
      <c r="F765" s="8" t="s">
        <v>305</v>
      </c>
      <c r="G765" s="7" t="s">
        <v>253</v>
      </c>
      <c r="H765" s="47" t="s">
        <v>784</v>
      </c>
      <c r="I765" s="47" t="s">
        <v>785</v>
      </c>
      <c r="J765" s="6">
        <v>62</v>
      </c>
      <c r="K765" s="8" t="s">
        <v>74</v>
      </c>
      <c r="L765" s="5">
        <v>3</v>
      </c>
      <c r="P765" s="3"/>
      <c r="Q765" s="3"/>
      <c r="R765" s="3"/>
    </row>
    <row r="766" spans="1:18" x14ac:dyDescent="0.2">
      <c r="A766" s="7" t="s">
        <v>16</v>
      </c>
      <c r="B766" s="7" t="s">
        <v>55</v>
      </c>
      <c r="C766" s="7" t="s">
        <v>18</v>
      </c>
      <c r="D766" s="4">
        <v>88645403001372</v>
      </c>
      <c r="E766" s="8" t="s">
        <v>462</v>
      </c>
      <c r="F766" s="8" t="s">
        <v>252</v>
      </c>
      <c r="G766" s="7" t="s">
        <v>253</v>
      </c>
      <c r="H766" s="47" t="s">
        <v>784</v>
      </c>
      <c r="I766" s="47" t="s">
        <v>785</v>
      </c>
      <c r="J766" s="6">
        <v>73</v>
      </c>
      <c r="K766" s="8" t="s">
        <v>69</v>
      </c>
      <c r="L766" s="5">
        <v>32</v>
      </c>
      <c r="P766" s="3"/>
      <c r="Q766" s="3"/>
      <c r="R766" s="3"/>
    </row>
    <row r="767" spans="1:18" x14ac:dyDescent="0.2">
      <c r="A767" s="7" t="s">
        <v>16</v>
      </c>
      <c r="B767" s="7" t="s">
        <v>55</v>
      </c>
      <c r="C767" s="7" t="s">
        <v>18</v>
      </c>
      <c r="D767" s="4">
        <v>92404789000164</v>
      </c>
      <c r="E767" s="8" t="s">
        <v>463</v>
      </c>
      <c r="F767" s="8" t="s">
        <v>464</v>
      </c>
      <c r="G767" s="7" t="s">
        <v>253</v>
      </c>
      <c r="H767" s="47" t="s">
        <v>784</v>
      </c>
      <c r="I767" s="47" t="s">
        <v>785</v>
      </c>
      <c r="J767" s="6">
        <v>73</v>
      </c>
      <c r="K767" s="8" t="s">
        <v>69</v>
      </c>
      <c r="L767" s="5">
        <v>8</v>
      </c>
      <c r="P767" s="3"/>
      <c r="Q767" s="3"/>
      <c r="R767" s="3"/>
    </row>
    <row r="768" spans="1:18" x14ac:dyDescent="0.2">
      <c r="A768" s="7" t="s">
        <v>16</v>
      </c>
      <c r="B768" s="7" t="s">
        <v>55</v>
      </c>
      <c r="C768" s="7" t="s">
        <v>18</v>
      </c>
      <c r="D768" s="4">
        <v>92685833000151</v>
      </c>
      <c r="E768" s="8" t="s">
        <v>400</v>
      </c>
      <c r="F768" s="8" t="s">
        <v>305</v>
      </c>
      <c r="G768" s="7" t="s">
        <v>253</v>
      </c>
      <c r="H768" s="47" t="s">
        <v>784</v>
      </c>
      <c r="I768" s="47" t="s">
        <v>785</v>
      </c>
      <c r="J768" s="6">
        <v>64</v>
      </c>
      <c r="K768" s="8" t="s">
        <v>68</v>
      </c>
      <c r="L768" s="5">
        <v>14</v>
      </c>
      <c r="P768" s="3"/>
      <c r="Q768" s="3"/>
      <c r="R768" s="3"/>
    </row>
    <row r="769" spans="1:18" x14ac:dyDescent="0.2">
      <c r="A769" s="7" t="s">
        <v>16</v>
      </c>
      <c r="B769" s="7" t="s">
        <v>55</v>
      </c>
      <c r="C769" s="7" t="s">
        <v>18</v>
      </c>
      <c r="D769" s="4">
        <v>92685833000151</v>
      </c>
      <c r="E769" s="8" t="s">
        <v>400</v>
      </c>
      <c r="F769" s="8" t="s">
        <v>305</v>
      </c>
      <c r="G769" s="7" t="s">
        <v>253</v>
      </c>
      <c r="H769" s="47" t="s">
        <v>784</v>
      </c>
      <c r="I769" s="47" t="s">
        <v>785</v>
      </c>
      <c r="J769" s="6">
        <v>73</v>
      </c>
      <c r="K769" s="8" t="s">
        <v>69</v>
      </c>
      <c r="L769" s="5">
        <v>8</v>
      </c>
      <c r="P769" s="3"/>
      <c r="Q769" s="3"/>
      <c r="R769" s="3"/>
    </row>
    <row r="770" spans="1:18" x14ac:dyDescent="0.2">
      <c r="A770" s="7" t="s">
        <v>16</v>
      </c>
      <c r="B770" s="7" t="s">
        <v>55</v>
      </c>
      <c r="C770" s="7" t="s">
        <v>18</v>
      </c>
      <c r="D770" s="4">
        <v>92741016000254</v>
      </c>
      <c r="E770" s="8" t="s">
        <v>401</v>
      </c>
      <c r="F770" s="8" t="s">
        <v>305</v>
      </c>
      <c r="G770" s="7" t="s">
        <v>253</v>
      </c>
      <c r="H770" s="47" t="s">
        <v>784</v>
      </c>
      <c r="I770" s="47" t="s">
        <v>785</v>
      </c>
      <c r="J770" s="6">
        <v>62</v>
      </c>
      <c r="K770" s="8" t="s">
        <v>74</v>
      </c>
      <c r="L770" s="5">
        <v>3</v>
      </c>
      <c r="P770" s="3"/>
      <c r="Q770" s="3"/>
      <c r="R770" s="3"/>
    </row>
    <row r="771" spans="1:18" x14ac:dyDescent="0.2">
      <c r="A771" s="7" t="s">
        <v>16</v>
      </c>
      <c r="B771" s="7" t="s">
        <v>55</v>
      </c>
      <c r="C771" s="7" t="s">
        <v>18</v>
      </c>
      <c r="D771" s="4">
        <v>92741016000254</v>
      </c>
      <c r="E771" s="8" t="s">
        <v>401</v>
      </c>
      <c r="F771" s="8" t="s">
        <v>305</v>
      </c>
      <c r="G771" s="7" t="s">
        <v>253</v>
      </c>
      <c r="H771" s="47" t="s">
        <v>784</v>
      </c>
      <c r="I771" s="47" t="s">
        <v>785</v>
      </c>
      <c r="J771" s="6">
        <v>64</v>
      </c>
      <c r="K771" s="8" t="s">
        <v>68</v>
      </c>
      <c r="L771" s="5">
        <v>11</v>
      </c>
      <c r="P771" s="3"/>
      <c r="Q771" s="3"/>
      <c r="R771" s="3"/>
    </row>
    <row r="772" spans="1:18" x14ac:dyDescent="0.2">
      <c r="A772" s="7" t="s">
        <v>16</v>
      </c>
      <c r="B772" s="7" t="s">
        <v>55</v>
      </c>
      <c r="C772" s="7" t="s">
        <v>18</v>
      </c>
      <c r="D772" s="4">
        <v>92815000000168</v>
      </c>
      <c r="E772" s="8" t="s">
        <v>403</v>
      </c>
      <c r="F772" s="8" t="s">
        <v>305</v>
      </c>
      <c r="G772" s="7" t="s">
        <v>253</v>
      </c>
      <c r="H772" s="47" t="s">
        <v>784</v>
      </c>
      <c r="I772" s="47" t="s">
        <v>785</v>
      </c>
      <c r="J772" s="6">
        <v>62</v>
      </c>
      <c r="K772" s="8" t="s">
        <v>74</v>
      </c>
      <c r="L772" s="5">
        <v>56</v>
      </c>
      <c r="P772" s="3"/>
      <c r="Q772" s="3"/>
      <c r="R772" s="3"/>
    </row>
    <row r="773" spans="1:18" x14ac:dyDescent="0.2">
      <c r="A773" s="7" t="s">
        <v>16</v>
      </c>
      <c r="B773" s="7" t="s">
        <v>55</v>
      </c>
      <c r="C773" s="7" t="s">
        <v>18</v>
      </c>
      <c r="D773" s="4">
        <v>92815000000168</v>
      </c>
      <c r="E773" s="8" t="s">
        <v>403</v>
      </c>
      <c r="F773" s="8" t="s">
        <v>305</v>
      </c>
      <c r="G773" s="7" t="s">
        <v>253</v>
      </c>
      <c r="H773" s="47" t="s">
        <v>784</v>
      </c>
      <c r="I773" s="47" t="s">
        <v>785</v>
      </c>
      <c r="J773" s="6">
        <v>64</v>
      </c>
      <c r="K773" s="8" t="s">
        <v>68</v>
      </c>
      <c r="L773" s="5">
        <v>23</v>
      </c>
      <c r="P773" s="3"/>
      <c r="Q773" s="3"/>
      <c r="R773" s="3"/>
    </row>
    <row r="774" spans="1:18" x14ac:dyDescent="0.2">
      <c r="A774" s="7" t="s">
        <v>16</v>
      </c>
      <c r="B774" s="7" t="s">
        <v>55</v>
      </c>
      <c r="C774" s="7" t="s">
        <v>18</v>
      </c>
      <c r="D774" s="4">
        <v>92815000000168</v>
      </c>
      <c r="E774" s="8" t="s">
        <v>403</v>
      </c>
      <c r="F774" s="8" t="s">
        <v>305</v>
      </c>
      <c r="G774" s="7" t="s">
        <v>253</v>
      </c>
      <c r="H774" s="47" t="s">
        <v>784</v>
      </c>
      <c r="I774" s="47" t="s">
        <v>785</v>
      </c>
      <c r="J774" s="6">
        <v>73</v>
      </c>
      <c r="K774" s="8" t="s">
        <v>69</v>
      </c>
      <c r="L774" s="5">
        <v>54</v>
      </c>
      <c r="P774" s="3"/>
      <c r="Q774" s="3"/>
      <c r="R774" s="3"/>
    </row>
    <row r="775" spans="1:18" x14ac:dyDescent="0.2">
      <c r="A775" s="7" t="s">
        <v>16</v>
      </c>
      <c r="B775" s="7" t="s">
        <v>55</v>
      </c>
      <c r="C775" s="7" t="s">
        <v>18</v>
      </c>
      <c r="D775" s="4">
        <v>92898550000198</v>
      </c>
      <c r="E775" s="8" t="s">
        <v>404</v>
      </c>
      <c r="F775" s="8" t="s">
        <v>305</v>
      </c>
      <c r="G775" s="7" t="s">
        <v>253</v>
      </c>
      <c r="H775" s="47" t="s">
        <v>784</v>
      </c>
      <c r="I775" s="47" t="s">
        <v>785</v>
      </c>
      <c r="J775" s="6">
        <v>62</v>
      </c>
      <c r="K775" s="8" t="s">
        <v>74</v>
      </c>
      <c r="L775" s="5">
        <v>2</v>
      </c>
      <c r="P775" s="3"/>
      <c r="Q775" s="3"/>
      <c r="R775" s="3"/>
    </row>
    <row r="776" spans="1:18" x14ac:dyDescent="0.2">
      <c r="A776" s="7" t="s">
        <v>16</v>
      </c>
      <c r="B776" s="7" t="s">
        <v>55</v>
      </c>
      <c r="C776" s="7" t="s">
        <v>18</v>
      </c>
      <c r="D776" s="4">
        <v>92963560000160</v>
      </c>
      <c r="E776" s="8" t="s">
        <v>465</v>
      </c>
      <c r="F776" s="8" t="s">
        <v>305</v>
      </c>
      <c r="G776" s="7" t="s">
        <v>253</v>
      </c>
      <c r="H776" s="47" t="s">
        <v>784</v>
      </c>
      <c r="I776" s="47" t="s">
        <v>785</v>
      </c>
      <c r="J776" s="6">
        <v>64</v>
      </c>
      <c r="K776" s="8" t="s">
        <v>68</v>
      </c>
      <c r="L776" s="5">
        <v>20</v>
      </c>
      <c r="P776" s="3"/>
      <c r="Q776" s="3"/>
      <c r="R776" s="3"/>
    </row>
    <row r="777" spans="1:18" x14ac:dyDescent="0.2">
      <c r="A777" s="7" t="s">
        <v>16</v>
      </c>
      <c r="B777" s="7" t="s">
        <v>55</v>
      </c>
      <c r="C777" s="7" t="s">
        <v>18</v>
      </c>
      <c r="D777" s="4">
        <v>95610887000146</v>
      </c>
      <c r="E777" s="8" t="s">
        <v>406</v>
      </c>
      <c r="F777" s="8" t="s">
        <v>331</v>
      </c>
      <c r="G777" s="7" t="s">
        <v>253</v>
      </c>
      <c r="H777" s="47" t="s">
        <v>784</v>
      </c>
      <c r="I777" s="47" t="s">
        <v>785</v>
      </c>
      <c r="J777" s="6">
        <v>62</v>
      </c>
      <c r="K777" s="8" t="s">
        <v>74</v>
      </c>
      <c r="L777" s="5">
        <v>9</v>
      </c>
      <c r="P777" s="3"/>
      <c r="Q777" s="3"/>
      <c r="R777" s="3"/>
    </row>
    <row r="778" spans="1:18" x14ac:dyDescent="0.2">
      <c r="A778" s="7" t="s">
        <v>16</v>
      </c>
      <c r="B778" s="7" t="s">
        <v>55</v>
      </c>
      <c r="C778" s="7" t="s">
        <v>18</v>
      </c>
      <c r="D778" s="4">
        <v>95610887000146</v>
      </c>
      <c r="E778" s="8" t="s">
        <v>406</v>
      </c>
      <c r="F778" s="8" t="s">
        <v>331</v>
      </c>
      <c r="G778" s="7" t="s">
        <v>253</v>
      </c>
      <c r="H778" s="47" t="s">
        <v>784</v>
      </c>
      <c r="I778" s="47" t="s">
        <v>785</v>
      </c>
      <c r="J778" s="6">
        <v>64</v>
      </c>
      <c r="K778" s="8" t="s">
        <v>68</v>
      </c>
      <c r="L778" s="5">
        <v>9</v>
      </c>
      <c r="P778" s="3"/>
      <c r="Q778" s="3"/>
      <c r="R778" s="3"/>
    </row>
    <row r="779" spans="1:18" x14ac:dyDescent="0.2">
      <c r="A779" s="7" t="s">
        <v>16</v>
      </c>
      <c r="B779" s="7" t="s">
        <v>60</v>
      </c>
      <c r="C779" s="7" t="s">
        <v>18</v>
      </c>
      <c r="D779" s="4">
        <v>9324322559</v>
      </c>
      <c r="E779" s="8" t="s">
        <v>466</v>
      </c>
      <c r="F779" s="8" t="s">
        <v>278</v>
      </c>
      <c r="G779" s="7" t="s">
        <v>276</v>
      </c>
      <c r="H779" s="47" t="s">
        <v>790</v>
      </c>
      <c r="I779" s="47" t="s">
        <v>791</v>
      </c>
      <c r="J779" s="6">
        <v>73</v>
      </c>
      <c r="K779" s="8" t="s">
        <v>69</v>
      </c>
      <c r="L779" s="5">
        <v>5</v>
      </c>
      <c r="P779" s="3"/>
      <c r="Q779" s="3"/>
      <c r="R779" s="3"/>
    </row>
    <row r="780" spans="1:18" x14ac:dyDescent="0.2">
      <c r="A780" s="7" t="s">
        <v>16</v>
      </c>
      <c r="B780" s="7" t="s">
        <v>60</v>
      </c>
      <c r="C780" s="7" t="s">
        <v>18</v>
      </c>
      <c r="D780" s="4">
        <v>12371009253</v>
      </c>
      <c r="E780" s="8" t="s">
        <v>218</v>
      </c>
      <c r="F780" s="8" t="s">
        <v>219</v>
      </c>
      <c r="G780" s="7" t="s">
        <v>220</v>
      </c>
      <c r="H780" s="47" t="s">
        <v>790</v>
      </c>
      <c r="I780" s="47" t="s">
        <v>791</v>
      </c>
      <c r="J780" s="6">
        <v>73</v>
      </c>
      <c r="K780" s="8" t="s">
        <v>69</v>
      </c>
      <c r="L780" s="5">
        <v>12</v>
      </c>
      <c r="P780" s="3"/>
      <c r="Q780" s="3"/>
      <c r="R780" s="3"/>
    </row>
    <row r="781" spans="1:18" x14ac:dyDescent="0.2">
      <c r="A781" s="7" t="s">
        <v>16</v>
      </c>
      <c r="B781" s="7" t="s">
        <v>60</v>
      </c>
      <c r="C781" s="7" t="s">
        <v>18</v>
      </c>
      <c r="D781" s="4">
        <v>25841000153</v>
      </c>
      <c r="E781" s="8" t="s">
        <v>467</v>
      </c>
      <c r="F781" s="8" t="s">
        <v>225</v>
      </c>
      <c r="G781" s="7" t="s">
        <v>226</v>
      </c>
      <c r="H781" s="47" t="s">
        <v>790</v>
      </c>
      <c r="I781" s="47" t="s">
        <v>791</v>
      </c>
      <c r="J781" s="6">
        <v>62</v>
      </c>
      <c r="K781" s="8" t="s">
        <v>74</v>
      </c>
      <c r="L781" s="5">
        <v>4</v>
      </c>
      <c r="P781" s="3"/>
      <c r="Q781" s="3"/>
      <c r="R781" s="3"/>
    </row>
    <row r="782" spans="1:18" x14ac:dyDescent="0.2">
      <c r="A782" s="7" t="s">
        <v>16</v>
      </c>
      <c r="B782" s="7" t="s">
        <v>60</v>
      </c>
      <c r="C782" s="7" t="s">
        <v>18</v>
      </c>
      <c r="D782" s="4">
        <v>44482299472</v>
      </c>
      <c r="E782" s="8" t="s">
        <v>468</v>
      </c>
      <c r="F782" s="8" t="s">
        <v>361</v>
      </c>
      <c r="G782" s="7" t="s">
        <v>362</v>
      </c>
      <c r="H782" s="47" t="s">
        <v>790</v>
      </c>
      <c r="I782" s="47" t="s">
        <v>791</v>
      </c>
      <c r="J782" s="6">
        <v>66</v>
      </c>
      <c r="K782" s="8" t="s">
        <v>99</v>
      </c>
      <c r="L782" s="5">
        <v>90</v>
      </c>
      <c r="P782" s="3"/>
      <c r="Q782" s="3"/>
      <c r="R782" s="3"/>
    </row>
    <row r="783" spans="1:18" x14ac:dyDescent="0.2">
      <c r="A783" s="7" t="s">
        <v>16</v>
      </c>
      <c r="B783" s="7" t="s">
        <v>60</v>
      </c>
      <c r="C783" s="7" t="s">
        <v>18</v>
      </c>
      <c r="D783" s="4">
        <v>48063983904</v>
      </c>
      <c r="E783" s="8" t="s">
        <v>469</v>
      </c>
      <c r="F783" s="8" t="s">
        <v>388</v>
      </c>
      <c r="G783" s="7" t="s">
        <v>259</v>
      </c>
      <c r="H783" s="47" t="s">
        <v>784</v>
      </c>
      <c r="I783" s="47" t="s">
        <v>785</v>
      </c>
      <c r="J783" s="6">
        <v>66</v>
      </c>
      <c r="K783" s="8" t="s">
        <v>99</v>
      </c>
      <c r="L783" s="5">
        <v>59</v>
      </c>
      <c r="P783" s="3"/>
      <c r="Q783" s="3"/>
      <c r="R783" s="3"/>
    </row>
    <row r="784" spans="1:18" x14ac:dyDescent="0.2">
      <c r="A784" s="7" t="s">
        <v>16</v>
      </c>
      <c r="B784" s="7" t="s">
        <v>60</v>
      </c>
      <c r="C784" s="7" t="s">
        <v>18</v>
      </c>
      <c r="D784" s="4">
        <v>49791000144</v>
      </c>
      <c r="E784" s="8" t="s">
        <v>224</v>
      </c>
      <c r="F784" s="8" t="s">
        <v>225</v>
      </c>
      <c r="G784" s="7" t="s">
        <v>226</v>
      </c>
      <c r="H784" s="47" t="s">
        <v>790</v>
      </c>
      <c r="I784" s="47" t="s">
        <v>791</v>
      </c>
      <c r="J784" s="6">
        <v>64</v>
      </c>
      <c r="K784" s="8" t="s">
        <v>68</v>
      </c>
      <c r="L784" s="5">
        <v>1</v>
      </c>
      <c r="P784" s="3"/>
      <c r="Q784" s="3"/>
      <c r="R784" s="3"/>
    </row>
    <row r="785" spans="1:18" x14ac:dyDescent="0.2">
      <c r="A785" s="7" t="s">
        <v>16</v>
      </c>
      <c r="B785" s="7" t="s">
        <v>60</v>
      </c>
      <c r="C785" s="7" t="s">
        <v>18</v>
      </c>
      <c r="D785" s="4">
        <v>83925694404</v>
      </c>
      <c r="E785" s="8" t="s">
        <v>227</v>
      </c>
      <c r="F785" s="8" t="s">
        <v>228</v>
      </c>
      <c r="G785" s="7" t="s">
        <v>229</v>
      </c>
      <c r="H785" s="47" t="s">
        <v>790</v>
      </c>
      <c r="I785" s="47" t="s">
        <v>791</v>
      </c>
      <c r="J785" s="6">
        <v>66</v>
      </c>
      <c r="K785" s="8" t="s">
        <v>99</v>
      </c>
      <c r="L785" s="5">
        <v>26</v>
      </c>
      <c r="P785" s="3"/>
      <c r="Q785" s="3"/>
      <c r="R785" s="3"/>
    </row>
    <row r="786" spans="1:18" x14ac:dyDescent="0.2">
      <c r="A786" s="7" t="s">
        <v>16</v>
      </c>
      <c r="B786" s="7" t="s">
        <v>60</v>
      </c>
      <c r="C786" s="7" t="s">
        <v>18</v>
      </c>
      <c r="D786" s="4">
        <v>85465526149</v>
      </c>
      <c r="E786" s="8" t="s">
        <v>470</v>
      </c>
      <c r="F786" s="8" t="s">
        <v>225</v>
      </c>
      <c r="G786" s="7" t="s">
        <v>226</v>
      </c>
      <c r="H786" s="47" t="s">
        <v>790</v>
      </c>
      <c r="I786" s="47" t="s">
        <v>791</v>
      </c>
      <c r="J786" s="6">
        <v>66</v>
      </c>
      <c r="K786" s="8" t="s">
        <v>99</v>
      </c>
      <c r="L786" s="5">
        <v>3</v>
      </c>
      <c r="P786" s="3"/>
      <c r="Q786" s="3"/>
      <c r="R786" s="3"/>
    </row>
    <row r="787" spans="1:18" x14ac:dyDescent="0.2">
      <c r="A787" s="7" t="s">
        <v>16</v>
      </c>
      <c r="B787" s="7" t="s">
        <v>60</v>
      </c>
      <c r="C787" s="7" t="s">
        <v>18</v>
      </c>
      <c r="D787" s="4">
        <v>93326645287</v>
      </c>
      <c r="E787" s="8" t="s">
        <v>471</v>
      </c>
      <c r="F787" s="8" t="s">
        <v>219</v>
      </c>
      <c r="G787" s="7" t="s">
        <v>220</v>
      </c>
      <c r="H787" s="47" t="s">
        <v>790</v>
      </c>
      <c r="I787" s="47" t="s">
        <v>791</v>
      </c>
      <c r="J787" s="6">
        <v>73</v>
      </c>
      <c r="K787" s="8" t="s">
        <v>69</v>
      </c>
      <c r="L787" s="5">
        <v>16</v>
      </c>
      <c r="P787" s="3"/>
      <c r="Q787" s="3"/>
      <c r="R787" s="3"/>
    </row>
    <row r="788" spans="1:18" x14ac:dyDescent="0.2">
      <c r="A788" s="7" t="s">
        <v>16</v>
      </c>
      <c r="B788" s="7" t="s">
        <v>60</v>
      </c>
      <c r="C788" s="7" t="s">
        <v>18</v>
      </c>
      <c r="D788" s="4">
        <v>382069000127</v>
      </c>
      <c r="E788" s="8" t="s">
        <v>472</v>
      </c>
      <c r="F788" s="8" t="s">
        <v>225</v>
      </c>
      <c r="G788" s="7" t="s">
        <v>226</v>
      </c>
      <c r="H788" s="47" t="s">
        <v>790</v>
      </c>
      <c r="I788" s="47" t="s">
        <v>791</v>
      </c>
      <c r="J788" s="6">
        <v>64</v>
      </c>
      <c r="K788" s="8" t="s">
        <v>68</v>
      </c>
      <c r="L788" s="5">
        <v>4</v>
      </c>
      <c r="P788" s="3"/>
      <c r="Q788" s="3"/>
      <c r="R788" s="3"/>
    </row>
    <row r="789" spans="1:18" x14ac:dyDescent="0.2">
      <c r="A789" s="7" t="s">
        <v>16</v>
      </c>
      <c r="B789" s="7" t="s">
        <v>60</v>
      </c>
      <c r="C789" s="7" t="s">
        <v>18</v>
      </c>
      <c r="D789" s="4">
        <v>394544000851</v>
      </c>
      <c r="E789" s="8" t="s">
        <v>412</v>
      </c>
      <c r="F789" s="8" t="s">
        <v>225</v>
      </c>
      <c r="G789" s="7" t="s">
        <v>226</v>
      </c>
      <c r="H789" s="47" t="s">
        <v>790</v>
      </c>
      <c r="I789" s="47" t="s">
        <v>791</v>
      </c>
      <c r="J789" s="6">
        <v>62</v>
      </c>
      <c r="K789" s="8" t="s">
        <v>74</v>
      </c>
      <c r="L789" s="5">
        <v>1050</v>
      </c>
      <c r="P789" s="3"/>
      <c r="Q789" s="3"/>
      <c r="R789" s="3"/>
    </row>
    <row r="790" spans="1:18" x14ac:dyDescent="0.2">
      <c r="A790" s="7" t="s">
        <v>16</v>
      </c>
      <c r="B790" s="7" t="s">
        <v>60</v>
      </c>
      <c r="C790" s="7" t="s">
        <v>18</v>
      </c>
      <c r="D790" s="4">
        <v>410960000120</v>
      </c>
      <c r="E790" s="8" t="s">
        <v>234</v>
      </c>
      <c r="F790" s="8" t="s">
        <v>235</v>
      </c>
      <c r="G790" s="7" t="s">
        <v>223</v>
      </c>
      <c r="H790" s="47" t="s">
        <v>784</v>
      </c>
      <c r="I790" s="47" t="s">
        <v>785</v>
      </c>
      <c r="J790" s="6">
        <v>73</v>
      </c>
      <c r="K790" s="8" t="s">
        <v>69</v>
      </c>
      <c r="L790" s="5">
        <v>46</v>
      </c>
      <c r="P790" s="3"/>
      <c r="Q790" s="3"/>
      <c r="R790" s="3"/>
    </row>
    <row r="791" spans="1:18" x14ac:dyDescent="0.2">
      <c r="A791" s="7" t="s">
        <v>16</v>
      </c>
      <c r="B791" s="7" t="s">
        <v>60</v>
      </c>
      <c r="C791" s="7" t="s">
        <v>18</v>
      </c>
      <c r="D791" s="4">
        <v>418954000119</v>
      </c>
      <c r="E791" s="8" t="s">
        <v>236</v>
      </c>
      <c r="F791" s="8" t="s">
        <v>237</v>
      </c>
      <c r="G791" s="7" t="s">
        <v>238</v>
      </c>
      <c r="H791" s="47" t="s">
        <v>790</v>
      </c>
      <c r="I791" s="47" t="s">
        <v>791</v>
      </c>
      <c r="J791" s="6">
        <v>64</v>
      </c>
      <c r="K791" s="8" t="s">
        <v>68</v>
      </c>
      <c r="L791" s="5">
        <v>18</v>
      </c>
      <c r="P791" s="3"/>
      <c r="Q791" s="3"/>
      <c r="R791" s="3"/>
    </row>
    <row r="792" spans="1:18" x14ac:dyDescent="0.2">
      <c r="A792" s="7" t="s">
        <v>16</v>
      </c>
      <c r="B792" s="7" t="s">
        <v>60</v>
      </c>
      <c r="C792" s="7" t="s">
        <v>18</v>
      </c>
      <c r="D792" s="4">
        <v>418954000704</v>
      </c>
      <c r="E792" s="8" t="s">
        <v>473</v>
      </c>
      <c r="F792" s="8" t="s">
        <v>237</v>
      </c>
      <c r="G792" s="7" t="s">
        <v>238</v>
      </c>
      <c r="H792" s="47" t="s">
        <v>790</v>
      </c>
      <c r="I792" s="47" t="s">
        <v>791</v>
      </c>
      <c r="J792" s="6">
        <v>64</v>
      </c>
      <c r="K792" s="8" t="s">
        <v>68</v>
      </c>
      <c r="L792" s="5">
        <v>20</v>
      </c>
      <c r="P792" s="3"/>
      <c r="Q792" s="3"/>
      <c r="R792" s="3"/>
    </row>
    <row r="793" spans="1:18" x14ac:dyDescent="0.2">
      <c r="A793" s="7" t="s">
        <v>16</v>
      </c>
      <c r="B793" s="7" t="s">
        <v>60</v>
      </c>
      <c r="C793" s="7" t="s">
        <v>18</v>
      </c>
      <c r="D793" s="4">
        <v>437007000175</v>
      </c>
      <c r="E793" s="8" t="s">
        <v>239</v>
      </c>
      <c r="F793" s="8" t="s">
        <v>240</v>
      </c>
      <c r="G793" s="7" t="s">
        <v>241</v>
      </c>
      <c r="H793" s="47" t="s">
        <v>784</v>
      </c>
      <c r="I793" s="47" t="s">
        <v>785</v>
      </c>
      <c r="J793" s="6">
        <v>73</v>
      </c>
      <c r="K793" s="8" t="s">
        <v>69</v>
      </c>
      <c r="L793" s="5">
        <v>298</v>
      </c>
      <c r="P793" s="3"/>
      <c r="Q793" s="3"/>
      <c r="R793" s="3"/>
    </row>
    <row r="794" spans="1:18" x14ac:dyDescent="0.2">
      <c r="A794" s="7" t="s">
        <v>16</v>
      </c>
      <c r="B794" s="7" t="s">
        <v>60</v>
      </c>
      <c r="C794" s="7" t="s">
        <v>18</v>
      </c>
      <c r="D794" s="4">
        <v>520237000101</v>
      </c>
      <c r="E794" s="8" t="s">
        <v>243</v>
      </c>
      <c r="F794" s="8" t="s">
        <v>225</v>
      </c>
      <c r="G794" s="7" t="s">
        <v>226</v>
      </c>
      <c r="H794" s="47" t="s">
        <v>790</v>
      </c>
      <c r="I794" s="47" t="s">
        <v>791</v>
      </c>
      <c r="J794" s="6">
        <v>73</v>
      </c>
      <c r="K794" s="8" t="s">
        <v>69</v>
      </c>
      <c r="L794" s="5">
        <v>155</v>
      </c>
      <c r="P794" s="3"/>
      <c r="Q794" s="3"/>
      <c r="R794" s="3"/>
    </row>
    <row r="795" spans="1:18" x14ac:dyDescent="0.2">
      <c r="A795" s="7" t="s">
        <v>16</v>
      </c>
      <c r="B795" s="7" t="s">
        <v>60</v>
      </c>
      <c r="C795" s="7" t="s">
        <v>18</v>
      </c>
      <c r="D795" s="4">
        <v>610980000144</v>
      </c>
      <c r="E795" s="8" t="s">
        <v>244</v>
      </c>
      <c r="F795" s="8" t="s">
        <v>225</v>
      </c>
      <c r="G795" s="7" t="s">
        <v>226</v>
      </c>
      <c r="H795" s="47" t="s">
        <v>790</v>
      </c>
      <c r="I795" s="47" t="s">
        <v>791</v>
      </c>
      <c r="J795" s="6">
        <v>64</v>
      </c>
      <c r="K795" s="8" t="s">
        <v>68</v>
      </c>
      <c r="L795" s="5">
        <v>12</v>
      </c>
      <c r="P795" s="3"/>
      <c r="Q795" s="3"/>
      <c r="R795" s="3"/>
    </row>
    <row r="796" spans="1:18" x14ac:dyDescent="0.2">
      <c r="A796" s="7" t="s">
        <v>16</v>
      </c>
      <c r="B796" s="7" t="s">
        <v>60</v>
      </c>
      <c r="C796" s="7" t="s">
        <v>18</v>
      </c>
      <c r="D796" s="4">
        <v>1277573000120</v>
      </c>
      <c r="E796" s="8" t="s">
        <v>474</v>
      </c>
      <c r="F796" s="8" t="s">
        <v>237</v>
      </c>
      <c r="G796" s="7" t="s">
        <v>238</v>
      </c>
      <c r="H796" s="47" t="s">
        <v>790</v>
      </c>
      <c r="I796" s="47" t="s">
        <v>791</v>
      </c>
      <c r="J796" s="6">
        <v>64</v>
      </c>
      <c r="K796" s="8" t="s">
        <v>68</v>
      </c>
      <c r="L796" s="5">
        <v>3</v>
      </c>
      <c r="P796" s="3"/>
      <c r="Q796" s="3"/>
      <c r="R796" s="3"/>
    </row>
    <row r="797" spans="1:18" x14ac:dyDescent="0.2">
      <c r="A797" s="7" t="s">
        <v>16</v>
      </c>
      <c r="B797" s="7" t="s">
        <v>60</v>
      </c>
      <c r="C797" s="7" t="s">
        <v>18</v>
      </c>
      <c r="D797" s="4">
        <v>1326206000179</v>
      </c>
      <c r="E797" s="8" t="s">
        <v>254</v>
      </c>
      <c r="F797" s="8" t="s">
        <v>255</v>
      </c>
      <c r="G797" s="7" t="s">
        <v>238</v>
      </c>
      <c r="H797" s="47" t="s">
        <v>790</v>
      </c>
      <c r="I797" s="47" t="s">
        <v>791</v>
      </c>
      <c r="J797" s="6">
        <v>73</v>
      </c>
      <c r="K797" s="8" t="s">
        <v>69</v>
      </c>
      <c r="L797" s="5">
        <v>77</v>
      </c>
      <c r="P797" s="3"/>
      <c r="Q797" s="3"/>
      <c r="R797" s="3"/>
    </row>
    <row r="798" spans="1:18" x14ac:dyDescent="0.2">
      <c r="A798" s="7" t="s">
        <v>16</v>
      </c>
      <c r="B798" s="7" t="s">
        <v>60</v>
      </c>
      <c r="C798" s="7" t="s">
        <v>18</v>
      </c>
      <c r="D798" s="4">
        <v>1507901000137</v>
      </c>
      <c r="E798" s="8" t="s">
        <v>256</v>
      </c>
      <c r="F798" s="8" t="s">
        <v>246</v>
      </c>
      <c r="G798" s="7" t="s">
        <v>247</v>
      </c>
      <c r="H798" s="47" t="s">
        <v>790</v>
      </c>
      <c r="I798" s="47" t="s">
        <v>791</v>
      </c>
      <c r="J798" s="6">
        <v>62</v>
      </c>
      <c r="K798" s="8" t="s">
        <v>74</v>
      </c>
      <c r="L798" s="5">
        <v>7</v>
      </c>
      <c r="P798" s="3"/>
      <c r="Q798" s="3"/>
      <c r="R798" s="3"/>
    </row>
    <row r="799" spans="1:18" x14ac:dyDescent="0.2">
      <c r="A799" s="7" t="s">
        <v>16</v>
      </c>
      <c r="B799" s="7" t="s">
        <v>60</v>
      </c>
      <c r="C799" s="7" t="s">
        <v>18</v>
      </c>
      <c r="D799" s="4">
        <v>1507901000137</v>
      </c>
      <c r="E799" s="8" t="s">
        <v>256</v>
      </c>
      <c r="F799" s="8" t="s">
        <v>246</v>
      </c>
      <c r="G799" s="7" t="s">
        <v>247</v>
      </c>
      <c r="H799" s="47" t="s">
        <v>790</v>
      </c>
      <c r="I799" s="47" t="s">
        <v>791</v>
      </c>
      <c r="J799" s="6">
        <v>64</v>
      </c>
      <c r="K799" s="8" t="s">
        <v>68</v>
      </c>
      <c r="L799" s="5">
        <v>10</v>
      </c>
      <c r="P799" s="3"/>
      <c r="Q799" s="3"/>
      <c r="R799" s="3"/>
    </row>
    <row r="800" spans="1:18" x14ac:dyDescent="0.2">
      <c r="A800" s="7" t="s">
        <v>16</v>
      </c>
      <c r="B800" s="7" t="s">
        <v>60</v>
      </c>
      <c r="C800" s="7" t="s">
        <v>18</v>
      </c>
      <c r="D800" s="4">
        <v>1517626000132</v>
      </c>
      <c r="E800" s="8" t="s">
        <v>257</v>
      </c>
      <c r="F800" s="8" t="s">
        <v>258</v>
      </c>
      <c r="G800" s="7" t="s">
        <v>259</v>
      </c>
      <c r="H800" s="47" t="s">
        <v>784</v>
      </c>
      <c r="I800" s="47" t="s">
        <v>785</v>
      </c>
      <c r="J800" s="6">
        <v>73</v>
      </c>
      <c r="K800" s="8" t="s">
        <v>69</v>
      </c>
      <c r="L800" s="5">
        <v>12</v>
      </c>
      <c r="P800" s="3"/>
      <c r="Q800" s="3"/>
      <c r="R800" s="3"/>
    </row>
    <row r="801" spans="1:18" x14ac:dyDescent="0.2">
      <c r="A801" s="7" t="s">
        <v>16</v>
      </c>
      <c r="B801" s="7" t="s">
        <v>60</v>
      </c>
      <c r="C801" s="7" t="s">
        <v>18</v>
      </c>
      <c r="D801" s="4">
        <v>1837492000137</v>
      </c>
      <c r="E801" s="8" t="s">
        <v>475</v>
      </c>
      <c r="F801" s="8" t="s">
        <v>278</v>
      </c>
      <c r="G801" s="7" t="s">
        <v>276</v>
      </c>
      <c r="H801" s="47" t="s">
        <v>790</v>
      </c>
      <c r="I801" s="47" t="s">
        <v>791</v>
      </c>
      <c r="J801" s="6">
        <v>64</v>
      </c>
      <c r="K801" s="8" t="s">
        <v>68</v>
      </c>
      <c r="L801" s="5">
        <v>2</v>
      </c>
      <c r="P801" s="3"/>
      <c r="Q801" s="3"/>
      <c r="R801" s="3"/>
    </row>
    <row r="802" spans="1:18" x14ac:dyDescent="0.2">
      <c r="A802" s="7" t="s">
        <v>16</v>
      </c>
      <c r="B802" s="7" t="s">
        <v>60</v>
      </c>
      <c r="C802" s="7" t="s">
        <v>18</v>
      </c>
      <c r="D802" s="4">
        <v>2109397000180</v>
      </c>
      <c r="E802" s="8" t="s">
        <v>413</v>
      </c>
      <c r="F802" s="8" t="s">
        <v>246</v>
      </c>
      <c r="G802" s="7" t="s">
        <v>247</v>
      </c>
      <c r="H802" s="47" t="s">
        <v>790</v>
      </c>
      <c r="I802" s="47" t="s">
        <v>791</v>
      </c>
      <c r="J802" s="6">
        <v>64</v>
      </c>
      <c r="K802" s="8" t="s">
        <v>68</v>
      </c>
      <c r="L802" s="5">
        <v>24</v>
      </c>
      <c r="P802" s="3"/>
      <c r="Q802" s="3"/>
      <c r="R802" s="3"/>
    </row>
    <row r="803" spans="1:18" x14ac:dyDescent="0.2">
      <c r="A803" s="7" t="s">
        <v>16</v>
      </c>
      <c r="B803" s="7" t="s">
        <v>60</v>
      </c>
      <c r="C803" s="7" t="s">
        <v>18</v>
      </c>
      <c r="D803" s="4">
        <v>2284062000440</v>
      </c>
      <c r="E803" s="8" t="s">
        <v>263</v>
      </c>
      <c r="F803" s="8" t="s">
        <v>264</v>
      </c>
      <c r="G803" s="7" t="s">
        <v>265</v>
      </c>
      <c r="H803" s="47" t="s">
        <v>790</v>
      </c>
      <c r="I803" s="47" t="s">
        <v>791</v>
      </c>
      <c r="J803" s="6">
        <v>64</v>
      </c>
      <c r="K803" s="8" t="s">
        <v>68</v>
      </c>
      <c r="L803" s="5">
        <v>20</v>
      </c>
      <c r="P803" s="3"/>
      <c r="Q803" s="3"/>
      <c r="R803" s="3"/>
    </row>
    <row r="804" spans="1:18" x14ac:dyDescent="0.2">
      <c r="A804" s="7" t="s">
        <v>16</v>
      </c>
      <c r="B804" s="7" t="s">
        <v>60</v>
      </c>
      <c r="C804" s="7" t="s">
        <v>18</v>
      </c>
      <c r="D804" s="4">
        <v>2476067000203</v>
      </c>
      <c r="E804" s="8" t="s">
        <v>269</v>
      </c>
      <c r="F804" s="8" t="s">
        <v>237</v>
      </c>
      <c r="G804" s="7" t="s">
        <v>238</v>
      </c>
      <c r="H804" s="47" t="s">
        <v>790</v>
      </c>
      <c r="I804" s="47" t="s">
        <v>791</v>
      </c>
      <c r="J804" s="6">
        <v>73</v>
      </c>
      <c r="K804" s="8" t="s">
        <v>69</v>
      </c>
      <c r="L804" s="5">
        <v>20</v>
      </c>
      <c r="P804" s="3"/>
      <c r="Q804" s="3"/>
      <c r="R804" s="3"/>
    </row>
    <row r="805" spans="1:18" x14ac:dyDescent="0.2">
      <c r="A805" s="7" t="s">
        <v>16</v>
      </c>
      <c r="B805" s="7" t="s">
        <v>60</v>
      </c>
      <c r="C805" s="7" t="s">
        <v>18</v>
      </c>
      <c r="D805" s="4">
        <v>2560878000107</v>
      </c>
      <c r="E805" s="8" t="s">
        <v>270</v>
      </c>
      <c r="F805" s="8" t="s">
        <v>225</v>
      </c>
      <c r="G805" s="7" t="s">
        <v>226</v>
      </c>
      <c r="H805" s="47" t="s">
        <v>790</v>
      </c>
      <c r="I805" s="47" t="s">
        <v>791</v>
      </c>
      <c r="J805" s="6">
        <v>64</v>
      </c>
      <c r="K805" s="8" t="s">
        <v>68</v>
      </c>
      <c r="L805" s="5">
        <v>15</v>
      </c>
      <c r="P805" s="3"/>
      <c r="Q805" s="3"/>
      <c r="R805" s="3"/>
    </row>
    <row r="806" spans="1:18" x14ac:dyDescent="0.2">
      <c r="A806" s="7" t="s">
        <v>16</v>
      </c>
      <c r="B806" s="7" t="s">
        <v>60</v>
      </c>
      <c r="C806" s="7" t="s">
        <v>18</v>
      </c>
      <c r="D806" s="4">
        <v>3222051000156</v>
      </c>
      <c r="E806" s="8" t="s">
        <v>476</v>
      </c>
      <c r="F806" s="8" t="s">
        <v>317</v>
      </c>
      <c r="G806" s="7" t="s">
        <v>318</v>
      </c>
      <c r="H806" s="47" t="s">
        <v>790</v>
      </c>
      <c r="I806" s="47" t="s">
        <v>791</v>
      </c>
      <c r="J806" s="6">
        <v>62</v>
      </c>
      <c r="K806" s="8" t="s">
        <v>74</v>
      </c>
      <c r="L806" s="5">
        <v>2</v>
      </c>
      <c r="P806" s="3"/>
      <c r="Q806" s="3"/>
      <c r="R806" s="3"/>
    </row>
    <row r="807" spans="1:18" x14ac:dyDescent="0.2">
      <c r="A807" s="7" t="s">
        <v>16</v>
      </c>
      <c r="B807" s="7" t="s">
        <v>60</v>
      </c>
      <c r="C807" s="7" t="s">
        <v>18</v>
      </c>
      <c r="D807" s="4">
        <v>3222051000156</v>
      </c>
      <c r="E807" s="8" t="s">
        <v>476</v>
      </c>
      <c r="F807" s="8" t="s">
        <v>317</v>
      </c>
      <c r="G807" s="7" t="s">
        <v>318</v>
      </c>
      <c r="H807" s="47" t="s">
        <v>790</v>
      </c>
      <c r="I807" s="47" t="s">
        <v>791</v>
      </c>
      <c r="J807" s="6">
        <v>64</v>
      </c>
      <c r="K807" s="8" t="s">
        <v>68</v>
      </c>
      <c r="L807" s="5">
        <v>2</v>
      </c>
      <c r="P807" s="3"/>
      <c r="Q807" s="3"/>
      <c r="R807" s="3"/>
    </row>
    <row r="808" spans="1:18" x14ac:dyDescent="0.2">
      <c r="A808" s="7" t="s">
        <v>16</v>
      </c>
      <c r="B808" s="7" t="s">
        <v>60</v>
      </c>
      <c r="C808" s="7" t="s">
        <v>18</v>
      </c>
      <c r="D808" s="4">
        <v>3904395000145</v>
      </c>
      <c r="E808" s="8" t="s">
        <v>477</v>
      </c>
      <c r="F808" s="8" t="s">
        <v>478</v>
      </c>
      <c r="G808" s="7" t="s">
        <v>265</v>
      </c>
      <c r="H808" s="47" t="s">
        <v>790</v>
      </c>
      <c r="I808" s="47" t="s">
        <v>791</v>
      </c>
      <c r="J808" s="6">
        <v>66</v>
      </c>
      <c r="K808" s="8" t="s">
        <v>99</v>
      </c>
      <c r="L808" s="5">
        <v>24</v>
      </c>
      <c r="P808" s="3"/>
      <c r="Q808" s="3"/>
      <c r="R808" s="3"/>
    </row>
    <row r="809" spans="1:18" x14ac:dyDescent="0.2">
      <c r="A809" s="7" t="s">
        <v>16</v>
      </c>
      <c r="B809" s="7" t="s">
        <v>60</v>
      </c>
      <c r="C809" s="7" t="s">
        <v>18</v>
      </c>
      <c r="D809" s="4">
        <v>3925419000142</v>
      </c>
      <c r="E809" s="8" t="s">
        <v>272</v>
      </c>
      <c r="F809" s="8" t="s">
        <v>261</v>
      </c>
      <c r="G809" s="7" t="s">
        <v>262</v>
      </c>
      <c r="H809" s="47" t="s">
        <v>790</v>
      </c>
      <c r="I809" s="47" t="s">
        <v>791</v>
      </c>
      <c r="J809" s="6">
        <v>64</v>
      </c>
      <c r="K809" s="8" t="s">
        <v>68</v>
      </c>
      <c r="L809" s="5">
        <v>4</v>
      </c>
      <c r="P809" s="3"/>
      <c r="Q809" s="3"/>
      <c r="R809" s="3"/>
    </row>
    <row r="810" spans="1:18" x14ac:dyDescent="0.2">
      <c r="A810" s="7" t="s">
        <v>16</v>
      </c>
      <c r="B810" s="7" t="s">
        <v>60</v>
      </c>
      <c r="C810" s="7" t="s">
        <v>18</v>
      </c>
      <c r="D810" s="4">
        <v>4201372001028</v>
      </c>
      <c r="E810" s="8" t="s">
        <v>273</v>
      </c>
      <c r="F810" s="8" t="s">
        <v>219</v>
      </c>
      <c r="G810" s="7" t="s">
        <v>220</v>
      </c>
      <c r="H810" s="47" t="s">
        <v>790</v>
      </c>
      <c r="I810" s="47" t="s">
        <v>791</v>
      </c>
      <c r="J810" s="6">
        <v>73</v>
      </c>
      <c r="K810" s="8" t="s">
        <v>69</v>
      </c>
      <c r="L810" s="5">
        <v>32</v>
      </c>
      <c r="P810" s="3"/>
      <c r="Q810" s="3"/>
      <c r="R810" s="3"/>
    </row>
    <row r="811" spans="1:18" x14ac:dyDescent="0.2">
      <c r="A811" s="7" t="s">
        <v>16</v>
      </c>
      <c r="B811" s="7" t="s">
        <v>60</v>
      </c>
      <c r="C811" s="7" t="s">
        <v>18</v>
      </c>
      <c r="D811" s="4">
        <v>5469172000122</v>
      </c>
      <c r="E811" s="8" t="s">
        <v>277</v>
      </c>
      <c r="F811" s="8" t="s">
        <v>278</v>
      </c>
      <c r="G811" s="7" t="s">
        <v>276</v>
      </c>
      <c r="H811" s="47" t="s">
        <v>790</v>
      </c>
      <c r="I811" s="47" t="s">
        <v>791</v>
      </c>
      <c r="J811" s="6">
        <v>62</v>
      </c>
      <c r="K811" s="8" t="s">
        <v>74</v>
      </c>
      <c r="L811" s="5">
        <v>4</v>
      </c>
      <c r="P811" s="3"/>
      <c r="Q811" s="3"/>
      <c r="R811" s="3"/>
    </row>
    <row r="812" spans="1:18" x14ac:dyDescent="0.2">
      <c r="A812" s="7" t="s">
        <v>16</v>
      </c>
      <c r="B812" s="7" t="s">
        <v>60</v>
      </c>
      <c r="C812" s="7" t="s">
        <v>18</v>
      </c>
      <c r="D812" s="4">
        <v>5652543000107</v>
      </c>
      <c r="E812" s="8" t="s">
        <v>420</v>
      </c>
      <c r="F812" s="8" t="s">
        <v>421</v>
      </c>
      <c r="G812" s="7" t="s">
        <v>276</v>
      </c>
      <c r="H812" s="47" t="s">
        <v>790</v>
      </c>
      <c r="I812" s="47" t="s">
        <v>791</v>
      </c>
      <c r="J812" s="6">
        <v>64</v>
      </c>
      <c r="K812" s="8" t="s">
        <v>68</v>
      </c>
      <c r="L812" s="5">
        <v>11</v>
      </c>
      <c r="P812" s="3"/>
      <c r="Q812" s="3"/>
      <c r="R812" s="3"/>
    </row>
    <row r="813" spans="1:18" x14ac:dyDescent="0.2">
      <c r="A813" s="7" t="s">
        <v>16</v>
      </c>
      <c r="B813" s="7" t="s">
        <v>60</v>
      </c>
      <c r="C813" s="7" t="s">
        <v>18</v>
      </c>
      <c r="D813" s="4">
        <v>5816630000152</v>
      </c>
      <c r="E813" s="8" t="s">
        <v>279</v>
      </c>
      <c r="F813" s="8" t="s">
        <v>278</v>
      </c>
      <c r="G813" s="7" t="s">
        <v>276</v>
      </c>
      <c r="H813" s="47" t="s">
        <v>790</v>
      </c>
      <c r="I813" s="47" t="s">
        <v>791</v>
      </c>
      <c r="J813" s="6">
        <v>62</v>
      </c>
      <c r="K813" s="8" t="s">
        <v>74</v>
      </c>
      <c r="L813" s="5">
        <v>10</v>
      </c>
      <c r="P813" s="3"/>
      <c r="Q813" s="3"/>
      <c r="R813" s="3"/>
    </row>
    <row r="814" spans="1:18" x14ac:dyDescent="0.2">
      <c r="A814" s="7" t="s">
        <v>16</v>
      </c>
      <c r="B814" s="7" t="s">
        <v>60</v>
      </c>
      <c r="C814" s="7" t="s">
        <v>18</v>
      </c>
      <c r="D814" s="4">
        <v>5816630000152</v>
      </c>
      <c r="E814" s="8" t="s">
        <v>279</v>
      </c>
      <c r="F814" s="8" t="s">
        <v>278</v>
      </c>
      <c r="G814" s="7" t="s">
        <v>276</v>
      </c>
      <c r="H814" s="47" t="s">
        <v>790</v>
      </c>
      <c r="I814" s="47" t="s">
        <v>791</v>
      </c>
      <c r="J814" s="6">
        <v>64</v>
      </c>
      <c r="K814" s="8" t="s">
        <v>68</v>
      </c>
      <c r="L814" s="5">
        <v>15</v>
      </c>
      <c r="P814" s="3"/>
      <c r="Q814" s="3"/>
      <c r="R814" s="3"/>
    </row>
    <row r="815" spans="1:18" x14ac:dyDescent="0.2">
      <c r="A815" s="7" t="s">
        <v>16</v>
      </c>
      <c r="B815" s="7" t="s">
        <v>60</v>
      </c>
      <c r="C815" s="7" t="s">
        <v>18</v>
      </c>
      <c r="D815" s="4">
        <v>5867015000175</v>
      </c>
      <c r="E815" s="8" t="s">
        <v>280</v>
      </c>
      <c r="F815" s="8" t="s">
        <v>281</v>
      </c>
      <c r="G815" s="7" t="s">
        <v>282</v>
      </c>
      <c r="H815" s="47" t="s">
        <v>790</v>
      </c>
      <c r="I815" s="47" t="s">
        <v>791</v>
      </c>
      <c r="J815" s="6">
        <v>73</v>
      </c>
      <c r="K815" s="8" t="s">
        <v>69</v>
      </c>
      <c r="L815" s="5">
        <v>8</v>
      </c>
      <c r="P815" s="3"/>
      <c r="Q815" s="3"/>
      <c r="R815" s="3"/>
    </row>
    <row r="816" spans="1:18" x14ac:dyDescent="0.2">
      <c r="A816" s="7" t="s">
        <v>16</v>
      </c>
      <c r="B816" s="7" t="s">
        <v>60</v>
      </c>
      <c r="C816" s="7" t="s">
        <v>18</v>
      </c>
      <c r="D816" s="4">
        <v>5868278000280</v>
      </c>
      <c r="E816" s="8" t="s">
        <v>283</v>
      </c>
      <c r="F816" s="8" t="s">
        <v>281</v>
      </c>
      <c r="G816" s="7" t="s">
        <v>282</v>
      </c>
      <c r="H816" s="47" t="s">
        <v>790</v>
      </c>
      <c r="I816" s="47" t="s">
        <v>791</v>
      </c>
      <c r="J816" s="6">
        <v>62</v>
      </c>
      <c r="K816" s="8" t="s">
        <v>74</v>
      </c>
      <c r="L816" s="5">
        <v>8</v>
      </c>
      <c r="P816" s="3"/>
      <c r="Q816" s="3"/>
      <c r="R816" s="3"/>
    </row>
    <row r="817" spans="1:18" x14ac:dyDescent="0.2">
      <c r="A817" s="7" t="s">
        <v>16</v>
      </c>
      <c r="B817" s="7" t="s">
        <v>60</v>
      </c>
      <c r="C817" s="7" t="s">
        <v>18</v>
      </c>
      <c r="D817" s="4">
        <v>5868278000280</v>
      </c>
      <c r="E817" s="8" t="s">
        <v>283</v>
      </c>
      <c r="F817" s="8" t="s">
        <v>281</v>
      </c>
      <c r="G817" s="7" t="s">
        <v>282</v>
      </c>
      <c r="H817" s="47" t="s">
        <v>790</v>
      </c>
      <c r="I817" s="47" t="s">
        <v>791</v>
      </c>
      <c r="J817" s="6">
        <v>64</v>
      </c>
      <c r="K817" s="8" t="s">
        <v>68</v>
      </c>
      <c r="L817" s="5">
        <v>13</v>
      </c>
      <c r="P817" s="3"/>
      <c r="Q817" s="3"/>
      <c r="R817" s="3"/>
    </row>
    <row r="818" spans="1:18" x14ac:dyDescent="0.2">
      <c r="A818" s="7" t="s">
        <v>16</v>
      </c>
      <c r="B818" s="7" t="s">
        <v>60</v>
      </c>
      <c r="C818" s="7" t="s">
        <v>18</v>
      </c>
      <c r="D818" s="4">
        <v>5868278000280</v>
      </c>
      <c r="E818" s="8" t="s">
        <v>283</v>
      </c>
      <c r="F818" s="8" t="s">
        <v>281</v>
      </c>
      <c r="G818" s="7" t="s">
        <v>282</v>
      </c>
      <c r="H818" s="47" t="s">
        <v>790</v>
      </c>
      <c r="I818" s="47" t="s">
        <v>791</v>
      </c>
      <c r="J818" s="6">
        <v>73</v>
      </c>
      <c r="K818" s="8" t="s">
        <v>69</v>
      </c>
      <c r="L818" s="5">
        <v>26</v>
      </c>
      <c r="P818" s="3"/>
      <c r="Q818" s="3"/>
      <c r="R818" s="3"/>
    </row>
    <row r="819" spans="1:18" x14ac:dyDescent="0.2">
      <c r="A819" s="7" t="s">
        <v>16</v>
      </c>
      <c r="B819" s="7" t="s">
        <v>60</v>
      </c>
      <c r="C819" s="7" t="s">
        <v>18</v>
      </c>
      <c r="D819" s="4">
        <v>5874946000281</v>
      </c>
      <c r="E819" s="8" t="s">
        <v>422</v>
      </c>
      <c r="F819" s="8" t="s">
        <v>281</v>
      </c>
      <c r="G819" s="7" t="s">
        <v>282</v>
      </c>
      <c r="H819" s="47" t="s">
        <v>790</v>
      </c>
      <c r="I819" s="47" t="s">
        <v>791</v>
      </c>
      <c r="J819" s="6">
        <v>62</v>
      </c>
      <c r="K819" s="8" t="s">
        <v>74</v>
      </c>
      <c r="L819" s="5">
        <v>5</v>
      </c>
      <c r="P819" s="3"/>
      <c r="Q819" s="3"/>
      <c r="R819" s="3"/>
    </row>
    <row r="820" spans="1:18" x14ac:dyDescent="0.2">
      <c r="A820" s="7" t="s">
        <v>16</v>
      </c>
      <c r="B820" s="7" t="s">
        <v>60</v>
      </c>
      <c r="C820" s="7" t="s">
        <v>18</v>
      </c>
      <c r="D820" s="4">
        <v>5874946000281</v>
      </c>
      <c r="E820" s="8" t="s">
        <v>422</v>
      </c>
      <c r="F820" s="8" t="s">
        <v>281</v>
      </c>
      <c r="G820" s="7" t="s">
        <v>282</v>
      </c>
      <c r="H820" s="47" t="s">
        <v>790</v>
      </c>
      <c r="I820" s="47" t="s">
        <v>791</v>
      </c>
      <c r="J820" s="6">
        <v>64</v>
      </c>
      <c r="K820" s="8" t="s">
        <v>68</v>
      </c>
      <c r="L820" s="5">
        <v>7</v>
      </c>
      <c r="P820" s="3"/>
      <c r="Q820" s="3"/>
      <c r="R820" s="3"/>
    </row>
    <row r="821" spans="1:18" x14ac:dyDescent="0.2">
      <c r="A821" s="7" t="s">
        <v>16</v>
      </c>
      <c r="B821" s="7" t="s">
        <v>60</v>
      </c>
      <c r="C821" s="7" t="s">
        <v>18</v>
      </c>
      <c r="D821" s="4">
        <v>6047087001291</v>
      </c>
      <c r="E821" s="8" t="s">
        <v>479</v>
      </c>
      <c r="F821" s="8" t="s">
        <v>480</v>
      </c>
      <c r="G821" s="7" t="s">
        <v>265</v>
      </c>
      <c r="H821" s="47" t="s">
        <v>790</v>
      </c>
      <c r="I821" s="47" t="s">
        <v>791</v>
      </c>
      <c r="J821" s="6">
        <v>64</v>
      </c>
      <c r="K821" s="8" t="s">
        <v>68</v>
      </c>
      <c r="L821" s="5">
        <v>8</v>
      </c>
      <c r="P821" s="3"/>
      <c r="Q821" s="3"/>
      <c r="R821" s="3"/>
    </row>
    <row r="822" spans="1:18" x14ac:dyDescent="0.2">
      <c r="A822" s="7" t="s">
        <v>16</v>
      </c>
      <c r="B822" s="7" t="s">
        <v>60</v>
      </c>
      <c r="C822" s="7" t="s">
        <v>18</v>
      </c>
      <c r="D822" s="4">
        <v>6047087001372</v>
      </c>
      <c r="E822" s="8" t="s">
        <v>285</v>
      </c>
      <c r="F822" s="8" t="s">
        <v>286</v>
      </c>
      <c r="G822" s="7" t="s">
        <v>241</v>
      </c>
      <c r="H822" s="47" t="s">
        <v>784</v>
      </c>
      <c r="I822" s="47" t="s">
        <v>785</v>
      </c>
      <c r="J822" s="6">
        <v>64</v>
      </c>
      <c r="K822" s="8" t="s">
        <v>68</v>
      </c>
      <c r="L822" s="5">
        <v>2</v>
      </c>
      <c r="P822" s="3"/>
      <c r="Q822" s="3"/>
      <c r="R822" s="3"/>
    </row>
    <row r="823" spans="1:18" x14ac:dyDescent="0.2">
      <c r="A823" s="7" t="s">
        <v>16</v>
      </c>
      <c r="B823" s="7" t="s">
        <v>60</v>
      </c>
      <c r="C823" s="7" t="s">
        <v>18</v>
      </c>
      <c r="D823" s="4">
        <v>6047087004126</v>
      </c>
      <c r="E823" s="8" t="s">
        <v>287</v>
      </c>
      <c r="F823" s="8" t="s">
        <v>225</v>
      </c>
      <c r="G823" s="7" t="s">
        <v>226</v>
      </c>
      <c r="H823" s="47" t="s">
        <v>790</v>
      </c>
      <c r="I823" s="47" t="s">
        <v>791</v>
      </c>
      <c r="J823" s="6">
        <v>64</v>
      </c>
      <c r="K823" s="8" t="s">
        <v>68</v>
      </c>
      <c r="L823" s="5">
        <v>3</v>
      </c>
      <c r="P823" s="3"/>
      <c r="Q823" s="3"/>
      <c r="R823" s="3"/>
    </row>
    <row r="824" spans="1:18" x14ac:dyDescent="0.2">
      <c r="A824" s="7" t="s">
        <v>16</v>
      </c>
      <c r="B824" s="7" t="s">
        <v>60</v>
      </c>
      <c r="C824" s="7" t="s">
        <v>18</v>
      </c>
      <c r="D824" s="4">
        <v>6047087004207</v>
      </c>
      <c r="E824" s="8" t="s">
        <v>288</v>
      </c>
      <c r="F824" s="8" t="s">
        <v>225</v>
      </c>
      <c r="G824" s="7" t="s">
        <v>226</v>
      </c>
      <c r="H824" s="47" t="s">
        <v>790</v>
      </c>
      <c r="I824" s="47" t="s">
        <v>791</v>
      </c>
      <c r="J824" s="6">
        <v>62</v>
      </c>
      <c r="K824" s="8" t="s">
        <v>74</v>
      </c>
      <c r="L824" s="5">
        <v>18</v>
      </c>
      <c r="P824" s="3"/>
      <c r="Q824" s="3"/>
      <c r="R824" s="3"/>
    </row>
    <row r="825" spans="1:18" x14ac:dyDescent="0.2">
      <c r="A825" s="7" t="s">
        <v>16</v>
      </c>
      <c r="B825" s="7" t="s">
        <v>60</v>
      </c>
      <c r="C825" s="7" t="s">
        <v>18</v>
      </c>
      <c r="D825" s="4">
        <v>6047087004207</v>
      </c>
      <c r="E825" s="8" t="s">
        <v>288</v>
      </c>
      <c r="F825" s="8" t="s">
        <v>225</v>
      </c>
      <c r="G825" s="7" t="s">
        <v>226</v>
      </c>
      <c r="H825" s="47" t="s">
        <v>790</v>
      </c>
      <c r="I825" s="47" t="s">
        <v>791</v>
      </c>
      <c r="J825" s="6">
        <v>64</v>
      </c>
      <c r="K825" s="8" t="s">
        <v>68</v>
      </c>
      <c r="L825" s="5">
        <v>28</v>
      </c>
      <c r="P825" s="3"/>
      <c r="Q825" s="3"/>
      <c r="R825" s="3"/>
    </row>
    <row r="826" spans="1:18" x14ac:dyDescent="0.2">
      <c r="A826" s="7" t="s">
        <v>16</v>
      </c>
      <c r="B826" s="7" t="s">
        <v>60</v>
      </c>
      <c r="C826" s="7" t="s">
        <v>18</v>
      </c>
      <c r="D826" s="4">
        <v>6047087009276</v>
      </c>
      <c r="E826" s="8" t="s">
        <v>423</v>
      </c>
      <c r="F826" s="8" t="s">
        <v>264</v>
      </c>
      <c r="G826" s="7" t="s">
        <v>265</v>
      </c>
      <c r="H826" s="47" t="s">
        <v>790</v>
      </c>
      <c r="I826" s="47" t="s">
        <v>791</v>
      </c>
      <c r="J826" s="6">
        <v>64</v>
      </c>
      <c r="K826" s="8" t="s">
        <v>68</v>
      </c>
      <c r="L826" s="5">
        <v>30</v>
      </c>
      <c r="P826" s="3"/>
      <c r="Q826" s="3"/>
      <c r="R826" s="3"/>
    </row>
    <row r="827" spans="1:18" x14ac:dyDescent="0.2">
      <c r="A827" s="7" t="s">
        <v>16</v>
      </c>
      <c r="B827" s="7" t="s">
        <v>60</v>
      </c>
      <c r="C827" s="7" t="s">
        <v>18</v>
      </c>
      <c r="D827" s="4">
        <v>6070425000153</v>
      </c>
      <c r="E827" s="8" t="s">
        <v>289</v>
      </c>
      <c r="F827" s="8" t="s">
        <v>290</v>
      </c>
      <c r="G827" s="7" t="s">
        <v>291</v>
      </c>
      <c r="H827" s="47" t="s">
        <v>790</v>
      </c>
      <c r="I827" s="47" t="s">
        <v>791</v>
      </c>
      <c r="J827" s="6">
        <v>73</v>
      </c>
      <c r="K827" s="8" t="s">
        <v>69</v>
      </c>
      <c r="L827" s="5">
        <v>12</v>
      </c>
      <c r="P827" s="3"/>
      <c r="Q827" s="3"/>
      <c r="R827" s="3"/>
    </row>
    <row r="828" spans="1:18" x14ac:dyDescent="0.2">
      <c r="A828" s="7" t="s">
        <v>16</v>
      </c>
      <c r="B828" s="7" t="s">
        <v>60</v>
      </c>
      <c r="C828" s="7" t="s">
        <v>18</v>
      </c>
      <c r="D828" s="4">
        <v>7245269000187</v>
      </c>
      <c r="E828" s="8" t="s">
        <v>424</v>
      </c>
      <c r="F828" s="8" t="s">
        <v>281</v>
      </c>
      <c r="G828" s="7" t="s">
        <v>282</v>
      </c>
      <c r="H828" s="47" t="s">
        <v>790</v>
      </c>
      <c r="I828" s="47" t="s">
        <v>791</v>
      </c>
      <c r="J828" s="6">
        <v>64</v>
      </c>
      <c r="K828" s="8" t="s">
        <v>68</v>
      </c>
      <c r="L828" s="5">
        <v>7</v>
      </c>
      <c r="P828" s="3"/>
      <c r="Q828" s="3"/>
      <c r="R828" s="3"/>
    </row>
    <row r="829" spans="1:18" x14ac:dyDescent="0.2">
      <c r="A829" s="7" t="s">
        <v>16</v>
      </c>
      <c r="B829" s="7" t="s">
        <v>60</v>
      </c>
      <c r="C829" s="7" t="s">
        <v>18</v>
      </c>
      <c r="D829" s="4">
        <v>7272636000212</v>
      </c>
      <c r="E829" s="8" t="s">
        <v>297</v>
      </c>
      <c r="F829" s="8" t="s">
        <v>281</v>
      </c>
      <c r="G829" s="7" t="s">
        <v>282</v>
      </c>
      <c r="H829" s="47" t="s">
        <v>790</v>
      </c>
      <c r="I829" s="47" t="s">
        <v>791</v>
      </c>
      <c r="J829" s="6">
        <v>62</v>
      </c>
      <c r="K829" s="8" t="s">
        <v>74</v>
      </c>
      <c r="L829" s="5">
        <v>30</v>
      </c>
      <c r="P829" s="3"/>
      <c r="Q829" s="3"/>
      <c r="R829" s="3"/>
    </row>
    <row r="830" spans="1:18" x14ac:dyDescent="0.2">
      <c r="A830" s="7" t="s">
        <v>16</v>
      </c>
      <c r="B830" s="7" t="s">
        <v>60</v>
      </c>
      <c r="C830" s="7" t="s">
        <v>18</v>
      </c>
      <c r="D830" s="4">
        <v>7734165000136</v>
      </c>
      <c r="E830" s="8" t="s">
        <v>425</v>
      </c>
      <c r="F830" s="8" t="s">
        <v>385</v>
      </c>
      <c r="G830" s="7" t="s">
        <v>233</v>
      </c>
      <c r="H830" s="47" t="s">
        <v>784</v>
      </c>
      <c r="I830" s="47" t="s">
        <v>785</v>
      </c>
      <c r="J830" s="6">
        <v>73</v>
      </c>
      <c r="K830" s="8" t="s">
        <v>69</v>
      </c>
      <c r="L830" s="5">
        <v>96</v>
      </c>
      <c r="P830" s="3"/>
      <c r="Q830" s="3"/>
      <c r="R830" s="3"/>
    </row>
    <row r="831" spans="1:18" x14ac:dyDescent="0.2">
      <c r="A831" s="7" t="s">
        <v>16</v>
      </c>
      <c r="B831" s="7" t="s">
        <v>60</v>
      </c>
      <c r="C831" s="7" t="s">
        <v>18</v>
      </c>
      <c r="D831" s="4">
        <v>7794623001528</v>
      </c>
      <c r="E831" s="8" t="s">
        <v>298</v>
      </c>
      <c r="F831" s="8" t="s">
        <v>299</v>
      </c>
      <c r="G831" s="7" t="s">
        <v>241</v>
      </c>
      <c r="H831" s="47" t="s">
        <v>784</v>
      </c>
      <c r="I831" s="47" t="s">
        <v>785</v>
      </c>
      <c r="J831" s="6">
        <v>73</v>
      </c>
      <c r="K831" s="8" t="s">
        <v>69</v>
      </c>
      <c r="L831" s="5">
        <v>28</v>
      </c>
      <c r="P831" s="3"/>
      <c r="Q831" s="3"/>
      <c r="R831" s="3"/>
    </row>
    <row r="832" spans="1:18" x14ac:dyDescent="0.2">
      <c r="A832" s="7" t="s">
        <v>16</v>
      </c>
      <c r="B832" s="7" t="s">
        <v>60</v>
      </c>
      <c r="C832" s="7" t="s">
        <v>18</v>
      </c>
      <c r="D832" s="4">
        <v>7835044000180</v>
      </c>
      <c r="E832" s="8" t="s">
        <v>300</v>
      </c>
      <c r="F832" s="8" t="s">
        <v>281</v>
      </c>
      <c r="G832" s="7" t="s">
        <v>282</v>
      </c>
      <c r="H832" s="47" t="s">
        <v>790</v>
      </c>
      <c r="I832" s="47" t="s">
        <v>791</v>
      </c>
      <c r="J832" s="6">
        <v>62</v>
      </c>
      <c r="K832" s="8" t="s">
        <v>74</v>
      </c>
      <c r="L832" s="5">
        <v>12</v>
      </c>
      <c r="P832" s="3"/>
      <c r="Q832" s="3"/>
      <c r="R832" s="3"/>
    </row>
    <row r="833" spans="1:18" x14ac:dyDescent="0.2">
      <c r="A833" s="7" t="s">
        <v>16</v>
      </c>
      <c r="B833" s="7" t="s">
        <v>60</v>
      </c>
      <c r="C833" s="7" t="s">
        <v>18</v>
      </c>
      <c r="D833" s="4">
        <v>8319329000121</v>
      </c>
      <c r="E833" s="8" t="s">
        <v>301</v>
      </c>
      <c r="F833" s="8" t="s">
        <v>246</v>
      </c>
      <c r="G833" s="7" t="s">
        <v>247</v>
      </c>
      <c r="H833" s="47" t="s">
        <v>790</v>
      </c>
      <c r="I833" s="47" t="s">
        <v>791</v>
      </c>
      <c r="J833" s="6">
        <v>64</v>
      </c>
      <c r="K833" s="8" t="s">
        <v>68</v>
      </c>
      <c r="L833" s="5">
        <v>24</v>
      </c>
      <c r="P833" s="3"/>
      <c r="Q833" s="3"/>
      <c r="R833" s="3"/>
    </row>
    <row r="834" spans="1:18" x14ac:dyDescent="0.2">
      <c r="A834" s="7" t="s">
        <v>16</v>
      </c>
      <c r="B834" s="7" t="s">
        <v>60</v>
      </c>
      <c r="C834" s="7" t="s">
        <v>18</v>
      </c>
      <c r="D834" s="4">
        <v>8337586000196</v>
      </c>
      <c r="E834" s="8" t="s">
        <v>302</v>
      </c>
      <c r="F834" s="8" t="s">
        <v>246</v>
      </c>
      <c r="G834" s="7" t="s">
        <v>247</v>
      </c>
      <c r="H834" s="47" t="s">
        <v>790</v>
      </c>
      <c r="I834" s="47" t="s">
        <v>791</v>
      </c>
      <c r="J834" s="6">
        <v>64</v>
      </c>
      <c r="K834" s="8" t="s">
        <v>68</v>
      </c>
      <c r="L834" s="5">
        <v>1</v>
      </c>
      <c r="P834" s="3"/>
      <c r="Q834" s="3"/>
      <c r="R834" s="3"/>
    </row>
    <row r="835" spans="1:18" x14ac:dyDescent="0.2">
      <c r="A835" s="7" t="s">
        <v>16</v>
      </c>
      <c r="B835" s="7" t="s">
        <v>60</v>
      </c>
      <c r="C835" s="7" t="s">
        <v>18</v>
      </c>
      <c r="D835" s="4">
        <v>8680639000681</v>
      </c>
      <c r="E835" s="8" t="s">
        <v>303</v>
      </c>
      <c r="F835" s="8" t="s">
        <v>228</v>
      </c>
      <c r="G835" s="7" t="s">
        <v>229</v>
      </c>
      <c r="H835" s="47" t="s">
        <v>790</v>
      </c>
      <c r="I835" s="47" t="s">
        <v>791</v>
      </c>
      <c r="J835" s="6">
        <v>73</v>
      </c>
      <c r="K835" s="8" t="s">
        <v>69</v>
      </c>
      <c r="L835" s="5">
        <v>80</v>
      </c>
      <c r="P835" s="3"/>
      <c r="Q835" s="3"/>
      <c r="R835" s="3"/>
    </row>
    <row r="836" spans="1:18" x14ac:dyDescent="0.2">
      <c r="A836" s="7" t="s">
        <v>16</v>
      </c>
      <c r="B836" s="7" t="s">
        <v>60</v>
      </c>
      <c r="C836" s="7" t="s">
        <v>18</v>
      </c>
      <c r="D836" s="4">
        <v>9039744000275</v>
      </c>
      <c r="E836" s="8" t="s">
        <v>429</v>
      </c>
      <c r="F836" s="8" t="s">
        <v>430</v>
      </c>
      <c r="G836" s="7" t="s">
        <v>265</v>
      </c>
      <c r="H836" s="47" t="s">
        <v>790</v>
      </c>
      <c r="I836" s="47" t="s">
        <v>791</v>
      </c>
      <c r="J836" s="6">
        <v>64</v>
      </c>
      <c r="K836" s="8" t="s">
        <v>68</v>
      </c>
      <c r="L836" s="5">
        <v>7</v>
      </c>
      <c r="P836" s="3"/>
      <c r="Q836" s="3"/>
      <c r="R836" s="3"/>
    </row>
    <row r="837" spans="1:18" x14ac:dyDescent="0.2">
      <c r="A837" s="7" t="s">
        <v>16</v>
      </c>
      <c r="B837" s="7" t="s">
        <v>60</v>
      </c>
      <c r="C837" s="7" t="s">
        <v>18</v>
      </c>
      <c r="D837" s="4">
        <v>9087150000230</v>
      </c>
      <c r="E837" s="8" t="s">
        <v>304</v>
      </c>
      <c r="F837" s="8" t="s">
        <v>305</v>
      </c>
      <c r="G837" s="7" t="s">
        <v>253</v>
      </c>
      <c r="H837" s="47" t="s">
        <v>784</v>
      </c>
      <c r="I837" s="47" t="s">
        <v>785</v>
      </c>
      <c r="J837" s="6">
        <v>73</v>
      </c>
      <c r="K837" s="8" t="s">
        <v>69</v>
      </c>
      <c r="L837" s="5">
        <v>8</v>
      </c>
      <c r="P837" s="3"/>
      <c r="Q837" s="3"/>
      <c r="R837" s="3"/>
    </row>
    <row r="838" spans="1:18" x14ac:dyDescent="0.2">
      <c r="A838" s="7" t="s">
        <v>16</v>
      </c>
      <c r="B838" s="7" t="s">
        <v>60</v>
      </c>
      <c r="C838" s="7" t="s">
        <v>18</v>
      </c>
      <c r="D838" s="4">
        <v>10558548000105</v>
      </c>
      <c r="E838" s="8" t="s">
        <v>481</v>
      </c>
      <c r="F838" s="8" t="s">
        <v>482</v>
      </c>
      <c r="G838" s="7" t="s">
        <v>241</v>
      </c>
      <c r="H838" s="47" t="s">
        <v>784</v>
      </c>
      <c r="I838" s="47" t="s">
        <v>785</v>
      </c>
      <c r="J838" s="6">
        <v>66</v>
      </c>
      <c r="K838" s="8" t="s">
        <v>99</v>
      </c>
      <c r="L838" s="5">
        <v>3</v>
      </c>
      <c r="P838" s="3"/>
      <c r="Q838" s="3"/>
      <c r="R838" s="3"/>
    </row>
    <row r="839" spans="1:18" x14ac:dyDescent="0.2">
      <c r="A839" s="7" t="s">
        <v>16</v>
      </c>
      <c r="B839" s="7" t="s">
        <v>60</v>
      </c>
      <c r="C839" s="7" t="s">
        <v>18</v>
      </c>
      <c r="D839" s="4">
        <v>10586940000168</v>
      </c>
      <c r="E839" s="8" t="s">
        <v>483</v>
      </c>
      <c r="F839" s="8" t="s">
        <v>451</v>
      </c>
      <c r="G839" s="7" t="s">
        <v>418</v>
      </c>
      <c r="H839" s="47" t="s">
        <v>784</v>
      </c>
      <c r="I839" s="47" t="s">
        <v>785</v>
      </c>
      <c r="J839" s="6">
        <v>62</v>
      </c>
      <c r="K839" s="8" t="s">
        <v>74</v>
      </c>
      <c r="L839" s="5">
        <v>10</v>
      </c>
      <c r="P839" s="3"/>
      <c r="Q839" s="3"/>
      <c r="R839" s="3"/>
    </row>
    <row r="840" spans="1:18" x14ac:dyDescent="0.2">
      <c r="A840" s="7" t="s">
        <v>16</v>
      </c>
      <c r="B840" s="7" t="s">
        <v>60</v>
      </c>
      <c r="C840" s="7" t="s">
        <v>18</v>
      </c>
      <c r="D840" s="4">
        <v>10586940000168</v>
      </c>
      <c r="E840" s="8" t="s">
        <v>483</v>
      </c>
      <c r="F840" s="8" t="s">
        <v>451</v>
      </c>
      <c r="G840" s="7" t="s">
        <v>418</v>
      </c>
      <c r="H840" s="47" t="s">
        <v>784</v>
      </c>
      <c r="I840" s="47" t="s">
        <v>785</v>
      </c>
      <c r="J840" s="6">
        <v>64</v>
      </c>
      <c r="K840" s="8" t="s">
        <v>68</v>
      </c>
      <c r="L840" s="5">
        <v>25</v>
      </c>
      <c r="P840" s="3"/>
      <c r="Q840" s="3"/>
      <c r="R840" s="3"/>
    </row>
    <row r="841" spans="1:18" x14ac:dyDescent="0.2">
      <c r="A841" s="7" t="s">
        <v>16</v>
      </c>
      <c r="B841" s="7" t="s">
        <v>60</v>
      </c>
      <c r="C841" s="7" t="s">
        <v>18</v>
      </c>
      <c r="D841" s="4">
        <v>10586940000168</v>
      </c>
      <c r="E841" s="8" t="s">
        <v>483</v>
      </c>
      <c r="F841" s="8" t="s">
        <v>451</v>
      </c>
      <c r="G841" s="7" t="s">
        <v>418</v>
      </c>
      <c r="H841" s="47" t="s">
        <v>784</v>
      </c>
      <c r="I841" s="47" t="s">
        <v>785</v>
      </c>
      <c r="J841" s="6">
        <v>73</v>
      </c>
      <c r="K841" s="8" t="s">
        <v>69</v>
      </c>
      <c r="L841" s="5">
        <v>98</v>
      </c>
      <c r="P841" s="3"/>
      <c r="Q841" s="3"/>
      <c r="R841" s="3"/>
    </row>
    <row r="842" spans="1:18" x14ac:dyDescent="0.2">
      <c r="A842" s="7" t="s">
        <v>16</v>
      </c>
      <c r="B842" s="7" t="s">
        <v>60</v>
      </c>
      <c r="C842" s="7" t="s">
        <v>18</v>
      </c>
      <c r="D842" s="4">
        <v>10839561000132</v>
      </c>
      <c r="E842" s="8" t="s">
        <v>306</v>
      </c>
      <c r="F842" s="8" t="s">
        <v>264</v>
      </c>
      <c r="G842" s="7" t="s">
        <v>265</v>
      </c>
      <c r="H842" s="47" t="s">
        <v>790</v>
      </c>
      <c r="I842" s="47" t="s">
        <v>791</v>
      </c>
      <c r="J842" s="6">
        <v>62</v>
      </c>
      <c r="K842" s="8" t="s">
        <v>74</v>
      </c>
      <c r="L842" s="5">
        <v>6</v>
      </c>
      <c r="P842" s="3"/>
      <c r="Q842" s="3"/>
      <c r="R842" s="3"/>
    </row>
    <row r="843" spans="1:18" x14ac:dyDescent="0.2">
      <c r="A843" s="7" t="s">
        <v>16</v>
      </c>
      <c r="B843" s="7" t="s">
        <v>60</v>
      </c>
      <c r="C843" s="7" t="s">
        <v>18</v>
      </c>
      <c r="D843" s="4">
        <v>10839561000132</v>
      </c>
      <c r="E843" s="8" t="s">
        <v>306</v>
      </c>
      <c r="F843" s="8" t="s">
        <v>264</v>
      </c>
      <c r="G843" s="7" t="s">
        <v>265</v>
      </c>
      <c r="H843" s="47" t="s">
        <v>790</v>
      </c>
      <c r="I843" s="47" t="s">
        <v>791</v>
      </c>
      <c r="J843" s="6">
        <v>73</v>
      </c>
      <c r="K843" s="8" t="s">
        <v>69</v>
      </c>
      <c r="L843" s="5">
        <v>28</v>
      </c>
      <c r="P843" s="3"/>
      <c r="Q843" s="3"/>
      <c r="R843" s="3"/>
    </row>
    <row r="844" spans="1:18" x14ac:dyDescent="0.2">
      <c r="A844" s="7" t="s">
        <v>16</v>
      </c>
      <c r="B844" s="7" t="s">
        <v>60</v>
      </c>
      <c r="C844" s="7" t="s">
        <v>18</v>
      </c>
      <c r="D844" s="4">
        <v>10892164000124</v>
      </c>
      <c r="E844" s="8" t="s">
        <v>307</v>
      </c>
      <c r="F844" s="8" t="s">
        <v>264</v>
      </c>
      <c r="G844" s="7" t="s">
        <v>265</v>
      </c>
      <c r="H844" s="47" t="s">
        <v>790</v>
      </c>
      <c r="I844" s="47" t="s">
        <v>791</v>
      </c>
      <c r="J844" s="6">
        <v>73</v>
      </c>
      <c r="K844" s="8" t="s">
        <v>69</v>
      </c>
      <c r="L844" s="5">
        <v>40</v>
      </c>
      <c r="P844" s="3"/>
      <c r="Q844" s="3"/>
      <c r="R844" s="3"/>
    </row>
    <row r="845" spans="1:18" x14ac:dyDescent="0.2">
      <c r="A845" s="7" t="s">
        <v>16</v>
      </c>
      <c r="B845" s="7" t="s">
        <v>60</v>
      </c>
      <c r="C845" s="7" t="s">
        <v>18</v>
      </c>
      <c r="D845" s="4">
        <v>10942995000163</v>
      </c>
      <c r="E845" s="8" t="s">
        <v>433</v>
      </c>
      <c r="F845" s="8" t="s">
        <v>225</v>
      </c>
      <c r="G845" s="7" t="s">
        <v>226</v>
      </c>
      <c r="H845" s="47" t="s">
        <v>790</v>
      </c>
      <c r="I845" s="47" t="s">
        <v>791</v>
      </c>
      <c r="J845" s="6">
        <v>73</v>
      </c>
      <c r="K845" s="8" t="s">
        <v>69</v>
      </c>
      <c r="L845" s="5">
        <v>160</v>
      </c>
      <c r="P845" s="3"/>
      <c r="Q845" s="3"/>
      <c r="R845" s="3"/>
    </row>
    <row r="846" spans="1:18" x14ac:dyDescent="0.2">
      <c r="A846" s="7" t="s">
        <v>16</v>
      </c>
      <c r="B846" s="7" t="s">
        <v>60</v>
      </c>
      <c r="C846" s="7" t="s">
        <v>18</v>
      </c>
      <c r="D846" s="4">
        <v>11022597001597</v>
      </c>
      <c r="E846" s="8" t="s">
        <v>434</v>
      </c>
      <c r="F846" s="8" t="s">
        <v>264</v>
      </c>
      <c r="G846" s="7" t="s">
        <v>265</v>
      </c>
      <c r="H846" s="47" t="s">
        <v>790</v>
      </c>
      <c r="I846" s="47" t="s">
        <v>791</v>
      </c>
      <c r="J846" s="6">
        <v>64</v>
      </c>
      <c r="K846" s="8" t="s">
        <v>68</v>
      </c>
      <c r="L846" s="5">
        <v>25</v>
      </c>
      <c r="P846" s="3"/>
      <c r="Q846" s="3"/>
      <c r="R846" s="3"/>
    </row>
    <row r="847" spans="1:18" x14ac:dyDescent="0.2">
      <c r="A847" s="7" t="s">
        <v>16</v>
      </c>
      <c r="B847" s="7" t="s">
        <v>60</v>
      </c>
      <c r="C847" s="7" t="s">
        <v>18</v>
      </c>
      <c r="D847" s="4">
        <v>11214624001957</v>
      </c>
      <c r="E847" s="8" t="s">
        <v>484</v>
      </c>
      <c r="F847" s="8" t="s">
        <v>264</v>
      </c>
      <c r="G847" s="7" t="s">
        <v>265</v>
      </c>
      <c r="H847" s="47" t="s">
        <v>790</v>
      </c>
      <c r="I847" s="47" t="s">
        <v>791</v>
      </c>
      <c r="J847" s="6">
        <v>64</v>
      </c>
      <c r="K847" s="8" t="s">
        <v>68</v>
      </c>
      <c r="L847" s="5">
        <v>6</v>
      </c>
      <c r="P847" s="3"/>
      <c r="Q847" s="3"/>
      <c r="R847" s="3"/>
    </row>
    <row r="848" spans="1:18" x14ac:dyDescent="0.2">
      <c r="A848" s="7" t="s">
        <v>16</v>
      </c>
      <c r="B848" s="7" t="s">
        <v>60</v>
      </c>
      <c r="C848" s="7" t="s">
        <v>18</v>
      </c>
      <c r="D848" s="4">
        <v>11452240000143</v>
      </c>
      <c r="E848" s="8" t="s">
        <v>311</v>
      </c>
      <c r="F848" s="8" t="s">
        <v>264</v>
      </c>
      <c r="G848" s="7" t="s">
        <v>265</v>
      </c>
      <c r="H848" s="47" t="s">
        <v>790</v>
      </c>
      <c r="I848" s="47" t="s">
        <v>791</v>
      </c>
      <c r="J848" s="6">
        <v>62</v>
      </c>
      <c r="K848" s="8" t="s">
        <v>74</v>
      </c>
      <c r="L848" s="5">
        <v>4</v>
      </c>
      <c r="P848" s="3"/>
      <c r="Q848" s="3"/>
      <c r="R848" s="3"/>
    </row>
    <row r="849" spans="1:18" x14ac:dyDescent="0.2">
      <c r="A849" s="7" t="s">
        <v>16</v>
      </c>
      <c r="B849" s="7" t="s">
        <v>60</v>
      </c>
      <c r="C849" s="7" t="s">
        <v>18</v>
      </c>
      <c r="D849" s="4">
        <v>11794674000121</v>
      </c>
      <c r="E849" s="8" t="s">
        <v>435</v>
      </c>
      <c r="F849" s="8" t="s">
        <v>281</v>
      </c>
      <c r="G849" s="7" t="s">
        <v>282</v>
      </c>
      <c r="H849" s="47" t="s">
        <v>790</v>
      </c>
      <c r="I849" s="47" t="s">
        <v>791</v>
      </c>
      <c r="J849" s="6">
        <v>62</v>
      </c>
      <c r="K849" s="8" t="s">
        <v>74</v>
      </c>
      <c r="L849" s="5">
        <v>4</v>
      </c>
      <c r="P849" s="3"/>
      <c r="Q849" s="3"/>
      <c r="R849" s="3"/>
    </row>
    <row r="850" spans="1:18" x14ac:dyDescent="0.2">
      <c r="A850" s="7" t="s">
        <v>16</v>
      </c>
      <c r="B850" s="7" t="s">
        <v>60</v>
      </c>
      <c r="C850" s="7" t="s">
        <v>18</v>
      </c>
      <c r="D850" s="4">
        <v>11859927000106</v>
      </c>
      <c r="E850" s="8" t="s">
        <v>312</v>
      </c>
      <c r="F850" s="8" t="s">
        <v>225</v>
      </c>
      <c r="G850" s="7" t="s">
        <v>226</v>
      </c>
      <c r="H850" s="47" t="s">
        <v>790</v>
      </c>
      <c r="I850" s="47" t="s">
        <v>791</v>
      </c>
      <c r="J850" s="6">
        <v>73</v>
      </c>
      <c r="K850" s="8" t="s">
        <v>69</v>
      </c>
      <c r="L850" s="5">
        <v>45</v>
      </c>
      <c r="P850" s="3"/>
      <c r="Q850" s="3"/>
      <c r="R850" s="3"/>
    </row>
    <row r="851" spans="1:18" x14ac:dyDescent="0.2">
      <c r="A851" s="7" t="s">
        <v>16</v>
      </c>
      <c r="B851" s="7" t="s">
        <v>60</v>
      </c>
      <c r="C851" s="7" t="s">
        <v>18</v>
      </c>
      <c r="D851" s="4">
        <v>12361267000274</v>
      </c>
      <c r="E851" s="8" t="s">
        <v>485</v>
      </c>
      <c r="F851" s="8" t="s">
        <v>219</v>
      </c>
      <c r="G851" s="7" t="s">
        <v>220</v>
      </c>
      <c r="H851" s="47" t="s">
        <v>790</v>
      </c>
      <c r="I851" s="47" t="s">
        <v>791</v>
      </c>
      <c r="J851" s="6">
        <v>64</v>
      </c>
      <c r="K851" s="8" t="s">
        <v>68</v>
      </c>
      <c r="L851" s="5">
        <v>4</v>
      </c>
      <c r="P851" s="3"/>
      <c r="Q851" s="3"/>
      <c r="R851" s="3"/>
    </row>
    <row r="852" spans="1:18" x14ac:dyDescent="0.2">
      <c r="A852" s="7" t="s">
        <v>16</v>
      </c>
      <c r="B852" s="7" t="s">
        <v>60</v>
      </c>
      <c r="C852" s="7" t="s">
        <v>18</v>
      </c>
      <c r="D852" s="4">
        <v>12361267000517</v>
      </c>
      <c r="E852" s="8" t="s">
        <v>486</v>
      </c>
      <c r="F852" s="8" t="s">
        <v>317</v>
      </c>
      <c r="G852" s="7" t="s">
        <v>318</v>
      </c>
      <c r="H852" s="47" t="s">
        <v>790</v>
      </c>
      <c r="I852" s="47" t="s">
        <v>791</v>
      </c>
      <c r="J852" s="6">
        <v>64</v>
      </c>
      <c r="K852" s="8" t="s">
        <v>68</v>
      </c>
      <c r="L852" s="5">
        <v>2</v>
      </c>
      <c r="P852" s="3"/>
      <c r="Q852" s="3"/>
      <c r="R852" s="3"/>
    </row>
    <row r="853" spans="1:18" x14ac:dyDescent="0.2">
      <c r="A853" s="7" t="s">
        <v>16</v>
      </c>
      <c r="B853" s="7" t="s">
        <v>60</v>
      </c>
      <c r="C853" s="7" t="s">
        <v>18</v>
      </c>
      <c r="D853" s="4">
        <v>12361267000789</v>
      </c>
      <c r="E853" s="8" t="s">
        <v>487</v>
      </c>
      <c r="F853" s="8" t="s">
        <v>310</v>
      </c>
      <c r="G853" s="7" t="s">
        <v>268</v>
      </c>
      <c r="H853" s="47" t="s">
        <v>790</v>
      </c>
      <c r="I853" s="47" t="s">
        <v>791</v>
      </c>
      <c r="J853" s="6">
        <v>64</v>
      </c>
      <c r="K853" s="8" t="s">
        <v>68</v>
      </c>
      <c r="L853" s="5">
        <v>2</v>
      </c>
      <c r="P853" s="3"/>
      <c r="Q853" s="3"/>
      <c r="R853" s="3"/>
    </row>
    <row r="854" spans="1:18" x14ac:dyDescent="0.2">
      <c r="A854" s="7" t="s">
        <v>16</v>
      </c>
      <c r="B854" s="7" t="s">
        <v>60</v>
      </c>
      <c r="C854" s="7" t="s">
        <v>18</v>
      </c>
      <c r="D854" s="4">
        <v>12361267000860</v>
      </c>
      <c r="E854" s="8" t="s">
        <v>488</v>
      </c>
      <c r="F854" s="8" t="s">
        <v>361</v>
      </c>
      <c r="G854" s="7" t="s">
        <v>362</v>
      </c>
      <c r="H854" s="47" t="s">
        <v>790</v>
      </c>
      <c r="I854" s="47" t="s">
        <v>791</v>
      </c>
      <c r="J854" s="6">
        <v>64</v>
      </c>
      <c r="K854" s="8" t="s">
        <v>68</v>
      </c>
      <c r="L854" s="5">
        <v>2</v>
      </c>
      <c r="P854" s="3"/>
      <c r="Q854" s="3"/>
      <c r="R854" s="3"/>
    </row>
    <row r="855" spans="1:18" x14ac:dyDescent="0.2">
      <c r="A855" s="7" t="s">
        <v>16</v>
      </c>
      <c r="B855" s="7" t="s">
        <v>60</v>
      </c>
      <c r="C855" s="7" t="s">
        <v>18</v>
      </c>
      <c r="D855" s="4">
        <v>12361267004008</v>
      </c>
      <c r="E855" s="8" t="s">
        <v>489</v>
      </c>
      <c r="F855" s="8" t="s">
        <v>295</v>
      </c>
      <c r="G855" s="7" t="s">
        <v>296</v>
      </c>
      <c r="H855" s="47" t="s">
        <v>790</v>
      </c>
      <c r="I855" s="47" t="s">
        <v>791</v>
      </c>
      <c r="J855" s="6">
        <v>64</v>
      </c>
      <c r="K855" s="8" t="s">
        <v>68</v>
      </c>
      <c r="L855" s="5">
        <v>2</v>
      </c>
      <c r="P855" s="3"/>
      <c r="Q855" s="3"/>
      <c r="R855" s="3"/>
    </row>
    <row r="856" spans="1:18" x14ac:dyDescent="0.2">
      <c r="A856" s="7" t="s">
        <v>16</v>
      </c>
      <c r="B856" s="7" t="s">
        <v>60</v>
      </c>
      <c r="C856" s="7" t="s">
        <v>18</v>
      </c>
      <c r="D856" s="4">
        <v>12361267007287</v>
      </c>
      <c r="E856" s="8" t="s">
        <v>490</v>
      </c>
      <c r="F856" s="8" t="s">
        <v>264</v>
      </c>
      <c r="G856" s="7" t="s">
        <v>265</v>
      </c>
      <c r="H856" s="47" t="s">
        <v>790</v>
      </c>
      <c r="I856" s="47" t="s">
        <v>791</v>
      </c>
      <c r="J856" s="6">
        <v>62</v>
      </c>
      <c r="K856" s="8" t="s">
        <v>74</v>
      </c>
      <c r="L856" s="5">
        <v>16</v>
      </c>
      <c r="P856" s="3"/>
      <c r="Q856" s="3"/>
      <c r="R856" s="3"/>
    </row>
    <row r="857" spans="1:18" x14ac:dyDescent="0.2">
      <c r="A857" s="7" t="s">
        <v>16</v>
      </c>
      <c r="B857" s="7" t="s">
        <v>60</v>
      </c>
      <c r="C857" s="7" t="s">
        <v>18</v>
      </c>
      <c r="D857" s="4">
        <v>12361267007287</v>
      </c>
      <c r="E857" s="8" t="s">
        <v>490</v>
      </c>
      <c r="F857" s="8" t="s">
        <v>264</v>
      </c>
      <c r="G857" s="7" t="s">
        <v>265</v>
      </c>
      <c r="H857" s="47" t="s">
        <v>790</v>
      </c>
      <c r="I857" s="47" t="s">
        <v>791</v>
      </c>
      <c r="J857" s="6">
        <v>64</v>
      </c>
      <c r="K857" s="8" t="s">
        <v>68</v>
      </c>
      <c r="L857" s="5">
        <v>8</v>
      </c>
      <c r="P857" s="3"/>
      <c r="Q857" s="3"/>
      <c r="R857" s="3"/>
    </row>
    <row r="858" spans="1:18" x14ac:dyDescent="0.2">
      <c r="A858" s="7" t="s">
        <v>16</v>
      </c>
      <c r="B858" s="7" t="s">
        <v>60</v>
      </c>
      <c r="C858" s="7" t="s">
        <v>18</v>
      </c>
      <c r="D858" s="4">
        <v>12361267008410</v>
      </c>
      <c r="E858" s="8" t="s">
        <v>491</v>
      </c>
      <c r="F858" s="8" t="s">
        <v>492</v>
      </c>
      <c r="G858" s="7" t="s">
        <v>282</v>
      </c>
      <c r="H858" s="47" t="s">
        <v>790</v>
      </c>
      <c r="I858" s="47" t="s">
        <v>791</v>
      </c>
      <c r="J858" s="6">
        <v>64</v>
      </c>
      <c r="K858" s="8" t="s">
        <v>68</v>
      </c>
      <c r="L858" s="5">
        <v>2</v>
      </c>
      <c r="P858" s="3"/>
      <c r="Q858" s="3"/>
      <c r="R858" s="3"/>
    </row>
    <row r="859" spans="1:18" x14ac:dyDescent="0.2">
      <c r="A859" s="7" t="s">
        <v>16</v>
      </c>
      <c r="B859" s="7" t="s">
        <v>60</v>
      </c>
      <c r="C859" s="7" t="s">
        <v>18</v>
      </c>
      <c r="D859" s="4">
        <v>12361267008844</v>
      </c>
      <c r="E859" s="8" t="s">
        <v>493</v>
      </c>
      <c r="F859" s="8" t="s">
        <v>228</v>
      </c>
      <c r="G859" s="7" t="s">
        <v>229</v>
      </c>
      <c r="H859" s="47" t="s">
        <v>790</v>
      </c>
      <c r="I859" s="47" t="s">
        <v>791</v>
      </c>
      <c r="J859" s="6">
        <v>62</v>
      </c>
      <c r="K859" s="8" t="s">
        <v>74</v>
      </c>
      <c r="L859" s="5">
        <v>2</v>
      </c>
      <c r="P859" s="3"/>
      <c r="Q859" s="3"/>
      <c r="R859" s="3"/>
    </row>
    <row r="860" spans="1:18" x14ac:dyDescent="0.2">
      <c r="A860" s="7" t="s">
        <v>16</v>
      </c>
      <c r="B860" s="7" t="s">
        <v>60</v>
      </c>
      <c r="C860" s="7" t="s">
        <v>18</v>
      </c>
      <c r="D860" s="4">
        <v>12361267008844</v>
      </c>
      <c r="E860" s="8" t="s">
        <v>493</v>
      </c>
      <c r="F860" s="8" t="s">
        <v>228</v>
      </c>
      <c r="G860" s="7" t="s">
        <v>229</v>
      </c>
      <c r="H860" s="47" t="s">
        <v>790</v>
      </c>
      <c r="I860" s="47" t="s">
        <v>791</v>
      </c>
      <c r="J860" s="6">
        <v>64</v>
      </c>
      <c r="K860" s="8" t="s">
        <v>68</v>
      </c>
      <c r="L860" s="5">
        <v>2</v>
      </c>
      <c r="P860" s="3"/>
      <c r="Q860" s="3"/>
      <c r="R860" s="3"/>
    </row>
    <row r="861" spans="1:18" x14ac:dyDescent="0.2">
      <c r="A861" s="7" t="s">
        <v>16</v>
      </c>
      <c r="B861" s="7" t="s">
        <v>60</v>
      </c>
      <c r="C861" s="7" t="s">
        <v>18</v>
      </c>
      <c r="D861" s="4">
        <v>12361267009654</v>
      </c>
      <c r="E861" s="8" t="s">
        <v>494</v>
      </c>
      <c r="F861" s="8" t="s">
        <v>246</v>
      </c>
      <c r="G861" s="7" t="s">
        <v>247</v>
      </c>
      <c r="H861" s="47" t="s">
        <v>790</v>
      </c>
      <c r="I861" s="47" t="s">
        <v>791</v>
      </c>
      <c r="J861" s="6">
        <v>62</v>
      </c>
      <c r="K861" s="8" t="s">
        <v>74</v>
      </c>
      <c r="L861" s="5">
        <v>2</v>
      </c>
      <c r="P861" s="3"/>
      <c r="Q861" s="3"/>
      <c r="R861" s="3"/>
    </row>
    <row r="862" spans="1:18" x14ac:dyDescent="0.2">
      <c r="A862" s="7" t="s">
        <v>16</v>
      </c>
      <c r="B862" s="7" t="s">
        <v>60</v>
      </c>
      <c r="C862" s="7" t="s">
        <v>18</v>
      </c>
      <c r="D862" s="4">
        <v>12361267009654</v>
      </c>
      <c r="E862" s="8" t="s">
        <v>494</v>
      </c>
      <c r="F862" s="8" t="s">
        <v>246</v>
      </c>
      <c r="G862" s="7" t="s">
        <v>247</v>
      </c>
      <c r="H862" s="47" t="s">
        <v>790</v>
      </c>
      <c r="I862" s="47" t="s">
        <v>791</v>
      </c>
      <c r="J862" s="6">
        <v>64</v>
      </c>
      <c r="K862" s="8" t="s">
        <v>68</v>
      </c>
      <c r="L862" s="5">
        <v>2</v>
      </c>
      <c r="P862" s="3"/>
      <c r="Q862" s="3"/>
      <c r="R862" s="3"/>
    </row>
    <row r="863" spans="1:18" x14ac:dyDescent="0.2">
      <c r="A863" s="7" t="s">
        <v>16</v>
      </c>
      <c r="B863" s="7" t="s">
        <v>60</v>
      </c>
      <c r="C863" s="7" t="s">
        <v>18</v>
      </c>
      <c r="D863" s="4">
        <v>12361267010318</v>
      </c>
      <c r="E863" s="8" t="s">
        <v>313</v>
      </c>
      <c r="F863" s="8" t="s">
        <v>278</v>
      </c>
      <c r="G863" s="7" t="s">
        <v>276</v>
      </c>
      <c r="H863" s="47" t="s">
        <v>790</v>
      </c>
      <c r="I863" s="47" t="s">
        <v>791</v>
      </c>
      <c r="J863" s="6">
        <v>62</v>
      </c>
      <c r="K863" s="8" t="s">
        <v>74</v>
      </c>
      <c r="L863" s="5">
        <v>5</v>
      </c>
      <c r="P863" s="3"/>
      <c r="Q863" s="3"/>
      <c r="R863" s="3"/>
    </row>
    <row r="864" spans="1:18" x14ac:dyDescent="0.2">
      <c r="A864" s="7" t="s">
        <v>16</v>
      </c>
      <c r="B864" s="7" t="s">
        <v>60</v>
      </c>
      <c r="C864" s="7" t="s">
        <v>18</v>
      </c>
      <c r="D864" s="4">
        <v>12361267010318</v>
      </c>
      <c r="E864" s="8" t="s">
        <v>313</v>
      </c>
      <c r="F864" s="8" t="s">
        <v>278</v>
      </c>
      <c r="G864" s="7" t="s">
        <v>276</v>
      </c>
      <c r="H864" s="47" t="s">
        <v>790</v>
      </c>
      <c r="I864" s="47" t="s">
        <v>791</v>
      </c>
      <c r="J864" s="6">
        <v>64</v>
      </c>
      <c r="K864" s="8" t="s">
        <v>68</v>
      </c>
      <c r="L864" s="5">
        <v>2</v>
      </c>
      <c r="P864" s="3"/>
      <c r="Q864" s="3"/>
      <c r="R864" s="3"/>
    </row>
    <row r="865" spans="1:18" x14ac:dyDescent="0.2">
      <c r="A865" s="7" t="s">
        <v>16</v>
      </c>
      <c r="B865" s="7" t="s">
        <v>60</v>
      </c>
      <c r="C865" s="7" t="s">
        <v>18</v>
      </c>
      <c r="D865" s="4">
        <v>12361267010407</v>
      </c>
      <c r="E865" s="8" t="s">
        <v>495</v>
      </c>
      <c r="F865" s="8" t="s">
        <v>323</v>
      </c>
      <c r="G865" s="7" t="s">
        <v>276</v>
      </c>
      <c r="H865" s="47" t="s">
        <v>790</v>
      </c>
      <c r="I865" s="47" t="s">
        <v>791</v>
      </c>
      <c r="J865" s="6">
        <v>64</v>
      </c>
      <c r="K865" s="8" t="s">
        <v>68</v>
      </c>
      <c r="L865" s="5">
        <v>2</v>
      </c>
      <c r="P865" s="3"/>
      <c r="Q865" s="3"/>
      <c r="R865" s="3"/>
    </row>
    <row r="866" spans="1:18" x14ac:dyDescent="0.2">
      <c r="A866" s="7" t="s">
        <v>16</v>
      </c>
      <c r="B866" s="7" t="s">
        <v>60</v>
      </c>
      <c r="C866" s="7" t="s">
        <v>18</v>
      </c>
      <c r="D866" s="4">
        <v>12361267011632</v>
      </c>
      <c r="E866" s="8" t="s">
        <v>496</v>
      </c>
      <c r="F866" s="8" t="s">
        <v>497</v>
      </c>
      <c r="G866" s="7" t="s">
        <v>498</v>
      </c>
      <c r="H866" s="47" t="s">
        <v>790</v>
      </c>
      <c r="I866" s="47" t="s">
        <v>791</v>
      </c>
      <c r="J866" s="6">
        <v>62</v>
      </c>
      <c r="K866" s="8" t="s">
        <v>74</v>
      </c>
      <c r="L866" s="5">
        <v>4</v>
      </c>
      <c r="P866" s="3"/>
      <c r="Q866" s="3"/>
      <c r="R866" s="3"/>
    </row>
    <row r="867" spans="1:18" x14ac:dyDescent="0.2">
      <c r="A867" s="7" t="s">
        <v>16</v>
      </c>
      <c r="B867" s="7" t="s">
        <v>60</v>
      </c>
      <c r="C867" s="7" t="s">
        <v>18</v>
      </c>
      <c r="D867" s="4">
        <v>12361267011632</v>
      </c>
      <c r="E867" s="8" t="s">
        <v>496</v>
      </c>
      <c r="F867" s="8" t="s">
        <v>497</v>
      </c>
      <c r="G867" s="7" t="s">
        <v>498</v>
      </c>
      <c r="H867" s="47" t="s">
        <v>790</v>
      </c>
      <c r="I867" s="47" t="s">
        <v>791</v>
      </c>
      <c r="J867" s="6">
        <v>64</v>
      </c>
      <c r="K867" s="8" t="s">
        <v>68</v>
      </c>
      <c r="L867" s="5">
        <v>2</v>
      </c>
      <c r="P867" s="3"/>
      <c r="Q867" s="3"/>
      <c r="R867" s="3"/>
    </row>
    <row r="868" spans="1:18" x14ac:dyDescent="0.2">
      <c r="A868" s="7" t="s">
        <v>16</v>
      </c>
      <c r="B868" s="7" t="s">
        <v>60</v>
      </c>
      <c r="C868" s="7" t="s">
        <v>18</v>
      </c>
      <c r="D868" s="4">
        <v>12361267011802</v>
      </c>
      <c r="E868" s="8" t="s">
        <v>314</v>
      </c>
      <c r="F868" s="8" t="s">
        <v>281</v>
      </c>
      <c r="G868" s="7" t="s">
        <v>282</v>
      </c>
      <c r="H868" s="47" t="s">
        <v>790</v>
      </c>
      <c r="I868" s="47" t="s">
        <v>791</v>
      </c>
      <c r="J868" s="6">
        <v>62</v>
      </c>
      <c r="K868" s="8" t="s">
        <v>74</v>
      </c>
      <c r="L868" s="5">
        <v>2</v>
      </c>
      <c r="P868" s="3"/>
      <c r="Q868" s="3"/>
      <c r="R868" s="3"/>
    </row>
    <row r="869" spans="1:18" x14ac:dyDescent="0.2">
      <c r="A869" s="7" t="s">
        <v>16</v>
      </c>
      <c r="B869" s="7" t="s">
        <v>60</v>
      </c>
      <c r="C869" s="7" t="s">
        <v>18</v>
      </c>
      <c r="D869" s="4">
        <v>12361267011802</v>
      </c>
      <c r="E869" s="8" t="s">
        <v>314</v>
      </c>
      <c r="F869" s="8" t="s">
        <v>281</v>
      </c>
      <c r="G869" s="7" t="s">
        <v>282</v>
      </c>
      <c r="H869" s="47" t="s">
        <v>790</v>
      </c>
      <c r="I869" s="47" t="s">
        <v>791</v>
      </c>
      <c r="J869" s="6">
        <v>64</v>
      </c>
      <c r="K869" s="8" t="s">
        <v>68</v>
      </c>
      <c r="L869" s="5">
        <v>4</v>
      </c>
      <c r="P869" s="3"/>
      <c r="Q869" s="3"/>
      <c r="R869" s="3"/>
    </row>
    <row r="870" spans="1:18" x14ac:dyDescent="0.2">
      <c r="A870" s="7" t="s">
        <v>16</v>
      </c>
      <c r="B870" s="7" t="s">
        <v>60</v>
      </c>
      <c r="C870" s="7" t="s">
        <v>18</v>
      </c>
      <c r="D870" s="4">
        <v>12442737000496</v>
      </c>
      <c r="E870" s="8" t="s">
        <v>437</v>
      </c>
      <c r="F870" s="8" t="s">
        <v>361</v>
      </c>
      <c r="G870" s="7" t="s">
        <v>362</v>
      </c>
      <c r="H870" s="47" t="s">
        <v>790</v>
      </c>
      <c r="I870" s="47" t="s">
        <v>791</v>
      </c>
      <c r="J870" s="6">
        <v>62</v>
      </c>
      <c r="K870" s="8" t="s">
        <v>74</v>
      </c>
      <c r="L870" s="5">
        <v>2</v>
      </c>
      <c r="P870" s="3"/>
      <c r="Q870" s="3"/>
      <c r="R870" s="3"/>
    </row>
    <row r="871" spans="1:18" x14ac:dyDescent="0.2">
      <c r="A871" s="7" t="s">
        <v>16</v>
      </c>
      <c r="B871" s="7" t="s">
        <v>60</v>
      </c>
      <c r="C871" s="7" t="s">
        <v>18</v>
      </c>
      <c r="D871" s="4">
        <v>13131370000100</v>
      </c>
      <c r="E871" s="8" t="s">
        <v>319</v>
      </c>
      <c r="F871" s="8" t="s">
        <v>317</v>
      </c>
      <c r="G871" s="7" t="s">
        <v>318</v>
      </c>
      <c r="H871" s="47" t="s">
        <v>790</v>
      </c>
      <c r="I871" s="47" t="s">
        <v>791</v>
      </c>
      <c r="J871" s="6">
        <v>73</v>
      </c>
      <c r="K871" s="8" t="s">
        <v>69</v>
      </c>
      <c r="L871" s="5">
        <v>38</v>
      </c>
      <c r="P871" s="3"/>
      <c r="Q871" s="3"/>
      <c r="R871" s="3"/>
    </row>
    <row r="872" spans="1:18" x14ac:dyDescent="0.2">
      <c r="A872" s="7" t="s">
        <v>16</v>
      </c>
      <c r="B872" s="7" t="s">
        <v>60</v>
      </c>
      <c r="C872" s="7" t="s">
        <v>18</v>
      </c>
      <c r="D872" s="4">
        <v>13952064000134</v>
      </c>
      <c r="E872" s="8" t="s">
        <v>321</v>
      </c>
      <c r="F872" s="8" t="s">
        <v>278</v>
      </c>
      <c r="G872" s="7" t="s">
        <v>276</v>
      </c>
      <c r="H872" s="47" t="s">
        <v>790</v>
      </c>
      <c r="I872" s="47" t="s">
        <v>791</v>
      </c>
      <c r="J872" s="6">
        <v>62</v>
      </c>
      <c r="K872" s="8" t="s">
        <v>74</v>
      </c>
      <c r="L872" s="5">
        <v>8</v>
      </c>
      <c r="P872" s="3"/>
      <c r="Q872" s="3"/>
      <c r="R872" s="3"/>
    </row>
    <row r="873" spans="1:18" x14ac:dyDescent="0.2">
      <c r="A873" s="7" t="s">
        <v>16</v>
      </c>
      <c r="B873" s="7" t="s">
        <v>60</v>
      </c>
      <c r="C873" s="7" t="s">
        <v>18</v>
      </c>
      <c r="D873" s="4">
        <v>13952064000134</v>
      </c>
      <c r="E873" s="8" t="s">
        <v>321</v>
      </c>
      <c r="F873" s="8" t="s">
        <v>278</v>
      </c>
      <c r="G873" s="7" t="s">
        <v>276</v>
      </c>
      <c r="H873" s="47" t="s">
        <v>790</v>
      </c>
      <c r="I873" s="47" t="s">
        <v>791</v>
      </c>
      <c r="J873" s="6">
        <v>64</v>
      </c>
      <c r="K873" s="8" t="s">
        <v>68</v>
      </c>
      <c r="L873" s="5">
        <v>22</v>
      </c>
      <c r="P873" s="3"/>
      <c r="Q873" s="3"/>
      <c r="R873" s="3"/>
    </row>
    <row r="874" spans="1:18" x14ac:dyDescent="0.2">
      <c r="A874" s="7" t="s">
        <v>16</v>
      </c>
      <c r="B874" s="7" t="s">
        <v>60</v>
      </c>
      <c r="C874" s="7" t="s">
        <v>18</v>
      </c>
      <c r="D874" s="4">
        <v>14408631000159</v>
      </c>
      <c r="E874" s="8" t="s">
        <v>324</v>
      </c>
      <c r="F874" s="8" t="s">
        <v>325</v>
      </c>
      <c r="G874" s="7" t="s">
        <v>223</v>
      </c>
      <c r="H874" s="47" t="s">
        <v>784</v>
      </c>
      <c r="I874" s="47" t="s">
        <v>785</v>
      </c>
      <c r="J874" s="6">
        <v>73</v>
      </c>
      <c r="K874" s="8" t="s">
        <v>69</v>
      </c>
      <c r="L874" s="5">
        <v>8</v>
      </c>
      <c r="P874" s="3"/>
      <c r="Q874" s="3"/>
      <c r="R874" s="3"/>
    </row>
    <row r="875" spans="1:18" x14ac:dyDescent="0.2">
      <c r="A875" s="7" t="s">
        <v>16</v>
      </c>
      <c r="B875" s="7" t="s">
        <v>60</v>
      </c>
      <c r="C875" s="7" t="s">
        <v>18</v>
      </c>
      <c r="D875" s="4">
        <v>15126437000739</v>
      </c>
      <c r="E875" s="8" t="s">
        <v>329</v>
      </c>
      <c r="F875" s="8" t="s">
        <v>246</v>
      </c>
      <c r="G875" s="7" t="s">
        <v>247</v>
      </c>
      <c r="H875" s="47" t="s">
        <v>790</v>
      </c>
      <c r="I875" s="47" t="s">
        <v>791</v>
      </c>
      <c r="J875" s="6">
        <v>64</v>
      </c>
      <c r="K875" s="8" t="s">
        <v>68</v>
      </c>
      <c r="L875" s="5">
        <v>50</v>
      </c>
      <c r="P875" s="3"/>
      <c r="Q875" s="3"/>
      <c r="R875" s="3"/>
    </row>
    <row r="876" spans="1:18" x14ac:dyDescent="0.2">
      <c r="A876" s="7" t="s">
        <v>16</v>
      </c>
      <c r="B876" s="7" t="s">
        <v>60</v>
      </c>
      <c r="C876" s="7" t="s">
        <v>18</v>
      </c>
      <c r="D876" s="4">
        <v>15153745000249</v>
      </c>
      <c r="E876" s="8" t="s">
        <v>332</v>
      </c>
      <c r="F876" s="8" t="s">
        <v>278</v>
      </c>
      <c r="G876" s="7" t="s">
        <v>276</v>
      </c>
      <c r="H876" s="47" t="s">
        <v>790</v>
      </c>
      <c r="I876" s="47" t="s">
        <v>791</v>
      </c>
      <c r="J876" s="6">
        <v>62</v>
      </c>
      <c r="K876" s="8" t="s">
        <v>74</v>
      </c>
      <c r="L876" s="5">
        <v>13</v>
      </c>
      <c r="P876" s="3"/>
      <c r="Q876" s="3"/>
      <c r="R876" s="3"/>
    </row>
    <row r="877" spans="1:18" x14ac:dyDescent="0.2">
      <c r="A877" s="7" t="s">
        <v>16</v>
      </c>
      <c r="B877" s="7" t="s">
        <v>60</v>
      </c>
      <c r="C877" s="7" t="s">
        <v>18</v>
      </c>
      <c r="D877" s="4">
        <v>15153745000249</v>
      </c>
      <c r="E877" s="8" t="s">
        <v>332</v>
      </c>
      <c r="F877" s="8" t="s">
        <v>278</v>
      </c>
      <c r="G877" s="7" t="s">
        <v>276</v>
      </c>
      <c r="H877" s="47" t="s">
        <v>790</v>
      </c>
      <c r="I877" s="47" t="s">
        <v>791</v>
      </c>
      <c r="J877" s="6">
        <v>64</v>
      </c>
      <c r="K877" s="8" t="s">
        <v>68</v>
      </c>
      <c r="L877" s="5">
        <v>4</v>
      </c>
      <c r="P877" s="3"/>
      <c r="Q877" s="3"/>
      <c r="R877" s="3"/>
    </row>
    <row r="878" spans="1:18" x14ac:dyDescent="0.2">
      <c r="A878" s="7" t="s">
        <v>16</v>
      </c>
      <c r="B878" s="7" t="s">
        <v>60</v>
      </c>
      <c r="C878" s="7" t="s">
        <v>18</v>
      </c>
      <c r="D878" s="4">
        <v>15166416000151</v>
      </c>
      <c r="E878" s="8" t="s">
        <v>334</v>
      </c>
      <c r="F878" s="8" t="s">
        <v>278</v>
      </c>
      <c r="G878" s="7" t="s">
        <v>276</v>
      </c>
      <c r="H878" s="47" t="s">
        <v>790</v>
      </c>
      <c r="I878" s="47" t="s">
        <v>791</v>
      </c>
      <c r="J878" s="6">
        <v>62</v>
      </c>
      <c r="K878" s="8" t="s">
        <v>74</v>
      </c>
      <c r="L878" s="5">
        <v>10</v>
      </c>
      <c r="P878" s="3"/>
      <c r="Q878" s="3"/>
      <c r="R878" s="3"/>
    </row>
    <row r="879" spans="1:18" x14ac:dyDescent="0.2">
      <c r="A879" s="7" t="s">
        <v>16</v>
      </c>
      <c r="B879" s="7" t="s">
        <v>60</v>
      </c>
      <c r="C879" s="7" t="s">
        <v>18</v>
      </c>
      <c r="D879" s="4">
        <v>15166416000151</v>
      </c>
      <c r="E879" s="8" t="s">
        <v>334</v>
      </c>
      <c r="F879" s="8" t="s">
        <v>278</v>
      </c>
      <c r="G879" s="7" t="s">
        <v>276</v>
      </c>
      <c r="H879" s="47" t="s">
        <v>790</v>
      </c>
      <c r="I879" s="47" t="s">
        <v>791</v>
      </c>
      <c r="J879" s="6">
        <v>64</v>
      </c>
      <c r="K879" s="8" t="s">
        <v>68</v>
      </c>
      <c r="L879" s="5">
        <v>10</v>
      </c>
      <c r="P879" s="3"/>
      <c r="Q879" s="3"/>
      <c r="R879" s="3"/>
    </row>
    <row r="880" spans="1:18" x14ac:dyDescent="0.2">
      <c r="A880" s="7" t="s">
        <v>16</v>
      </c>
      <c r="B880" s="7" t="s">
        <v>60</v>
      </c>
      <c r="C880" s="7" t="s">
        <v>18</v>
      </c>
      <c r="D880" s="4">
        <v>15180714000520</v>
      </c>
      <c r="E880" s="8" t="s">
        <v>338</v>
      </c>
      <c r="F880" s="8" t="s">
        <v>278</v>
      </c>
      <c r="G880" s="7" t="s">
        <v>276</v>
      </c>
      <c r="H880" s="47" t="s">
        <v>790</v>
      </c>
      <c r="I880" s="47" t="s">
        <v>791</v>
      </c>
      <c r="J880" s="6">
        <v>62</v>
      </c>
      <c r="K880" s="8" t="s">
        <v>74</v>
      </c>
      <c r="L880" s="5">
        <v>20</v>
      </c>
      <c r="P880" s="3"/>
      <c r="Q880" s="3"/>
      <c r="R880" s="3"/>
    </row>
    <row r="881" spans="1:18" x14ac:dyDescent="0.2">
      <c r="A881" s="7" t="s">
        <v>16</v>
      </c>
      <c r="B881" s="7" t="s">
        <v>60</v>
      </c>
      <c r="C881" s="7" t="s">
        <v>18</v>
      </c>
      <c r="D881" s="4">
        <v>15194004000125</v>
      </c>
      <c r="E881" s="8" t="s">
        <v>339</v>
      </c>
      <c r="F881" s="8" t="s">
        <v>278</v>
      </c>
      <c r="G881" s="7" t="s">
        <v>276</v>
      </c>
      <c r="H881" s="47" t="s">
        <v>790</v>
      </c>
      <c r="I881" s="47" t="s">
        <v>791</v>
      </c>
      <c r="J881" s="6">
        <v>64</v>
      </c>
      <c r="K881" s="8" t="s">
        <v>68</v>
      </c>
      <c r="L881" s="5">
        <v>24</v>
      </c>
      <c r="P881" s="3"/>
      <c r="Q881" s="3"/>
      <c r="R881" s="3"/>
    </row>
    <row r="882" spans="1:18" x14ac:dyDescent="0.2">
      <c r="A882" s="7" t="s">
        <v>16</v>
      </c>
      <c r="B882" s="7" t="s">
        <v>60</v>
      </c>
      <c r="C882" s="7" t="s">
        <v>18</v>
      </c>
      <c r="D882" s="4">
        <v>15242761000127</v>
      </c>
      <c r="E882" s="8" t="s">
        <v>340</v>
      </c>
      <c r="F882" s="8" t="s">
        <v>278</v>
      </c>
      <c r="G882" s="7" t="s">
        <v>276</v>
      </c>
      <c r="H882" s="47" t="s">
        <v>790</v>
      </c>
      <c r="I882" s="47" t="s">
        <v>791</v>
      </c>
      <c r="J882" s="6">
        <v>73</v>
      </c>
      <c r="K882" s="8" t="s">
        <v>69</v>
      </c>
      <c r="L882" s="5">
        <v>112</v>
      </c>
      <c r="P882" s="3"/>
      <c r="Q882" s="3"/>
      <c r="R882" s="3"/>
    </row>
    <row r="883" spans="1:18" x14ac:dyDescent="0.2">
      <c r="A883" s="7" t="s">
        <v>16</v>
      </c>
      <c r="B883" s="7" t="s">
        <v>60</v>
      </c>
      <c r="C883" s="7" t="s">
        <v>18</v>
      </c>
      <c r="D883" s="4">
        <v>16739984000167</v>
      </c>
      <c r="E883" s="8" t="s">
        <v>342</v>
      </c>
      <c r="F883" s="8" t="s">
        <v>225</v>
      </c>
      <c r="G883" s="7" t="s">
        <v>226</v>
      </c>
      <c r="H883" s="47" t="s">
        <v>790</v>
      </c>
      <c r="I883" s="47" t="s">
        <v>791</v>
      </c>
      <c r="J883" s="6">
        <v>73</v>
      </c>
      <c r="K883" s="8" t="s">
        <v>69</v>
      </c>
      <c r="L883" s="5">
        <v>36</v>
      </c>
      <c r="P883" s="3"/>
      <c r="Q883" s="3"/>
      <c r="R883" s="3"/>
    </row>
    <row r="884" spans="1:18" x14ac:dyDescent="0.2">
      <c r="A884" s="7" t="s">
        <v>16</v>
      </c>
      <c r="B884" s="7" t="s">
        <v>60</v>
      </c>
      <c r="C884" s="7" t="s">
        <v>18</v>
      </c>
      <c r="D884" s="4">
        <v>17087591000189</v>
      </c>
      <c r="E884" s="8" t="s">
        <v>345</v>
      </c>
      <c r="F884" s="8" t="s">
        <v>346</v>
      </c>
      <c r="G884" s="7" t="s">
        <v>223</v>
      </c>
      <c r="H884" s="47" t="s">
        <v>784</v>
      </c>
      <c r="I884" s="47" t="s">
        <v>785</v>
      </c>
      <c r="J884" s="6">
        <v>62</v>
      </c>
      <c r="K884" s="8" t="s">
        <v>74</v>
      </c>
      <c r="L884" s="5">
        <v>2</v>
      </c>
      <c r="P884" s="3"/>
      <c r="Q884" s="3"/>
      <c r="R884" s="3"/>
    </row>
    <row r="885" spans="1:18" x14ac:dyDescent="0.2">
      <c r="A885" s="7" t="s">
        <v>16</v>
      </c>
      <c r="B885" s="7" t="s">
        <v>60</v>
      </c>
      <c r="C885" s="7" t="s">
        <v>18</v>
      </c>
      <c r="D885" s="4">
        <v>17214149000176</v>
      </c>
      <c r="E885" s="8" t="s">
        <v>347</v>
      </c>
      <c r="F885" s="8" t="s">
        <v>235</v>
      </c>
      <c r="G885" s="7" t="s">
        <v>223</v>
      </c>
      <c r="H885" s="47" t="s">
        <v>784</v>
      </c>
      <c r="I885" s="47" t="s">
        <v>785</v>
      </c>
      <c r="J885" s="6">
        <v>62</v>
      </c>
      <c r="K885" s="8" t="s">
        <v>74</v>
      </c>
      <c r="L885" s="5">
        <v>9</v>
      </c>
      <c r="P885" s="3"/>
      <c r="Q885" s="3"/>
      <c r="R885" s="3"/>
    </row>
    <row r="886" spans="1:18" x14ac:dyDescent="0.2">
      <c r="A886" s="7" t="s">
        <v>16</v>
      </c>
      <c r="B886" s="7" t="s">
        <v>60</v>
      </c>
      <c r="C886" s="7" t="s">
        <v>18</v>
      </c>
      <c r="D886" s="4">
        <v>17689407000928</v>
      </c>
      <c r="E886" s="8" t="s">
        <v>348</v>
      </c>
      <c r="F886" s="8" t="s">
        <v>349</v>
      </c>
      <c r="G886" s="7" t="s">
        <v>223</v>
      </c>
      <c r="H886" s="47" t="s">
        <v>784</v>
      </c>
      <c r="I886" s="47" t="s">
        <v>785</v>
      </c>
      <c r="J886" s="6">
        <v>73</v>
      </c>
      <c r="K886" s="8" t="s">
        <v>69</v>
      </c>
      <c r="L886" s="5">
        <v>6</v>
      </c>
      <c r="P886" s="3"/>
      <c r="Q886" s="3"/>
      <c r="R886" s="3"/>
    </row>
    <row r="887" spans="1:18" x14ac:dyDescent="0.2">
      <c r="A887" s="7" t="s">
        <v>16</v>
      </c>
      <c r="B887" s="7" t="s">
        <v>60</v>
      </c>
      <c r="C887" s="7" t="s">
        <v>18</v>
      </c>
      <c r="D887" s="4">
        <v>18836965000184</v>
      </c>
      <c r="E887" s="8" t="s">
        <v>499</v>
      </c>
      <c r="F887" s="8" t="s">
        <v>500</v>
      </c>
      <c r="G887" s="7" t="s">
        <v>223</v>
      </c>
      <c r="H887" s="47" t="s">
        <v>784</v>
      </c>
      <c r="I887" s="47" t="s">
        <v>785</v>
      </c>
      <c r="J887" s="6">
        <v>73</v>
      </c>
      <c r="K887" s="8" t="s">
        <v>69</v>
      </c>
      <c r="L887" s="5">
        <v>20</v>
      </c>
      <c r="P887" s="3"/>
      <c r="Q887" s="3"/>
      <c r="R887" s="3"/>
    </row>
    <row r="888" spans="1:18" x14ac:dyDescent="0.2">
      <c r="A888" s="7" t="s">
        <v>16</v>
      </c>
      <c r="B888" s="7" t="s">
        <v>60</v>
      </c>
      <c r="C888" s="7" t="s">
        <v>18</v>
      </c>
      <c r="D888" s="4">
        <v>19878404000100</v>
      </c>
      <c r="E888" s="8" t="s">
        <v>351</v>
      </c>
      <c r="F888" s="8" t="s">
        <v>352</v>
      </c>
      <c r="G888" s="7" t="s">
        <v>223</v>
      </c>
      <c r="H888" s="47" t="s">
        <v>784</v>
      </c>
      <c r="I888" s="47" t="s">
        <v>785</v>
      </c>
      <c r="J888" s="6">
        <v>73</v>
      </c>
      <c r="K888" s="8" t="s">
        <v>69</v>
      </c>
      <c r="L888" s="5">
        <v>52</v>
      </c>
      <c r="P888" s="3"/>
      <c r="Q888" s="3"/>
      <c r="R888" s="3"/>
    </row>
    <row r="889" spans="1:18" x14ac:dyDescent="0.2">
      <c r="A889" s="7" t="s">
        <v>16</v>
      </c>
      <c r="B889" s="7" t="s">
        <v>60</v>
      </c>
      <c r="C889" s="7" t="s">
        <v>18</v>
      </c>
      <c r="D889" s="4">
        <v>20150900000122</v>
      </c>
      <c r="E889" s="8" t="s">
        <v>353</v>
      </c>
      <c r="F889" s="8" t="s">
        <v>346</v>
      </c>
      <c r="G889" s="7" t="s">
        <v>223</v>
      </c>
      <c r="H889" s="47" t="s">
        <v>784</v>
      </c>
      <c r="I889" s="47" t="s">
        <v>785</v>
      </c>
      <c r="J889" s="6">
        <v>73</v>
      </c>
      <c r="K889" s="8" t="s">
        <v>69</v>
      </c>
      <c r="L889" s="5">
        <v>18</v>
      </c>
      <c r="P889" s="3"/>
      <c r="Q889" s="3"/>
      <c r="R889" s="3"/>
    </row>
    <row r="890" spans="1:18" x14ac:dyDescent="0.2">
      <c r="A890" s="7" t="s">
        <v>16</v>
      </c>
      <c r="B890" s="7" t="s">
        <v>60</v>
      </c>
      <c r="C890" s="7" t="s">
        <v>18</v>
      </c>
      <c r="D890" s="4">
        <v>20909271000171</v>
      </c>
      <c r="E890" s="8" t="s">
        <v>443</v>
      </c>
      <c r="F890" s="8" t="s">
        <v>444</v>
      </c>
      <c r="G890" s="7" t="s">
        <v>223</v>
      </c>
      <c r="H890" s="47" t="s">
        <v>784</v>
      </c>
      <c r="I890" s="47" t="s">
        <v>785</v>
      </c>
      <c r="J890" s="6">
        <v>73</v>
      </c>
      <c r="K890" s="8" t="s">
        <v>69</v>
      </c>
      <c r="L890" s="5">
        <v>70</v>
      </c>
      <c r="P890" s="3"/>
      <c r="Q890" s="3"/>
      <c r="R890" s="3"/>
    </row>
    <row r="891" spans="1:18" x14ac:dyDescent="0.2">
      <c r="A891" s="7" t="s">
        <v>16</v>
      </c>
      <c r="B891" s="7" t="s">
        <v>60</v>
      </c>
      <c r="C891" s="7" t="s">
        <v>18</v>
      </c>
      <c r="D891" s="4">
        <v>25308058000128</v>
      </c>
      <c r="E891" s="8" t="s">
        <v>501</v>
      </c>
      <c r="F891" s="8" t="s">
        <v>502</v>
      </c>
      <c r="G891" s="7" t="s">
        <v>241</v>
      </c>
      <c r="H891" s="47" t="s">
        <v>784</v>
      </c>
      <c r="I891" s="47" t="s">
        <v>785</v>
      </c>
      <c r="J891" s="6">
        <v>64</v>
      </c>
      <c r="K891" s="8" t="s">
        <v>68</v>
      </c>
      <c r="L891" s="5">
        <v>2</v>
      </c>
      <c r="P891" s="3"/>
      <c r="Q891" s="3"/>
      <c r="R891" s="3"/>
    </row>
    <row r="892" spans="1:18" x14ac:dyDescent="0.2">
      <c r="A892" s="7" t="s">
        <v>16</v>
      </c>
      <c r="B892" s="7" t="s">
        <v>60</v>
      </c>
      <c r="C892" s="7" t="s">
        <v>18</v>
      </c>
      <c r="D892" s="4">
        <v>25761040000187</v>
      </c>
      <c r="E892" s="8" t="s">
        <v>449</v>
      </c>
      <c r="F892" s="8" t="s">
        <v>346</v>
      </c>
      <c r="G892" s="7" t="s">
        <v>223</v>
      </c>
      <c r="H892" s="47" t="s">
        <v>784</v>
      </c>
      <c r="I892" s="47" t="s">
        <v>785</v>
      </c>
      <c r="J892" s="6">
        <v>62</v>
      </c>
      <c r="K892" s="8" t="s">
        <v>74</v>
      </c>
      <c r="L892" s="5">
        <v>6</v>
      </c>
      <c r="P892" s="3"/>
      <c r="Q892" s="3"/>
      <c r="R892" s="3"/>
    </row>
    <row r="893" spans="1:18" x14ac:dyDescent="0.2">
      <c r="A893" s="7" t="s">
        <v>16</v>
      </c>
      <c r="B893" s="7" t="s">
        <v>60</v>
      </c>
      <c r="C893" s="7" t="s">
        <v>18</v>
      </c>
      <c r="D893" s="4">
        <v>27372066000169</v>
      </c>
      <c r="E893" s="8" t="s">
        <v>364</v>
      </c>
      <c r="F893" s="8" t="s">
        <v>278</v>
      </c>
      <c r="G893" s="7" t="s">
        <v>276</v>
      </c>
      <c r="H893" s="47" t="s">
        <v>790</v>
      </c>
      <c r="I893" s="47" t="s">
        <v>791</v>
      </c>
      <c r="J893" s="6">
        <v>62</v>
      </c>
      <c r="K893" s="8" t="s">
        <v>74</v>
      </c>
      <c r="L893" s="5">
        <v>5</v>
      </c>
      <c r="P893" s="3"/>
      <c r="Q893" s="3"/>
      <c r="R893" s="3"/>
    </row>
    <row r="894" spans="1:18" x14ac:dyDescent="0.2">
      <c r="A894" s="7" t="s">
        <v>16</v>
      </c>
      <c r="B894" s="7" t="s">
        <v>60</v>
      </c>
      <c r="C894" s="7" t="s">
        <v>18</v>
      </c>
      <c r="D894" s="4">
        <v>27372066000169</v>
      </c>
      <c r="E894" s="8" t="s">
        <v>364</v>
      </c>
      <c r="F894" s="8" t="s">
        <v>278</v>
      </c>
      <c r="G894" s="7" t="s">
        <v>276</v>
      </c>
      <c r="H894" s="47" t="s">
        <v>790</v>
      </c>
      <c r="I894" s="47" t="s">
        <v>791</v>
      </c>
      <c r="J894" s="6">
        <v>64</v>
      </c>
      <c r="K894" s="8" t="s">
        <v>68</v>
      </c>
      <c r="L894" s="5">
        <v>8</v>
      </c>
      <c r="P894" s="3"/>
      <c r="Q894" s="3"/>
      <c r="R894" s="3"/>
    </row>
    <row r="895" spans="1:18" x14ac:dyDescent="0.2">
      <c r="A895" s="7" t="s">
        <v>16</v>
      </c>
      <c r="B895" s="7" t="s">
        <v>60</v>
      </c>
      <c r="C895" s="7" t="s">
        <v>18</v>
      </c>
      <c r="D895" s="4">
        <v>28806545000532</v>
      </c>
      <c r="E895" s="8" t="s">
        <v>366</v>
      </c>
      <c r="F895" s="8" t="s">
        <v>367</v>
      </c>
      <c r="G895" s="7" t="s">
        <v>241</v>
      </c>
      <c r="H895" s="47" t="s">
        <v>784</v>
      </c>
      <c r="I895" s="47" t="s">
        <v>785</v>
      </c>
      <c r="J895" s="6">
        <v>73</v>
      </c>
      <c r="K895" s="8" t="s">
        <v>69</v>
      </c>
      <c r="L895" s="5">
        <v>96</v>
      </c>
      <c r="P895" s="3"/>
      <c r="Q895" s="3"/>
      <c r="R895" s="3"/>
    </row>
    <row r="896" spans="1:18" x14ac:dyDescent="0.2">
      <c r="A896" s="7" t="s">
        <v>16</v>
      </c>
      <c r="B896" s="7" t="s">
        <v>60</v>
      </c>
      <c r="C896" s="7" t="s">
        <v>18</v>
      </c>
      <c r="D896" s="4">
        <v>29072642000188</v>
      </c>
      <c r="E896" s="8" t="s">
        <v>368</v>
      </c>
      <c r="F896" s="8" t="s">
        <v>369</v>
      </c>
      <c r="G896" s="7" t="s">
        <v>241</v>
      </c>
      <c r="H896" s="47" t="s">
        <v>784</v>
      </c>
      <c r="I896" s="47" t="s">
        <v>785</v>
      </c>
      <c r="J896" s="6">
        <v>64</v>
      </c>
      <c r="K896" s="8" t="s">
        <v>68</v>
      </c>
      <c r="L896" s="5">
        <v>10</v>
      </c>
      <c r="P896" s="3"/>
      <c r="Q896" s="3"/>
      <c r="R896" s="3"/>
    </row>
    <row r="897" spans="1:18" x14ac:dyDescent="0.2">
      <c r="A897" s="7" t="s">
        <v>16</v>
      </c>
      <c r="B897" s="7" t="s">
        <v>60</v>
      </c>
      <c r="C897" s="7" t="s">
        <v>18</v>
      </c>
      <c r="D897" s="4">
        <v>29435005004620</v>
      </c>
      <c r="E897" s="8" t="s">
        <v>370</v>
      </c>
      <c r="F897" s="8" t="s">
        <v>225</v>
      </c>
      <c r="G897" s="7" t="s">
        <v>226</v>
      </c>
      <c r="H897" s="47" t="s">
        <v>790</v>
      </c>
      <c r="I897" s="47" t="s">
        <v>791</v>
      </c>
      <c r="J897" s="6">
        <v>62</v>
      </c>
      <c r="K897" s="8" t="s">
        <v>74</v>
      </c>
      <c r="L897" s="5">
        <v>1</v>
      </c>
      <c r="P897" s="3"/>
      <c r="Q897" s="3"/>
      <c r="R897" s="3"/>
    </row>
    <row r="898" spans="1:18" x14ac:dyDescent="0.2">
      <c r="A898" s="7" t="s">
        <v>16</v>
      </c>
      <c r="B898" s="7" t="s">
        <v>60</v>
      </c>
      <c r="C898" s="7" t="s">
        <v>18</v>
      </c>
      <c r="D898" s="4">
        <v>29435005004620</v>
      </c>
      <c r="E898" s="8" t="s">
        <v>370</v>
      </c>
      <c r="F898" s="8" t="s">
        <v>225</v>
      </c>
      <c r="G898" s="7" t="s">
        <v>226</v>
      </c>
      <c r="H898" s="47" t="s">
        <v>790</v>
      </c>
      <c r="I898" s="47" t="s">
        <v>791</v>
      </c>
      <c r="J898" s="6">
        <v>64</v>
      </c>
      <c r="K898" s="8" t="s">
        <v>68</v>
      </c>
      <c r="L898" s="5">
        <v>15</v>
      </c>
      <c r="P898" s="3"/>
      <c r="Q898" s="3"/>
      <c r="R898" s="3"/>
    </row>
    <row r="899" spans="1:18" x14ac:dyDescent="0.2">
      <c r="A899" s="7" t="s">
        <v>16</v>
      </c>
      <c r="B899" s="7" t="s">
        <v>60</v>
      </c>
      <c r="C899" s="7" t="s">
        <v>18</v>
      </c>
      <c r="D899" s="4">
        <v>29435005007484</v>
      </c>
      <c r="E899" s="8" t="s">
        <v>371</v>
      </c>
      <c r="F899" s="8" t="s">
        <v>281</v>
      </c>
      <c r="G899" s="7" t="s">
        <v>282</v>
      </c>
      <c r="H899" s="47" t="s">
        <v>790</v>
      </c>
      <c r="I899" s="47" t="s">
        <v>791</v>
      </c>
      <c r="J899" s="6">
        <v>62</v>
      </c>
      <c r="K899" s="8" t="s">
        <v>74</v>
      </c>
      <c r="L899" s="5">
        <v>5</v>
      </c>
      <c r="P899" s="3"/>
      <c r="Q899" s="3"/>
      <c r="R899" s="3"/>
    </row>
    <row r="900" spans="1:18" x14ac:dyDescent="0.2">
      <c r="A900" s="7" t="s">
        <v>16</v>
      </c>
      <c r="B900" s="7" t="s">
        <v>60</v>
      </c>
      <c r="C900" s="7" t="s">
        <v>18</v>
      </c>
      <c r="D900" s="4">
        <v>29435005007484</v>
      </c>
      <c r="E900" s="8" t="s">
        <v>371</v>
      </c>
      <c r="F900" s="8" t="s">
        <v>281</v>
      </c>
      <c r="G900" s="7" t="s">
        <v>282</v>
      </c>
      <c r="H900" s="47" t="s">
        <v>790</v>
      </c>
      <c r="I900" s="47" t="s">
        <v>791</v>
      </c>
      <c r="J900" s="6">
        <v>64</v>
      </c>
      <c r="K900" s="8" t="s">
        <v>68</v>
      </c>
      <c r="L900" s="5">
        <v>13</v>
      </c>
      <c r="P900" s="3"/>
      <c r="Q900" s="3"/>
      <c r="R900" s="3"/>
    </row>
    <row r="901" spans="1:18" x14ac:dyDescent="0.2">
      <c r="A901" s="7" t="s">
        <v>16</v>
      </c>
      <c r="B901" s="7" t="s">
        <v>60</v>
      </c>
      <c r="C901" s="7" t="s">
        <v>18</v>
      </c>
      <c r="D901" s="4">
        <v>29435005009851</v>
      </c>
      <c r="E901" s="8" t="s">
        <v>372</v>
      </c>
      <c r="F901" s="8" t="s">
        <v>246</v>
      </c>
      <c r="G901" s="7" t="s">
        <v>247</v>
      </c>
      <c r="H901" s="47" t="s">
        <v>790</v>
      </c>
      <c r="I901" s="47" t="s">
        <v>791</v>
      </c>
      <c r="J901" s="6">
        <v>64</v>
      </c>
      <c r="K901" s="8" t="s">
        <v>68</v>
      </c>
      <c r="L901" s="5">
        <v>70</v>
      </c>
      <c r="P901" s="3"/>
      <c r="Q901" s="3"/>
      <c r="R901" s="3"/>
    </row>
    <row r="902" spans="1:18" x14ac:dyDescent="0.2">
      <c r="A902" s="7" t="s">
        <v>16</v>
      </c>
      <c r="B902" s="7" t="s">
        <v>60</v>
      </c>
      <c r="C902" s="7" t="s">
        <v>18</v>
      </c>
      <c r="D902" s="4">
        <v>35917970000726</v>
      </c>
      <c r="E902" s="8" t="s">
        <v>457</v>
      </c>
      <c r="F902" s="8" t="s">
        <v>458</v>
      </c>
      <c r="G902" s="7" t="s">
        <v>241</v>
      </c>
      <c r="H902" s="47" t="s">
        <v>784</v>
      </c>
      <c r="I902" s="47" t="s">
        <v>785</v>
      </c>
      <c r="J902" s="6">
        <v>73</v>
      </c>
      <c r="K902" s="8" t="s">
        <v>69</v>
      </c>
      <c r="L902" s="5">
        <v>30</v>
      </c>
      <c r="P902" s="3"/>
      <c r="Q902" s="3"/>
      <c r="R902" s="3"/>
    </row>
    <row r="903" spans="1:18" x14ac:dyDescent="0.2">
      <c r="A903" s="7" t="s">
        <v>16</v>
      </c>
      <c r="B903" s="7" t="s">
        <v>60</v>
      </c>
      <c r="C903" s="7" t="s">
        <v>18</v>
      </c>
      <c r="D903" s="4">
        <v>36238913000198</v>
      </c>
      <c r="E903" s="8" t="s">
        <v>503</v>
      </c>
      <c r="F903" s="8" t="s">
        <v>504</v>
      </c>
      <c r="G903" s="7" t="s">
        <v>241</v>
      </c>
      <c r="H903" s="47" t="s">
        <v>784</v>
      </c>
      <c r="I903" s="47" t="s">
        <v>785</v>
      </c>
      <c r="J903" s="6">
        <v>73</v>
      </c>
      <c r="K903" s="8" t="s">
        <v>69</v>
      </c>
      <c r="L903" s="5">
        <v>200</v>
      </c>
      <c r="P903" s="3"/>
      <c r="Q903" s="3"/>
      <c r="R903" s="3"/>
    </row>
    <row r="904" spans="1:18" x14ac:dyDescent="0.2">
      <c r="A904" s="7" t="s">
        <v>16</v>
      </c>
      <c r="B904" s="7" t="s">
        <v>60</v>
      </c>
      <c r="C904" s="7" t="s">
        <v>18</v>
      </c>
      <c r="D904" s="4">
        <v>37108388000159</v>
      </c>
      <c r="E904" s="8" t="s">
        <v>375</v>
      </c>
      <c r="F904" s="8" t="s">
        <v>225</v>
      </c>
      <c r="G904" s="7" t="s">
        <v>226</v>
      </c>
      <c r="H904" s="47" t="s">
        <v>790</v>
      </c>
      <c r="I904" s="47" t="s">
        <v>791</v>
      </c>
      <c r="J904" s="6">
        <v>62</v>
      </c>
      <c r="K904" s="8" t="s">
        <v>74</v>
      </c>
      <c r="L904" s="5">
        <v>15</v>
      </c>
      <c r="P904" s="3"/>
      <c r="Q904" s="3"/>
      <c r="R904" s="3"/>
    </row>
    <row r="905" spans="1:18" x14ac:dyDescent="0.2">
      <c r="A905" s="7" t="s">
        <v>16</v>
      </c>
      <c r="B905" s="7" t="s">
        <v>60</v>
      </c>
      <c r="C905" s="7" t="s">
        <v>18</v>
      </c>
      <c r="D905" s="4">
        <v>37108388000159</v>
      </c>
      <c r="E905" s="8" t="s">
        <v>375</v>
      </c>
      <c r="F905" s="8" t="s">
        <v>225</v>
      </c>
      <c r="G905" s="7" t="s">
        <v>226</v>
      </c>
      <c r="H905" s="47" t="s">
        <v>790</v>
      </c>
      <c r="I905" s="47" t="s">
        <v>791</v>
      </c>
      <c r="J905" s="6">
        <v>64</v>
      </c>
      <c r="K905" s="8" t="s">
        <v>68</v>
      </c>
      <c r="L905" s="5">
        <v>30</v>
      </c>
      <c r="P905" s="3"/>
      <c r="Q905" s="3"/>
      <c r="R905" s="3"/>
    </row>
    <row r="906" spans="1:18" x14ac:dyDescent="0.2">
      <c r="A906" s="7" t="s">
        <v>16</v>
      </c>
      <c r="B906" s="7" t="s">
        <v>60</v>
      </c>
      <c r="C906" s="7" t="s">
        <v>18</v>
      </c>
      <c r="D906" s="4">
        <v>38000485000196</v>
      </c>
      <c r="E906" s="8" t="s">
        <v>376</v>
      </c>
      <c r="F906" s="8" t="s">
        <v>225</v>
      </c>
      <c r="G906" s="7" t="s">
        <v>226</v>
      </c>
      <c r="H906" s="47" t="s">
        <v>790</v>
      </c>
      <c r="I906" s="47" t="s">
        <v>791</v>
      </c>
      <c r="J906" s="6">
        <v>62</v>
      </c>
      <c r="K906" s="8" t="s">
        <v>74</v>
      </c>
      <c r="L906" s="5">
        <v>9</v>
      </c>
      <c r="P906" s="3"/>
      <c r="Q906" s="3"/>
      <c r="R906" s="3"/>
    </row>
    <row r="907" spans="1:18" x14ac:dyDescent="0.2">
      <c r="A907" s="7" t="s">
        <v>16</v>
      </c>
      <c r="B907" s="7" t="s">
        <v>60</v>
      </c>
      <c r="C907" s="7" t="s">
        <v>18</v>
      </c>
      <c r="D907" s="4">
        <v>41580077000165</v>
      </c>
      <c r="E907" s="8" t="s">
        <v>505</v>
      </c>
      <c r="F907" s="8" t="s">
        <v>281</v>
      </c>
      <c r="G907" s="7" t="s">
        <v>282</v>
      </c>
      <c r="H907" s="47" t="s">
        <v>790</v>
      </c>
      <c r="I907" s="47" t="s">
        <v>791</v>
      </c>
      <c r="J907" s="6">
        <v>62</v>
      </c>
      <c r="K907" s="8" t="s">
        <v>74</v>
      </c>
      <c r="L907" s="5">
        <v>3</v>
      </c>
      <c r="P907" s="3"/>
      <c r="Q907" s="3"/>
      <c r="R907" s="3"/>
    </row>
    <row r="908" spans="1:18" x14ac:dyDescent="0.2">
      <c r="A908" s="7" t="s">
        <v>16</v>
      </c>
      <c r="B908" s="7" t="s">
        <v>60</v>
      </c>
      <c r="C908" s="7" t="s">
        <v>18</v>
      </c>
      <c r="D908" s="4">
        <v>60884855001207</v>
      </c>
      <c r="E908" s="8" t="s">
        <v>377</v>
      </c>
      <c r="F908" s="8" t="s">
        <v>240</v>
      </c>
      <c r="G908" s="7" t="s">
        <v>241</v>
      </c>
      <c r="H908" s="47" t="s">
        <v>784</v>
      </c>
      <c r="I908" s="47" t="s">
        <v>785</v>
      </c>
      <c r="J908" s="6">
        <v>62</v>
      </c>
      <c r="K908" s="8" t="s">
        <v>74</v>
      </c>
      <c r="L908" s="5">
        <v>13</v>
      </c>
      <c r="P908" s="3"/>
      <c r="Q908" s="3"/>
      <c r="R908" s="3"/>
    </row>
    <row r="909" spans="1:18" x14ac:dyDescent="0.2">
      <c r="A909" s="7" t="s">
        <v>16</v>
      </c>
      <c r="B909" s="7" t="s">
        <v>60</v>
      </c>
      <c r="C909" s="7" t="s">
        <v>18</v>
      </c>
      <c r="D909" s="4">
        <v>60884855001207</v>
      </c>
      <c r="E909" s="8" t="s">
        <v>377</v>
      </c>
      <c r="F909" s="8" t="s">
        <v>240</v>
      </c>
      <c r="G909" s="7" t="s">
        <v>241</v>
      </c>
      <c r="H909" s="47" t="s">
        <v>784</v>
      </c>
      <c r="I909" s="47" t="s">
        <v>785</v>
      </c>
      <c r="J909" s="6">
        <v>73</v>
      </c>
      <c r="K909" s="8" t="s">
        <v>69</v>
      </c>
      <c r="L909" s="5">
        <v>40</v>
      </c>
      <c r="P909" s="3"/>
      <c r="Q909" s="3"/>
      <c r="R909" s="3"/>
    </row>
    <row r="910" spans="1:18" x14ac:dyDescent="0.2">
      <c r="A910" s="7" t="s">
        <v>16</v>
      </c>
      <c r="B910" s="7" t="s">
        <v>60</v>
      </c>
      <c r="C910" s="7" t="s">
        <v>18</v>
      </c>
      <c r="D910" s="4">
        <v>60884855001983</v>
      </c>
      <c r="E910" s="8" t="s">
        <v>506</v>
      </c>
      <c r="F910" s="8" t="s">
        <v>225</v>
      </c>
      <c r="G910" s="7" t="s">
        <v>226</v>
      </c>
      <c r="H910" s="47" t="s">
        <v>790</v>
      </c>
      <c r="I910" s="47" t="s">
        <v>791</v>
      </c>
      <c r="J910" s="6">
        <v>62</v>
      </c>
      <c r="K910" s="8" t="s">
        <v>74</v>
      </c>
      <c r="L910" s="5">
        <v>1</v>
      </c>
      <c r="P910" s="3"/>
      <c r="Q910" s="3"/>
      <c r="R910" s="3"/>
    </row>
    <row r="911" spans="1:18" x14ac:dyDescent="0.2">
      <c r="A911" s="7" t="s">
        <v>16</v>
      </c>
      <c r="B911" s="7" t="s">
        <v>60</v>
      </c>
      <c r="C911" s="7" t="s">
        <v>18</v>
      </c>
      <c r="D911" s="4">
        <v>60884855002289</v>
      </c>
      <c r="E911" s="8" t="s">
        <v>378</v>
      </c>
      <c r="F911" s="8" t="s">
        <v>225</v>
      </c>
      <c r="G911" s="7" t="s">
        <v>226</v>
      </c>
      <c r="H911" s="47" t="s">
        <v>790</v>
      </c>
      <c r="I911" s="47" t="s">
        <v>791</v>
      </c>
      <c r="J911" s="6">
        <v>62</v>
      </c>
      <c r="K911" s="8" t="s">
        <v>74</v>
      </c>
      <c r="L911" s="5">
        <v>38</v>
      </c>
      <c r="P911" s="3"/>
      <c r="Q911" s="3"/>
      <c r="R911" s="3"/>
    </row>
    <row r="912" spans="1:18" x14ac:dyDescent="0.2">
      <c r="A912" s="7" t="s">
        <v>16</v>
      </c>
      <c r="B912" s="7" t="s">
        <v>60</v>
      </c>
      <c r="C912" s="7" t="s">
        <v>18</v>
      </c>
      <c r="D912" s="4">
        <v>60884855002289</v>
      </c>
      <c r="E912" s="8" t="s">
        <v>378</v>
      </c>
      <c r="F912" s="8" t="s">
        <v>225</v>
      </c>
      <c r="G912" s="7" t="s">
        <v>226</v>
      </c>
      <c r="H912" s="47" t="s">
        <v>790</v>
      </c>
      <c r="I912" s="47" t="s">
        <v>791</v>
      </c>
      <c r="J912" s="6">
        <v>64</v>
      </c>
      <c r="K912" s="8" t="s">
        <v>68</v>
      </c>
      <c r="L912" s="5">
        <v>61</v>
      </c>
      <c r="P912" s="3"/>
      <c r="Q912" s="3"/>
      <c r="R912" s="3"/>
    </row>
    <row r="913" spans="1:18" x14ac:dyDescent="0.2">
      <c r="A913" s="7" t="s">
        <v>16</v>
      </c>
      <c r="B913" s="7" t="s">
        <v>60</v>
      </c>
      <c r="C913" s="7" t="s">
        <v>18</v>
      </c>
      <c r="D913" s="4">
        <v>60922168005226</v>
      </c>
      <c r="E913" s="8" t="s">
        <v>379</v>
      </c>
      <c r="F913" s="8" t="s">
        <v>380</v>
      </c>
      <c r="G913" s="7" t="s">
        <v>259</v>
      </c>
      <c r="H913" s="47" t="s">
        <v>784</v>
      </c>
      <c r="I913" s="47" t="s">
        <v>785</v>
      </c>
      <c r="J913" s="6">
        <v>64</v>
      </c>
      <c r="K913" s="8" t="s">
        <v>68</v>
      </c>
      <c r="L913" s="5">
        <v>1</v>
      </c>
      <c r="P913" s="3"/>
      <c r="Q913" s="3"/>
      <c r="R913" s="3"/>
    </row>
    <row r="914" spans="1:18" x14ac:dyDescent="0.2">
      <c r="A914" s="7" t="s">
        <v>16</v>
      </c>
      <c r="B914" s="7" t="s">
        <v>60</v>
      </c>
      <c r="C914" s="7" t="s">
        <v>18</v>
      </c>
      <c r="D914" s="4">
        <v>60975737003509</v>
      </c>
      <c r="E914" s="8" t="s">
        <v>381</v>
      </c>
      <c r="F914" s="8" t="s">
        <v>281</v>
      </c>
      <c r="G914" s="7" t="s">
        <v>282</v>
      </c>
      <c r="H914" s="47" t="s">
        <v>790</v>
      </c>
      <c r="I914" s="47" t="s">
        <v>791</v>
      </c>
      <c r="J914" s="6">
        <v>62</v>
      </c>
      <c r="K914" s="8" t="s">
        <v>74</v>
      </c>
      <c r="L914" s="5">
        <v>19</v>
      </c>
      <c r="P914" s="3"/>
      <c r="Q914" s="3"/>
      <c r="R914" s="3"/>
    </row>
    <row r="915" spans="1:18" x14ac:dyDescent="0.2">
      <c r="A915" s="7" t="s">
        <v>16</v>
      </c>
      <c r="B915" s="7" t="s">
        <v>60</v>
      </c>
      <c r="C915" s="7" t="s">
        <v>18</v>
      </c>
      <c r="D915" s="4">
        <v>60975737003509</v>
      </c>
      <c r="E915" s="8" t="s">
        <v>381</v>
      </c>
      <c r="F915" s="8" t="s">
        <v>281</v>
      </c>
      <c r="G915" s="7" t="s">
        <v>282</v>
      </c>
      <c r="H915" s="47" t="s">
        <v>790</v>
      </c>
      <c r="I915" s="47" t="s">
        <v>791</v>
      </c>
      <c r="J915" s="6">
        <v>64</v>
      </c>
      <c r="K915" s="8" t="s">
        <v>68</v>
      </c>
      <c r="L915" s="5">
        <v>10</v>
      </c>
      <c r="P915" s="3"/>
      <c r="Q915" s="3"/>
      <c r="R915" s="3"/>
    </row>
    <row r="916" spans="1:18" x14ac:dyDescent="0.2">
      <c r="A916" s="7" t="s">
        <v>16</v>
      </c>
      <c r="B916" s="7" t="s">
        <v>60</v>
      </c>
      <c r="C916" s="7" t="s">
        <v>18</v>
      </c>
      <c r="D916" s="4">
        <v>68709211000212</v>
      </c>
      <c r="E916" s="8" t="s">
        <v>459</v>
      </c>
      <c r="F916" s="8" t="s">
        <v>369</v>
      </c>
      <c r="G916" s="7" t="s">
        <v>241</v>
      </c>
      <c r="H916" s="47" t="s">
        <v>784</v>
      </c>
      <c r="I916" s="47" t="s">
        <v>785</v>
      </c>
      <c r="J916" s="6">
        <v>64</v>
      </c>
      <c r="K916" s="8" t="s">
        <v>68</v>
      </c>
      <c r="L916" s="5">
        <v>2</v>
      </c>
      <c r="P916" s="3"/>
      <c r="Q916" s="3"/>
      <c r="R916" s="3"/>
    </row>
    <row r="917" spans="1:18" x14ac:dyDescent="0.2">
      <c r="A917" s="7" t="s">
        <v>16</v>
      </c>
      <c r="B917" s="7" t="s">
        <v>60</v>
      </c>
      <c r="C917" s="7" t="s">
        <v>18</v>
      </c>
      <c r="D917" s="4">
        <v>74031865000151</v>
      </c>
      <c r="E917" s="8" t="s">
        <v>383</v>
      </c>
      <c r="F917" s="8" t="s">
        <v>281</v>
      </c>
      <c r="G917" s="7" t="s">
        <v>282</v>
      </c>
      <c r="H917" s="47" t="s">
        <v>790</v>
      </c>
      <c r="I917" s="47" t="s">
        <v>791</v>
      </c>
      <c r="J917" s="6">
        <v>66</v>
      </c>
      <c r="K917" s="8" t="s">
        <v>99</v>
      </c>
      <c r="L917" s="5">
        <v>192</v>
      </c>
      <c r="P917" s="3"/>
      <c r="Q917" s="3"/>
      <c r="R917" s="3"/>
    </row>
    <row r="918" spans="1:18" x14ac:dyDescent="0.2">
      <c r="A918" s="7" t="s">
        <v>16</v>
      </c>
      <c r="B918" s="7" t="s">
        <v>60</v>
      </c>
      <c r="C918" s="7" t="s">
        <v>18</v>
      </c>
      <c r="D918" s="4">
        <v>76555069000143</v>
      </c>
      <c r="E918" s="8" t="s">
        <v>384</v>
      </c>
      <c r="F918" s="8" t="s">
        <v>385</v>
      </c>
      <c r="G918" s="7" t="s">
        <v>233</v>
      </c>
      <c r="H918" s="47" t="s">
        <v>784</v>
      </c>
      <c r="I918" s="47" t="s">
        <v>785</v>
      </c>
      <c r="J918" s="6">
        <v>62</v>
      </c>
      <c r="K918" s="8" t="s">
        <v>74</v>
      </c>
      <c r="L918" s="5">
        <v>2</v>
      </c>
      <c r="P918" s="3"/>
      <c r="Q918" s="3"/>
      <c r="R918" s="3"/>
    </row>
    <row r="919" spans="1:18" x14ac:dyDescent="0.2">
      <c r="A919" s="7" t="s">
        <v>16</v>
      </c>
      <c r="B919" s="7" t="s">
        <v>60</v>
      </c>
      <c r="C919" s="7" t="s">
        <v>18</v>
      </c>
      <c r="D919" s="4">
        <v>76591569000130</v>
      </c>
      <c r="E919" s="8" t="s">
        <v>386</v>
      </c>
      <c r="F919" s="8" t="s">
        <v>385</v>
      </c>
      <c r="G919" s="7" t="s">
        <v>233</v>
      </c>
      <c r="H919" s="47" t="s">
        <v>784</v>
      </c>
      <c r="I919" s="47" t="s">
        <v>785</v>
      </c>
      <c r="J919" s="6">
        <v>73</v>
      </c>
      <c r="K919" s="8" t="s">
        <v>69</v>
      </c>
      <c r="L919" s="5">
        <v>12</v>
      </c>
      <c r="P919" s="3"/>
      <c r="Q919" s="3"/>
      <c r="R919" s="3"/>
    </row>
    <row r="920" spans="1:18" x14ac:dyDescent="0.2">
      <c r="A920" s="7" t="s">
        <v>16</v>
      </c>
      <c r="B920" s="7" t="s">
        <v>60</v>
      </c>
      <c r="C920" s="7" t="s">
        <v>18</v>
      </c>
      <c r="D920" s="4">
        <v>80673411000187</v>
      </c>
      <c r="E920" s="8" t="s">
        <v>387</v>
      </c>
      <c r="F920" s="8" t="s">
        <v>388</v>
      </c>
      <c r="G920" s="7" t="s">
        <v>259</v>
      </c>
      <c r="H920" s="47" t="s">
        <v>784</v>
      </c>
      <c r="I920" s="47" t="s">
        <v>785</v>
      </c>
      <c r="J920" s="6">
        <v>66</v>
      </c>
      <c r="K920" s="8" t="s">
        <v>99</v>
      </c>
      <c r="L920" s="5">
        <v>76</v>
      </c>
      <c r="P920" s="3"/>
      <c r="Q920" s="3"/>
      <c r="R920" s="3"/>
    </row>
    <row r="921" spans="1:18" x14ac:dyDescent="0.2">
      <c r="A921" s="7" t="s">
        <v>16</v>
      </c>
      <c r="B921" s="7" t="s">
        <v>60</v>
      </c>
      <c r="C921" s="7" t="s">
        <v>18</v>
      </c>
      <c r="D921" s="4">
        <v>81270548000153</v>
      </c>
      <c r="E921" s="8" t="s">
        <v>507</v>
      </c>
      <c r="F921" s="8" t="s">
        <v>508</v>
      </c>
      <c r="G921" s="7" t="s">
        <v>233</v>
      </c>
      <c r="H921" s="47" t="s">
        <v>784</v>
      </c>
      <c r="I921" s="47" t="s">
        <v>785</v>
      </c>
      <c r="J921" s="6">
        <v>62</v>
      </c>
      <c r="K921" s="8" t="s">
        <v>74</v>
      </c>
      <c r="L921" s="5">
        <v>3</v>
      </c>
      <c r="P921" s="3"/>
      <c r="Q921" s="3"/>
      <c r="R921" s="3"/>
    </row>
    <row r="922" spans="1:18" x14ac:dyDescent="0.2">
      <c r="A922" s="7" t="s">
        <v>16</v>
      </c>
      <c r="B922" s="7" t="s">
        <v>60</v>
      </c>
      <c r="C922" s="7" t="s">
        <v>18</v>
      </c>
      <c r="D922" s="4">
        <v>83899526000425</v>
      </c>
      <c r="E922" s="8" t="s">
        <v>389</v>
      </c>
      <c r="F922" s="8" t="s">
        <v>388</v>
      </c>
      <c r="G922" s="7" t="s">
        <v>259</v>
      </c>
      <c r="H922" s="47" t="s">
        <v>784</v>
      </c>
      <c r="I922" s="47" t="s">
        <v>785</v>
      </c>
      <c r="J922" s="6">
        <v>62</v>
      </c>
      <c r="K922" s="8" t="s">
        <v>74</v>
      </c>
      <c r="L922" s="5">
        <v>6</v>
      </c>
      <c r="P922" s="3"/>
      <c r="Q922" s="3"/>
      <c r="R922" s="3"/>
    </row>
    <row r="923" spans="1:18" x14ac:dyDescent="0.2">
      <c r="A923" s="7" t="s">
        <v>16</v>
      </c>
      <c r="B923" s="7" t="s">
        <v>60</v>
      </c>
      <c r="C923" s="7" t="s">
        <v>18</v>
      </c>
      <c r="D923" s="4">
        <v>85377174000392</v>
      </c>
      <c r="E923" s="8" t="s">
        <v>390</v>
      </c>
      <c r="F923" s="8" t="s">
        <v>258</v>
      </c>
      <c r="G923" s="7" t="s">
        <v>259</v>
      </c>
      <c r="H923" s="47" t="s">
        <v>784</v>
      </c>
      <c r="I923" s="47" t="s">
        <v>785</v>
      </c>
      <c r="J923" s="6">
        <v>73</v>
      </c>
      <c r="K923" s="8" t="s">
        <v>69</v>
      </c>
      <c r="L923" s="5">
        <v>18</v>
      </c>
      <c r="P923" s="3"/>
      <c r="Q923" s="3"/>
      <c r="R923" s="3"/>
    </row>
    <row r="924" spans="1:18" x14ac:dyDescent="0.2">
      <c r="A924" s="7" t="s">
        <v>16</v>
      </c>
      <c r="B924" s="7" t="s">
        <v>60</v>
      </c>
      <c r="C924" s="7" t="s">
        <v>18</v>
      </c>
      <c r="D924" s="4">
        <v>87020517000120</v>
      </c>
      <c r="E924" s="8" t="s">
        <v>391</v>
      </c>
      <c r="F924" s="8" t="s">
        <v>305</v>
      </c>
      <c r="G924" s="7" t="s">
        <v>253</v>
      </c>
      <c r="H924" s="47" t="s">
        <v>784</v>
      </c>
      <c r="I924" s="47" t="s">
        <v>785</v>
      </c>
      <c r="J924" s="6">
        <v>62</v>
      </c>
      <c r="K924" s="8" t="s">
        <v>74</v>
      </c>
      <c r="L924" s="5">
        <v>15</v>
      </c>
      <c r="P924" s="3"/>
      <c r="Q924" s="3"/>
      <c r="R924" s="3"/>
    </row>
    <row r="925" spans="1:18" x14ac:dyDescent="0.2">
      <c r="A925" s="7" t="s">
        <v>16</v>
      </c>
      <c r="B925" s="7" t="s">
        <v>60</v>
      </c>
      <c r="C925" s="7" t="s">
        <v>18</v>
      </c>
      <c r="D925" s="4">
        <v>87020517000120</v>
      </c>
      <c r="E925" s="8" t="s">
        <v>391</v>
      </c>
      <c r="F925" s="8" t="s">
        <v>305</v>
      </c>
      <c r="G925" s="7" t="s">
        <v>253</v>
      </c>
      <c r="H925" s="47" t="s">
        <v>784</v>
      </c>
      <c r="I925" s="47" t="s">
        <v>785</v>
      </c>
      <c r="J925" s="6">
        <v>64</v>
      </c>
      <c r="K925" s="8" t="s">
        <v>68</v>
      </c>
      <c r="L925" s="5">
        <v>12</v>
      </c>
      <c r="P925" s="3"/>
      <c r="Q925" s="3"/>
      <c r="R925" s="3"/>
    </row>
    <row r="926" spans="1:18" x14ac:dyDescent="0.2">
      <c r="A926" s="7" t="s">
        <v>16</v>
      </c>
      <c r="B926" s="7" t="s">
        <v>60</v>
      </c>
      <c r="C926" s="7" t="s">
        <v>18</v>
      </c>
      <c r="D926" s="4">
        <v>87827689002405</v>
      </c>
      <c r="E926" s="8" t="s">
        <v>394</v>
      </c>
      <c r="F926" s="8" t="s">
        <v>252</v>
      </c>
      <c r="G926" s="7" t="s">
        <v>253</v>
      </c>
      <c r="H926" s="47" t="s">
        <v>784</v>
      </c>
      <c r="I926" s="47" t="s">
        <v>785</v>
      </c>
      <c r="J926" s="6">
        <v>73</v>
      </c>
      <c r="K926" s="8" t="s">
        <v>69</v>
      </c>
      <c r="L926" s="5">
        <v>209</v>
      </c>
      <c r="P926" s="3"/>
      <c r="Q926" s="3"/>
      <c r="R926" s="3"/>
    </row>
    <row r="927" spans="1:18" x14ac:dyDescent="0.2">
      <c r="A927" s="7" t="s">
        <v>16</v>
      </c>
      <c r="B927" s="7" t="s">
        <v>60</v>
      </c>
      <c r="C927" s="7" t="s">
        <v>18</v>
      </c>
      <c r="D927" s="4">
        <v>88625686002443</v>
      </c>
      <c r="E927" s="8" t="s">
        <v>396</v>
      </c>
      <c r="F927" s="8" t="s">
        <v>305</v>
      </c>
      <c r="G927" s="7" t="s">
        <v>253</v>
      </c>
      <c r="H927" s="47" t="s">
        <v>784</v>
      </c>
      <c r="I927" s="47" t="s">
        <v>785</v>
      </c>
      <c r="J927" s="6">
        <v>62</v>
      </c>
      <c r="K927" s="8" t="s">
        <v>74</v>
      </c>
      <c r="L927" s="5">
        <v>2</v>
      </c>
      <c r="P927" s="3"/>
      <c r="Q927" s="3"/>
      <c r="R927" s="3"/>
    </row>
    <row r="928" spans="1:18" x14ac:dyDescent="0.2">
      <c r="A928" s="7" t="s">
        <v>16</v>
      </c>
      <c r="B928" s="7" t="s">
        <v>60</v>
      </c>
      <c r="C928" s="7" t="s">
        <v>18</v>
      </c>
      <c r="D928" s="4">
        <v>88625686002443</v>
      </c>
      <c r="E928" s="8" t="s">
        <v>396</v>
      </c>
      <c r="F928" s="8" t="s">
        <v>305</v>
      </c>
      <c r="G928" s="7" t="s">
        <v>253</v>
      </c>
      <c r="H928" s="47" t="s">
        <v>784</v>
      </c>
      <c r="I928" s="47" t="s">
        <v>785</v>
      </c>
      <c r="J928" s="6">
        <v>64</v>
      </c>
      <c r="K928" s="8" t="s">
        <v>68</v>
      </c>
      <c r="L928" s="5">
        <v>19</v>
      </c>
      <c r="P928" s="3"/>
      <c r="Q928" s="3"/>
      <c r="R928" s="3"/>
    </row>
    <row r="929" spans="1:18" x14ac:dyDescent="0.2">
      <c r="A929" s="7" t="s">
        <v>16</v>
      </c>
      <c r="B929" s="7" t="s">
        <v>60</v>
      </c>
      <c r="C929" s="7" t="s">
        <v>18</v>
      </c>
      <c r="D929" s="4">
        <v>88645403001372</v>
      </c>
      <c r="E929" s="8" t="s">
        <v>462</v>
      </c>
      <c r="F929" s="8" t="s">
        <v>252</v>
      </c>
      <c r="G929" s="7" t="s">
        <v>253</v>
      </c>
      <c r="H929" s="47" t="s">
        <v>784</v>
      </c>
      <c r="I929" s="47" t="s">
        <v>785</v>
      </c>
      <c r="J929" s="6">
        <v>73</v>
      </c>
      <c r="K929" s="8" t="s">
        <v>69</v>
      </c>
      <c r="L929" s="5">
        <v>32</v>
      </c>
      <c r="P929" s="3"/>
      <c r="Q929" s="3"/>
      <c r="R929" s="3"/>
    </row>
    <row r="930" spans="1:18" x14ac:dyDescent="0.2">
      <c r="A930" s="7" t="s">
        <v>16</v>
      </c>
      <c r="B930" s="7" t="s">
        <v>60</v>
      </c>
      <c r="C930" s="7" t="s">
        <v>18</v>
      </c>
      <c r="D930" s="4">
        <v>92404789000164</v>
      </c>
      <c r="E930" s="8" t="s">
        <v>463</v>
      </c>
      <c r="F930" s="8" t="s">
        <v>464</v>
      </c>
      <c r="G930" s="7" t="s">
        <v>253</v>
      </c>
      <c r="H930" s="47" t="s">
        <v>784</v>
      </c>
      <c r="I930" s="47" t="s">
        <v>785</v>
      </c>
      <c r="J930" s="6">
        <v>73</v>
      </c>
      <c r="K930" s="8" t="s">
        <v>69</v>
      </c>
      <c r="L930" s="5">
        <v>16</v>
      </c>
      <c r="P930" s="3"/>
      <c r="Q930" s="3"/>
      <c r="R930" s="3"/>
    </row>
    <row r="931" spans="1:18" x14ac:dyDescent="0.2">
      <c r="A931" s="7" t="s">
        <v>16</v>
      </c>
      <c r="B931" s="7" t="s">
        <v>60</v>
      </c>
      <c r="C931" s="7" t="s">
        <v>18</v>
      </c>
      <c r="D931" s="4">
        <v>92685833000151</v>
      </c>
      <c r="E931" s="8" t="s">
        <v>400</v>
      </c>
      <c r="F931" s="8" t="s">
        <v>305</v>
      </c>
      <c r="G931" s="7" t="s">
        <v>253</v>
      </c>
      <c r="H931" s="47" t="s">
        <v>784</v>
      </c>
      <c r="I931" s="47" t="s">
        <v>785</v>
      </c>
      <c r="J931" s="6">
        <v>64</v>
      </c>
      <c r="K931" s="8" t="s">
        <v>68</v>
      </c>
      <c r="L931" s="5">
        <v>12</v>
      </c>
      <c r="P931" s="3"/>
      <c r="Q931" s="3"/>
      <c r="R931" s="3"/>
    </row>
    <row r="932" spans="1:18" x14ac:dyDescent="0.2">
      <c r="A932" s="7" t="s">
        <v>16</v>
      </c>
      <c r="B932" s="7" t="s">
        <v>60</v>
      </c>
      <c r="C932" s="7" t="s">
        <v>18</v>
      </c>
      <c r="D932" s="4">
        <v>92685833000151</v>
      </c>
      <c r="E932" s="8" t="s">
        <v>400</v>
      </c>
      <c r="F932" s="8" t="s">
        <v>305</v>
      </c>
      <c r="G932" s="7" t="s">
        <v>253</v>
      </c>
      <c r="H932" s="47" t="s">
        <v>784</v>
      </c>
      <c r="I932" s="47" t="s">
        <v>785</v>
      </c>
      <c r="J932" s="6">
        <v>73</v>
      </c>
      <c r="K932" s="8" t="s">
        <v>69</v>
      </c>
      <c r="L932" s="5">
        <v>8</v>
      </c>
      <c r="P932" s="3"/>
      <c r="Q932" s="3"/>
      <c r="R932" s="3"/>
    </row>
    <row r="933" spans="1:18" x14ac:dyDescent="0.2">
      <c r="A933" s="7" t="s">
        <v>16</v>
      </c>
      <c r="B933" s="7" t="s">
        <v>60</v>
      </c>
      <c r="C933" s="7" t="s">
        <v>18</v>
      </c>
      <c r="D933" s="4">
        <v>92741016000254</v>
      </c>
      <c r="E933" s="8" t="s">
        <v>401</v>
      </c>
      <c r="F933" s="8" t="s">
        <v>305</v>
      </c>
      <c r="G933" s="7" t="s">
        <v>253</v>
      </c>
      <c r="H933" s="47" t="s">
        <v>784</v>
      </c>
      <c r="I933" s="47" t="s">
        <v>785</v>
      </c>
      <c r="J933" s="6">
        <v>62</v>
      </c>
      <c r="K933" s="8" t="s">
        <v>74</v>
      </c>
      <c r="L933" s="5">
        <v>2</v>
      </c>
      <c r="P933" s="3"/>
      <c r="Q933" s="3"/>
      <c r="R933" s="3"/>
    </row>
    <row r="934" spans="1:18" x14ac:dyDescent="0.2">
      <c r="A934" s="7" t="s">
        <v>16</v>
      </c>
      <c r="B934" s="7" t="s">
        <v>60</v>
      </c>
      <c r="C934" s="7" t="s">
        <v>18</v>
      </c>
      <c r="D934" s="4">
        <v>92741016000254</v>
      </c>
      <c r="E934" s="8" t="s">
        <v>401</v>
      </c>
      <c r="F934" s="8" t="s">
        <v>305</v>
      </c>
      <c r="G934" s="7" t="s">
        <v>253</v>
      </c>
      <c r="H934" s="47" t="s">
        <v>784</v>
      </c>
      <c r="I934" s="47" t="s">
        <v>785</v>
      </c>
      <c r="J934" s="6">
        <v>64</v>
      </c>
      <c r="K934" s="8" t="s">
        <v>68</v>
      </c>
      <c r="L934" s="5">
        <v>9</v>
      </c>
      <c r="P934" s="3"/>
      <c r="Q934" s="3"/>
      <c r="R934" s="3"/>
    </row>
    <row r="935" spans="1:18" x14ac:dyDescent="0.2">
      <c r="A935" s="7" t="s">
        <v>16</v>
      </c>
      <c r="B935" s="7" t="s">
        <v>60</v>
      </c>
      <c r="C935" s="7" t="s">
        <v>18</v>
      </c>
      <c r="D935" s="4">
        <v>92815000000168</v>
      </c>
      <c r="E935" s="8" t="s">
        <v>403</v>
      </c>
      <c r="F935" s="8" t="s">
        <v>305</v>
      </c>
      <c r="G935" s="7" t="s">
        <v>253</v>
      </c>
      <c r="H935" s="47" t="s">
        <v>784</v>
      </c>
      <c r="I935" s="47" t="s">
        <v>785</v>
      </c>
      <c r="J935" s="6">
        <v>62</v>
      </c>
      <c r="K935" s="8" t="s">
        <v>74</v>
      </c>
      <c r="L935" s="5">
        <v>61</v>
      </c>
      <c r="P935" s="3"/>
      <c r="Q935" s="3"/>
      <c r="R935" s="3"/>
    </row>
    <row r="936" spans="1:18" x14ac:dyDescent="0.2">
      <c r="A936" s="7" t="s">
        <v>16</v>
      </c>
      <c r="B936" s="7" t="s">
        <v>60</v>
      </c>
      <c r="C936" s="7" t="s">
        <v>18</v>
      </c>
      <c r="D936" s="4">
        <v>92815000000168</v>
      </c>
      <c r="E936" s="8" t="s">
        <v>403</v>
      </c>
      <c r="F936" s="8" t="s">
        <v>305</v>
      </c>
      <c r="G936" s="7" t="s">
        <v>253</v>
      </c>
      <c r="H936" s="47" t="s">
        <v>784</v>
      </c>
      <c r="I936" s="47" t="s">
        <v>785</v>
      </c>
      <c r="J936" s="6">
        <v>64</v>
      </c>
      <c r="K936" s="8" t="s">
        <v>68</v>
      </c>
      <c r="L936" s="5">
        <v>25</v>
      </c>
      <c r="P936" s="3"/>
      <c r="Q936" s="3"/>
      <c r="R936" s="3"/>
    </row>
    <row r="937" spans="1:18" x14ac:dyDescent="0.2">
      <c r="A937" s="7" t="s">
        <v>16</v>
      </c>
      <c r="B937" s="7" t="s">
        <v>60</v>
      </c>
      <c r="C937" s="7" t="s">
        <v>18</v>
      </c>
      <c r="D937" s="4">
        <v>92815000000168</v>
      </c>
      <c r="E937" s="8" t="s">
        <v>403</v>
      </c>
      <c r="F937" s="8" t="s">
        <v>305</v>
      </c>
      <c r="G937" s="7" t="s">
        <v>253</v>
      </c>
      <c r="H937" s="47" t="s">
        <v>784</v>
      </c>
      <c r="I937" s="47" t="s">
        <v>785</v>
      </c>
      <c r="J937" s="6">
        <v>73</v>
      </c>
      <c r="K937" s="8" t="s">
        <v>69</v>
      </c>
      <c r="L937" s="5">
        <v>28</v>
      </c>
      <c r="P937" s="3"/>
      <c r="Q937" s="3"/>
      <c r="R937" s="3"/>
    </row>
    <row r="938" spans="1:18" x14ac:dyDescent="0.2">
      <c r="A938" s="7" t="s">
        <v>16</v>
      </c>
      <c r="B938" s="7" t="s">
        <v>60</v>
      </c>
      <c r="C938" s="7" t="s">
        <v>18</v>
      </c>
      <c r="D938" s="4">
        <v>92963560000160</v>
      </c>
      <c r="E938" s="8" t="s">
        <v>465</v>
      </c>
      <c r="F938" s="8" t="s">
        <v>305</v>
      </c>
      <c r="G938" s="7" t="s">
        <v>253</v>
      </c>
      <c r="H938" s="47" t="s">
        <v>784</v>
      </c>
      <c r="I938" s="47" t="s">
        <v>785</v>
      </c>
      <c r="J938" s="6">
        <v>62</v>
      </c>
      <c r="K938" s="8" t="s">
        <v>74</v>
      </c>
      <c r="L938" s="5">
        <v>15</v>
      </c>
      <c r="P938" s="3"/>
      <c r="Q938" s="3"/>
      <c r="R938" s="3"/>
    </row>
    <row r="939" spans="1:18" x14ac:dyDescent="0.2">
      <c r="A939" s="7" t="s">
        <v>16</v>
      </c>
      <c r="B939" s="7" t="s">
        <v>60</v>
      </c>
      <c r="C939" s="7" t="s">
        <v>18</v>
      </c>
      <c r="D939" s="4">
        <v>95610887000146</v>
      </c>
      <c r="E939" s="8" t="s">
        <v>406</v>
      </c>
      <c r="F939" s="8" t="s">
        <v>331</v>
      </c>
      <c r="G939" s="7" t="s">
        <v>253</v>
      </c>
      <c r="H939" s="47" t="s">
        <v>784</v>
      </c>
      <c r="I939" s="47" t="s">
        <v>785</v>
      </c>
      <c r="J939" s="6">
        <v>62</v>
      </c>
      <c r="K939" s="8" t="s">
        <v>74</v>
      </c>
      <c r="L939" s="5">
        <v>3</v>
      </c>
      <c r="P939" s="3"/>
      <c r="Q939" s="3"/>
      <c r="R939" s="3"/>
    </row>
    <row r="940" spans="1:18" x14ac:dyDescent="0.2">
      <c r="A940" s="7" t="s">
        <v>16</v>
      </c>
      <c r="B940" s="7" t="s">
        <v>60</v>
      </c>
      <c r="C940" s="7" t="s">
        <v>18</v>
      </c>
      <c r="D940" s="4">
        <v>95610887000146</v>
      </c>
      <c r="E940" s="8" t="s">
        <v>406</v>
      </c>
      <c r="F940" s="8" t="s">
        <v>331</v>
      </c>
      <c r="G940" s="7" t="s">
        <v>253</v>
      </c>
      <c r="H940" s="47" t="s">
        <v>784</v>
      </c>
      <c r="I940" s="47" t="s">
        <v>785</v>
      </c>
      <c r="J940" s="6">
        <v>64</v>
      </c>
      <c r="K940" s="8" t="s">
        <v>68</v>
      </c>
      <c r="L940" s="5">
        <v>15</v>
      </c>
      <c r="P940" s="3"/>
      <c r="Q940" s="3"/>
      <c r="R940" s="3"/>
    </row>
    <row r="941" spans="1:18" x14ac:dyDescent="0.2">
      <c r="A941" s="7" t="s">
        <v>16</v>
      </c>
      <c r="B941" s="7" t="s">
        <v>60</v>
      </c>
      <c r="C941" s="7" t="s">
        <v>18</v>
      </c>
      <c r="D941" s="4">
        <v>97397848000138</v>
      </c>
      <c r="E941" s="8" t="s">
        <v>509</v>
      </c>
      <c r="F941" s="8" t="s">
        <v>278</v>
      </c>
      <c r="G941" s="7" t="s">
        <v>276</v>
      </c>
      <c r="H941" s="47" t="s">
        <v>790</v>
      </c>
      <c r="I941" s="47" t="s">
        <v>791</v>
      </c>
      <c r="J941" s="6">
        <v>64</v>
      </c>
      <c r="K941" s="8" t="s">
        <v>68</v>
      </c>
      <c r="L941" s="5">
        <v>4</v>
      </c>
      <c r="P941" s="3"/>
      <c r="Q941" s="3"/>
      <c r="R941" s="3"/>
    </row>
    <row r="942" spans="1:18" x14ac:dyDescent="0.2">
      <c r="A942" s="7" t="s">
        <v>16</v>
      </c>
      <c r="B942" s="7" t="s">
        <v>65</v>
      </c>
      <c r="C942" s="7" t="s">
        <v>66</v>
      </c>
      <c r="D942" s="4">
        <v>25841000153</v>
      </c>
      <c r="E942" s="8" t="s">
        <v>467</v>
      </c>
      <c r="F942" s="8" t="s">
        <v>225</v>
      </c>
      <c r="G942" s="7" t="s">
        <v>226</v>
      </c>
      <c r="H942" s="47" t="s">
        <v>790</v>
      </c>
      <c r="I942" s="47" t="s">
        <v>791</v>
      </c>
      <c r="J942" s="6">
        <v>62</v>
      </c>
      <c r="K942" s="8" t="s">
        <v>74</v>
      </c>
      <c r="L942" s="5">
        <v>6</v>
      </c>
      <c r="P942" s="3"/>
      <c r="Q942" s="3"/>
      <c r="R942" s="3"/>
    </row>
    <row r="943" spans="1:18" x14ac:dyDescent="0.2">
      <c r="A943" s="7" t="s">
        <v>16</v>
      </c>
      <c r="B943" s="7" t="s">
        <v>65</v>
      </c>
      <c r="C943" s="7" t="s">
        <v>66</v>
      </c>
      <c r="D943" s="4">
        <v>25841000153</v>
      </c>
      <c r="E943" s="8" t="s">
        <v>467</v>
      </c>
      <c r="F943" s="8" t="s">
        <v>225</v>
      </c>
      <c r="G943" s="7" t="s">
        <v>226</v>
      </c>
      <c r="H943" s="47" t="s">
        <v>790</v>
      </c>
      <c r="I943" s="47" t="s">
        <v>791</v>
      </c>
      <c r="J943" s="6">
        <v>64</v>
      </c>
      <c r="K943" s="8" t="s">
        <v>68</v>
      </c>
      <c r="L943" s="5">
        <v>5</v>
      </c>
      <c r="P943" s="3"/>
      <c r="Q943" s="3"/>
      <c r="R943" s="3"/>
    </row>
    <row r="944" spans="1:18" x14ac:dyDescent="0.2">
      <c r="A944" s="7" t="s">
        <v>16</v>
      </c>
      <c r="B944" s="7" t="s">
        <v>65</v>
      </c>
      <c r="C944" s="7" t="s">
        <v>66</v>
      </c>
      <c r="D944" s="4">
        <v>382069000127</v>
      </c>
      <c r="E944" s="8" t="s">
        <v>472</v>
      </c>
      <c r="F944" s="8" t="s">
        <v>225</v>
      </c>
      <c r="G944" s="7" t="s">
        <v>226</v>
      </c>
      <c r="H944" s="47" t="s">
        <v>790</v>
      </c>
      <c r="I944" s="47" t="s">
        <v>791</v>
      </c>
      <c r="J944" s="6">
        <v>64</v>
      </c>
      <c r="K944" s="8" t="s">
        <v>68</v>
      </c>
      <c r="L944" s="5">
        <v>4</v>
      </c>
      <c r="P944" s="3"/>
      <c r="Q944" s="3"/>
      <c r="R944" s="3"/>
    </row>
    <row r="945" spans="1:18" x14ac:dyDescent="0.2">
      <c r="A945" s="7" t="s">
        <v>16</v>
      </c>
      <c r="B945" s="7" t="s">
        <v>65</v>
      </c>
      <c r="C945" s="7" t="s">
        <v>66</v>
      </c>
      <c r="D945" s="4">
        <v>520237000101</v>
      </c>
      <c r="E945" s="8" t="s">
        <v>243</v>
      </c>
      <c r="F945" s="8" t="s">
        <v>225</v>
      </c>
      <c r="G945" s="7" t="s">
        <v>226</v>
      </c>
      <c r="H945" s="47" t="s">
        <v>790</v>
      </c>
      <c r="I945" s="47" t="s">
        <v>791</v>
      </c>
      <c r="J945" s="6">
        <v>73</v>
      </c>
      <c r="K945" s="8" t="s">
        <v>69</v>
      </c>
      <c r="L945" s="5">
        <v>95</v>
      </c>
      <c r="P945" s="3"/>
      <c r="Q945" s="3"/>
      <c r="R945" s="3"/>
    </row>
    <row r="946" spans="1:18" x14ac:dyDescent="0.2">
      <c r="A946" s="7" t="s">
        <v>16</v>
      </c>
      <c r="B946" s="7" t="s">
        <v>65</v>
      </c>
      <c r="C946" s="7" t="s">
        <v>66</v>
      </c>
      <c r="D946" s="4">
        <v>610980000144</v>
      </c>
      <c r="E946" s="8" t="s">
        <v>244</v>
      </c>
      <c r="F946" s="8" t="s">
        <v>225</v>
      </c>
      <c r="G946" s="7" t="s">
        <v>226</v>
      </c>
      <c r="H946" s="47" t="s">
        <v>790</v>
      </c>
      <c r="I946" s="47" t="s">
        <v>791</v>
      </c>
      <c r="J946" s="6">
        <v>64</v>
      </c>
      <c r="K946" s="8" t="s">
        <v>68</v>
      </c>
      <c r="L946" s="5">
        <v>22</v>
      </c>
      <c r="P946" s="3"/>
      <c r="Q946" s="3"/>
      <c r="R946" s="3"/>
    </row>
    <row r="947" spans="1:18" x14ac:dyDescent="0.2">
      <c r="A947" s="7" t="s">
        <v>16</v>
      </c>
      <c r="B947" s="7" t="s">
        <v>65</v>
      </c>
      <c r="C947" s="7" t="s">
        <v>66</v>
      </c>
      <c r="D947" s="4">
        <v>820737000150</v>
      </c>
      <c r="E947" s="8" t="s">
        <v>245</v>
      </c>
      <c r="F947" s="8" t="s">
        <v>246</v>
      </c>
      <c r="G947" s="7" t="s">
        <v>247</v>
      </c>
      <c r="H947" s="47" t="s">
        <v>790</v>
      </c>
      <c r="I947" s="47" t="s">
        <v>791</v>
      </c>
      <c r="J947" s="6">
        <v>64</v>
      </c>
      <c r="K947" s="8" t="s">
        <v>68</v>
      </c>
      <c r="L947" s="5">
        <v>21</v>
      </c>
      <c r="P947" s="3"/>
      <c r="Q947" s="3"/>
      <c r="R947" s="3"/>
    </row>
    <row r="948" spans="1:18" x14ac:dyDescent="0.2">
      <c r="A948" s="7" t="s">
        <v>16</v>
      </c>
      <c r="B948" s="7" t="s">
        <v>65</v>
      </c>
      <c r="C948" s="7" t="s">
        <v>66</v>
      </c>
      <c r="D948" s="4">
        <v>1277573000120</v>
      </c>
      <c r="E948" s="8" t="s">
        <v>474</v>
      </c>
      <c r="F948" s="8" t="s">
        <v>237</v>
      </c>
      <c r="G948" s="7" t="s">
        <v>238</v>
      </c>
      <c r="H948" s="47" t="s">
        <v>790</v>
      </c>
      <c r="I948" s="47" t="s">
        <v>791</v>
      </c>
      <c r="J948" s="6">
        <v>64</v>
      </c>
      <c r="K948" s="8" t="s">
        <v>68</v>
      </c>
      <c r="L948" s="5">
        <v>6</v>
      </c>
      <c r="P948" s="3"/>
      <c r="Q948" s="3"/>
      <c r="R948" s="3"/>
    </row>
    <row r="949" spans="1:18" x14ac:dyDescent="0.2">
      <c r="A949" s="7" t="s">
        <v>16</v>
      </c>
      <c r="B949" s="7" t="s">
        <v>65</v>
      </c>
      <c r="C949" s="7" t="s">
        <v>66</v>
      </c>
      <c r="D949" s="4">
        <v>1326206000179</v>
      </c>
      <c r="E949" s="8" t="s">
        <v>254</v>
      </c>
      <c r="F949" s="8" t="s">
        <v>255</v>
      </c>
      <c r="G949" s="7" t="s">
        <v>238</v>
      </c>
      <c r="H949" s="47" t="s">
        <v>790</v>
      </c>
      <c r="I949" s="47" t="s">
        <v>791</v>
      </c>
      <c r="J949" s="6">
        <v>73</v>
      </c>
      <c r="K949" s="8" t="s">
        <v>69</v>
      </c>
      <c r="L949" s="5">
        <v>2</v>
      </c>
      <c r="P949" s="3"/>
      <c r="Q949" s="3"/>
      <c r="R949" s="3"/>
    </row>
    <row r="950" spans="1:18" x14ac:dyDescent="0.2">
      <c r="A950" s="7" t="s">
        <v>16</v>
      </c>
      <c r="B950" s="7" t="s">
        <v>65</v>
      </c>
      <c r="C950" s="7" t="s">
        <v>66</v>
      </c>
      <c r="D950" s="4">
        <v>2476067000203</v>
      </c>
      <c r="E950" s="8" t="s">
        <v>269</v>
      </c>
      <c r="F950" s="8" t="s">
        <v>237</v>
      </c>
      <c r="G950" s="7" t="s">
        <v>238</v>
      </c>
      <c r="H950" s="47" t="s">
        <v>790</v>
      </c>
      <c r="I950" s="47" t="s">
        <v>791</v>
      </c>
      <c r="J950" s="6">
        <v>73</v>
      </c>
      <c r="K950" s="8" t="s">
        <v>69</v>
      </c>
      <c r="L950" s="5">
        <v>48</v>
      </c>
      <c r="P950" s="3"/>
      <c r="Q950" s="3"/>
      <c r="R950" s="3"/>
    </row>
    <row r="951" spans="1:18" x14ac:dyDescent="0.2">
      <c r="A951" s="7" t="s">
        <v>16</v>
      </c>
      <c r="B951" s="7" t="s">
        <v>65</v>
      </c>
      <c r="C951" s="7" t="s">
        <v>66</v>
      </c>
      <c r="D951" s="4">
        <v>2560878000107</v>
      </c>
      <c r="E951" s="8" t="s">
        <v>270</v>
      </c>
      <c r="F951" s="8" t="s">
        <v>225</v>
      </c>
      <c r="G951" s="7" t="s">
        <v>226</v>
      </c>
      <c r="H951" s="47" t="s">
        <v>790</v>
      </c>
      <c r="I951" s="47" t="s">
        <v>791</v>
      </c>
      <c r="J951" s="6">
        <v>64</v>
      </c>
      <c r="K951" s="8" t="s">
        <v>68</v>
      </c>
      <c r="L951" s="5">
        <v>4</v>
      </c>
      <c r="P951" s="3"/>
      <c r="Q951" s="3"/>
      <c r="R951" s="3"/>
    </row>
    <row r="952" spans="1:18" x14ac:dyDescent="0.2">
      <c r="A952" s="7" t="s">
        <v>16</v>
      </c>
      <c r="B952" s="7" t="s">
        <v>65</v>
      </c>
      <c r="C952" s="7" t="s">
        <v>66</v>
      </c>
      <c r="D952" s="4">
        <v>3925419000142</v>
      </c>
      <c r="E952" s="8" t="s">
        <v>272</v>
      </c>
      <c r="F952" s="8" t="s">
        <v>261</v>
      </c>
      <c r="G952" s="7" t="s">
        <v>262</v>
      </c>
      <c r="H952" s="47" t="s">
        <v>790</v>
      </c>
      <c r="I952" s="47" t="s">
        <v>791</v>
      </c>
      <c r="J952" s="6">
        <v>64</v>
      </c>
      <c r="K952" s="8" t="s">
        <v>68</v>
      </c>
      <c r="L952" s="5">
        <v>4</v>
      </c>
      <c r="P952" s="3"/>
      <c r="Q952" s="3"/>
      <c r="R952" s="3"/>
    </row>
    <row r="953" spans="1:18" x14ac:dyDescent="0.2">
      <c r="A953" s="7" t="s">
        <v>16</v>
      </c>
      <c r="B953" s="7" t="s">
        <v>65</v>
      </c>
      <c r="C953" s="7" t="s">
        <v>66</v>
      </c>
      <c r="D953" s="4">
        <v>4159778000107</v>
      </c>
      <c r="E953" s="8" t="s">
        <v>1012</v>
      </c>
      <c r="F953" s="8" t="s">
        <v>497</v>
      </c>
      <c r="G953" s="7" t="s">
        <v>498</v>
      </c>
      <c r="H953" s="47"/>
      <c r="I953" s="47"/>
      <c r="J953" s="6">
        <v>62</v>
      </c>
      <c r="K953" s="8" t="s">
        <v>74</v>
      </c>
      <c r="L953" s="5">
        <v>6</v>
      </c>
      <c r="P953" s="3"/>
      <c r="Q953" s="3"/>
      <c r="R953" s="3"/>
    </row>
    <row r="954" spans="1:18" x14ac:dyDescent="0.2">
      <c r="A954" s="7" t="s">
        <v>16</v>
      </c>
      <c r="B954" s="7" t="s">
        <v>65</v>
      </c>
      <c r="C954" s="7" t="s">
        <v>66</v>
      </c>
      <c r="D954" s="4">
        <v>4159778000107</v>
      </c>
      <c r="E954" s="8" t="s">
        <v>1012</v>
      </c>
      <c r="F954" s="8" t="s">
        <v>497</v>
      </c>
      <c r="G954" s="7" t="s">
        <v>498</v>
      </c>
      <c r="H954" s="47"/>
      <c r="I954" s="47"/>
      <c r="J954" s="6">
        <v>64</v>
      </c>
      <c r="K954" s="8" t="s">
        <v>68</v>
      </c>
      <c r="L954" s="5">
        <v>3</v>
      </c>
      <c r="P954" s="3"/>
      <c r="Q954" s="3"/>
      <c r="R954" s="3"/>
    </row>
    <row r="955" spans="1:18" x14ac:dyDescent="0.2">
      <c r="A955" s="7" t="s">
        <v>16</v>
      </c>
      <c r="B955" s="7" t="s">
        <v>65</v>
      </c>
      <c r="C955" s="7" t="s">
        <v>66</v>
      </c>
      <c r="D955" s="4">
        <v>5469172000122</v>
      </c>
      <c r="E955" s="8" t="s">
        <v>277</v>
      </c>
      <c r="F955" s="8" t="s">
        <v>278</v>
      </c>
      <c r="G955" s="7" t="s">
        <v>276</v>
      </c>
      <c r="H955" s="47" t="s">
        <v>790</v>
      </c>
      <c r="I955" s="47" t="s">
        <v>791</v>
      </c>
      <c r="J955" s="6">
        <v>64</v>
      </c>
      <c r="K955" s="8" t="s">
        <v>68</v>
      </c>
      <c r="L955" s="5">
        <v>3</v>
      </c>
      <c r="P955" s="3"/>
      <c r="Q955" s="3"/>
      <c r="R955" s="3"/>
    </row>
    <row r="956" spans="1:18" x14ac:dyDescent="0.2">
      <c r="A956" s="7" t="s">
        <v>16</v>
      </c>
      <c r="B956" s="7" t="s">
        <v>65</v>
      </c>
      <c r="C956" s="7" t="s">
        <v>66</v>
      </c>
      <c r="D956" s="4">
        <v>5652543000107</v>
      </c>
      <c r="E956" s="8" t="s">
        <v>420</v>
      </c>
      <c r="F956" s="8" t="s">
        <v>421</v>
      </c>
      <c r="G956" s="7" t="s">
        <v>276</v>
      </c>
      <c r="H956" s="47" t="s">
        <v>790</v>
      </c>
      <c r="I956" s="47" t="s">
        <v>791</v>
      </c>
      <c r="J956" s="6">
        <v>64</v>
      </c>
      <c r="K956" s="8" t="s">
        <v>68</v>
      </c>
      <c r="L956" s="5">
        <v>19</v>
      </c>
      <c r="P956" s="3"/>
      <c r="Q956" s="3"/>
      <c r="R956" s="3"/>
    </row>
    <row r="957" spans="1:18" x14ac:dyDescent="0.2">
      <c r="A957" s="7" t="s">
        <v>16</v>
      </c>
      <c r="B957" s="7" t="s">
        <v>65</v>
      </c>
      <c r="C957" s="7" t="s">
        <v>66</v>
      </c>
      <c r="D957" s="4">
        <v>8319329000121</v>
      </c>
      <c r="E957" s="8" t="s">
        <v>301</v>
      </c>
      <c r="F957" s="8" t="s">
        <v>246</v>
      </c>
      <c r="G957" s="7" t="s">
        <v>247</v>
      </c>
      <c r="H957" s="47" t="s">
        <v>790</v>
      </c>
      <c r="I957" s="47" t="s">
        <v>791</v>
      </c>
      <c r="J957" s="6">
        <v>64</v>
      </c>
      <c r="K957" s="8" t="s">
        <v>68</v>
      </c>
      <c r="L957" s="5">
        <v>61</v>
      </c>
      <c r="P957" s="3"/>
      <c r="Q957" s="3"/>
      <c r="R957" s="3"/>
    </row>
    <row r="958" spans="1:18" x14ac:dyDescent="0.2">
      <c r="A958" s="7" t="s">
        <v>16</v>
      </c>
      <c r="B958" s="7" t="s">
        <v>65</v>
      </c>
      <c r="C958" s="7" t="s">
        <v>66</v>
      </c>
      <c r="D958" s="4">
        <v>8337586000196</v>
      </c>
      <c r="E958" s="8" t="s">
        <v>302</v>
      </c>
      <c r="F958" s="8" t="s">
        <v>246</v>
      </c>
      <c r="G958" s="7" t="s">
        <v>247</v>
      </c>
      <c r="H958" s="47" t="s">
        <v>790</v>
      </c>
      <c r="I958" s="47" t="s">
        <v>791</v>
      </c>
      <c r="J958" s="6">
        <v>64</v>
      </c>
      <c r="K958" s="8" t="s">
        <v>68</v>
      </c>
      <c r="L958" s="5">
        <v>1</v>
      </c>
      <c r="P958" s="3"/>
      <c r="Q958" s="3"/>
      <c r="R958" s="3"/>
    </row>
    <row r="959" spans="1:18" x14ac:dyDescent="0.2">
      <c r="A959" s="7" t="s">
        <v>16</v>
      </c>
      <c r="B959" s="7" t="s">
        <v>65</v>
      </c>
      <c r="C959" s="7" t="s">
        <v>66</v>
      </c>
      <c r="D959" s="4">
        <v>10839561000132</v>
      </c>
      <c r="E959" s="8" t="s">
        <v>306</v>
      </c>
      <c r="F959" s="8" t="s">
        <v>264</v>
      </c>
      <c r="G959" s="7" t="s">
        <v>265</v>
      </c>
      <c r="H959" s="47" t="s">
        <v>790</v>
      </c>
      <c r="I959" s="47" t="s">
        <v>791</v>
      </c>
      <c r="J959" s="6">
        <v>62</v>
      </c>
      <c r="K959" s="8" t="s">
        <v>74</v>
      </c>
      <c r="L959" s="5">
        <v>8</v>
      </c>
      <c r="P959" s="3"/>
      <c r="Q959" s="3"/>
      <c r="R959" s="3"/>
    </row>
    <row r="960" spans="1:18" x14ac:dyDescent="0.2">
      <c r="A960" s="7" t="s">
        <v>16</v>
      </c>
      <c r="B960" s="7" t="s">
        <v>65</v>
      </c>
      <c r="C960" s="7" t="s">
        <v>66</v>
      </c>
      <c r="D960" s="4">
        <v>10892164000124</v>
      </c>
      <c r="E960" s="8" t="s">
        <v>307</v>
      </c>
      <c r="F960" s="8" t="s">
        <v>264</v>
      </c>
      <c r="G960" s="7" t="s">
        <v>265</v>
      </c>
      <c r="H960" s="47" t="s">
        <v>790</v>
      </c>
      <c r="I960" s="47" t="s">
        <v>791</v>
      </c>
      <c r="J960" s="6">
        <v>64</v>
      </c>
      <c r="K960" s="8" t="s">
        <v>68</v>
      </c>
      <c r="L960" s="5">
        <v>10</v>
      </c>
      <c r="P960" s="3"/>
      <c r="Q960" s="3"/>
      <c r="R960" s="3"/>
    </row>
    <row r="961" spans="1:18" x14ac:dyDescent="0.2">
      <c r="A961" s="7" t="s">
        <v>16</v>
      </c>
      <c r="B961" s="7" t="s">
        <v>65</v>
      </c>
      <c r="C961" s="7" t="s">
        <v>66</v>
      </c>
      <c r="D961" s="4">
        <v>11022597001597</v>
      </c>
      <c r="E961" s="8" t="s">
        <v>434</v>
      </c>
      <c r="F961" s="8" t="s">
        <v>264</v>
      </c>
      <c r="G961" s="7" t="s">
        <v>265</v>
      </c>
      <c r="H961" s="47" t="s">
        <v>790</v>
      </c>
      <c r="I961" s="47" t="s">
        <v>791</v>
      </c>
      <c r="J961" s="6">
        <v>64</v>
      </c>
      <c r="K961" s="8" t="s">
        <v>68</v>
      </c>
      <c r="L961" s="5">
        <v>25</v>
      </c>
      <c r="P961" s="3"/>
      <c r="Q961" s="3"/>
      <c r="R961" s="3"/>
    </row>
    <row r="962" spans="1:18" x14ac:dyDescent="0.2">
      <c r="A962" s="7" t="s">
        <v>16</v>
      </c>
      <c r="B962" s="7" t="s">
        <v>65</v>
      </c>
      <c r="C962" s="7" t="s">
        <v>66</v>
      </c>
      <c r="D962" s="4">
        <v>11214624000470</v>
      </c>
      <c r="E962" s="8" t="s">
        <v>607</v>
      </c>
      <c r="F962" s="8" t="s">
        <v>264</v>
      </c>
      <c r="G962" s="7" t="s">
        <v>265</v>
      </c>
      <c r="H962" s="47" t="s">
        <v>790</v>
      </c>
      <c r="I962" s="47" t="s">
        <v>791</v>
      </c>
      <c r="J962" s="6">
        <v>73</v>
      </c>
      <c r="K962" s="8" t="s">
        <v>69</v>
      </c>
      <c r="L962" s="5">
        <v>96</v>
      </c>
      <c r="P962" s="3"/>
      <c r="Q962" s="3"/>
      <c r="R962" s="3"/>
    </row>
    <row r="963" spans="1:18" x14ac:dyDescent="0.2">
      <c r="A963" s="7" t="s">
        <v>16</v>
      </c>
      <c r="B963" s="7" t="s">
        <v>65</v>
      </c>
      <c r="C963" s="7" t="s">
        <v>66</v>
      </c>
      <c r="D963" s="4">
        <v>11859927000106</v>
      </c>
      <c r="E963" s="8" t="s">
        <v>312</v>
      </c>
      <c r="F963" s="8" t="s">
        <v>225</v>
      </c>
      <c r="G963" s="7" t="s">
        <v>226</v>
      </c>
      <c r="H963" s="47" t="s">
        <v>790</v>
      </c>
      <c r="I963" s="47" t="s">
        <v>791</v>
      </c>
      <c r="J963" s="6">
        <v>73</v>
      </c>
      <c r="K963" s="8" t="s">
        <v>69</v>
      </c>
      <c r="L963" s="5">
        <v>26</v>
      </c>
      <c r="P963" s="3"/>
      <c r="Q963" s="3"/>
      <c r="R963" s="3"/>
    </row>
    <row r="964" spans="1:18" x14ac:dyDescent="0.2">
      <c r="A964" s="7" t="s">
        <v>16</v>
      </c>
      <c r="B964" s="7" t="s">
        <v>65</v>
      </c>
      <c r="C964" s="7" t="s">
        <v>66</v>
      </c>
      <c r="D964" s="4">
        <v>12361267014739</v>
      </c>
      <c r="E964" s="8" t="s">
        <v>510</v>
      </c>
      <c r="F964" s="8" t="s">
        <v>278</v>
      </c>
      <c r="G964" s="7" t="s">
        <v>276</v>
      </c>
      <c r="H964" s="47" t="s">
        <v>790</v>
      </c>
      <c r="I964" s="47" t="s">
        <v>791</v>
      </c>
      <c r="J964" s="6">
        <v>64</v>
      </c>
      <c r="K964" s="8" t="s">
        <v>68</v>
      </c>
      <c r="L964" s="5">
        <v>3</v>
      </c>
      <c r="P964" s="3"/>
      <c r="Q964" s="3"/>
      <c r="R964" s="3"/>
    </row>
    <row r="965" spans="1:18" x14ac:dyDescent="0.2">
      <c r="A965" s="7" t="s">
        <v>16</v>
      </c>
      <c r="B965" s="7" t="s">
        <v>65</v>
      </c>
      <c r="C965" s="7" t="s">
        <v>66</v>
      </c>
      <c r="D965" s="4">
        <v>13016092000140</v>
      </c>
      <c r="E965" s="8" t="s">
        <v>315</v>
      </c>
      <c r="F965" s="8" t="s">
        <v>278</v>
      </c>
      <c r="G965" s="7" t="s">
        <v>276</v>
      </c>
      <c r="H965" s="47" t="s">
        <v>790</v>
      </c>
      <c r="I965" s="47" t="s">
        <v>791</v>
      </c>
      <c r="J965" s="6">
        <v>64</v>
      </c>
      <c r="K965" s="8" t="s">
        <v>68</v>
      </c>
      <c r="L965" s="5">
        <v>6</v>
      </c>
      <c r="P965" s="3"/>
      <c r="Q965" s="3"/>
      <c r="R965" s="3"/>
    </row>
    <row r="966" spans="1:18" x14ac:dyDescent="0.2">
      <c r="A966" s="7" t="s">
        <v>16</v>
      </c>
      <c r="B966" s="7" t="s">
        <v>65</v>
      </c>
      <c r="C966" s="7" t="s">
        <v>66</v>
      </c>
      <c r="D966" s="4">
        <v>14408631000159</v>
      </c>
      <c r="E966" s="8" t="s">
        <v>324</v>
      </c>
      <c r="F966" s="8" t="s">
        <v>325</v>
      </c>
      <c r="G966" s="7" t="s">
        <v>223</v>
      </c>
      <c r="H966" s="47" t="s">
        <v>784</v>
      </c>
      <c r="I966" s="47" t="s">
        <v>785</v>
      </c>
      <c r="J966" s="6">
        <v>73</v>
      </c>
      <c r="K966" s="8" t="s">
        <v>69</v>
      </c>
      <c r="L966" s="5">
        <v>4</v>
      </c>
      <c r="P966" s="3"/>
      <c r="Q966" s="3"/>
      <c r="R966" s="3"/>
    </row>
    <row r="967" spans="1:18" x14ac:dyDescent="0.2">
      <c r="A967" s="7" t="s">
        <v>16</v>
      </c>
      <c r="B967" s="7" t="s">
        <v>65</v>
      </c>
      <c r="C967" s="7" t="s">
        <v>66</v>
      </c>
      <c r="D967" s="4">
        <v>15153745000249</v>
      </c>
      <c r="E967" s="8" t="s">
        <v>332</v>
      </c>
      <c r="F967" s="8" t="s">
        <v>278</v>
      </c>
      <c r="G967" s="7" t="s">
        <v>276</v>
      </c>
      <c r="H967" s="47" t="s">
        <v>790</v>
      </c>
      <c r="I967" s="47" t="s">
        <v>791</v>
      </c>
      <c r="J967" s="6">
        <v>64</v>
      </c>
      <c r="K967" s="8" t="s">
        <v>68</v>
      </c>
      <c r="L967" s="5">
        <v>9</v>
      </c>
      <c r="P967" s="3"/>
      <c r="Q967" s="3"/>
      <c r="R967" s="3"/>
    </row>
    <row r="968" spans="1:18" x14ac:dyDescent="0.2">
      <c r="A968" s="7" t="s">
        <v>16</v>
      </c>
      <c r="B968" s="7" t="s">
        <v>65</v>
      </c>
      <c r="C968" s="7" t="s">
        <v>66</v>
      </c>
      <c r="D968" s="4">
        <v>15166416000151</v>
      </c>
      <c r="E968" s="8" t="s">
        <v>334</v>
      </c>
      <c r="F968" s="8" t="s">
        <v>278</v>
      </c>
      <c r="G968" s="7" t="s">
        <v>276</v>
      </c>
      <c r="H968" s="47" t="s">
        <v>790</v>
      </c>
      <c r="I968" s="47" t="s">
        <v>791</v>
      </c>
      <c r="J968" s="6">
        <v>64</v>
      </c>
      <c r="K968" s="8" t="s">
        <v>68</v>
      </c>
      <c r="L968" s="5">
        <v>10</v>
      </c>
      <c r="P968" s="3"/>
      <c r="Q968" s="3"/>
      <c r="R968" s="3"/>
    </row>
    <row r="969" spans="1:18" x14ac:dyDescent="0.2">
      <c r="A969" s="7" t="s">
        <v>16</v>
      </c>
      <c r="B969" s="7" t="s">
        <v>65</v>
      </c>
      <c r="C969" s="7" t="s">
        <v>66</v>
      </c>
      <c r="D969" s="4">
        <v>15194004000125</v>
      </c>
      <c r="E969" s="8" t="s">
        <v>339</v>
      </c>
      <c r="F969" s="8" t="s">
        <v>278</v>
      </c>
      <c r="G969" s="7" t="s">
        <v>276</v>
      </c>
      <c r="H969" s="47" t="s">
        <v>790</v>
      </c>
      <c r="I969" s="47" t="s">
        <v>791</v>
      </c>
      <c r="J969" s="6">
        <v>64</v>
      </c>
      <c r="K969" s="8" t="s">
        <v>68</v>
      </c>
      <c r="L969" s="5">
        <v>7</v>
      </c>
      <c r="P969" s="3"/>
      <c r="Q969" s="3"/>
      <c r="R969" s="3"/>
    </row>
    <row r="970" spans="1:18" x14ac:dyDescent="0.2">
      <c r="A970" s="7" t="s">
        <v>16</v>
      </c>
      <c r="B970" s="7" t="s">
        <v>65</v>
      </c>
      <c r="C970" s="7" t="s">
        <v>66</v>
      </c>
      <c r="D970" s="4">
        <v>16739984000167</v>
      </c>
      <c r="E970" s="8" t="s">
        <v>342</v>
      </c>
      <c r="F970" s="8" t="s">
        <v>225</v>
      </c>
      <c r="G970" s="7" t="s">
        <v>226</v>
      </c>
      <c r="H970" s="47" t="s">
        <v>790</v>
      </c>
      <c r="I970" s="47" t="s">
        <v>791</v>
      </c>
      <c r="J970" s="6">
        <v>73</v>
      </c>
      <c r="K970" s="8" t="s">
        <v>69</v>
      </c>
      <c r="L970" s="5">
        <v>24</v>
      </c>
      <c r="P970" s="3"/>
      <c r="Q970" s="3"/>
      <c r="R970" s="3"/>
    </row>
    <row r="971" spans="1:18" x14ac:dyDescent="0.2">
      <c r="A971" s="7" t="s">
        <v>16</v>
      </c>
      <c r="B971" s="7" t="s">
        <v>65</v>
      </c>
      <c r="C971" s="7" t="s">
        <v>66</v>
      </c>
      <c r="D971" s="4">
        <v>17087591000189</v>
      </c>
      <c r="E971" s="8" t="s">
        <v>345</v>
      </c>
      <c r="F971" s="8" t="s">
        <v>346</v>
      </c>
      <c r="G971" s="7" t="s">
        <v>223</v>
      </c>
      <c r="H971" s="47" t="s">
        <v>784</v>
      </c>
      <c r="I971" s="47" t="s">
        <v>785</v>
      </c>
      <c r="J971" s="6">
        <v>62</v>
      </c>
      <c r="K971" s="8" t="s">
        <v>74</v>
      </c>
      <c r="L971" s="5">
        <v>3</v>
      </c>
      <c r="P971" s="3"/>
      <c r="Q971" s="3"/>
      <c r="R971" s="3"/>
    </row>
    <row r="972" spans="1:18" x14ac:dyDescent="0.2">
      <c r="A972" s="7" t="s">
        <v>16</v>
      </c>
      <c r="B972" s="7" t="s">
        <v>65</v>
      </c>
      <c r="C972" s="7" t="s">
        <v>66</v>
      </c>
      <c r="D972" s="4">
        <v>17689407000928</v>
      </c>
      <c r="E972" s="8" t="s">
        <v>348</v>
      </c>
      <c r="F972" s="8" t="s">
        <v>349</v>
      </c>
      <c r="G972" s="7" t="s">
        <v>223</v>
      </c>
      <c r="H972" s="47" t="s">
        <v>784</v>
      </c>
      <c r="I972" s="47" t="s">
        <v>785</v>
      </c>
      <c r="J972" s="6">
        <v>73</v>
      </c>
      <c r="K972" s="8" t="s">
        <v>69</v>
      </c>
      <c r="L972" s="5">
        <v>5</v>
      </c>
      <c r="P972" s="3"/>
      <c r="Q972" s="3"/>
      <c r="R972" s="3"/>
    </row>
    <row r="973" spans="1:18" x14ac:dyDescent="0.2">
      <c r="A973" s="7" t="s">
        <v>16</v>
      </c>
      <c r="B973" s="7" t="s">
        <v>65</v>
      </c>
      <c r="C973" s="7" t="s">
        <v>66</v>
      </c>
      <c r="D973" s="4">
        <v>29435005003497</v>
      </c>
      <c r="E973" s="8" t="s">
        <v>622</v>
      </c>
      <c r="F973" s="8" t="s">
        <v>286</v>
      </c>
      <c r="G973" s="7" t="s">
        <v>241</v>
      </c>
      <c r="H973" s="47" t="s">
        <v>784</v>
      </c>
      <c r="I973" s="47" t="s">
        <v>785</v>
      </c>
      <c r="J973" s="6">
        <v>64</v>
      </c>
      <c r="K973" s="8" t="s">
        <v>68</v>
      </c>
      <c r="L973" s="5">
        <v>4</v>
      </c>
      <c r="P973" s="3"/>
      <c r="Q973" s="3"/>
      <c r="R973" s="3"/>
    </row>
    <row r="974" spans="1:18" x14ac:dyDescent="0.2">
      <c r="A974" s="7" t="s">
        <v>16</v>
      </c>
      <c r="B974" s="7" t="s">
        <v>65</v>
      </c>
      <c r="C974" s="7" t="s">
        <v>66</v>
      </c>
      <c r="D974" s="4">
        <v>37108388000159</v>
      </c>
      <c r="E974" s="8" t="s">
        <v>375</v>
      </c>
      <c r="F974" s="8" t="s">
        <v>225</v>
      </c>
      <c r="G974" s="7" t="s">
        <v>226</v>
      </c>
      <c r="H974" s="47" t="s">
        <v>790</v>
      </c>
      <c r="I974" s="47" t="s">
        <v>791</v>
      </c>
      <c r="J974" s="6">
        <v>64</v>
      </c>
      <c r="K974" s="8" t="s">
        <v>68</v>
      </c>
      <c r="L974" s="5">
        <v>20</v>
      </c>
      <c r="P974" s="3"/>
      <c r="Q974" s="3"/>
      <c r="R974" s="3"/>
    </row>
    <row r="975" spans="1:18" x14ac:dyDescent="0.2">
      <c r="A975" s="7" t="s">
        <v>16</v>
      </c>
      <c r="B975" s="7" t="s">
        <v>65</v>
      </c>
      <c r="C975" s="7" t="s">
        <v>66</v>
      </c>
      <c r="D975" s="4">
        <v>38000485000196</v>
      </c>
      <c r="E975" s="8" t="s">
        <v>376</v>
      </c>
      <c r="F975" s="8" t="s">
        <v>225</v>
      </c>
      <c r="G975" s="7" t="s">
        <v>226</v>
      </c>
      <c r="H975" s="47" t="s">
        <v>790</v>
      </c>
      <c r="I975" s="47" t="s">
        <v>791</v>
      </c>
      <c r="J975" s="6">
        <v>64</v>
      </c>
      <c r="K975" s="8" t="s">
        <v>68</v>
      </c>
      <c r="L975" s="5">
        <v>5</v>
      </c>
      <c r="P975" s="3"/>
      <c r="Q975" s="3"/>
      <c r="R975" s="3"/>
    </row>
    <row r="976" spans="1:18" x14ac:dyDescent="0.2">
      <c r="A976" s="7" t="s">
        <v>16</v>
      </c>
      <c r="B976" s="7" t="s">
        <v>65</v>
      </c>
      <c r="C976" s="7" t="s">
        <v>66</v>
      </c>
      <c r="D976" s="4">
        <v>60884855001207</v>
      </c>
      <c r="E976" s="8" t="s">
        <v>377</v>
      </c>
      <c r="F976" s="8" t="s">
        <v>240</v>
      </c>
      <c r="G976" s="7" t="s">
        <v>241</v>
      </c>
      <c r="H976" s="47" t="s">
        <v>784</v>
      </c>
      <c r="I976" s="47" t="s">
        <v>785</v>
      </c>
      <c r="J976" s="6">
        <v>62</v>
      </c>
      <c r="K976" s="8" t="s">
        <v>74</v>
      </c>
      <c r="L976" s="5">
        <v>2</v>
      </c>
      <c r="P976" s="3"/>
      <c r="Q976" s="3"/>
      <c r="R976" s="3"/>
    </row>
    <row r="977" spans="1:18" x14ac:dyDescent="0.2">
      <c r="A977" s="7" t="s">
        <v>16</v>
      </c>
      <c r="B977" s="7" t="s">
        <v>65</v>
      </c>
      <c r="C977" s="7" t="s">
        <v>66</v>
      </c>
      <c r="D977" s="4">
        <v>60884855001207</v>
      </c>
      <c r="E977" s="8" t="s">
        <v>377</v>
      </c>
      <c r="F977" s="8" t="s">
        <v>240</v>
      </c>
      <c r="G977" s="7" t="s">
        <v>241</v>
      </c>
      <c r="H977" s="47" t="s">
        <v>784</v>
      </c>
      <c r="I977" s="47" t="s">
        <v>785</v>
      </c>
      <c r="J977" s="6">
        <v>73</v>
      </c>
      <c r="K977" s="8" t="s">
        <v>69</v>
      </c>
      <c r="L977" s="5">
        <v>19</v>
      </c>
      <c r="P977" s="3"/>
      <c r="Q977" s="3"/>
      <c r="R977" s="3"/>
    </row>
    <row r="978" spans="1:18" x14ac:dyDescent="0.2">
      <c r="A978" s="7" t="s">
        <v>16</v>
      </c>
      <c r="B978" s="7" t="s">
        <v>65</v>
      </c>
      <c r="C978" s="7" t="s">
        <v>66</v>
      </c>
      <c r="D978" s="4">
        <v>60884855002289</v>
      </c>
      <c r="E978" s="8" t="s">
        <v>378</v>
      </c>
      <c r="F978" s="8" t="s">
        <v>225</v>
      </c>
      <c r="G978" s="7" t="s">
        <v>226</v>
      </c>
      <c r="H978" s="47" t="s">
        <v>790</v>
      </c>
      <c r="I978" s="47" t="s">
        <v>791</v>
      </c>
      <c r="J978" s="6">
        <v>62</v>
      </c>
      <c r="K978" s="8" t="s">
        <v>74</v>
      </c>
      <c r="L978" s="5">
        <v>8</v>
      </c>
      <c r="P978" s="3"/>
      <c r="Q978" s="3"/>
      <c r="R978" s="3"/>
    </row>
    <row r="979" spans="1:18" x14ac:dyDescent="0.2">
      <c r="A979" s="7" t="s">
        <v>16</v>
      </c>
      <c r="B979" s="7" t="s">
        <v>65</v>
      </c>
      <c r="C979" s="7" t="s">
        <v>66</v>
      </c>
      <c r="D979" s="4">
        <v>61590410000558</v>
      </c>
      <c r="E979" s="8" t="s">
        <v>382</v>
      </c>
      <c r="F979" s="8" t="s">
        <v>225</v>
      </c>
      <c r="G979" s="7" t="s">
        <v>226</v>
      </c>
      <c r="H979" s="47" t="s">
        <v>790</v>
      </c>
      <c r="I979" s="47" t="s">
        <v>791</v>
      </c>
      <c r="J979" s="6">
        <v>73</v>
      </c>
      <c r="K979" s="8" t="s">
        <v>69</v>
      </c>
      <c r="L979" s="5">
        <v>16</v>
      </c>
      <c r="P979" s="3"/>
      <c r="Q979" s="3"/>
      <c r="R979" s="3"/>
    </row>
    <row r="980" spans="1:18" x14ac:dyDescent="0.2">
      <c r="A980" s="7" t="s">
        <v>16</v>
      </c>
      <c r="B980" s="7" t="s">
        <v>65</v>
      </c>
      <c r="C980" s="7" t="s">
        <v>66</v>
      </c>
      <c r="D980" s="4">
        <v>70524145000177</v>
      </c>
      <c r="E980" s="8" t="s">
        <v>1013</v>
      </c>
      <c r="F980" s="8" t="s">
        <v>261</v>
      </c>
      <c r="G980" s="7" t="s">
        <v>262</v>
      </c>
      <c r="H980" s="47"/>
      <c r="I980" s="47"/>
      <c r="J980" s="6">
        <v>64</v>
      </c>
      <c r="K980" s="8" t="s">
        <v>68</v>
      </c>
      <c r="L980" s="5">
        <v>2</v>
      </c>
      <c r="P980" s="3"/>
      <c r="Q980" s="3"/>
      <c r="R980" s="3"/>
    </row>
    <row r="981" spans="1:18" x14ac:dyDescent="0.2">
      <c r="A981" s="7" t="s">
        <v>16</v>
      </c>
      <c r="B981" s="7" t="s">
        <v>65</v>
      </c>
      <c r="C981" s="7" t="s">
        <v>66</v>
      </c>
      <c r="D981" s="4">
        <v>74031865000151</v>
      </c>
      <c r="E981" s="8" t="s">
        <v>383</v>
      </c>
      <c r="F981" s="8" t="s">
        <v>281</v>
      </c>
      <c r="G981" s="7" t="s">
        <v>282</v>
      </c>
      <c r="H981" s="47" t="s">
        <v>790</v>
      </c>
      <c r="I981" s="47" t="s">
        <v>791</v>
      </c>
      <c r="J981" s="6">
        <v>62</v>
      </c>
      <c r="K981" s="8" t="s">
        <v>74</v>
      </c>
      <c r="L981" s="5">
        <v>140</v>
      </c>
      <c r="P981" s="3"/>
      <c r="Q981" s="3"/>
      <c r="R981" s="3"/>
    </row>
    <row r="982" spans="1:18" x14ac:dyDescent="0.2">
      <c r="A982" s="7" t="s">
        <v>16</v>
      </c>
      <c r="B982" s="7" t="s">
        <v>65</v>
      </c>
      <c r="C982" s="7" t="s">
        <v>66</v>
      </c>
      <c r="D982" s="4">
        <v>75095679000220</v>
      </c>
      <c r="E982" s="8" t="s">
        <v>792</v>
      </c>
      <c r="F982" s="8" t="s">
        <v>385</v>
      </c>
      <c r="G982" s="7" t="s">
        <v>233</v>
      </c>
      <c r="H982" s="47" t="s">
        <v>784</v>
      </c>
      <c r="I982" s="47" t="s">
        <v>785</v>
      </c>
      <c r="J982" s="6">
        <v>66</v>
      </c>
      <c r="K982" s="8" t="s">
        <v>99</v>
      </c>
      <c r="L982" s="5">
        <v>37</v>
      </c>
      <c r="P982" s="3"/>
      <c r="Q982" s="3"/>
      <c r="R982" s="3"/>
    </row>
    <row r="983" spans="1:18" x14ac:dyDescent="0.2">
      <c r="A983" s="7" t="s">
        <v>16</v>
      </c>
      <c r="B983" s="7" t="s">
        <v>65</v>
      </c>
      <c r="C983" s="7" t="s">
        <v>66</v>
      </c>
      <c r="D983" s="4">
        <v>76555069000143</v>
      </c>
      <c r="E983" s="8" t="s">
        <v>384</v>
      </c>
      <c r="F983" s="8" t="s">
        <v>385</v>
      </c>
      <c r="G983" s="7" t="s">
        <v>233</v>
      </c>
      <c r="H983" s="47" t="s">
        <v>784</v>
      </c>
      <c r="I983" s="47" t="s">
        <v>785</v>
      </c>
      <c r="J983" s="6">
        <v>62</v>
      </c>
      <c r="K983" s="8" t="s">
        <v>74</v>
      </c>
      <c r="L983" s="5">
        <v>3</v>
      </c>
      <c r="P983" s="3"/>
      <c r="Q983" s="3"/>
      <c r="R983" s="3"/>
    </row>
    <row r="984" spans="1:18" x14ac:dyDescent="0.2">
      <c r="A984" s="7" t="s">
        <v>16</v>
      </c>
      <c r="B984" s="7" t="s">
        <v>65</v>
      </c>
      <c r="C984" s="7" t="s">
        <v>66</v>
      </c>
      <c r="D984" s="4">
        <v>76555069000143</v>
      </c>
      <c r="E984" s="8" t="s">
        <v>384</v>
      </c>
      <c r="F984" s="8" t="s">
        <v>385</v>
      </c>
      <c r="G984" s="7" t="s">
        <v>233</v>
      </c>
      <c r="H984" s="47" t="s">
        <v>784</v>
      </c>
      <c r="I984" s="47" t="s">
        <v>785</v>
      </c>
      <c r="J984" s="6">
        <v>64</v>
      </c>
      <c r="K984" s="8" t="s">
        <v>68</v>
      </c>
      <c r="L984" s="5">
        <v>2</v>
      </c>
      <c r="P984" s="3"/>
      <c r="Q984" s="3"/>
      <c r="R984" s="3"/>
    </row>
    <row r="985" spans="1:18" x14ac:dyDescent="0.2">
      <c r="A985" s="7" t="s">
        <v>16</v>
      </c>
      <c r="B985" s="7" t="s">
        <v>65</v>
      </c>
      <c r="C985" s="7" t="s">
        <v>66</v>
      </c>
      <c r="D985" s="4">
        <v>87020517000120</v>
      </c>
      <c r="E985" s="8" t="s">
        <v>391</v>
      </c>
      <c r="F985" s="8" t="s">
        <v>305</v>
      </c>
      <c r="G985" s="7" t="s">
        <v>253</v>
      </c>
      <c r="H985" s="47" t="s">
        <v>784</v>
      </c>
      <c r="I985" s="47" t="s">
        <v>785</v>
      </c>
      <c r="J985" s="6">
        <v>64</v>
      </c>
      <c r="K985" s="8" t="s">
        <v>68</v>
      </c>
      <c r="L985" s="5">
        <v>8</v>
      </c>
      <c r="P985" s="3"/>
      <c r="Q985" s="3"/>
      <c r="R985" s="3"/>
    </row>
    <row r="986" spans="1:18" x14ac:dyDescent="0.2">
      <c r="A986" s="7" t="s">
        <v>16</v>
      </c>
      <c r="B986" s="7" t="s">
        <v>65</v>
      </c>
      <c r="C986" s="7" t="s">
        <v>66</v>
      </c>
      <c r="D986" s="4">
        <v>92685833000151</v>
      </c>
      <c r="E986" s="8" t="s">
        <v>400</v>
      </c>
      <c r="F986" s="8" t="s">
        <v>305</v>
      </c>
      <c r="G986" s="7" t="s">
        <v>253</v>
      </c>
      <c r="H986" s="47" t="s">
        <v>784</v>
      </c>
      <c r="I986" s="47" t="s">
        <v>785</v>
      </c>
      <c r="J986" s="6">
        <v>62</v>
      </c>
      <c r="K986" s="8" t="s">
        <v>74</v>
      </c>
      <c r="L986" s="5">
        <v>6</v>
      </c>
      <c r="P986" s="3"/>
      <c r="Q986" s="3"/>
      <c r="R986" s="3"/>
    </row>
    <row r="987" spans="1:18" x14ac:dyDescent="0.2">
      <c r="A987" s="7" t="s">
        <v>16</v>
      </c>
      <c r="B987" s="7" t="s">
        <v>65</v>
      </c>
      <c r="C987" s="7" t="s">
        <v>66</v>
      </c>
      <c r="D987" s="4">
        <v>92685833000151</v>
      </c>
      <c r="E987" s="8" t="s">
        <v>400</v>
      </c>
      <c r="F987" s="8" t="s">
        <v>305</v>
      </c>
      <c r="G987" s="7" t="s">
        <v>253</v>
      </c>
      <c r="H987" s="47" t="s">
        <v>784</v>
      </c>
      <c r="I987" s="47" t="s">
        <v>785</v>
      </c>
      <c r="J987" s="6">
        <v>64</v>
      </c>
      <c r="K987" s="8" t="s">
        <v>68</v>
      </c>
      <c r="L987" s="5">
        <v>20</v>
      </c>
      <c r="P987" s="3"/>
      <c r="Q987" s="3"/>
      <c r="R987" s="3"/>
    </row>
    <row r="988" spans="1:18" x14ac:dyDescent="0.2">
      <c r="A988" s="7" t="s">
        <v>16</v>
      </c>
      <c r="B988" s="7" t="s">
        <v>65</v>
      </c>
      <c r="C988" s="7" t="s">
        <v>66</v>
      </c>
      <c r="D988" s="4">
        <v>92685833000151</v>
      </c>
      <c r="E988" s="8" t="s">
        <v>400</v>
      </c>
      <c r="F988" s="8" t="s">
        <v>305</v>
      </c>
      <c r="G988" s="7" t="s">
        <v>253</v>
      </c>
      <c r="H988" s="47" t="s">
        <v>784</v>
      </c>
      <c r="I988" s="47" t="s">
        <v>785</v>
      </c>
      <c r="J988" s="6">
        <v>73</v>
      </c>
      <c r="K988" s="8" t="s">
        <v>69</v>
      </c>
      <c r="L988" s="5">
        <v>8</v>
      </c>
      <c r="P988" s="3"/>
      <c r="Q988" s="3"/>
      <c r="R988" s="3"/>
    </row>
    <row r="989" spans="1:18" x14ac:dyDescent="0.2">
      <c r="A989" s="7" t="s">
        <v>16</v>
      </c>
      <c r="B989" s="7" t="s">
        <v>65</v>
      </c>
      <c r="C989" s="7" t="s">
        <v>66</v>
      </c>
      <c r="D989" s="4">
        <v>92815000000168</v>
      </c>
      <c r="E989" s="8" t="s">
        <v>403</v>
      </c>
      <c r="F989" s="8" t="s">
        <v>305</v>
      </c>
      <c r="G989" s="7" t="s">
        <v>253</v>
      </c>
      <c r="H989" s="47" t="s">
        <v>784</v>
      </c>
      <c r="I989" s="47" t="s">
        <v>785</v>
      </c>
      <c r="J989" s="6">
        <v>73</v>
      </c>
      <c r="K989" s="8" t="s">
        <v>69</v>
      </c>
      <c r="L989" s="5">
        <v>25</v>
      </c>
      <c r="P989" s="3"/>
      <c r="Q989" s="3"/>
      <c r="R989" s="3"/>
    </row>
    <row r="990" spans="1:18" x14ac:dyDescent="0.2">
      <c r="A990" s="7" t="s">
        <v>16</v>
      </c>
      <c r="B990" s="7" t="s">
        <v>55</v>
      </c>
      <c r="C990" s="7" t="s">
        <v>18</v>
      </c>
      <c r="D990" s="4">
        <v>25841000153</v>
      </c>
      <c r="E990" s="8" t="s">
        <v>467</v>
      </c>
      <c r="F990" s="8" t="s">
        <v>225</v>
      </c>
      <c r="G990" s="7" t="s">
        <v>226</v>
      </c>
      <c r="H990" s="47" t="s">
        <v>790</v>
      </c>
      <c r="I990" s="47" t="s">
        <v>791</v>
      </c>
      <c r="J990" s="6">
        <v>70</v>
      </c>
      <c r="K990" s="8" t="s">
        <v>22</v>
      </c>
      <c r="L990" s="5">
        <v>120</v>
      </c>
      <c r="P990" s="3"/>
      <c r="Q990" s="3"/>
      <c r="R990" s="3"/>
    </row>
    <row r="991" spans="1:18" x14ac:dyDescent="0.2">
      <c r="A991" s="7" t="s">
        <v>16</v>
      </c>
      <c r="B991" s="7" t="s">
        <v>55</v>
      </c>
      <c r="C991" s="7" t="s">
        <v>18</v>
      </c>
      <c r="D991" s="4">
        <v>53629000108</v>
      </c>
      <c r="E991" s="8" t="s">
        <v>594</v>
      </c>
      <c r="F991" s="8" t="s">
        <v>237</v>
      </c>
      <c r="G991" s="7" t="s">
        <v>238</v>
      </c>
      <c r="H991" s="47" t="s">
        <v>790</v>
      </c>
      <c r="I991" s="47" t="s">
        <v>791</v>
      </c>
      <c r="J991" s="6">
        <v>70</v>
      </c>
      <c r="K991" s="8" t="s">
        <v>22</v>
      </c>
      <c r="L991" s="5">
        <v>0</v>
      </c>
      <c r="P991" s="3"/>
      <c r="Q991" s="3"/>
      <c r="R991" s="3"/>
    </row>
    <row r="992" spans="1:18" x14ac:dyDescent="0.2">
      <c r="A992" s="7" t="s">
        <v>16</v>
      </c>
      <c r="B992" s="7" t="s">
        <v>55</v>
      </c>
      <c r="C992" s="7" t="s">
        <v>18</v>
      </c>
      <c r="D992" s="4">
        <v>394544000851</v>
      </c>
      <c r="E992" s="8" t="s">
        <v>412</v>
      </c>
      <c r="F992" s="8" t="s">
        <v>225</v>
      </c>
      <c r="G992" s="7" t="s">
        <v>226</v>
      </c>
      <c r="H992" s="47" t="s">
        <v>790</v>
      </c>
      <c r="I992" s="47" t="s">
        <v>791</v>
      </c>
      <c r="J992" s="6">
        <v>70</v>
      </c>
      <c r="K992" s="8" t="s">
        <v>22</v>
      </c>
      <c r="L992" s="5">
        <v>630</v>
      </c>
      <c r="P992" s="3"/>
      <c r="Q992" s="3"/>
      <c r="R992" s="3"/>
    </row>
    <row r="993" spans="1:18" x14ac:dyDescent="0.2">
      <c r="A993" s="7" t="s">
        <v>16</v>
      </c>
      <c r="B993" s="7" t="s">
        <v>17</v>
      </c>
      <c r="C993" s="7" t="s">
        <v>18</v>
      </c>
      <c r="D993" s="4">
        <v>520237000101</v>
      </c>
      <c r="E993" s="8" t="s">
        <v>243</v>
      </c>
      <c r="F993" s="8" t="s">
        <v>225</v>
      </c>
      <c r="G993" s="7" t="s">
        <v>226</v>
      </c>
      <c r="H993" s="47" t="s">
        <v>790</v>
      </c>
      <c r="I993" s="47" t="s">
        <v>791</v>
      </c>
      <c r="J993" s="6">
        <v>70</v>
      </c>
      <c r="K993" s="8" t="s">
        <v>22</v>
      </c>
      <c r="L993" s="5">
        <v>35</v>
      </c>
      <c r="P993" s="3"/>
      <c r="Q993" s="3"/>
      <c r="R993" s="3"/>
    </row>
    <row r="994" spans="1:18" x14ac:dyDescent="0.2">
      <c r="A994" s="7" t="s">
        <v>16</v>
      </c>
      <c r="B994" s="7" t="s">
        <v>55</v>
      </c>
      <c r="C994" s="7" t="s">
        <v>18</v>
      </c>
      <c r="D994" s="4">
        <v>520237000101</v>
      </c>
      <c r="E994" s="8" t="s">
        <v>243</v>
      </c>
      <c r="F994" s="8" t="s">
        <v>225</v>
      </c>
      <c r="G994" s="7" t="s">
        <v>226</v>
      </c>
      <c r="H994" s="47" t="s">
        <v>790</v>
      </c>
      <c r="I994" s="47" t="s">
        <v>791</v>
      </c>
      <c r="J994" s="6">
        <v>70</v>
      </c>
      <c r="K994" s="8" t="s">
        <v>22</v>
      </c>
      <c r="L994" s="5">
        <v>800</v>
      </c>
      <c r="P994" s="3"/>
      <c r="Q994" s="3"/>
      <c r="R994" s="3"/>
    </row>
    <row r="995" spans="1:18" x14ac:dyDescent="0.2">
      <c r="A995" s="7" t="s">
        <v>16</v>
      </c>
      <c r="B995" s="7" t="s">
        <v>55</v>
      </c>
      <c r="C995" s="7" t="s">
        <v>18</v>
      </c>
      <c r="D995" s="4">
        <v>610980000144</v>
      </c>
      <c r="E995" s="8" t="s">
        <v>244</v>
      </c>
      <c r="F995" s="8" t="s">
        <v>225</v>
      </c>
      <c r="G995" s="7" t="s">
        <v>226</v>
      </c>
      <c r="H995" s="47" t="s">
        <v>790</v>
      </c>
      <c r="I995" s="47" t="s">
        <v>791</v>
      </c>
      <c r="J995" s="6">
        <v>70</v>
      </c>
      <c r="K995" s="8" t="s">
        <v>22</v>
      </c>
      <c r="L995" s="5">
        <v>150</v>
      </c>
      <c r="P995" s="3"/>
      <c r="Q995" s="3"/>
      <c r="R995" s="3"/>
    </row>
    <row r="996" spans="1:18" x14ac:dyDescent="0.2">
      <c r="A996" s="7" t="s">
        <v>16</v>
      </c>
      <c r="B996" s="7" t="s">
        <v>17</v>
      </c>
      <c r="C996" s="7" t="s">
        <v>18</v>
      </c>
      <c r="D996" s="4">
        <v>1011865000116</v>
      </c>
      <c r="E996" s="8" t="s">
        <v>528</v>
      </c>
      <c r="F996" s="8" t="s">
        <v>237</v>
      </c>
      <c r="G996" s="7" t="s">
        <v>238</v>
      </c>
      <c r="H996" s="47" t="s">
        <v>790</v>
      </c>
      <c r="I996" s="47" t="s">
        <v>791</v>
      </c>
      <c r="J996" s="6">
        <v>70</v>
      </c>
      <c r="K996" s="8" t="s">
        <v>22</v>
      </c>
      <c r="L996" s="5">
        <v>350</v>
      </c>
      <c r="P996" s="3"/>
      <c r="Q996" s="3"/>
      <c r="R996" s="3"/>
    </row>
    <row r="997" spans="1:18" x14ac:dyDescent="0.2">
      <c r="A997" s="7" t="s">
        <v>16</v>
      </c>
      <c r="B997" s="7" t="s">
        <v>55</v>
      </c>
      <c r="C997" s="7" t="s">
        <v>18</v>
      </c>
      <c r="D997" s="4">
        <v>1011865000116</v>
      </c>
      <c r="E997" s="8" t="s">
        <v>528</v>
      </c>
      <c r="F997" s="8" t="s">
        <v>237</v>
      </c>
      <c r="G997" s="7" t="s">
        <v>238</v>
      </c>
      <c r="H997" s="47" t="s">
        <v>790</v>
      </c>
      <c r="I997" s="47" t="s">
        <v>791</v>
      </c>
      <c r="J997" s="6">
        <v>70</v>
      </c>
      <c r="K997" s="8" t="s">
        <v>22</v>
      </c>
      <c r="L997" s="5">
        <v>350</v>
      </c>
      <c r="P997" s="3"/>
      <c r="Q997" s="3"/>
      <c r="R997" s="3"/>
    </row>
    <row r="998" spans="1:18" x14ac:dyDescent="0.2">
      <c r="A998" s="7" t="s">
        <v>16</v>
      </c>
      <c r="B998" s="7" t="s">
        <v>55</v>
      </c>
      <c r="C998" s="7" t="s">
        <v>18</v>
      </c>
      <c r="D998" s="4">
        <v>1326206000179</v>
      </c>
      <c r="E998" s="8" t="s">
        <v>254</v>
      </c>
      <c r="F998" s="8" t="s">
        <v>255</v>
      </c>
      <c r="G998" s="7" t="s">
        <v>238</v>
      </c>
      <c r="H998" s="47" t="s">
        <v>790</v>
      </c>
      <c r="I998" s="47" t="s">
        <v>791</v>
      </c>
      <c r="J998" s="6">
        <v>70</v>
      </c>
      <c r="K998" s="8" t="s">
        <v>22</v>
      </c>
      <c r="L998" s="5">
        <v>50</v>
      </c>
      <c r="P998" s="3"/>
      <c r="Q998" s="3"/>
      <c r="R998" s="3"/>
    </row>
    <row r="999" spans="1:18" x14ac:dyDescent="0.2">
      <c r="A999" s="7" t="s">
        <v>16</v>
      </c>
      <c r="B999" s="7" t="s">
        <v>17</v>
      </c>
      <c r="C999" s="7" t="s">
        <v>18</v>
      </c>
      <c r="D999" s="4">
        <v>1383835000130</v>
      </c>
      <c r="E999" s="8" t="s">
        <v>530</v>
      </c>
      <c r="F999" s="8" t="s">
        <v>531</v>
      </c>
      <c r="G999" s="7" t="s">
        <v>262</v>
      </c>
      <c r="H999" s="47" t="s">
        <v>790</v>
      </c>
      <c r="I999" s="47" t="s">
        <v>791</v>
      </c>
      <c r="J999" s="6">
        <v>70</v>
      </c>
      <c r="K999" s="8" t="s">
        <v>22</v>
      </c>
      <c r="L999" s="5">
        <v>30</v>
      </c>
      <c r="P999" s="3"/>
      <c r="Q999" s="3"/>
      <c r="R999" s="3"/>
    </row>
    <row r="1000" spans="1:18" x14ac:dyDescent="0.2">
      <c r="A1000" s="7" t="s">
        <v>16</v>
      </c>
      <c r="B1000" s="7" t="s">
        <v>17</v>
      </c>
      <c r="C1000" s="7" t="s">
        <v>18</v>
      </c>
      <c r="D1000" s="4">
        <v>1454407000151</v>
      </c>
      <c r="E1000" s="8" t="s">
        <v>533</v>
      </c>
      <c r="F1000" s="8" t="s">
        <v>361</v>
      </c>
      <c r="G1000" s="7" t="s">
        <v>362</v>
      </c>
      <c r="H1000" s="47" t="s">
        <v>790</v>
      </c>
      <c r="I1000" s="47" t="s">
        <v>791</v>
      </c>
      <c r="J1000" s="6">
        <v>70</v>
      </c>
      <c r="K1000" s="8" t="s">
        <v>22</v>
      </c>
      <c r="L1000" s="5">
        <v>480</v>
      </c>
      <c r="P1000" s="3"/>
      <c r="Q1000" s="3"/>
      <c r="R1000" s="3"/>
    </row>
    <row r="1001" spans="1:18" x14ac:dyDescent="0.2">
      <c r="A1001" s="7" t="s">
        <v>16</v>
      </c>
      <c r="B1001" s="7" t="s">
        <v>55</v>
      </c>
      <c r="C1001" s="7" t="s">
        <v>18</v>
      </c>
      <c r="D1001" s="4">
        <v>1454407000151</v>
      </c>
      <c r="E1001" s="8" t="s">
        <v>533</v>
      </c>
      <c r="F1001" s="8" t="s">
        <v>361</v>
      </c>
      <c r="G1001" s="7" t="s">
        <v>362</v>
      </c>
      <c r="H1001" s="47" t="s">
        <v>790</v>
      </c>
      <c r="I1001" s="47" t="s">
        <v>791</v>
      </c>
      <c r="J1001" s="6">
        <v>70</v>
      </c>
      <c r="K1001" s="8" t="s">
        <v>22</v>
      </c>
      <c r="L1001" s="5">
        <v>500</v>
      </c>
      <c r="P1001" s="3"/>
      <c r="Q1001" s="3"/>
      <c r="R1001" s="3"/>
    </row>
    <row r="1002" spans="1:18" x14ac:dyDescent="0.2">
      <c r="A1002" s="7" t="s">
        <v>16</v>
      </c>
      <c r="B1002" s="7" t="s">
        <v>17</v>
      </c>
      <c r="C1002" s="7" t="s">
        <v>18</v>
      </c>
      <c r="D1002" s="4">
        <v>1682668000129</v>
      </c>
      <c r="E1002" s="8" t="s">
        <v>535</v>
      </c>
      <c r="F1002" s="8" t="s">
        <v>225</v>
      </c>
      <c r="G1002" s="7" t="s">
        <v>226</v>
      </c>
      <c r="H1002" s="47" t="s">
        <v>790</v>
      </c>
      <c r="I1002" s="47" t="s">
        <v>791</v>
      </c>
      <c r="J1002" s="6">
        <v>70</v>
      </c>
      <c r="K1002" s="8" t="s">
        <v>22</v>
      </c>
      <c r="L1002" s="5">
        <v>50</v>
      </c>
      <c r="P1002" s="3"/>
      <c r="Q1002" s="3"/>
      <c r="R1002" s="3"/>
    </row>
    <row r="1003" spans="1:18" x14ac:dyDescent="0.2">
      <c r="A1003" s="7" t="s">
        <v>16</v>
      </c>
      <c r="B1003" s="7" t="s">
        <v>55</v>
      </c>
      <c r="C1003" s="7" t="s">
        <v>18</v>
      </c>
      <c r="D1003" s="4">
        <v>1682668000129</v>
      </c>
      <c r="E1003" s="8" t="s">
        <v>535</v>
      </c>
      <c r="F1003" s="8" t="s">
        <v>225</v>
      </c>
      <c r="G1003" s="7" t="s">
        <v>226</v>
      </c>
      <c r="H1003" s="47" t="s">
        <v>790</v>
      </c>
      <c r="I1003" s="47" t="s">
        <v>791</v>
      </c>
      <c r="J1003" s="6">
        <v>70</v>
      </c>
      <c r="K1003" s="8" t="s">
        <v>22</v>
      </c>
      <c r="L1003" s="5">
        <v>25</v>
      </c>
      <c r="P1003" s="3"/>
      <c r="Q1003" s="3"/>
      <c r="R1003" s="3"/>
    </row>
    <row r="1004" spans="1:18" x14ac:dyDescent="0.2">
      <c r="A1004" s="7" t="s">
        <v>16</v>
      </c>
      <c r="B1004" s="7" t="s">
        <v>55</v>
      </c>
      <c r="C1004" s="7" t="s">
        <v>18</v>
      </c>
      <c r="D1004" s="4">
        <v>2284062001170</v>
      </c>
      <c r="E1004" s="8" t="s">
        <v>266</v>
      </c>
      <c r="F1004" s="8" t="s">
        <v>267</v>
      </c>
      <c r="G1004" s="7" t="s">
        <v>268</v>
      </c>
      <c r="H1004" s="47" t="s">
        <v>790</v>
      </c>
      <c r="I1004" s="47" t="s">
        <v>791</v>
      </c>
      <c r="J1004" s="6">
        <v>70</v>
      </c>
      <c r="K1004" s="8" t="s">
        <v>22</v>
      </c>
      <c r="L1004" s="5">
        <v>150</v>
      </c>
      <c r="P1004" s="3"/>
      <c r="Q1004" s="3"/>
      <c r="R1004" s="3"/>
    </row>
    <row r="1005" spans="1:18" x14ac:dyDescent="0.2">
      <c r="A1005" s="7" t="s">
        <v>16</v>
      </c>
      <c r="B1005" s="7" t="s">
        <v>17</v>
      </c>
      <c r="C1005" s="7" t="s">
        <v>18</v>
      </c>
      <c r="D1005" s="4">
        <v>2476067000122</v>
      </c>
      <c r="E1005" s="8" t="s">
        <v>536</v>
      </c>
      <c r="F1005" s="8" t="s">
        <v>237</v>
      </c>
      <c r="G1005" s="7" t="s">
        <v>238</v>
      </c>
      <c r="H1005" s="47" t="s">
        <v>790</v>
      </c>
      <c r="I1005" s="47" t="s">
        <v>791</v>
      </c>
      <c r="J1005" s="6">
        <v>70</v>
      </c>
      <c r="K1005" s="8" t="s">
        <v>22</v>
      </c>
      <c r="L1005" s="5">
        <v>15</v>
      </c>
      <c r="P1005" s="3"/>
      <c r="Q1005" s="3"/>
      <c r="R1005" s="3"/>
    </row>
    <row r="1006" spans="1:18" x14ac:dyDescent="0.2">
      <c r="A1006" s="7" t="s">
        <v>16</v>
      </c>
      <c r="B1006" s="7" t="s">
        <v>17</v>
      </c>
      <c r="C1006" s="7" t="s">
        <v>18</v>
      </c>
      <c r="D1006" s="4">
        <v>2476067000394</v>
      </c>
      <c r="E1006" s="8" t="s">
        <v>537</v>
      </c>
      <c r="F1006" s="8" t="s">
        <v>237</v>
      </c>
      <c r="G1006" s="7" t="s">
        <v>238</v>
      </c>
      <c r="H1006" s="47" t="s">
        <v>790</v>
      </c>
      <c r="I1006" s="47" t="s">
        <v>791</v>
      </c>
      <c r="J1006" s="6">
        <v>70</v>
      </c>
      <c r="K1006" s="8" t="s">
        <v>22</v>
      </c>
      <c r="L1006" s="5">
        <v>117.5</v>
      </c>
      <c r="P1006" s="3"/>
      <c r="Q1006" s="3"/>
      <c r="R1006" s="3"/>
    </row>
    <row r="1007" spans="1:18" x14ac:dyDescent="0.2">
      <c r="A1007" s="7" t="s">
        <v>16</v>
      </c>
      <c r="B1007" s="7" t="s">
        <v>55</v>
      </c>
      <c r="C1007" s="7" t="s">
        <v>18</v>
      </c>
      <c r="D1007" s="4">
        <v>2476067000394</v>
      </c>
      <c r="E1007" s="8" t="s">
        <v>537</v>
      </c>
      <c r="F1007" s="8" t="s">
        <v>237</v>
      </c>
      <c r="G1007" s="7" t="s">
        <v>238</v>
      </c>
      <c r="H1007" s="47" t="s">
        <v>790</v>
      </c>
      <c r="I1007" s="47" t="s">
        <v>791</v>
      </c>
      <c r="J1007" s="6">
        <v>70</v>
      </c>
      <c r="K1007" s="8" t="s">
        <v>22</v>
      </c>
      <c r="L1007" s="5">
        <v>75</v>
      </c>
      <c r="P1007" s="3"/>
      <c r="Q1007" s="3"/>
      <c r="R1007" s="3"/>
    </row>
    <row r="1008" spans="1:18" x14ac:dyDescent="0.2">
      <c r="A1008" s="7" t="s">
        <v>16</v>
      </c>
      <c r="B1008" s="7" t="s">
        <v>17</v>
      </c>
      <c r="C1008" s="7" t="s">
        <v>18</v>
      </c>
      <c r="D1008" s="4">
        <v>2560878000107</v>
      </c>
      <c r="E1008" s="8" t="s">
        <v>270</v>
      </c>
      <c r="F1008" s="8" t="s">
        <v>225</v>
      </c>
      <c r="G1008" s="7" t="s">
        <v>226</v>
      </c>
      <c r="H1008" s="47" t="s">
        <v>790</v>
      </c>
      <c r="I1008" s="47" t="s">
        <v>791</v>
      </c>
      <c r="J1008" s="6">
        <v>70</v>
      </c>
      <c r="K1008" s="8" t="s">
        <v>22</v>
      </c>
      <c r="L1008" s="5">
        <v>275</v>
      </c>
      <c r="P1008" s="3"/>
      <c r="Q1008" s="3"/>
      <c r="R1008" s="3"/>
    </row>
    <row r="1009" spans="1:18" x14ac:dyDescent="0.2">
      <c r="A1009" s="7" t="s">
        <v>16</v>
      </c>
      <c r="B1009" s="7" t="s">
        <v>55</v>
      </c>
      <c r="C1009" s="7" t="s">
        <v>18</v>
      </c>
      <c r="D1009" s="4">
        <v>2560878000107</v>
      </c>
      <c r="E1009" s="8" t="s">
        <v>270</v>
      </c>
      <c r="F1009" s="8" t="s">
        <v>225</v>
      </c>
      <c r="G1009" s="7" t="s">
        <v>226</v>
      </c>
      <c r="H1009" s="47" t="s">
        <v>790</v>
      </c>
      <c r="I1009" s="47" t="s">
        <v>791</v>
      </c>
      <c r="J1009" s="6">
        <v>70</v>
      </c>
      <c r="K1009" s="8" t="s">
        <v>22</v>
      </c>
      <c r="L1009" s="5">
        <v>30</v>
      </c>
      <c r="P1009" s="3"/>
      <c r="Q1009" s="3"/>
      <c r="R1009" s="3"/>
    </row>
    <row r="1010" spans="1:18" x14ac:dyDescent="0.2">
      <c r="A1010" s="7" t="s">
        <v>16</v>
      </c>
      <c r="B1010" s="7" t="s">
        <v>55</v>
      </c>
      <c r="C1010" s="7" t="s">
        <v>18</v>
      </c>
      <c r="D1010" s="4">
        <v>1602408000104</v>
      </c>
      <c r="E1010" s="8" t="s">
        <v>595</v>
      </c>
      <c r="F1010" s="8" t="s">
        <v>225</v>
      </c>
      <c r="G1010" s="7" t="s">
        <v>226</v>
      </c>
      <c r="H1010" s="47" t="s">
        <v>790</v>
      </c>
      <c r="I1010" s="47" t="s">
        <v>791</v>
      </c>
      <c r="J1010" s="6">
        <v>70</v>
      </c>
      <c r="K1010" s="8" t="s">
        <v>22</v>
      </c>
      <c r="L1010" s="5">
        <v>250</v>
      </c>
      <c r="P1010" s="3"/>
      <c r="Q1010" s="3"/>
      <c r="R1010" s="3"/>
    </row>
    <row r="1011" spans="1:18" x14ac:dyDescent="0.2">
      <c r="A1011" s="7" t="s">
        <v>16</v>
      </c>
      <c r="B1011" s="7" t="s">
        <v>17</v>
      </c>
      <c r="C1011" s="7" t="s">
        <v>18</v>
      </c>
      <c r="D1011" s="4">
        <v>3533726000773</v>
      </c>
      <c r="E1011" s="8" t="s">
        <v>540</v>
      </c>
      <c r="F1011" s="8" t="s">
        <v>261</v>
      </c>
      <c r="G1011" s="7" t="s">
        <v>262</v>
      </c>
      <c r="H1011" s="47" t="s">
        <v>790</v>
      </c>
      <c r="I1011" s="47" t="s">
        <v>791</v>
      </c>
      <c r="J1011" s="6">
        <v>70</v>
      </c>
      <c r="K1011" s="8" t="s">
        <v>22</v>
      </c>
      <c r="L1011" s="5">
        <v>30</v>
      </c>
      <c r="P1011" s="3"/>
      <c r="Q1011" s="3"/>
      <c r="R1011" s="3"/>
    </row>
    <row r="1012" spans="1:18" x14ac:dyDescent="0.2">
      <c r="A1012" s="7" t="s">
        <v>16</v>
      </c>
      <c r="B1012" s="7" t="s">
        <v>55</v>
      </c>
      <c r="C1012" s="7" t="s">
        <v>18</v>
      </c>
      <c r="D1012" s="4">
        <v>3533726000773</v>
      </c>
      <c r="E1012" s="8" t="s">
        <v>540</v>
      </c>
      <c r="F1012" s="8" t="s">
        <v>261</v>
      </c>
      <c r="G1012" s="7" t="s">
        <v>262</v>
      </c>
      <c r="H1012" s="47" t="s">
        <v>790</v>
      </c>
      <c r="I1012" s="47" t="s">
        <v>791</v>
      </c>
      <c r="J1012" s="6">
        <v>70</v>
      </c>
      <c r="K1012" s="8" t="s">
        <v>22</v>
      </c>
      <c r="L1012" s="5">
        <v>90</v>
      </c>
      <c r="P1012" s="3"/>
      <c r="Q1012" s="3"/>
      <c r="R1012" s="3"/>
    </row>
    <row r="1013" spans="1:18" x14ac:dyDescent="0.2">
      <c r="A1013" s="7" t="s">
        <v>16</v>
      </c>
      <c r="B1013" s="7" t="s">
        <v>17</v>
      </c>
      <c r="C1013" s="7" t="s">
        <v>18</v>
      </c>
      <c r="D1013" s="4">
        <v>3533726001583</v>
      </c>
      <c r="E1013" s="8" t="s">
        <v>271</v>
      </c>
      <c r="F1013" s="8" t="s">
        <v>261</v>
      </c>
      <c r="G1013" s="7" t="s">
        <v>262</v>
      </c>
      <c r="H1013" s="47" t="s">
        <v>790</v>
      </c>
      <c r="I1013" s="47" t="s">
        <v>791</v>
      </c>
      <c r="J1013" s="6">
        <v>70</v>
      </c>
      <c r="K1013" s="8" t="s">
        <v>22</v>
      </c>
      <c r="L1013" s="5">
        <v>130</v>
      </c>
      <c r="P1013" s="3"/>
      <c r="Q1013" s="3"/>
      <c r="R1013" s="3"/>
    </row>
    <row r="1014" spans="1:18" x14ac:dyDescent="0.2">
      <c r="A1014" s="7" t="s">
        <v>16</v>
      </c>
      <c r="B1014" s="7" t="s">
        <v>55</v>
      </c>
      <c r="C1014" s="7" t="s">
        <v>18</v>
      </c>
      <c r="D1014" s="4">
        <v>3533726001583</v>
      </c>
      <c r="E1014" s="8" t="s">
        <v>271</v>
      </c>
      <c r="F1014" s="8" t="s">
        <v>261</v>
      </c>
      <c r="G1014" s="7" t="s">
        <v>262</v>
      </c>
      <c r="H1014" s="47" t="s">
        <v>790</v>
      </c>
      <c r="I1014" s="47" t="s">
        <v>791</v>
      </c>
      <c r="J1014" s="6">
        <v>70</v>
      </c>
      <c r="K1014" s="8" t="s">
        <v>22</v>
      </c>
      <c r="L1014" s="5">
        <v>30</v>
      </c>
      <c r="P1014" s="3"/>
      <c r="Q1014" s="3"/>
      <c r="R1014" s="3"/>
    </row>
    <row r="1015" spans="1:18" x14ac:dyDescent="0.2">
      <c r="A1015" s="7" t="s">
        <v>16</v>
      </c>
      <c r="B1015" s="7" t="s">
        <v>17</v>
      </c>
      <c r="C1015" s="7" t="s">
        <v>18</v>
      </c>
      <c r="D1015" s="4">
        <v>3858924000111</v>
      </c>
      <c r="E1015" s="8" t="s">
        <v>543</v>
      </c>
      <c r="F1015" s="8" t="s">
        <v>544</v>
      </c>
      <c r="G1015" s="7" t="s">
        <v>265</v>
      </c>
      <c r="H1015" s="47" t="s">
        <v>790</v>
      </c>
      <c r="I1015" s="47" t="s">
        <v>791</v>
      </c>
      <c r="J1015" s="6">
        <v>70</v>
      </c>
      <c r="K1015" s="8" t="s">
        <v>22</v>
      </c>
      <c r="L1015" s="5">
        <v>120</v>
      </c>
      <c r="P1015" s="3"/>
      <c r="Q1015" s="3"/>
      <c r="R1015" s="3"/>
    </row>
    <row r="1016" spans="1:18" x14ac:dyDescent="0.2">
      <c r="A1016" s="7" t="s">
        <v>16</v>
      </c>
      <c r="B1016" s="7" t="s">
        <v>17</v>
      </c>
      <c r="C1016" s="7" t="s">
        <v>18</v>
      </c>
      <c r="D1016" s="4">
        <v>3989821000190</v>
      </c>
      <c r="E1016" s="8" t="s">
        <v>545</v>
      </c>
      <c r="F1016" s="8" t="s">
        <v>225</v>
      </c>
      <c r="G1016" s="7" t="s">
        <v>226</v>
      </c>
      <c r="H1016" s="47" t="s">
        <v>790</v>
      </c>
      <c r="I1016" s="47" t="s">
        <v>791</v>
      </c>
      <c r="J1016" s="6">
        <v>70</v>
      </c>
      <c r="K1016" s="8" t="s">
        <v>22</v>
      </c>
      <c r="L1016" s="5">
        <v>245</v>
      </c>
      <c r="P1016" s="3"/>
      <c r="Q1016" s="3"/>
      <c r="R1016" s="3"/>
    </row>
    <row r="1017" spans="1:18" x14ac:dyDescent="0.2">
      <c r="A1017" s="7" t="s">
        <v>16</v>
      </c>
      <c r="B1017" s="7" t="s">
        <v>55</v>
      </c>
      <c r="C1017" s="7" t="s">
        <v>18</v>
      </c>
      <c r="D1017" s="4">
        <v>3989821000190</v>
      </c>
      <c r="E1017" s="8" t="s">
        <v>545</v>
      </c>
      <c r="F1017" s="8" t="s">
        <v>225</v>
      </c>
      <c r="G1017" s="7" t="s">
        <v>226</v>
      </c>
      <c r="H1017" s="47" t="s">
        <v>790</v>
      </c>
      <c r="I1017" s="47" t="s">
        <v>791</v>
      </c>
      <c r="J1017" s="6">
        <v>70</v>
      </c>
      <c r="K1017" s="8" t="s">
        <v>22</v>
      </c>
      <c r="L1017" s="5">
        <v>360</v>
      </c>
      <c r="P1017" s="3"/>
      <c r="Q1017" s="3"/>
      <c r="R1017" s="3"/>
    </row>
    <row r="1018" spans="1:18" x14ac:dyDescent="0.2">
      <c r="A1018" s="7" t="s">
        <v>16</v>
      </c>
      <c r="B1018" s="7" t="s">
        <v>17</v>
      </c>
      <c r="C1018" s="7" t="s">
        <v>18</v>
      </c>
      <c r="D1018" s="4">
        <v>4966545000370</v>
      </c>
      <c r="E1018" s="8" t="s">
        <v>546</v>
      </c>
      <c r="F1018" s="8" t="s">
        <v>219</v>
      </c>
      <c r="G1018" s="7" t="s">
        <v>220</v>
      </c>
      <c r="H1018" s="47" t="s">
        <v>790</v>
      </c>
      <c r="I1018" s="47" t="s">
        <v>791</v>
      </c>
      <c r="J1018" s="6">
        <v>70</v>
      </c>
      <c r="K1018" s="8" t="s">
        <v>22</v>
      </c>
      <c r="L1018" s="5">
        <v>80</v>
      </c>
      <c r="P1018" s="3"/>
      <c r="Q1018" s="3"/>
      <c r="R1018" s="3"/>
    </row>
    <row r="1019" spans="1:18" x14ac:dyDescent="0.2">
      <c r="A1019" s="7" t="s">
        <v>16</v>
      </c>
      <c r="B1019" s="7" t="s">
        <v>17</v>
      </c>
      <c r="C1019" s="7" t="s">
        <v>18</v>
      </c>
      <c r="D1019" s="4">
        <v>5816630000152</v>
      </c>
      <c r="E1019" s="8" t="s">
        <v>279</v>
      </c>
      <c r="F1019" s="8" t="s">
        <v>278</v>
      </c>
      <c r="G1019" s="7" t="s">
        <v>276</v>
      </c>
      <c r="H1019" s="47" t="s">
        <v>790</v>
      </c>
      <c r="I1019" s="47" t="s">
        <v>791</v>
      </c>
      <c r="J1019" s="6">
        <v>70</v>
      </c>
      <c r="K1019" s="8" t="s">
        <v>22</v>
      </c>
      <c r="L1019" s="5">
        <v>150</v>
      </c>
      <c r="P1019" s="3"/>
      <c r="Q1019" s="3"/>
      <c r="R1019" s="3"/>
    </row>
    <row r="1020" spans="1:18" x14ac:dyDescent="0.2">
      <c r="A1020" s="7" t="s">
        <v>16</v>
      </c>
      <c r="B1020" s="7" t="s">
        <v>17</v>
      </c>
      <c r="C1020" s="7" t="s">
        <v>18</v>
      </c>
      <c r="D1020" s="4">
        <v>5868278000280</v>
      </c>
      <c r="E1020" s="8" t="s">
        <v>283</v>
      </c>
      <c r="F1020" s="8" t="s">
        <v>281</v>
      </c>
      <c r="G1020" s="7" t="s">
        <v>282</v>
      </c>
      <c r="H1020" s="47" t="s">
        <v>790</v>
      </c>
      <c r="I1020" s="47" t="s">
        <v>791</v>
      </c>
      <c r="J1020" s="6">
        <v>70</v>
      </c>
      <c r="K1020" s="8" t="s">
        <v>22</v>
      </c>
      <c r="L1020" s="5">
        <v>80</v>
      </c>
      <c r="P1020" s="3"/>
      <c r="Q1020" s="3"/>
      <c r="R1020" s="3"/>
    </row>
    <row r="1021" spans="1:18" x14ac:dyDescent="0.2">
      <c r="A1021" s="7" t="s">
        <v>16</v>
      </c>
      <c r="B1021" s="7" t="s">
        <v>55</v>
      </c>
      <c r="C1021" s="7" t="s">
        <v>18</v>
      </c>
      <c r="D1021" s="4">
        <v>3091003000176</v>
      </c>
      <c r="E1021" s="8" t="s">
        <v>596</v>
      </c>
      <c r="F1021" s="8" t="s">
        <v>317</v>
      </c>
      <c r="G1021" s="7" t="s">
        <v>318</v>
      </c>
      <c r="H1021" s="47" t="s">
        <v>790</v>
      </c>
      <c r="I1021" s="47" t="s">
        <v>791</v>
      </c>
      <c r="J1021" s="6">
        <v>70</v>
      </c>
      <c r="K1021" s="8" t="s">
        <v>22</v>
      </c>
      <c r="L1021" s="5">
        <v>175</v>
      </c>
      <c r="P1021" s="3"/>
      <c r="Q1021" s="3"/>
      <c r="R1021" s="3"/>
    </row>
    <row r="1022" spans="1:18" x14ac:dyDescent="0.2">
      <c r="A1022" s="7" t="s">
        <v>16</v>
      </c>
      <c r="B1022" s="7" t="s">
        <v>55</v>
      </c>
      <c r="C1022" s="7" t="s">
        <v>18</v>
      </c>
      <c r="D1022" s="4">
        <v>3210872000172</v>
      </c>
      <c r="E1022" s="8" t="s">
        <v>597</v>
      </c>
      <c r="F1022" s="8" t="s">
        <v>598</v>
      </c>
      <c r="G1022" s="7" t="s">
        <v>268</v>
      </c>
      <c r="H1022" s="47" t="s">
        <v>790</v>
      </c>
      <c r="I1022" s="47" t="s">
        <v>791</v>
      </c>
      <c r="J1022" s="6">
        <v>70</v>
      </c>
      <c r="K1022" s="8" t="s">
        <v>22</v>
      </c>
      <c r="L1022" s="5">
        <v>5</v>
      </c>
      <c r="P1022" s="3"/>
      <c r="Q1022" s="3"/>
      <c r="R1022" s="3"/>
    </row>
    <row r="1023" spans="1:18" x14ac:dyDescent="0.2">
      <c r="A1023" s="7" t="s">
        <v>16</v>
      </c>
      <c r="B1023" s="7" t="s">
        <v>55</v>
      </c>
      <c r="C1023" s="7" t="s">
        <v>18</v>
      </c>
      <c r="D1023" s="4">
        <v>3866223000124</v>
      </c>
      <c r="E1023" s="8" t="s">
        <v>599</v>
      </c>
      <c r="F1023" s="8" t="s">
        <v>361</v>
      </c>
      <c r="G1023" s="7" t="s">
        <v>362</v>
      </c>
      <c r="H1023" s="47" t="s">
        <v>790</v>
      </c>
      <c r="I1023" s="47" t="s">
        <v>791</v>
      </c>
      <c r="J1023" s="6">
        <v>70</v>
      </c>
      <c r="K1023" s="8" t="s">
        <v>22</v>
      </c>
      <c r="L1023" s="5">
        <v>1740</v>
      </c>
      <c r="P1023" s="3"/>
      <c r="Q1023" s="3"/>
      <c r="R1023" s="3"/>
    </row>
    <row r="1024" spans="1:18" x14ac:dyDescent="0.2">
      <c r="A1024" s="7" t="s">
        <v>16</v>
      </c>
      <c r="B1024" s="7" t="s">
        <v>17</v>
      </c>
      <c r="C1024" s="7" t="s">
        <v>18</v>
      </c>
      <c r="D1024" s="4">
        <v>6047087009276</v>
      </c>
      <c r="E1024" s="8" t="s">
        <v>423</v>
      </c>
      <c r="F1024" s="8" t="s">
        <v>264</v>
      </c>
      <c r="G1024" s="7" t="s">
        <v>265</v>
      </c>
      <c r="H1024" s="47" t="s">
        <v>790</v>
      </c>
      <c r="I1024" s="47" t="s">
        <v>791</v>
      </c>
      <c r="J1024" s="6">
        <v>70</v>
      </c>
      <c r="K1024" s="8" t="s">
        <v>22</v>
      </c>
      <c r="L1024" s="5">
        <v>300</v>
      </c>
      <c r="P1024" s="3"/>
      <c r="Q1024" s="3"/>
      <c r="R1024" s="3"/>
    </row>
    <row r="1025" spans="1:18" x14ac:dyDescent="0.2">
      <c r="A1025" s="7" t="s">
        <v>16</v>
      </c>
      <c r="B1025" s="7" t="s">
        <v>17</v>
      </c>
      <c r="C1025" s="7" t="s">
        <v>18</v>
      </c>
      <c r="D1025" s="4">
        <v>7272404000183</v>
      </c>
      <c r="E1025" s="8" t="s">
        <v>551</v>
      </c>
      <c r="F1025" s="8" t="s">
        <v>281</v>
      </c>
      <c r="G1025" s="7" t="s">
        <v>282</v>
      </c>
      <c r="H1025" s="47" t="s">
        <v>790</v>
      </c>
      <c r="I1025" s="47" t="s">
        <v>791</v>
      </c>
      <c r="J1025" s="6">
        <v>70</v>
      </c>
      <c r="K1025" s="8" t="s">
        <v>22</v>
      </c>
      <c r="L1025" s="5">
        <v>120</v>
      </c>
      <c r="P1025" s="3"/>
      <c r="Q1025" s="3"/>
      <c r="R1025" s="3"/>
    </row>
    <row r="1026" spans="1:18" x14ac:dyDescent="0.2">
      <c r="A1026" s="7" t="s">
        <v>16</v>
      </c>
      <c r="B1026" s="7" t="s">
        <v>17</v>
      </c>
      <c r="C1026" s="7" t="s">
        <v>18</v>
      </c>
      <c r="D1026" s="4">
        <v>7794623005191</v>
      </c>
      <c r="E1026" s="8" t="s">
        <v>554</v>
      </c>
      <c r="F1026" s="8" t="s">
        <v>225</v>
      </c>
      <c r="G1026" s="7" t="s">
        <v>226</v>
      </c>
      <c r="H1026" s="47" t="s">
        <v>790</v>
      </c>
      <c r="I1026" s="47" t="s">
        <v>791</v>
      </c>
      <c r="J1026" s="6">
        <v>70</v>
      </c>
      <c r="K1026" s="8" t="s">
        <v>22</v>
      </c>
      <c r="L1026" s="5">
        <v>25</v>
      </c>
      <c r="P1026" s="3"/>
      <c r="Q1026" s="3"/>
      <c r="R1026" s="3"/>
    </row>
    <row r="1027" spans="1:18" x14ac:dyDescent="0.2">
      <c r="A1027" s="7" t="s">
        <v>16</v>
      </c>
      <c r="B1027" s="7" t="s">
        <v>17</v>
      </c>
      <c r="C1027" s="7" t="s">
        <v>18</v>
      </c>
      <c r="D1027" s="4">
        <v>8380701000610</v>
      </c>
      <c r="E1027" s="8" t="s">
        <v>555</v>
      </c>
      <c r="F1027" s="8" t="s">
        <v>246</v>
      </c>
      <c r="G1027" s="7" t="s">
        <v>247</v>
      </c>
      <c r="H1027" s="47" t="s">
        <v>790</v>
      </c>
      <c r="I1027" s="47" t="s">
        <v>791</v>
      </c>
      <c r="J1027" s="6">
        <v>70</v>
      </c>
      <c r="K1027" s="8" t="s">
        <v>22</v>
      </c>
      <c r="L1027" s="5">
        <v>250</v>
      </c>
      <c r="P1027" s="3"/>
      <c r="Q1027" s="3"/>
      <c r="R1027" s="3"/>
    </row>
    <row r="1028" spans="1:18" x14ac:dyDescent="0.2">
      <c r="A1028" s="7" t="s">
        <v>16</v>
      </c>
      <c r="B1028" s="7" t="s">
        <v>17</v>
      </c>
      <c r="C1028" s="7" t="s">
        <v>18</v>
      </c>
      <c r="D1028" s="4">
        <v>8680639000681</v>
      </c>
      <c r="E1028" s="8" t="s">
        <v>303</v>
      </c>
      <c r="F1028" s="8" t="s">
        <v>228</v>
      </c>
      <c r="G1028" s="7" t="s">
        <v>229</v>
      </c>
      <c r="H1028" s="47" t="s">
        <v>790</v>
      </c>
      <c r="I1028" s="47" t="s">
        <v>791</v>
      </c>
      <c r="J1028" s="6">
        <v>70</v>
      </c>
      <c r="K1028" s="8" t="s">
        <v>22</v>
      </c>
      <c r="L1028" s="5">
        <v>80</v>
      </c>
      <c r="P1028" s="3"/>
      <c r="Q1028" s="3"/>
      <c r="R1028" s="3"/>
    </row>
    <row r="1029" spans="1:18" x14ac:dyDescent="0.2">
      <c r="A1029" s="7" t="s">
        <v>16</v>
      </c>
      <c r="B1029" s="7" t="s">
        <v>17</v>
      </c>
      <c r="C1029" s="7" t="s">
        <v>18</v>
      </c>
      <c r="D1029" s="4">
        <v>9104513000974</v>
      </c>
      <c r="E1029" s="8" t="s">
        <v>556</v>
      </c>
      <c r="F1029" s="8" t="s">
        <v>225</v>
      </c>
      <c r="G1029" s="7" t="s">
        <v>226</v>
      </c>
      <c r="H1029" s="47" t="s">
        <v>790</v>
      </c>
      <c r="I1029" s="47" t="s">
        <v>791</v>
      </c>
      <c r="J1029" s="6">
        <v>70</v>
      </c>
      <c r="K1029" s="8" t="s">
        <v>22</v>
      </c>
      <c r="L1029" s="5">
        <v>505</v>
      </c>
      <c r="P1029" s="3"/>
      <c r="Q1029" s="3"/>
      <c r="R1029" s="3"/>
    </row>
    <row r="1030" spans="1:18" x14ac:dyDescent="0.2">
      <c r="A1030" s="7" t="s">
        <v>16</v>
      </c>
      <c r="B1030" s="7" t="s">
        <v>17</v>
      </c>
      <c r="C1030" s="7" t="s">
        <v>18</v>
      </c>
      <c r="D1030" s="4">
        <v>10572048000209</v>
      </c>
      <c r="E1030" s="8" t="s">
        <v>560</v>
      </c>
      <c r="F1030" s="8" t="s">
        <v>264</v>
      </c>
      <c r="G1030" s="7" t="s">
        <v>265</v>
      </c>
      <c r="H1030" s="47" t="s">
        <v>790</v>
      </c>
      <c r="I1030" s="47" t="s">
        <v>791</v>
      </c>
      <c r="J1030" s="6">
        <v>70</v>
      </c>
      <c r="K1030" s="8" t="s">
        <v>22</v>
      </c>
      <c r="L1030" s="5">
        <v>1535</v>
      </c>
      <c r="P1030" s="3"/>
      <c r="Q1030" s="3"/>
      <c r="R1030" s="3"/>
    </row>
    <row r="1031" spans="1:18" x14ac:dyDescent="0.2">
      <c r="A1031" s="7" t="s">
        <v>16</v>
      </c>
      <c r="B1031" s="7" t="s">
        <v>17</v>
      </c>
      <c r="C1031" s="7" t="s">
        <v>18</v>
      </c>
      <c r="D1031" s="4">
        <v>11006293000130</v>
      </c>
      <c r="E1031" s="8" t="s">
        <v>309</v>
      </c>
      <c r="F1031" s="8" t="s">
        <v>310</v>
      </c>
      <c r="G1031" s="7" t="s">
        <v>268</v>
      </c>
      <c r="H1031" s="47" t="s">
        <v>790</v>
      </c>
      <c r="I1031" s="47" t="s">
        <v>791</v>
      </c>
      <c r="J1031" s="6">
        <v>70</v>
      </c>
      <c r="K1031" s="8" t="s">
        <v>22</v>
      </c>
      <c r="L1031" s="5">
        <v>500</v>
      </c>
      <c r="P1031" s="3"/>
      <c r="Q1031" s="3"/>
      <c r="R1031" s="3"/>
    </row>
    <row r="1032" spans="1:18" x14ac:dyDescent="0.2">
      <c r="A1032" s="7" t="s">
        <v>16</v>
      </c>
      <c r="B1032" s="7" t="s">
        <v>17</v>
      </c>
      <c r="C1032" s="7" t="s">
        <v>18</v>
      </c>
      <c r="D1032" s="4">
        <v>12361267000517</v>
      </c>
      <c r="E1032" s="8" t="s">
        <v>486</v>
      </c>
      <c r="F1032" s="8" t="s">
        <v>317</v>
      </c>
      <c r="G1032" s="7" t="s">
        <v>318</v>
      </c>
      <c r="H1032" s="47" t="s">
        <v>790</v>
      </c>
      <c r="I1032" s="47" t="s">
        <v>791</v>
      </c>
      <c r="J1032" s="6">
        <v>70</v>
      </c>
      <c r="K1032" s="8" t="s">
        <v>22</v>
      </c>
      <c r="L1032" s="5">
        <v>20</v>
      </c>
      <c r="P1032" s="3"/>
      <c r="Q1032" s="3"/>
      <c r="R1032" s="3"/>
    </row>
    <row r="1033" spans="1:18" x14ac:dyDescent="0.2">
      <c r="A1033" s="7" t="s">
        <v>16</v>
      </c>
      <c r="B1033" s="7" t="s">
        <v>17</v>
      </c>
      <c r="C1033" s="7" t="s">
        <v>18</v>
      </c>
      <c r="D1033" s="4">
        <v>12361267009140</v>
      </c>
      <c r="E1033" s="8" t="s">
        <v>561</v>
      </c>
      <c r="F1033" s="8" t="s">
        <v>562</v>
      </c>
      <c r="G1033" s="7" t="s">
        <v>247</v>
      </c>
      <c r="H1033" s="47" t="s">
        <v>790</v>
      </c>
      <c r="I1033" s="47" t="s">
        <v>791</v>
      </c>
      <c r="J1033" s="6">
        <v>70</v>
      </c>
      <c r="K1033" s="8" t="s">
        <v>22</v>
      </c>
      <c r="L1033" s="5">
        <v>10</v>
      </c>
      <c r="P1033" s="3"/>
      <c r="Q1033" s="3"/>
      <c r="R1033" s="3"/>
    </row>
    <row r="1034" spans="1:18" x14ac:dyDescent="0.2">
      <c r="A1034" s="7" t="s">
        <v>16</v>
      </c>
      <c r="B1034" s="7" t="s">
        <v>17</v>
      </c>
      <c r="C1034" s="7" t="s">
        <v>18</v>
      </c>
      <c r="D1034" s="4">
        <v>12361267010318</v>
      </c>
      <c r="E1034" s="8" t="s">
        <v>313</v>
      </c>
      <c r="F1034" s="8" t="s">
        <v>278</v>
      </c>
      <c r="G1034" s="7" t="s">
        <v>276</v>
      </c>
      <c r="H1034" s="47" t="s">
        <v>790</v>
      </c>
      <c r="I1034" s="47" t="s">
        <v>791</v>
      </c>
      <c r="J1034" s="6">
        <v>70</v>
      </c>
      <c r="K1034" s="8" t="s">
        <v>22</v>
      </c>
      <c r="L1034" s="5">
        <v>290</v>
      </c>
      <c r="P1034" s="3"/>
      <c r="Q1034" s="3"/>
      <c r="R1034" s="3"/>
    </row>
    <row r="1035" spans="1:18" x14ac:dyDescent="0.2">
      <c r="A1035" s="7" t="s">
        <v>16</v>
      </c>
      <c r="B1035" s="7" t="s">
        <v>17</v>
      </c>
      <c r="C1035" s="7" t="s">
        <v>18</v>
      </c>
      <c r="D1035" s="4">
        <v>12361267011632</v>
      </c>
      <c r="E1035" s="8" t="s">
        <v>496</v>
      </c>
      <c r="F1035" s="8" t="s">
        <v>497</v>
      </c>
      <c r="G1035" s="7" t="s">
        <v>498</v>
      </c>
      <c r="H1035" s="47" t="s">
        <v>790</v>
      </c>
      <c r="I1035" s="47" t="s">
        <v>791</v>
      </c>
      <c r="J1035" s="6">
        <v>70</v>
      </c>
      <c r="K1035" s="8" t="s">
        <v>22</v>
      </c>
      <c r="L1035" s="5">
        <v>125</v>
      </c>
      <c r="P1035" s="3"/>
      <c r="Q1035" s="3"/>
      <c r="R1035" s="3"/>
    </row>
    <row r="1036" spans="1:18" x14ac:dyDescent="0.2">
      <c r="A1036" s="7" t="s">
        <v>16</v>
      </c>
      <c r="B1036" s="7" t="s">
        <v>17</v>
      </c>
      <c r="C1036" s="7" t="s">
        <v>18</v>
      </c>
      <c r="D1036" s="4">
        <v>12442737000496</v>
      </c>
      <c r="E1036" s="8" t="s">
        <v>437</v>
      </c>
      <c r="F1036" s="8" t="s">
        <v>361</v>
      </c>
      <c r="G1036" s="7" t="s">
        <v>362</v>
      </c>
      <c r="H1036" s="47" t="s">
        <v>790</v>
      </c>
      <c r="I1036" s="47" t="s">
        <v>791</v>
      </c>
      <c r="J1036" s="6">
        <v>70</v>
      </c>
      <c r="K1036" s="8" t="s">
        <v>22</v>
      </c>
      <c r="L1036" s="5">
        <v>400</v>
      </c>
      <c r="P1036" s="3"/>
      <c r="Q1036" s="3"/>
      <c r="R1036" s="3"/>
    </row>
    <row r="1037" spans="1:18" x14ac:dyDescent="0.2">
      <c r="A1037" s="7" t="s">
        <v>16</v>
      </c>
      <c r="B1037" s="7" t="s">
        <v>17</v>
      </c>
      <c r="C1037" s="7" t="s">
        <v>18</v>
      </c>
      <c r="D1037" s="4">
        <v>12568570000161</v>
      </c>
      <c r="E1037" s="8" t="s">
        <v>563</v>
      </c>
      <c r="F1037" s="8" t="s">
        <v>281</v>
      </c>
      <c r="G1037" s="7" t="s">
        <v>282</v>
      </c>
      <c r="H1037" s="47" t="s">
        <v>790</v>
      </c>
      <c r="I1037" s="47" t="s">
        <v>791</v>
      </c>
      <c r="J1037" s="6">
        <v>70</v>
      </c>
      <c r="K1037" s="8" t="s">
        <v>22</v>
      </c>
      <c r="L1037" s="5">
        <v>130</v>
      </c>
      <c r="P1037" s="3"/>
      <c r="Q1037" s="3"/>
      <c r="R1037" s="3"/>
    </row>
    <row r="1038" spans="1:18" x14ac:dyDescent="0.2">
      <c r="A1038" s="7" t="s">
        <v>16</v>
      </c>
      <c r="B1038" s="7" t="s">
        <v>17</v>
      </c>
      <c r="C1038" s="7" t="s">
        <v>18</v>
      </c>
      <c r="D1038" s="4">
        <v>13016332000106</v>
      </c>
      <c r="E1038" s="8" t="s">
        <v>316</v>
      </c>
      <c r="F1038" s="8" t="s">
        <v>317</v>
      </c>
      <c r="G1038" s="7" t="s">
        <v>318</v>
      </c>
      <c r="H1038" s="47" t="s">
        <v>790</v>
      </c>
      <c r="I1038" s="47" t="s">
        <v>791</v>
      </c>
      <c r="J1038" s="6">
        <v>70</v>
      </c>
      <c r="K1038" s="8" t="s">
        <v>22</v>
      </c>
      <c r="L1038" s="5">
        <v>15</v>
      </c>
      <c r="P1038" s="3"/>
      <c r="Q1038" s="3"/>
      <c r="R1038" s="3"/>
    </row>
    <row r="1039" spans="1:18" x14ac:dyDescent="0.2">
      <c r="A1039" s="7" t="s">
        <v>16</v>
      </c>
      <c r="B1039" s="7" t="s">
        <v>17</v>
      </c>
      <c r="C1039" s="7" t="s">
        <v>18</v>
      </c>
      <c r="D1039" s="4">
        <v>13131370000100</v>
      </c>
      <c r="E1039" s="8" t="s">
        <v>319</v>
      </c>
      <c r="F1039" s="8" t="s">
        <v>317</v>
      </c>
      <c r="G1039" s="7" t="s">
        <v>318</v>
      </c>
      <c r="H1039" s="47" t="s">
        <v>790</v>
      </c>
      <c r="I1039" s="47" t="s">
        <v>791</v>
      </c>
      <c r="J1039" s="6">
        <v>70</v>
      </c>
      <c r="K1039" s="8" t="s">
        <v>22</v>
      </c>
      <c r="L1039" s="5">
        <v>550</v>
      </c>
      <c r="P1039" s="3"/>
      <c r="Q1039" s="3"/>
      <c r="R1039" s="3"/>
    </row>
    <row r="1040" spans="1:18" x14ac:dyDescent="0.2">
      <c r="A1040" s="7" t="s">
        <v>16</v>
      </c>
      <c r="B1040" s="7" t="s">
        <v>17</v>
      </c>
      <c r="C1040" s="7" t="s">
        <v>18</v>
      </c>
      <c r="D1040" s="4">
        <v>13284872000170</v>
      </c>
      <c r="E1040" s="8" t="s">
        <v>564</v>
      </c>
      <c r="F1040" s="8" t="s">
        <v>565</v>
      </c>
      <c r="G1040" s="7" t="s">
        <v>276</v>
      </c>
      <c r="H1040" s="47" t="s">
        <v>790</v>
      </c>
      <c r="I1040" s="47" t="s">
        <v>791</v>
      </c>
      <c r="J1040" s="6">
        <v>70</v>
      </c>
      <c r="K1040" s="8" t="s">
        <v>22</v>
      </c>
      <c r="L1040" s="5">
        <v>5</v>
      </c>
      <c r="P1040" s="3"/>
      <c r="Q1040" s="3"/>
      <c r="R1040" s="3"/>
    </row>
    <row r="1041" spans="1:18" x14ac:dyDescent="0.2">
      <c r="A1041" s="7" t="s">
        <v>16</v>
      </c>
      <c r="B1041" s="7" t="s">
        <v>17</v>
      </c>
      <c r="C1041" s="7" t="s">
        <v>18</v>
      </c>
      <c r="D1041" s="4">
        <v>15170723000106</v>
      </c>
      <c r="E1041" s="8" t="s">
        <v>335</v>
      </c>
      <c r="F1041" s="8" t="s">
        <v>278</v>
      </c>
      <c r="G1041" s="7" t="s">
        <v>276</v>
      </c>
      <c r="H1041" s="47" t="s">
        <v>790</v>
      </c>
      <c r="I1041" s="47" t="s">
        <v>791</v>
      </c>
      <c r="J1041" s="6">
        <v>70</v>
      </c>
      <c r="K1041" s="8" t="s">
        <v>22</v>
      </c>
      <c r="L1041" s="5">
        <v>300</v>
      </c>
      <c r="P1041" s="3"/>
      <c r="Q1041" s="3"/>
      <c r="R1041" s="3"/>
    </row>
    <row r="1042" spans="1:18" x14ac:dyDescent="0.2">
      <c r="A1042" s="7" t="s">
        <v>16</v>
      </c>
      <c r="B1042" s="7" t="s">
        <v>17</v>
      </c>
      <c r="C1042" s="7" t="s">
        <v>18</v>
      </c>
      <c r="D1042" s="4">
        <v>15242761000127</v>
      </c>
      <c r="E1042" s="8" t="s">
        <v>340</v>
      </c>
      <c r="F1042" s="8" t="s">
        <v>278</v>
      </c>
      <c r="G1042" s="7" t="s">
        <v>276</v>
      </c>
      <c r="H1042" s="47" t="s">
        <v>790</v>
      </c>
      <c r="I1042" s="47" t="s">
        <v>791</v>
      </c>
      <c r="J1042" s="6">
        <v>70</v>
      </c>
      <c r="K1042" s="8" t="s">
        <v>22</v>
      </c>
      <c r="L1042" s="5">
        <v>100</v>
      </c>
      <c r="P1042" s="3"/>
      <c r="Q1042" s="3"/>
      <c r="R1042" s="3"/>
    </row>
    <row r="1043" spans="1:18" x14ac:dyDescent="0.2">
      <c r="A1043" s="7" t="s">
        <v>16</v>
      </c>
      <c r="B1043" s="7" t="s">
        <v>17</v>
      </c>
      <c r="C1043" s="7" t="s">
        <v>18</v>
      </c>
      <c r="D1043" s="4">
        <v>15592785000106</v>
      </c>
      <c r="E1043" s="8" t="s">
        <v>566</v>
      </c>
      <c r="F1043" s="8" t="s">
        <v>317</v>
      </c>
      <c r="G1043" s="7" t="s">
        <v>318</v>
      </c>
      <c r="H1043" s="47" t="s">
        <v>790</v>
      </c>
      <c r="I1043" s="47" t="s">
        <v>791</v>
      </c>
      <c r="J1043" s="6">
        <v>70</v>
      </c>
      <c r="K1043" s="8" t="s">
        <v>22</v>
      </c>
      <c r="L1043" s="5">
        <v>100</v>
      </c>
      <c r="P1043" s="3"/>
      <c r="Q1043" s="3"/>
      <c r="R1043" s="3"/>
    </row>
    <row r="1044" spans="1:18" x14ac:dyDescent="0.2">
      <c r="A1044" s="7" t="s">
        <v>16</v>
      </c>
      <c r="B1044" s="7" t="s">
        <v>17</v>
      </c>
      <c r="C1044" s="7" t="s">
        <v>18</v>
      </c>
      <c r="D1044" s="4">
        <v>24676884000752</v>
      </c>
      <c r="E1044" s="8" t="s">
        <v>571</v>
      </c>
      <c r="F1044" s="8" t="s">
        <v>572</v>
      </c>
      <c r="G1044" s="7" t="s">
        <v>262</v>
      </c>
      <c r="H1044" s="47" t="s">
        <v>790</v>
      </c>
      <c r="I1044" s="47" t="s">
        <v>791</v>
      </c>
      <c r="J1044" s="6">
        <v>70</v>
      </c>
      <c r="K1044" s="8" t="s">
        <v>22</v>
      </c>
      <c r="L1044" s="5">
        <v>25</v>
      </c>
      <c r="P1044" s="3"/>
      <c r="Q1044" s="3"/>
      <c r="R1044" s="3"/>
    </row>
    <row r="1045" spans="1:18" x14ac:dyDescent="0.2">
      <c r="A1045" s="7" t="s">
        <v>16</v>
      </c>
      <c r="B1045" s="7" t="s">
        <v>17</v>
      </c>
      <c r="C1045" s="7" t="s">
        <v>18</v>
      </c>
      <c r="D1045" s="4">
        <v>29435005007484</v>
      </c>
      <c r="E1045" s="8" t="s">
        <v>371</v>
      </c>
      <c r="F1045" s="8" t="s">
        <v>281</v>
      </c>
      <c r="G1045" s="7" t="s">
        <v>282</v>
      </c>
      <c r="H1045" s="47" t="s">
        <v>790</v>
      </c>
      <c r="I1045" s="47" t="s">
        <v>791</v>
      </c>
      <c r="J1045" s="6">
        <v>70</v>
      </c>
      <c r="K1045" s="8" t="s">
        <v>22</v>
      </c>
      <c r="L1045" s="5">
        <v>15</v>
      </c>
      <c r="P1045" s="3"/>
      <c r="Q1045" s="3"/>
      <c r="R1045" s="3"/>
    </row>
    <row r="1046" spans="1:18" x14ac:dyDescent="0.2">
      <c r="A1046" s="7" t="s">
        <v>16</v>
      </c>
      <c r="B1046" s="7" t="s">
        <v>17</v>
      </c>
      <c r="C1046" s="7" t="s">
        <v>18</v>
      </c>
      <c r="D1046" s="4">
        <v>29435005009851</v>
      </c>
      <c r="E1046" s="8" t="s">
        <v>372</v>
      </c>
      <c r="F1046" s="8" t="s">
        <v>246</v>
      </c>
      <c r="G1046" s="7" t="s">
        <v>247</v>
      </c>
      <c r="H1046" s="47" t="s">
        <v>790</v>
      </c>
      <c r="I1046" s="47" t="s">
        <v>791</v>
      </c>
      <c r="J1046" s="6">
        <v>70</v>
      </c>
      <c r="K1046" s="8" t="s">
        <v>22</v>
      </c>
      <c r="L1046" s="5">
        <v>175</v>
      </c>
      <c r="P1046" s="3"/>
      <c r="Q1046" s="3"/>
      <c r="R1046" s="3"/>
    </row>
    <row r="1047" spans="1:18" x14ac:dyDescent="0.2">
      <c r="A1047" s="7" t="s">
        <v>16</v>
      </c>
      <c r="B1047" s="7" t="s">
        <v>17</v>
      </c>
      <c r="C1047" s="7" t="s">
        <v>18</v>
      </c>
      <c r="D1047" s="4">
        <v>60884855002289</v>
      </c>
      <c r="E1047" s="8" t="s">
        <v>378</v>
      </c>
      <c r="F1047" s="8" t="s">
        <v>225</v>
      </c>
      <c r="G1047" s="7" t="s">
        <v>226</v>
      </c>
      <c r="H1047" s="47" t="s">
        <v>790</v>
      </c>
      <c r="I1047" s="47" t="s">
        <v>791</v>
      </c>
      <c r="J1047" s="6">
        <v>70</v>
      </c>
      <c r="K1047" s="8" t="s">
        <v>22</v>
      </c>
      <c r="L1047" s="5">
        <v>370</v>
      </c>
      <c r="P1047" s="3"/>
      <c r="Q1047" s="3"/>
      <c r="R1047" s="3"/>
    </row>
    <row r="1048" spans="1:18" x14ac:dyDescent="0.2">
      <c r="A1048" s="7" t="s">
        <v>16</v>
      </c>
      <c r="B1048" s="7" t="s">
        <v>17</v>
      </c>
      <c r="C1048" s="7" t="s">
        <v>18</v>
      </c>
      <c r="D1048" s="4">
        <v>61590410001287</v>
      </c>
      <c r="E1048" s="8" t="s">
        <v>580</v>
      </c>
      <c r="F1048" s="8" t="s">
        <v>225</v>
      </c>
      <c r="G1048" s="7" t="s">
        <v>226</v>
      </c>
      <c r="H1048" s="47" t="s">
        <v>790</v>
      </c>
      <c r="I1048" s="47" t="s">
        <v>791</v>
      </c>
      <c r="J1048" s="6">
        <v>70</v>
      </c>
      <c r="K1048" s="8" t="s">
        <v>22</v>
      </c>
      <c r="L1048" s="5">
        <v>610</v>
      </c>
      <c r="P1048" s="3"/>
      <c r="Q1048" s="3"/>
      <c r="R1048" s="3"/>
    </row>
    <row r="1049" spans="1:18" x14ac:dyDescent="0.2">
      <c r="A1049" s="7" t="s">
        <v>16</v>
      </c>
      <c r="B1049" s="7" t="s">
        <v>17</v>
      </c>
      <c r="C1049" s="7" t="s">
        <v>18</v>
      </c>
      <c r="D1049" s="4">
        <v>63326243000487</v>
      </c>
      <c r="E1049" s="8" t="s">
        <v>581</v>
      </c>
      <c r="F1049" s="8" t="s">
        <v>295</v>
      </c>
      <c r="G1049" s="7" t="s">
        <v>296</v>
      </c>
      <c r="H1049" s="47" t="s">
        <v>790</v>
      </c>
      <c r="I1049" s="47" t="s">
        <v>791</v>
      </c>
      <c r="J1049" s="6">
        <v>70</v>
      </c>
      <c r="K1049" s="8" t="s">
        <v>22</v>
      </c>
      <c r="L1049" s="5">
        <v>2.5</v>
      </c>
      <c r="P1049" s="3"/>
      <c r="Q1049" s="3"/>
      <c r="R1049" s="3"/>
    </row>
    <row r="1050" spans="1:18" x14ac:dyDescent="0.2">
      <c r="A1050" s="7" t="s">
        <v>16</v>
      </c>
      <c r="B1050" s="7" t="s">
        <v>17</v>
      </c>
      <c r="C1050" s="7" t="s">
        <v>18</v>
      </c>
      <c r="D1050" s="4">
        <v>83367342000252</v>
      </c>
      <c r="E1050" s="8" t="s">
        <v>590</v>
      </c>
      <c r="F1050" s="8" t="s">
        <v>219</v>
      </c>
      <c r="G1050" s="7" t="s">
        <v>220</v>
      </c>
      <c r="H1050" s="47" t="s">
        <v>790</v>
      </c>
      <c r="I1050" s="47" t="s">
        <v>791</v>
      </c>
      <c r="J1050" s="6">
        <v>70</v>
      </c>
      <c r="K1050" s="8" t="s">
        <v>22</v>
      </c>
      <c r="L1050" s="5">
        <v>25</v>
      </c>
      <c r="P1050" s="3"/>
      <c r="Q1050" s="3"/>
      <c r="R1050" s="3"/>
    </row>
    <row r="1051" spans="1:18" x14ac:dyDescent="0.2">
      <c r="A1051" s="7" t="s">
        <v>16</v>
      </c>
      <c r="B1051" s="7" t="s">
        <v>55</v>
      </c>
      <c r="C1051" s="7" t="s">
        <v>18</v>
      </c>
      <c r="D1051" s="4">
        <v>5816630000152</v>
      </c>
      <c r="E1051" s="8" t="s">
        <v>279</v>
      </c>
      <c r="F1051" s="8" t="s">
        <v>278</v>
      </c>
      <c r="G1051" s="7" t="s">
        <v>276</v>
      </c>
      <c r="H1051" s="47" t="s">
        <v>790</v>
      </c>
      <c r="I1051" s="47" t="s">
        <v>791</v>
      </c>
      <c r="J1051" s="6">
        <v>70</v>
      </c>
      <c r="K1051" s="8" t="s">
        <v>22</v>
      </c>
      <c r="L1051" s="5">
        <v>2960</v>
      </c>
      <c r="P1051" s="3"/>
      <c r="Q1051" s="3"/>
      <c r="R1051" s="3"/>
    </row>
    <row r="1052" spans="1:18" x14ac:dyDescent="0.2">
      <c r="A1052" s="7" t="s">
        <v>16</v>
      </c>
      <c r="B1052" s="7" t="s">
        <v>55</v>
      </c>
      <c r="C1052" s="7" t="s">
        <v>18</v>
      </c>
      <c r="D1052" s="4">
        <v>5868278000280</v>
      </c>
      <c r="E1052" s="8" t="s">
        <v>283</v>
      </c>
      <c r="F1052" s="8" t="s">
        <v>281</v>
      </c>
      <c r="G1052" s="7" t="s">
        <v>282</v>
      </c>
      <c r="H1052" s="47" t="s">
        <v>790</v>
      </c>
      <c r="I1052" s="47" t="s">
        <v>791</v>
      </c>
      <c r="J1052" s="6">
        <v>70</v>
      </c>
      <c r="K1052" s="8" t="s">
        <v>22</v>
      </c>
      <c r="L1052" s="5">
        <v>220</v>
      </c>
      <c r="P1052" s="3"/>
      <c r="Q1052" s="3"/>
      <c r="R1052" s="3"/>
    </row>
    <row r="1053" spans="1:18" x14ac:dyDescent="0.2">
      <c r="A1053" s="7" t="s">
        <v>16</v>
      </c>
      <c r="B1053" s="7" t="s">
        <v>55</v>
      </c>
      <c r="C1053" s="7" t="s">
        <v>18</v>
      </c>
      <c r="D1053" s="4">
        <v>6047087004126</v>
      </c>
      <c r="E1053" s="8" t="s">
        <v>287</v>
      </c>
      <c r="F1053" s="8" t="s">
        <v>225</v>
      </c>
      <c r="G1053" s="7" t="s">
        <v>226</v>
      </c>
      <c r="H1053" s="47" t="s">
        <v>790</v>
      </c>
      <c r="I1053" s="47" t="s">
        <v>791</v>
      </c>
      <c r="J1053" s="6">
        <v>70</v>
      </c>
      <c r="K1053" s="8" t="s">
        <v>22</v>
      </c>
      <c r="L1053" s="5">
        <v>400</v>
      </c>
      <c r="P1053" s="3"/>
      <c r="Q1053" s="3"/>
      <c r="R1053" s="3"/>
    </row>
    <row r="1054" spans="1:18" x14ac:dyDescent="0.2">
      <c r="A1054" s="7" t="s">
        <v>16</v>
      </c>
      <c r="B1054" s="7" t="s">
        <v>55</v>
      </c>
      <c r="C1054" s="7" t="s">
        <v>18</v>
      </c>
      <c r="D1054" s="4">
        <v>7750144000104</v>
      </c>
      <c r="E1054" s="8" t="s">
        <v>601</v>
      </c>
      <c r="F1054" s="8" t="s">
        <v>310</v>
      </c>
      <c r="G1054" s="7" t="s">
        <v>268</v>
      </c>
      <c r="H1054" s="47" t="s">
        <v>790</v>
      </c>
      <c r="I1054" s="47" t="s">
        <v>791</v>
      </c>
      <c r="J1054" s="6">
        <v>70</v>
      </c>
      <c r="K1054" s="8" t="s">
        <v>22</v>
      </c>
      <c r="L1054" s="5">
        <v>20</v>
      </c>
      <c r="P1054" s="3"/>
      <c r="Q1054" s="3"/>
      <c r="R1054" s="3"/>
    </row>
    <row r="1055" spans="1:18" x14ac:dyDescent="0.2">
      <c r="A1055" s="7" t="s">
        <v>16</v>
      </c>
      <c r="B1055" s="7" t="s">
        <v>55</v>
      </c>
      <c r="C1055" s="7" t="s">
        <v>18</v>
      </c>
      <c r="D1055" s="4">
        <v>7775847000278</v>
      </c>
      <c r="E1055" s="8" t="s">
        <v>602</v>
      </c>
      <c r="F1055" s="8" t="s">
        <v>603</v>
      </c>
      <c r="G1055" s="7" t="s">
        <v>250</v>
      </c>
      <c r="H1055" s="47" t="s">
        <v>790</v>
      </c>
      <c r="I1055" s="47" t="s">
        <v>791</v>
      </c>
      <c r="J1055" s="6">
        <v>70</v>
      </c>
      <c r="K1055" s="8" t="s">
        <v>22</v>
      </c>
      <c r="L1055" s="5">
        <v>335</v>
      </c>
      <c r="P1055" s="3"/>
      <c r="Q1055" s="3"/>
      <c r="R1055" s="3"/>
    </row>
    <row r="1056" spans="1:18" x14ac:dyDescent="0.2">
      <c r="A1056" s="7" t="s">
        <v>16</v>
      </c>
      <c r="B1056" s="7" t="s">
        <v>55</v>
      </c>
      <c r="C1056" s="7" t="s">
        <v>18</v>
      </c>
      <c r="D1056" s="4">
        <v>8680639000681</v>
      </c>
      <c r="E1056" s="8" t="s">
        <v>303</v>
      </c>
      <c r="F1056" s="8" t="s">
        <v>228</v>
      </c>
      <c r="G1056" s="7" t="s">
        <v>229</v>
      </c>
      <c r="H1056" s="47" t="s">
        <v>790</v>
      </c>
      <c r="I1056" s="47" t="s">
        <v>791</v>
      </c>
      <c r="J1056" s="6">
        <v>70</v>
      </c>
      <c r="K1056" s="8" t="s">
        <v>22</v>
      </c>
      <c r="L1056" s="5">
        <v>155</v>
      </c>
      <c r="P1056" s="3"/>
      <c r="Q1056" s="3"/>
      <c r="R1056" s="3"/>
    </row>
    <row r="1057" spans="1:18" x14ac:dyDescent="0.2">
      <c r="A1057" s="7" t="s">
        <v>16</v>
      </c>
      <c r="B1057" s="7" t="s">
        <v>55</v>
      </c>
      <c r="C1057" s="7" t="s">
        <v>18</v>
      </c>
      <c r="D1057" s="4">
        <v>9104513000974</v>
      </c>
      <c r="E1057" s="8" t="s">
        <v>556</v>
      </c>
      <c r="F1057" s="8" t="s">
        <v>225</v>
      </c>
      <c r="G1057" s="7" t="s">
        <v>226</v>
      </c>
      <c r="H1057" s="47" t="s">
        <v>790</v>
      </c>
      <c r="I1057" s="47" t="s">
        <v>791</v>
      </c>
      <c r="J1057" s="6">
        <v>70</v>
      </c>
      <c r="K1057" s="8" t="s">
        <v>22</v>
      </c>
      <c r="L1057" s="5">
        <v>170</v>
      </c>
      <c r="P1057" s="3"/>
      <c r="Q1057" s="3"/>
      <c r="R1057" s="3"/>
    </row>
    <row r="1058" spans="1:18" x14ac:dyDescent="0.2">
      <c r="A1058" s="7" t="s">
        <v>16</v>
      </c>
      <c r="B1058" s="7" t="s">
        <v>55</v>
      </c>
      <c r="C1058" s="7" t="s">
        <v>18</v>
      </c>
      <c r="D1058" s="4">
        <v>10839561000132</v>
      </c>
      <c r="E1058" s="8" t="s">
        <v>306</v>
      </c>
      <c r="F1058" s="8" t="s">
        <v>264</v>
      </c>
      <c r="G1058" s="7" t="s">
        <v>265</v>
      </c>
      <c r="H1058" s="47" t="s">
        <v>790</v>
      </c>
      <c r="I1058" s="47" t="s">
        <v>791</v>
      </c>
      <c r="J1058" s="6">
        <v>70</v>
      </c>
      <c r="K1058" s="8" t="s">
        <v>22</v>
      </c>
      <c r="L1058" s="5">
        <v>420</v>
      </c>
      <c r="P1058" s="3"/>
      <c r="Q1058" s="3"/>
      <c r="R1058" s="3"/>
    </row>
    <row r="1059" spans="1:18" x14ac:dyDescent="0.2">
      <c r="A1059" s="7" t="s">
        <v>16</v>
      </c>
      <c r="B1059" s="7" t="s">
        <v>55</v>
      </c>
      <c r="C1059" s="7" t="s">
        <v>18</v>
      </c>
      <c r="D1059" s="4">
        <v>10942995000163</v>
      </c>
      <c r="E1059" s="8" t="s">
        <v>433</v>
      </c>
      <c r="F1059" s="8" t="s">
        <v>225</v>
      </c>
      <c r="G1059" s="7" t="s">
        <v>226</v>
      </c>
      <c r="H1059" s="47" t="s">
        <v>790</v>
      </c>
      <c r="I1059" s="47" t="s">
        <v>791</v>
      </c>
      <c r="J1059" s="6">
        <v>70</v>
      </c>
      <c r="K1059" s="8" t="s">
        <v>22</v>
      </c>
      <c r="L1059" s="5">
        <v>300</v>
      </c>
      <c r="P1059" s="3"/>
      <c r="Q1059" s="3"/>
      <c r="R1059" s="3"/>
    </row>
    <row r="1060" spans="1:18" x14ac:dyDescent="0.2">
      <c r="A1060" s="7" t="s">
        <v>16</v>
      </c>
      <c r="B1060" s="7" t="s">
        <v>55</v>
      </c>
      <c r="C1060" s="7" t="s">
        <v>18</v>
      </c>
      <c r="D1060" s="4">
        <v>11006293000130</v>
      </c>
      <c r="E1060" s="8" t="s">
        <v>309</v>
      </c>
      <c r="F1060" s="8" t="s">
        <v>310</v>
      </c>
      <c r="G1060" s="7" t="s">
        <v>268</v>
      </c>
      <c r="H1060" s="47" t="s">
        <v>790</v>
      </c>
      <c r="I1060" s="47" t="s">
        <v>791</v>
      </c>
      <c r="J1060" s="6">
        <v>70</v>
      </c>
      <c r="K1060" s="8" t="s">
        <v>22</v>
      </c>
      <c r="L1060" s="5">
        <v>500</v>
      </c>
      <c r="P1060" s="3"/>
      <c r="Q1060" s="3"/>
      <c r="R1060" s="3"/>
    </row>
    <row r="1061" spans="1:18" x14ac:dyDescent="0.2">
      <c r="A1061" s="7" t="s">
        <v>16</v>
      </c>
      <c r="B1061" s="7" t="s">
        <v>55</v>
      </c>
      <c r="C1061" s="7" t="s">
        <v>18</v>
      </c>
      <c r="D1061" s="4">
        <v>11214624000470</v>
      </c>
      <c r="E1061" s="8" t="s">
        <v>607</v>
      </c>
      <c r="F1061" s="8" t="s">
        <v>264</v>
      </c>
      <c r="G1061" s="7" t="s">
        <v>265</v>
      </c>
      <c r="H1061" s="47" t="s">
        <v>790</v>
      </c>
      <c r="I1061" s="47" t="s">
        <v>791</v>
      </c>
      <c r="J1061" s="6">
        <v>70</v>
      </c>
      <c r="K1061" s="8" t="s">
        <v>22</v>
      </c>
      <c r="L1061" s="5">
        <v>100</v>
      </c>
      <c r="P1061" s="3"/>
      <c r="Q1061" s="3"/>
      <c r="R1061" s="3"/>
    </row>
    <row r="1062" spans="1:18" x14ac:dyDescent="0.2">
      <c r="A1062" s="7" t="s">
        <v>16</v>
      </c>
      <c r="B1062" s="7" t="s">
        <v>55</v>
      </c>
      <c r="C1062" s="7" t="s">
        <v>18</v>
      </c>
      <c r="D1062" s="4">
        <v>11273170000166</v>
      </c>
      <c r="E1062" s="8" t="s">
        <v>608</v>
      </c>
      <c r="F1062" s="8" t="s">
        <v>295</v>
      </c>
      <c r="G1062" s="7" t="s">
        <v>296</v>
      </c>
      <c r="H1062" s="47" t="s">
        <v>790</v>
      </c>
      <c r="I1062" s="47" t="s">
        <v>791</v>
      </c>
      <c r="J1062" s="6">
        <v>70</v>
      </c>
      <c r="K1062" s="8" t="s">
        <v>22</v>
      </c>
      <c r="L1062" s="5">
        <v>500</v>
      </c>
      <c r="P1062" s="3"/>
      <c r="Q1062" s="3"/>
      <c r="R1062" s="3"/>
    </row>
    <row r="1063" spans="1:18" x14ac:dyDescent="0.2">
      <c r="A1063" s="7" t="s">
        <v>16</v>
      </c>
      <c r="B1063" s="7" t="s">
        <v>55</v>
      </c>
      <c r="C1063" s="7" t="s">
        <v>18</v>
      </c>
      <c r="D1063" s="4">
        <v>11452240000143</v>
      </c>
      <c r="E1063" s="8" t="s">
        <v>311</v>
      </c>
      <c r="F1063" s="8" t="s">
        <v>264</v>
      </c>
      <c r="G1063" s="7" t="s">
        <v>265</v>
      </c>
      <c r="H1063" s="47" t="s">
        <v>790</v>
      </c>
      <c r="I1063" s="47" t="s">
        <v>791</v>
      </c>
      <c r="J1063" s="6">
        <v>70</v>
      </c>
      <c r="K1063" s="8" t="s">
        <v>22</v>
      </c>
      <c r="L1063" s="5">
        <v>635</v>
      </c>
      <c r="P1063" s="3"/>
      <c r="Q1063" s="3"/>
      <c r="R1063" s="3"/>
    </row>
    <row r="1064" spans="1:18" x14ac:dyDescent="0.2">
      <c r="A1064" s="7" t="s">
        <v>16</v>
      </c>
      <c r="B1064" s="7" t="s">
        <v>55</v>
      </c>
      <c r="C1064" s="7" t="s">
        <v>18</v>
      </c>
      <c r="D1064" s="4">
        <v>11859927000106</v>
      </c>
      <c r="E1064" s="8" t="s">
        <v>312</v>
      </c>
      <c r="F1064" s="8" t="s">
        <v>225</v>
      </c>
      <c r="G1064" s="7" t="s">
        <v>226</v>
      </c>
      <c r="H1064" s="47" t="s">
        <v>790</v>
      </c>
      <c r="I1064" s="47" t="s">
        <v>791</v>
      </c>
      <c r="J1064" s="6">
        <v>70</v>
      </c>
      <c r="K1064" s="8" t="s">
        <v>22</v>
      </c>
      <c r="L1064" s="5">
        <v>30</v>
      </c>
      <c r="P1064" s="3"/>
      <c r="Q1064" s="3"/>
      <c r="R1064" s="3"/>
    </row>
    <row r="1065" spans="1:18" x14ac:dyDescent="0.2">
      <c r="A1065" s="7" t="s">
        <v>16</v>
      </c>
      <c r="B1065" s="7" t="s">
        <v>55</v>
      </c>
      <c r="C1065" s="7" t="s">
        <v>18</v>
      </c>
      <c r="D1065" s="4">
        <v>12361267000274</v>
      </c>
      <c r="E1065" s="8" t="s">
        <v>485</v>
      </c>
      <c r="F1065" s="8" t="s">
        <v>219</v>
      </c>
      <c r="G1065" s="7" t="s">
        <v>220</v>
      </c>
      <c r="H1065" s="47" t="s">
        <v>790</v>
      </c>
      <c r="I1065" s="47" t="s">
        <v>791</v>
      </c>
      <c r="J1065" s="6">
        <v>70</v>
      </c>
      <c r="K1065" s="8" t="s">
        <v>22</v>
      </c>
      <c r="L1065" s="5">
        <v>150</v>
      </c>
      <c r="P1065" s="3"/>
      <c r="Q1065" s="3"/>
      <c r="R1065" s="3"/>
    </row>
    <row r="1066" spans="1:18" x14ac:dyDescent="0.2">
      <c r="A1066" s="7" t="s">
        <v>16</v>
      </c>
      <c r="B1066" s="7" t="s">
        <v>55</v>
      </c>
      <c r="C1066" s="7" t="s">
        <v>18</v>
      </c>
      <c r="D1066" s="4">
        <v>12361267000517</v>
      </c>
      <c r="E1066" s="8" t="s">
        <v>486</v>
      </c>
      <c r="F1066" s="8" t="s">
        <v>317</v>
      </c>
      <c r="G1066" s="7" t="s">
        <v>318</v>
      </c>
      <c r="H1066" s="47" t="s">
        <v>790</v>
      </c>
      <c r="I1066" s="47" t="s">
        <v>791</v>
      </c>
      <c r="J1066" s="6">
        <v>70</v>
      </c>
      <c r="K1066" s="8" t="s">
        <v>22</v>
      </c>
      <c r="L1066" s="5">
        <v>85</v>
      </c>
      <c r="P1066" s="3"/>
      <c r="Q1066" s="3"/>
      <c r="R1066" s="3"/>
    </row>
    <row r="1067" spans="1:18" x14ac:dyDescent="0.2">
      <c r="A1067" s="7" t="s">
        <v>16</v>
      </c>
      <c r="B1067" s="7" t="s">
        <v>55</v>
      </c>
      <c r="C1067" s="7" t="s">
        <v>18</v>
      </c>
      <c r="D1067" s="4">
        <v>12361267007287</v>
      </c>
      <c r="E1067" s="8" t="s">
        <v>490</v>
      </c>
      <c r="F1067" s="8" t="s">
        <v>264</v>
      </c>
      <c r="G1067" s="7" t="s">
        <v>265</v>
      </c>
      <c r="H1067" s="47" t="s">
        <v>790</v>
      </c>
      <c r="I1067" s="47" t="s">
        <v>791</v>
      </c>
      <c r="J1067" s="6">
        <v>70</v>
      </c>
      <c r="K1067" s="8" t="s">
        <v>22</v>
      </c>
      <c r="L1067" s="5">
        <v>150</v>
      </c>
      <c r="P1067" s="3"/>
      <c r="Q1067" s="3"/>
      <c r="R1067" s="3"/>
    </row>
    <row r="1068" spans="1:18" x14ac:dyDescent="0.2">
      <c r="A1068" s="7" t="s">
        <v>16</v>
      </c>
      <c r="B1068" s="7" t="s">
        <v>55</v>
      </c>
      <c r="C1068" s="7" t="s">
        <v>18</v>
      </c>
      <c r="D1068" s="4">
        <v>12361267009140</v>
      </c>
      <c r="E1068" s="8" t="s">
        <v>561</v>
      </c>
      <c r="F1068" s="8" t="s">
        <v>562</v>
      </c>
      <c r="G1068" s="7" t="s">
        <v>247</v>
      </c>
      <c r="H1068" s="47" t="s">
        <v>790</v>
      </c>
      <c r="I1068" s="47" t="s">
        <v>791</v>
      </c>
      <c r="J1068" s="6">
        <v>70</v>
      </c>
      <c r="K1068" s="8" t="s">
        <v>22</v>
      </c>
      <c r="L1068" s="5">
        <v>5</v>
      </c>
      <c r="P1068" s="3"/>
      <c r="Q1068" s="3"/>
      <c r="R1068" s="3"/>
    </row>
    <row r="1069" spans="1:18" x14ac:dyDescent="0.2">
      <c r="A1069" s="7" t="s">
        <v>16</v>
      </c>
      <c r="B1069" s="7" t="s">
        <v>55</v>
      </c>
      <c r="C1069" s="7" t="s">
        <v>18</v>
      </c>
      <c r="D1069" s="4">
        <v>12361267009654</v>
      </c>
      <c r="E1069" s="8" t="s">
        <v>494</v>
      </c>
      <c r="F1069" s="8" t="s">
        <v>246</v>
      </c>
      <c r="G1069" s="7" t="s">
        <v>247</v>
      </c>
      <c r="H1069" s="47" t="s">
        <v>790</v>
      </c>
      <c r="I1069" s="47" t="s">
        <v>791</v>
      </c>
      <c r="J1069" s="6">
        <v>70</v>
      </c>
      <c r="K1069" s="8" t="s">
        <v>22</v>
      </c>
      <c r="L1069" s="5">
        <v>125</v>
      </c>
      <c r="P1069" s="3"/>
      <c r="Q1069" s="3"/>
      <c r="R1069" s="3"/>
    </row>
    <row r="1070" spans="1:18" x14ac:dyDescent="0.2">
      <c r="A1070" s="7" t="s">
        <v>16</v>
      </c>
      <c r="B1070" s="7" t="s">
        <v>55</v>
      </c>
      <c r="C1070" s="7" t="s">
        <v>18</v>
      </c>
      <c r="D1070" s="4">
        <v>12361267010318</v>
      </c>
      <c r="E1070" s="8" t="s">
        <v>313</v>
      </c>
      <c r="F1070" s="8" t="s">
        <v>278</v>
      </c>
      <c r="G1070" s="7" t="s">
        <v>276</v>
      </c>
      <c r="H1070" s="47" t="s">
        <v>790</v>
      </c>
      <c r="I1070" s="47" t="s">
        <v>791</v>
      </c>
      <c r="J1070" s="6">
        <v>70</v>
      </c>
      <c r="K1070" s="8" t="s">
        <v>22</v>
      </c>
      <c r="L1070" s="5">
        <v>275</v>
      </c>
      <c r="P1070" s="3"/>
      <c r="Q1070" s="3"/>
      <c r="R1070" s="3"/>
    </row>
    <row r="1071" spans="1:18" x14ac:dyDescent="0.2">
      <c r="A1071" s="7" t="s">
        <v>16</v>
      </c>
      <c r="B1071" s="7" t="s">
        <v>55</v>
      </c>
      <c r="C1071" s="7" t="s">
        <v>18</v>
      </c>
      <c r="D1071" s="4">
        <v>12361267010407</v>
      </c>
      <c r="E1071" s="8" t="s">
        <v>495</v>
      </c>
      <c r="F1071" s="8" t="s">
        <v>323</v>
      </c>
      <c r="G1071" s="7" t="s">
        <v>276</v>
      </c>
      <c r="H1071" s="47" t="s">
        <v>790</v>
      </c>
      <c r="I1071" s="47" t="s">
        <v>791</v>
      </c>
      <c r="J1071" s="6">
        <v>70</v>
      </c>
      <c r="K1071" s="8" t="s">
        <v>22</v>
      </c>
      <c r="L1071" s="5">
        <v>130</v>
      </c>
      <c r="P1071" s="3"/>
      <c r="Q1071" s="3"/>
      <c r="R1071" s="3"/>
    </row>
    <row r="1072" spans="1:18" x14ac:dyDescent="0.2">
      <c r="A1072" s="7" t="s">
        <v>16</v>
      </c>
      <c r="B1072" s="7" t="s">
        <v>55</v>
      </c>
      <c r="C1072" s="7" t="s">
        <v>18</v>
      </c>
      <c r="D1072" s="4">
        <v>12442737000496</v>
      </c>
      <c r="E1072" s="8" t="s">
        <v>437</v>
      </c>
      <c r="F1072" s="8" t="s">
        <v>361</v>
      </c>
      <c r="G1072" s="7" t="s">
        <v>362</v>
      </c>
      <c r="H1072" s="47" t="s">
        <v>790</v>
      </c>
      <c r="I1072" s="47" t="s">
        <v>791</v>
      </c>
      <c r="J1072" s="6">
        <v>70</v>
      </c>
      <c r="K1072" s="8" t="s">
        <v>22</v>
      </c>
      <c r="L1072" s="5">
        <v>400</v>
      </c>
      <c r="P1072" s="3"/>
      <c r="Q1072" s="3"/>
      <c r="R1072" s="3"/>
    </row>
    <row r="1073" spans="1:18" x14ac:dyDescent="0.2">
      <c r="A1073" s="7" t="s">
        <v>16</v>
      </c>
      <c r="B1073" s="7" t="s">
        <v>55</v>
      </c>
      <c r="C1073" s="7" t="s">
        <v>18</v>
      </c>
      <c r="D1073" s="4">
        <v>12568570000161</v>
      </c>
      <c r="E1073" s="8" t="s">
        <v>563</v>
      </c>
      <c r="F1073" s="8" t="s">
        <v>281</v>
      </c>
      <c r="G1073" s="7" t="s">
        <v>282</v>
      </c>
      <c r="H1073" s="47" t="s">
        <v>790</v>
      </c>
      <c r="I1073" s="47" t="s">
        <v>791</v>
      </c>
      <c r="J1073" s="6">
        <v>70</v>
      </c>
      <c r="K1073" s="8" t="s">
        <v>22</v>
      </c>
      <c r="L1073" s="5">
        <v>225</v>
      </c>
      <c r="P1073" s="3"/>
      <c r="Q1073" s="3"/>
      <c r="R1073" s="3"/>
    </row>
    <row r="1074" spans="1:18" x14ac:dyDescent="0.2">
      <c r="A1074" s="7" t="s">
        <v>16</v>
      </c>
      <c r="B1074" s="7" t="s">
        <v>55</v>
      </c>
      <c r="C1074" s="7" t="s">
        <v>18</v>
      </c>
      <c r="D1074" s="4">
        <v>13086053000119</v>
      </c>
      <c r="E1074" s="8" t="s">
        <v>611</v>
      </c>
      <c r="F1074" s="8" t="s">
        <v>317</v>
      </c>
      <c r="G1074" s="7" t="s">
        <v>318</v>
      </c>
      <c r="H1074" s="47" t="s">
        <v>790</v>
      </c>
      <c r="I1074" s="47" t="s">
        <v>791</v>
      </c>
      <c r="J1074" s="6">
        <v>70</v>
      </c>
      <c r="K1074" s="8" t="s">
        <v>22</v>
      </c>
      <c r="L1074" s="5">
        <v>5</v>
      </c>
      <c r="P1074" s="3"/>
      <c r="Q1074" s="3"/>
      <c r="R1074" s="3"/>
    </row>
    <row r="1075" spans="1:18" x14ac:dyDescent="0.2">
      <c r="A1075" s="7" t="s">
        <v>16</v>
      </c>
      <c r="B1075" s="7" t="s">
        <v>55</v>
      </c>
      <c r="C1075" s="7" t="s">
        <v>18</v>
      </c>
      <c r="D1075" s="4">
        <v>13131370000100</v>
      </c>
      <c r="E1075" s="8" t="s">
        <v>319</v>
      </c>
      <c r="F1075" s="8" t="s">
        <v>317</v>
      </c>
      <c r="G1075" s="7" t="s">
        <v>318</v>
      </c>
      <c r="H1075" s="47" t="s">
        <v>790</v>
      </c>
      <c r="I1075" s="47" t="s">
        <v>791</v>
      </c>
      <c r="J1075" s="6">
        <v>70</v>
      </c>
      <c r="K1075" s="8" t="s">
        <v>22</v>
      </c>
      <c r="L1075" s="5">
        <v>400</v>
      </c>
      <c r="P1075" s="3"/>
      <c r="Q1075" s="3"/>
      <c r="R1075" s="3"/>
    </row>
    <row r="1076" spans="1:18" x14ac:dyDescent="0.2">
      <c r="A1076" s="7" t="s">
        <v>16</v>
      </c>
      <c r="B1076" s="7" t="s">
        <v>55</v>
      </c>
      <c r="C1076" s="7" t="s">
        <v>18</v>
      </c>
      <c r="D1076" s="4">
        <v>13284872000170</v>
      </c>
      <c r="E1076" s="8" t="s">
        <v>564</v>
      </c>
      <c r="F1076" s="8" t="s">
        <v>565</v>
      </c>
      <c r="G1076" s="7" t="s">
        <v>276</v>
      </c>
      <c r="H1076" s="47" t="s">
        <v>790</v>
      </c>
      <c r="I1076" s="47" t="s">
        <v>791</v>
      </c>
      <c r="J1076" s="6">
        <v>70</v>
      </c>
      <c r="K1076" s="8" t="s">
        <v>22</v>
      </c>
      <c r="L1076" s="5">
        <v>30</v>
      </c>
      <c r="P1076" s="3"/>
      <c r="Q1076" s="3"/>
      <c r="R1076" s="3"/>
    </row>
    <row r="1077" spans="1:18" x14ac:dyDescent="0.2">
      <c r="A1077" s="7" t="s">
        <v>16</v>
      </c>
      <c r="B1077" s="7" t="s">
        <v>55</v>
      </c>
      <c r="C1077" s="7" t="s">
        <v>18</v>
      </c>
      <c r="D1077" s="4">
        <v>14112023000100</v>
      </c>
      <c r="E1077" s="8" t="s">
        <v>612</v>
      </c>
      <c r="F1077" s="8" t="s">
        <v>613</v>
      </c>
      <c r="G1077" s="7" t="s">
        <v>220</v>
      </c>
      <c r="H1077" s="47" t="s">
        <v>790</v>
      </c>
      <c r="I1077" s="47" t="s">
        <v>791</v>
      </c>
      <c r="J1077" s="6">
        <v>70</v>
      </c>
      <c r="K1077" s="8" t="s">
        <v>22</v>
      </c>
      <c r="L1077" s="5">
        <v>17.5</v>
      </c>
      <c r="P1077" s="3"/>
      <c r="Q1077" s="3"/>
      <c r="R1077" s="3"/>
    </row>
    <row r="1078" spans="1:18" x14ac:dyDescent="0.2">
      <c r="A1078" s="7" t="s">
        <v>16</v>
      </c>
      <c r="B1078" s="7" t="s">
        <v>55</v>
      </c>
      <c r="C1078" s="7" t="s">
        <v>18</v>
      </c>
      <c r="D1078" s="4">
        <v>15126437000305</v>
      </c>
      <c r="E1078" s="8" t="s">
        <v>614</v>
      </c>
      <c r="F1078" s="8" t="s">
        <v>225</v>
      </c>
      <c r="G1078" s="7" t="s">
        <v>226</v>
      </c>
      <c r="H1078" s="47" t="s">
        <v>790</v>
      </c>
      <c r="I1078" s="47" t="s">
        <v>791</v>
      </c>
      <c r="J1078" s="6">
        <v>70</v>
      </c>
      <c r="K1078" s="8" t="s">
        <v>22</v>
      </c>
      <c r="L1078" s="5">
        <v>550</v>
      </c>
      <c r="P1078" s="3"/>
      <c r="Q1078" s="3"/>
      <c r="R1078" s="3"/>
    </row>
    <row r="1079" spans="1:18" x14ac:dyDescent="0.2">
      <c r="A1079" s="7" t="s">
        <v>16</v>
      </c>
      <c r="B1079" s="7" t="s">
        <v>55</v>
      </c>
      <c r="C1079" s="7" t="s">
        <v>18</v>
      </c>
      <c r="D1079" s="4">
        <v>15592785000106</v>
      </c>
      <c r="E1079" s="8" t="s">
        <v>566</v>
      </c>
      <c r="F1079" s="8" t="s">
        <v>317</v>
      </c>
      <c r="G1079" s="7" t="s">
        <v>318</v>
      </c>
      <c r="H1079" s="47" t="s">
        <v>790</v>
      </c>
      <c r="I1079" s="47" t="s">
        <v>791</v>
      </c>
      <c r="J1079" s="6">
        <v>70</v>
      </c>
      <c r="K1079" s="8" t="s">
        <v>22</v>
      </c>
      <c r="L1079" s="5">
        <v>25</v>
      </c>
      <c r="P1079" s="3"/>
      <c r="Q1079" s="3"/>
      <c r="R1079" s="3"/>
    </row>
    <row r="1080" spans="1:18" x14ac:dyDescent="0.2">
      <c r="A1080" s="7" t="s">
        <v>16</v>
      </c>
      <c r="B1080" s="7" t="s">
        <v>55</v>
      </c>
      <c r="C1080" s="7" t="s">
        <v>18</v>
      </c>
      <c r="D1080" s="4">
        <v>21155621000114</v>
      </c>
      <c r="E1080" s="8" t="s">
        <v>619</v>
      </c>
      <c r="F1080" s="8" t="s">
        <v>237</v>
      </c>
      <c r="G1080" s="7" t="s">
        <v>238</v>
      </c>
      <c r="H1080" s="47" t="s">
        <v>790</v>
      </c>
      <c r="I1080" s="47" t="s">
        <v>791</v>
      </c>
      <c r="J1080" s="6">
        <v>70</v>
      </c>
      <c r="K1080" s="8" t="s">
        <v>22</v>
      </c>
      <c r="L1080" s="5">
        <v>40</v>
      </c>
      <c r="P1080" s="3"/>
      <c r="Q1080" s="3"/>
      <c r="R1080" s="3"/>
    </row>
    <row r="1081" spans="1:18" x14ac:dyDescent="0.2">
      <c r="A1081" s="7" t="s">
        <v>16</v>
      </c>
      <c r="B1081" s="7" t="s">
        <v>55</v>
      </c>
      <c r="C1081" s="7" t="s">
        <v>18</v>
      </c>
      <c r="D1081" s="4">
        <v>29435005007484</v>
      </c>
      <c r="E1081" s="8" t="s">
        <v>371</v>
      </c>
      <c r="F1081" s="8" t="s">
        <v>281</v>
      </c>
      <c r="G1081" s="7" t="s">
        <v>282</v>
      </c>
      <c r="H1081" s="47" t="s">
        <v>790</v>
      </c>
      <c r="I1081" s="47" t="s">
        <v>791</v>
      </c>
      <c r="J1081" s="6">
        <v>70</v>
      </c>
      <c r="K1081" s="8" t="s">
        <v>22</v>
      </c>
      <c r="L1081" s="5">
        <v>100</v>
      </c>
      <c r="P1081" s="3"/>
      <c r="Q1081" s="3"/>
      <c r="R1081" s="3"/>
    </row>
    <row r="1082" spans="1:18" x14ac:dyDescent="0.2">
      <c r="A1082" s="7" t="s">
        <v>16</v>
      </c>
      <c r="B1082" s="7" t="s">
        <v>55</v>
      </c>
      <c r="C1082" s="7" t="s">
        <v>18</v>
      </c>
      <c r="D1082" s="4">
        <v>29435005009851</v>
      </c>
      <c r="E1082" s="8" t="s">
        <v>372</v>
      </c>
      <c r="F1082" s="8" t="s">
        <v>246</v>
      </c>
      <c r="G1082" s="7" t="s">
        <v>247</v>
      </c>
      <c r="H1082" s="47" t="s">
        <v>790</v>
      </c>
      <c r="I1082" s="47" t="s">
        <v>791</v>
      </c>
      <c r="J1082" s="6">
        <v>70</v>
      </c>
      <c r="K1082" s="8" t="s">
        <v>22</v>
      </c>
      <c r="L1082" s="5">
        <v>200</v>
      </c>
      <c r="P1082" s="3"/>
      <c r="Q1082" s="3"/>
      <c r="R1082" s="3"/>
    </row>
    <row r="1083" spans="1:18" x14ac:dyDescent="0.2">
      <c r="A1083" s="7" t="s">
        <v>16</v>
      </c>
      <c r="B1083" s="7" t="s">
        <v>55</v>
      </c>
      <c r="C1083" s="7" t="s">
        <v>18</v>
      </c>
      <c r="D1083" s="4">
        <v>30135335000188</v>
      </c>
      <c r="E1083" s="8" t="s">
        <v>623</v>
      </c>
      <c r="F1083" s="8" t="s">
        <v>225</v>
      </c>
      <c r="G1083" s="7" t="s">
        <v>226</v>
      </c>
      <c r="H1083" s="47" t="s">
        <v>790</v>
      </c>
      <c r="I1083" s="47" t="s">
        <v>791</v>
      </c>
      <c r="J1083" s="6">
        <v>70</v>
      </c>
      <c r="K1083" s="8" t="s">
        <v>22</v>
      </c>
      <c r="L1083" s="5">
        <v>550</v>
      </c>
      <c r="P1083" s="3"/>
      <c r="Q1083" s="3"/>
      <c r="R1083" s="3"/>
    </row>
    <row r="1084" spans="1:18" x14ac:dyDescent="0.2">
      <c r="A1084" s="7" t="s">
        <v>16</v>
      </c>
      <c r="B1084" s="7" t="s">
        <v>55</v>
      </c>
      <c r="C1084" s="7" t="s">
        <v>18</v>
      </c>
      <c r="D1084" s="4">
        <v>33000167002155</v>
      </c>
      <c r="E1084" s="8" t="s">
        <v>625</v>
      </c>
      <c r="F1084" s="8" t="s">
        <v>626</v>
      </c>
      <c r="G1084" s="7" t="s">
        <v>238</v>
      </c>
      <c r="H1084" s="47" t="s">
        <v>790</v>
      </c>
      <c r="I1084" s="47" t="s">
        <v>791</v>
      </c>
      <c r="J1084" s="6">
        <v>70</v>
      </c>
      <c r="K1084" s="8" t="s">
        <v>22</v>
      </c>
      <c r="L1084" s="5">
        <v>120</v>
      </c>
      <c r="P1084" s="3"/>
      <c r="Q1084" s="3"/>
      <c r="R1084" s="3"/>
    </row>
    <row r="1085" spans="1:18" x14ac:dyDescent="0.2">
      <c r="A1085" s="7" t="s">
        <v>16</v>
      </c>
      <c r="B1085" s="7" t="s">
        <v>55</v>
      </c>
      <c r="C1085" s="7" t="s">
        <v>18</v>
      </c>
      <c r="D1085" s="4">
        <v>41580077000165</v>
      </c>
      <c r="E1085" s="8" t="s">
        <v>505</v>
      </c>
      <c r="F1085" s="8" t="s">
        <v>281</v>
      </c>
      <c r="G1085" s="7" t="s">
        <v>282</v>
      </c>
      <c r="H1085" s="47" t="s">
        <v>790</v>
      </c>
      <c r="I1085" s="47" t="s">
        <v>791</v>
      </c>
      <c r="J1085" s="6">
        <v>70</v>
      </c>
      <c r="K1085" s="8" t="s">
        <v>22</v>
      </c>
      <c r="L1085" s="5">
        <v>75</v>
      </c>
      <c r="P1085" s="3"/>
      <c r="Q1085" s="3"/>
      <c r="R1085" s="3"/>
    </row>
    <row r="1086" spans="1:18" x14ac:dyDescent="0.2">
      <c r="A1086" s="7" t="s">
        <v>16</v>
      </c>
      <c r="B1086" s="7" t="s">
        <v>55</v>
      </c>
      <c r="C1086" s="7" t="s">
        <v>18</v>
      </c>
      <c r="D1086" s="4">
        <v>60884855002289</v>
      </c>
      <c r="E1086" s="8" t="s">
        <v>378</v>
      </c>
      <c r="F1086" s="8" t="s">
        <v>225</v>
      </c>
      <c r="G1086" s="7" t="s">
        <v>226</v>
      </c>
      <c r="H1086" s="47" t="s">
        <v>790</v>
      </c>
      <c r="I1086" s="47" t="s">
        <v>791</v>
      </c>
      <c r="J1086" s="6">
        <v>70</v>
      </c>
      <c r="K1086" s="8" t="s">
        <v>22</v>
      </c>
      <c r="L1086" s="5">
        <v>300</v>
      </c>
      <c r="P1086" s="3"/>
      <c r="Q1086" s="3"/>
      <c r="R1086" s="3"/>
    </row>
    <row r="1087" spans="1:18" x14ac:dyDescent="0.2">
      <c r="A1087" s="7" t="s">
        <v>16</v>
      </c>
      <c r="B1087" s="7" t="s">
        <v>55</v>
      </c>
      <c r="C1087" s="7" t="s">
        <v>18</v>
      </c>
      <c r="D1087" s="4">
        <v>61590410001287</v>
      </c>
      <c r="E1087" s="8" t="s">
        <v>580</v>
      </c>
      <c r="F1087" s="8" t="s">
        <v>225</v>
      </c>
      <c r="G1087" s="7" t="s">
        <v>226</v>
      </c>
      <c r="H1087" s="47" t="s">
        <v>790</v>
      </c>
      <c r="I1087" s="47" t="s">
        <v>791</v>
      </c>
      <c r="J1087" s="6">
        <v>70</v>
      </c>
      <c r="K1087" s="8" t="s">
        <v>22</v>
      </c>
      <c r="L1087" s="5">
        <v>2250</v>
      </c>
      <c r="P1087" s="3"/>
      <c r="Q1087" s="3"/>
      <c r="R1087" s="3"/>
    </row>
    <row r="1088" spans="1:18" x14ac:dyDescent="0.2">
      <c r="A1088" s="7" t="s">
        <v>16</v>
      </c>
      <c r="B1088" s="7" t="s">
        <v>60</v>
      </c>
      <c r="C1088" s="7" t="s">
        <v>18</v>
      </c>
      <c r="D1088" s="4">
        <v>394544000851</v>
      </c>
      <c r="E1088" s="8" t="s">
        <v>412</v>
      </c>
      <c r="F1088" s="8" t="s">
        <v>225</v>
      </c>
      <c r="G1088" s="7" t="s">
        <v>226</v>
      </c>
      <c r="H1088" s="47" t="s">
        <v>790</v>
      </c>
      <c r="I1088" s="47" t="s">
        <v>791</v>
      </c>
      <c r="J1088" s="6">
        <v>70</v>
      </c>
      <c r="K1088" s="8" t="s">
        <v>22</v>
      </c>
      <c r="L1088" s="5">
        <v>120</v>
      </c>
      <c r="P1088" s="3"/>
      <c r="Q1088" s="3"/>
      <c r="R1088" s="3"/>
    </row>
    <row r="1089" spans="1:18" x14ac:dyDescent="0.2">
      <c r="A1089" s="7" t="s">
        <v>16</v>
      </c>
      <c r="B1089" s="7" t="s">
        <v>60</v>
      </c>
      <c r="C1089" s="7" t="s">
        <v>18</v>
      </c>
      <c r="D1089" s="4">
        <v>520237000101</v>
      </c>
      <c r="E1089" s="8" t="s">
        <v>243</v>
      </c>
      <c r="F1089" s="8" t="s">
        <v>225</v>
      </c>
      <c r="G1089" s="7" t="s">
        <v>226</v>
      </c>
      <c r="H1089" s="47" t="s">
        <v>790</v>
      </c>
      <c r="I1089" s="47" t="s">
        <v>791</v>
      </c>
      <c r="J1089" s="6">
        <v>70</v>
      </c>
      <c r="K1089" s="8" t="s">
        <v>22</v>
      </c>
      <c r="L1089" s="5">
        <v>350</v>
      </c>
      <c r="P1089" s="3"/>
      <c r="Q1089" s="3"/>
      <c r="R1089" s="3"/>
    </row>
    <row r="1090" spans="1:18" x14ac:dyDescent="0.2">
      <c r="A1090" s="7" t="s">
        <v>16</v>
      </c>
      <c r="B1090" s="7" t="s">
        <v>60</v>
      </c>
      <c r="C1090" s="7" t="s">
        <v>18</v>
      </c>
      <c r="D1090" s="4">
        <v>610980000144</v>
      </c>
      <c r="E1090" s="8" t="s">
        <v>244</v>
      </c>
      <c r="F1090" s="8" t="s">
        <v>225</v>
      </c>
      <c r="G1090" s="7" t="s">
        <v>226</v>
      </c>
      <c r="H1090" s="47" t="s">
        <v>790</v>
      </c>
      <c r="I1090" s="47" t="s">
        <v>791</v>
      </c>
      <c r="J1090" s="6">
        <v>70</v>
      </c>
      <c r="K1090" s="8" t="s">
        <v>22</v>
      </c>
      <c r="L1090" s="5">
        <v>400</v>
      </c>
      <c r="P1090" s="3"/>
      <c r="Q1090" s="3"/>
      <c r="R1090" s="3"/>
    </row>
    <row r="1091" spans="1:18" x14ac:dyDescent="0.2">
      <c r="A1091" s="7" t="s">
        <v>16</v>
      </c>
      <c r="B1091" s="7" t="s">
        <v>60</v>
      </c>
      <c r="C1091" s="7" t="s">
        <v>18</v>
      </c>
      <c r="D1091" s="4">
        <v>1011865000116</v>
      </c>
      <c r="E1091" s="8" t="s">
        <v>528</v>
      </c>
      <c r="F1091" s="8" t="s">
        <v>237</v>
      </c>
      <c r="G1091" s="7" t="s">
        <v>238</v>
      </c>
      <c r="H1091" s="47" t="s">
        <v>790</v>
      </c>
      <c r="I1091" s="47" t="s">
        <v>791</v>
      </c>
      <c r="J1091" s="6">
        <v>70</v>
      </c>
      <c r="K1091" s="8" t="s">
        <v>22</v>
      </c>
      <c r="L1091" s="5">
        <v>250</v>
      </c>
      <c r="P1091" s="3"/>
      <c r="Q1091" s="3"/>
      <c r="R1091" s="3"/>
    </row>
    <row r="1092" spans="1:18" x14ac:dyDescent="0.2">
      <c r="A1092" s="7" t="s">
        <v>16</v>
      </c>
      <c r="B1092" s="7" t="s">
        <v>60</v>
      </c>
      <c r="C1092" s="7" t="s">
        <v>18</v>
      </c>
      <c r="D1092" s="4">
        <v>1454407000151</v>
      </c>
      <c r="E1092" s="8" t="s">
        <v>533</v>
      </c>
      <c r="F1092" s="8" t="s">
        <v>361</v>
      </c>
      <c r="G1092" s="7" t="s">
        <v>362</v>
      </c>
      <c r="H1092" s="47" t="s">
        <v>790</v>
      </c>
      <c r="I1092" s="47" t="s">
        <v>791</v>
      </c>
      <c r="J1092" s="6">
        <v>70</v>
      </c>
      <c r="K1092" s="8" t="s">
        <v>22</v>
      </c>
      <c r="L1092" s="5">
        <v>235</v>
      </c>
      <c r="P1092" s="3"/>
      <c r="Q1092" s="3"/>
      <c r="R1092" s="3"/>
    </row>
    <row r="1093" spans="1:18" x14ac:dyDescent="0.2">
      <c r="A1093" s="7" t="s">
        <v>16</v>
      </c>
      <c r="B1093" s="7" t="s">
        <v>60</v>
      </c>
      <c r="C1093" s="7" t="s">
        <v>18</v>
      </c>
      <c r="D1093" s="4">
        <v>1570589000126</v>
      </c>
      <c r="E1093" s="8" t="s">
        <v>633</v>
      </c>
      <c r="F1093" s="8" t="s">
        <v>237</v>
      </c>
      <c r="G1093" s="7" t="s">
        <v>238</v>
      </c>
      <c r="H1093" s="47" t="s">
        <v>790</v>
      </c>
      <c r="I1093" s="47" t="s">
        <v>791</v>
      </c>
      <c r="J1093" s="6">
        <v>70</v>
      </c>
      <c r="K1093" s="8" t="s">
        <v>22</v>
      </c>
      <c r="L1093" s="5">
        <v>190</v>
      </c>
      <c r="P1093" s="3"/>
      <c r="Q1093" s="3"/>
      <c r="R1093" s="3"/>
    </row>
    <row r="1094" spans="1:18" x14ac:dyDescent="0.2">
      <c r="A1094" s="7" t="s">
        <v>16</v>
      </c>
      <c r="B1094" s="7" t="s">
        <v>60</v>
      </c>
      <c r="C1094" s="7" t="s">
        <v>18</v>
      </c>
      <c r="D1094" s="4">
        <v>1656123000148</v>
      </c>
      <c r="E1094" s="8" t="s">
        <v>634</v>
      </c>
      <c r="F1094" s="8" t="s">
        <v>237</v>
      </c>
      <c r="G1094" s="7" t="s">
        <v>238</v>
      </c>
      <c r="H1094" s="47" t="s">
        <v>790</v>
      </c>
      <c r="I1094" s="47" t="s">
        <v>791</v>
      </c>
      <c r="J1094" s="6">
        <v>70</v>
      </c>
      <c r="K1094" s="8" t="s">
        <v>22</v>
      </c>
      <c r="L1094" s="5">
        <v>90</v>
      </c>
      <c r="P1094" s="3"/>
      <c r="Q1094" s="3"/>
      <c r="R1094" s="3"/>
    </row>
    <row r="1095" spans="1:18" x14ac:dyDescent="0.2">
      <c r="A1095" s="7" t="s">
        <v>16</v>
      </c>
      <c r="B1095" s="7" t="s">
        <v>60</v>
      </c>
      <c r="C1095" s="7" t="s">
        <v>18</v>
      </c>
      <c r="D1095" s="4">
        <v>1722424000122</v>
      </c>
      <c r="E1095" s="8" t="s">
        <v>635</v>
      </c>
      <c r="F1095" s="8" t="s">
        <v>361</v>
      </c>
      <c r="G1095" s="7" t="s">
        <v>362</v>
      </c>
      <c r="H1095" s="47" t="s">
        <v>790</v>
      </c>
      <c r="I1095" s="47" t="s">
        <v>791</v>
      </c>
      <c r="J1095" s="6">
        <v>70</v>
      </c>
      <c r="K1095" s="8" t="s">
        <v>22</v>
      </c>
      <c r="L1095" s="5">
        <v>515</v>
      </c>
      <c r="P1095" s="3"/>
      <c r="Q1095" s="3"/>
      <c r="R1095" s="3"/>
    </row>
    <row r="1096" spans="1:18" x14ac:dyDescent="0.2">
      <c r="A1096" s="7" t="s">
        <v>16</v>
      </c>
      <c r="B1096" s="7" t="s">
        <v>60</v>
      </c>
      <c r="C1096" s="7" t="s">
        <v>18</v>
      </c>
      <c r="D1096" s="4">
        <v>2476067000122</v>
      </c>
      <c r="E1096" s="8" t="s">
        <v>536</v>
      </c>
      <c r="F1096" s="8" t="s">
        <v>237</v>
      </c>
      <c r="G1096" s="7" t="s">
        <v>238</v>
      </c>
      <c r="H1096" s="47" t="s">
        <v>790</v>
      </c>
      <c r="I1096" s="47" t="s">
        <v>791</v>
      </c>
      <c r="J1096" s="6">
        <v>70</v>
      </c>
      <c r="K1096" s="8" t="s">
        <v>22</v>
      </c>
      <c r="L1096" s="5">
        <v>-15</v>
      </c>
      <c r="P1096" s="3"/>
      <c r="Q1096" s="3"/>
      <c r="R1096" s="3"/>
    </row>
    <row r="1097" spans="1:18" x14ac:dyDescent="0.2">
      <c r="A1097" s="7" t="s">
        <v>16</v>
      </c>
      <c r="B1097" s="7" t="s">
        <v>60</v>
      </c>
      <c r="C1097" s="7" t="s">
        <v>18</v>
      </c>
      <c r="D1097" s="4">
        <v>2476067000394</v>
      </c>
      <c r="E1097" s="8" t="s">
        <v>537</v>
      </c>
      <c r="F1097" s="8" t="s">
        <v>237</v>
      </c>
      <c r="G1097" s="7" t="s">
        <v>238</v>
      </c>
      <c r="H1097" s="47" t="s">
        <v>790</v>
      </c>
      <c r="I1097" s="47" t="s">
        <v>791</v>
      </c>
      <c r="J1097" s="6">
        <v>70</v>
      </c>
      <c r="K1097" s="8" t="s">
        <v>22</v>
      </c>
      <c r="L1097" s="5">
        <v>70</v>
      </c>
      <c r="P1097" s="3"/>
      <c r="Q1097" s="3"/>
      <c r="R1097" s="3"/>
    </row>
    <row r="1098" spans="1:18" x14ac:dyDescent="0.2">
      <c r="A1098" s="7" t="s">
        <v>16</v>
      </c>
      <c r="B1098" s="7" t="s">
        <v>60</v>
      </c>
      <c r="C1098" s="7" t="s">
        <v>18</v>
      </c>
      <c r="D1098" s="4">
        <v>2560878000107</v>
      </c>
      <c r="E1098" s="8" t="s">
        <v>270</v>
      </c>
      <c r="F1098" s="8" t="s">
        <v>225</v>
      </c>
      <c r="G1098" s="7" t="s">
        <v>226</v>
      </c>
      <c r="H1098" s="47" t="s">
        <v>790</v>
      </c>
      <c r="I1098" s="47" t="s">
        <v>791</v>
      </c>
      <c r="J1098" s="6">
        <v>70</v>
      </c>
      <c r="K1098" s="8" t="s">
        <v>22</v>
      </c>
      <c r="L1098" s="5">
        <v>135</v>
      </c>
      <c r="P1098" s="3"/>
      <c r="Q1098" s="3"/>
      <c r="R1098" s="3"/>
    </row>
    <row r="1099" spans="1:18" x14ac:dyDescent="0.2">
      <c r="A1099" s="7" t="s">
        <v>16</v>
      </c>
      <c r="B1099" s="7" t="s">
        <v>60</v>
      </c>
      <c r="C1099" s="7" t="s">
        <v>18</v>
      </c>
      <c r="D1099" s="4">
        <v>3091003000176</v>
      </c>
      <c r="E1099" s="8" t="s">
        <v>596</v>
      </c>
      <c r="F1099" s="8" t="s">
        <v>317</v>
      </c>
      <c r="G1099" s="7" t="s">
        <v>318</v>
      </c>
      <c r="H1099" s="47" t="s">
        <v>790</v>
      </c>
      <c r="I1099" s="47" t="s">
        <v>791</v>
      </c>
      <c r="J1099" s="6">
        <v>70</v>
      </c>
      <c r="K1099" s="8" t="s">
        <v>22</v>
      </c>
      <c r="L1099" s="5">
        <v>175</v>
      </c>
      <c r="P1099" s="3"/>
      <c r="Q1099" s="3"/>
      <c r="R1099" s="3"/>
    </row>
    <row r="1100" spans="1:18" x14ac:dyDescent="0.2">
      <c r="A1100" s="7" t="s">
        <v>16</v>
      </c>
      <c r="B1100" s="7" t="s">
        <v>60</v>
      </c>
      <c r="C1100" s="7" t="s">
        <v>18</v>
      </c>
      <c r="D1100" s="4">
        <v>3533726001583</v>
      </c>
      <c r="E1100" s="8" t="s">
        <v>271</v>
      </c>
      <c r="F1100" s="8" t="s">
        <v>261</v>
      </c>
      <c r="G1100" s="7" t="s">
        <v>262</v>
      </c>
      <c r="H1100" s="47" t="s">
        <v>790</v>
      </c>
      <c r="I1100" s="47" t="s">
        <v>791</v>
      </c>
      <c r="J1100" s="6">
        <v>70</v>
      </c>
      <c r="K1100" s="8" t="s">
        <v>22</v>
      </c>
      <c r="L1100" s="5">
        <v>105</v>
      </c>
      <c r="P1100" s="3"/>
      <c r="Q1100" s="3"/>
      <c r="R1100" s="3"/>
    </row>
    <row r="1101" spans="1:18" x14ac:dyDescent="0.2">
      <c r="A1101" s="7" t="s">
        <v>16</v>
      </c>
      <c r="B1101" s="7" t="s">
        <v>60</v>
      </c>
      <c r="C1101" s="7" t="s">
        <v>18</v>
      </c>
      <c r="D1101" s="4">
        <v>3989821000190</v>
      </c>
      <c r="E1101" s="8" t="s">
        <v>545</v>
      </c>
      <c r="F1101" s="8" t="s">
        <v>225</v>
      </c>
      <c r="G1101" s="7" t="s">
        <v>226</v>
      </c>
      <c r="H1101" s="47" t="s">
        <v>790</v>
      </c>
      <c r="I1101" s="47" t="s">
        <v>791</v>
      </c>
      <c r="J1101" s="6">
        <v>70</v>
      </c>
      <c r="K1101" s="8" t="s">
        <v>22</v>
      </c>
      <c r="L1101" s="5">
        <v>45</v>
      </c>
      <c r="P1101" s="3"/>
      <c r="Q1101" s="3"/>
      <c r="R1101" s="3"/>
    </row>
    <row r="1102" spans="1:18" x14ac:dyDescent="0.2">
      <c r="A1102" s="7" t="s">
        <v>16</v>
      </c>
      <c r="B1102" s="7" t="s">
        <v>60</v>
      </c>
      <c r="C1102" s="7" t="s">
        <v>18</v>
      </c>
      <c r="D1102" s="4">
        <v>4966545000370</v>
      </c>
      <c r="E1102" s="8" t="s">
        <v>546</v>
      </c>
      <c r="F1102" s="8" t="s">
        <v>219</v>
      </c>
      <c r="G1102" s="7" t="s">
        <v>220</v>
      </c>
      <c r="H1102" s="47" t="s">
        <v>790</v>
      </c>
      <c r="I1102" s="47" t="s">
        <v>791</v>
      </c>
      <c r="J1102" s="6">
        <v>70</v>
      </c>
      <c r="K1102" s="8" t="s">
        <v>22</v>
      </c>
      <c r="L1102" s="5">
        <v>40</v>
      </c>
      <c r="P1102" s="3"/>
      <c r="Q1102" s="3"/>
      <c r="R1102" s="3"/>
    </row>
    <row r="1103" spans="1:18" x14ac:dyDescent="0.2">
      <c r="A1103" s="7" t="s">
        <v>16</v>
      </c>
      <c r="B1103" s="7" t="s">
        <v>60</v>
      </c>
      <c r="C1103" s="7" t="s">
        <v>18</v>
      </c>
      <c r="D1103" s="4">
        <v>5055128000257</v>
      </c>
      <c r="E1103" s="8" t="s">
        <v>636</v>
      </c>
      <c r="F1103" s="8" t="s">
        <v>637</v>
      </c>
      <c r="G1103" s="7" t="s">
        <v>229</v>
      </c>
      <c r="H1103" s="47" t="s">
        <v>790</v>
      </c>
      <c r="I1103" s="47" t="s">
        <v>791</v>
      </c>
      <c r="J1103" s="6">
        <v>70</v>
      </c>
      <c r="K1103" s="8" t="s">
        <v>22</v>
      </c>
      <c r="L1103" s="5">
        <v>75</v>
      </c>
      <c r="P1103" s="3"/>
      <c r="Q1103" s="3"/>
      <c r="R1103" s="3"/>
    </row>
    <row r="1104" spans="1:18" x14ac:dyDescent="0.2">
      <c r="A1104" s="7" t="s">
        <v>16</v>
      </c>
      <c r="B1104" s="7" t="s">
        <v>60</v>
      </c>
      <c r="C1104" s="7" t="s">
        <v>18</v>
      </c>
      <c r="D1104" s="4">
        <v>5816630000152</v>
      </c>
      <c r="E1104" s="8" t="s">
        <v>279</v>
      </c>
      <c r="F1104" s="8" t="s">
        <v>278</v>
      </c>
      <c r="G1104" s="7" t="s">
        <v>276</v>
      </c>
      <c r="H1104" s="47" t="s">
        <v>790</v>
      </c>
      <c r="I1104" s="47" t="s">
        <v>791</v>
      </c>
      <c r="J1104" s="6">
        <v>70</v>
      </c>
      <c r="K1104" s="8" t="s">
        <v>22</v>
      </c>
      <c r="L1104" s="5">
        <v>650</v>
      </c>
      <c r="P1104" s="3"/>
      <c r="Q1104" s="3"/>
      <c r="R1104" s="3"/>
    </row>
    <row r="1105" spans="1:18" x14ac:dyDescent="0.2">
      <c r="A1105" s="7" t="s">
        <v>16</v>
      </c>
      <c r="B1105" s="7" t="s">
        <v>60</v>
      </c>
      <c r="C1105" s="7" t="s">
        <v>18</v>
      </c>
      <c r="D1105" s="4">
        <v>5868278000280</v>
      </c>
      <c r="E1105" s="8" t="s">
        <v>283</v>
      </c>
      <c r="F1105" s="8" t="s">
        <v>281</v>
      </c>
      <c r="G1105" s="7" t="s">
        <v>282</v>
      </c>
      <c r="H1105" s="47" t="s">
        <v>790</v>
      </c>
      <c r="I1105" s="47" t="s">
        <v>791</v>
      </c>
      <c r="J1105" s="6">
        <v>70</v>
      </c>
      <c r="K1105" s="8" t="s">
        <v>22</v>
      </c>
      <c r="L1105" s="5">
        <v>235</v>
      </c>
      <c r="P1105" s="3"/>
      <c r="Q1105" s="3"/>
      <c r="R1105" s="3"/>
    </row>
    <row r="1106" spans="1:18" x14ac:dyDescent="0.2">
      <c r="A1106" s="7" t="s">
        <v>16</v>
      </c>
      <c r="B1106" s="7" t="s">
        <v>60</v>
      </c>
      <c r="C1106" s="7" t="s">
        <v>18</v>
      </c>
      <c r="D1106" s="4">
        <v>5919720000179</v>
      </c>
      <c r="E1106" s="8" t="s">
        <v>638</v>
      </c>
      <c r="F1106" s="8" t="s">
        <v>237</v>
      </c>
      <c r="G1106" s="7" t="s">
        <v>238</v>
      </c>
      <c r="H1106" s="47" t="s">
        <v>790</v>
      </c>
      <c r="I1106" s="47" t="s">
        <v>791</v>
      </c>
      <c r="J1106" s="6">
        <v>70</v>
      </c>
      <c r="K1106" s="8" t="s">
        <v>22</v>
      </c>
      <c r="L1106" s="5">
        <v>25</v>
      </c>
      <c r="P1106" s="3"/>
      <c r="Q1106" s="3"/>
      <c r="R1106" s="3"/>
    </row>
    <row r="1107" spans="1:18" x14ac:dyDescent="0.2">
      <c r="A1107" s="7" t="s">
        <v>16</v>
      </c>
      <c r="B1107" s="7" t="s">
        <v>60</v>
      </c>
      <c r="C1107" s="7" t="s">
        <v>18</v>
      </c>
      <c r="D1107" s="4">
        <v>6337035000105</v>
      </c>
      <c r="E1107" s="8" t="s">
        <v>639</v>
      </c>
      <c r="F1107" s="8" t="s">
        <v>237</v>
      </c>
      <c r="G1107" s="7" t="s">
        <v>238</v>
      </c>
      <c r="H1107" s="47" t="s">
        <v>790</v>
      </c>
      <c r="I1107" s="47" t="s">
        <v>791</v>
      </c>
      <c r="J1107" s="6">
        <v>70</v>
      </c>
      <c r="K1107" s="8" t="s">
        <v>22</v>
      </c>
      <c r="L1107" s="5">
        <v>25</v>
      </c>
      <c r="P1107" s="3"/>
      <c r="Q1107" s="3"/>
      <c r="R1107" s="3"/>
    </row>
    <row r="1108" spans="1:18" x14ac:dyDescent="0.2">
      <c r="A1108" s="7" t="s">
        <v>16</v>
      </c>
      <c r="B1108" s="7" t="s">
        <v>60</v>
      </c>
      <c r="C1108" s="7" t="s">
        <v>18</v>
      </c>
      <c r="D1108" s="4">
        <v>7272636000212</v>
      </c>
      <c r="E1108" s="8" t="s">
        <v>297</v>
      </c>
      <c r="F1108" s="8" t="s">
        <v>281</v>
      </c>
      <c r="G1108" s="7" t="s">
        <v>282</v>
      </c>
      <c r="H1108" s="47" t="s">
        <v>790</v>
      </c>
      <c r="I1108" s="47" t="s">
        <v>791</v>
      </c>
      <c r="J1108" s="6">
        <v>70</v>
      </c>
      <c r="K1108" s="8" t="s">
        <v>22</v>
      </c>
      <c r="L1108" s="5">
        <v>600</v>
      </c>
      <c r="P1108" s="3"/>
      <c r="Q1108" s="3"/>
      <c r="R1108" s="3"/>
    </row>
    <row r="1109" spans="1:18" x14ac:dyDescent="0.2">
      <c r="A1109" s="7" t="s">
        <v>16</v>
      </c>
      <c r="B1109" s="7" t="s">
        <v>60</v>
      </c>
      <c r="C1109" s="7" t="s">
        <v>18</v>
      </c>
      <c r="D1109" s="4">
        <v>8680639000681</v>
      </c>
      <c r="E1109" s="8" t="s">
        <v>303</v>
      </c>
      <c r="F1109" s="8" t="s">
        <v>228</v>
      </c>
      <c r="G1109" s="7" t="s">
        <v>229</v>
      </c>
      <c r="H1109" s="47" t="s">
        <v>790</v>
      </c>
      <c r="I1109" s="47" t="s">
        <v>791</v>
      </c>
      <c r="J1109" s="6">
        <v>70</v>
      </c>
      <c r="K1109" s="8" t="s">
        <v>22</v>
      </c>
      <c r="L1109" s="5">
        <v>140</v>
      </c>
      <c r="P1109" s="3"/>
      <c r="Q1109" s="3"/>
      <c r="R1109" s="3"/>
    </row>
    <row r="1110" spans="1:18" x14ac:dyDescent="0.2">
      <c r="A1110" s="7" t="s">
        <v>16</v>
      </c>
      <c r="B1110" s="7" t="s">
        <v>60</v>
      </c>
      <c r="C1110" s="7" t="s">
        <v>18</v>
      </c>
      <c r="D1110" s="4">
        <v>9104513000974</v>
      </c>
      <c r="E1110" s="8" t="s">
        <v>556</v>
      </c>
      <c r="F1110" s="8" t="s">
        <v>225</v>
      </c>
      <c r="G1110" s="7" t="s">
        <v>226</v>
      </c>
      <c r="H1110" s="47" t="s">
        <v>790</v>
      </c>
      <c r="I1110" s="47" t="s">
        <v>791</v>
      </c>
      <c r="J1110" s="6">
        <v>70</v>
      </c>
      <c r="K1110" s="8" t="s">
        <v>22</v>
      </c>
      <c r="L1110" s="5">
        <v>515</v>
      </c>
      <c r="P1110" s="3"/>
      <c r="Q1110" s="3"/>
      <c r="R1110" s="3"/>
    </row>
    <row r="1111" spans="1:18" x14ac:dyDescent="0.2">
      <c r="A1111" s="7" t="s">
        <v>16</v>
      </c>
      <c r="B1111" s="7" t="s">
        <v>60</v>
      </c>
      <c r="C1111" s="7" t="s">
        <v>18</v>
      </c>
      <c r="D1111" s="4">
        <v>9192098000109</v>
      </c>
      <c r="E1111" s="8" t="s">
        <v>640</v>
      </c>
      <c r="F1111" s="8" t="s">
        <v>641</v>
      </c>
      <c r="G1111" s="7" t="s">
        <v>268</v>
      </c>
      <c r="H1111" s="47" t="s">
        <v>790</v>
      </c>
      <c r="I1111" s="47" t="s">
        <v>791</v>
      </c>
      <c r="J1111" s="6">
        <v>70</v>
      </c>
      <c r="K1111" s="8" t="s">
        <v>22</v>
      </c>
      <c r="L1111" s="5">
        <v>100</v>
      </c>
      <c r="P1111" s="3"/>
      <c r="Q1111" s="3"/>
      <c r="R1111" s="3"/>
    </row>
    <row r="1112" spans="1:18" x14ac:dyDescent="0.2">
      <c r="A1112" s="7" t="s">
        <v>16</v>
      </c>
      <c r="B1112" s="7" t="s">
        <v>60</v>
      </c>
      <c r="C1112" s="7" t="s">
        <v>18</v>
      </c>
      <c r="D1112" s="4">
        <v>10942995000163</v>
      </c>
      <c r="E1112" s="8" t="s">
        <v>433</v>
      </c>
      <c r="F1112" s="8" t="s">
        <v>225</v>
      </c>
      <c r="G1112" s="7" t="s">
        <v>226</v>
      </c>
      <c r="H1112" s="47" t="s">
        <v>790</v>
      </c>
      <c r="I1112" s="47" t="s">
        <v>791</v>
      </c>
      <c r="J1112" s="6">
        <v>70</v>
      </c>
      <c r="K1112" s="8" t="s">
        <v>22</v>
      </c>
      <c r="L1112" s="5">
        <v>500</v>
      </c>
      <c r="P1112" s="3"/>
      <c r="Q1112" s="3"/>
      <c r="R1112" s="3"/>
    </row>
    <row r="1113" spans="1:18" x14ac:dyDescent="0.2">
      <c r="A1113" s="7" t="s">
        <v>16</v>
      </c>
      <c r="B1113" s="7" t="s">
        <v>60</v>
      </c>
      <c r="C1113" s="7" t="s">
        <v>18</v>
      </c>
      <c r="D1113" s="4">
        <v>11006293000130</v>
      </c>
      <c r="E1113" s="8" t="s">
        <v>309</v>
      </c>
      <c r="F1113" s="8" t="s">
        <v>310</v>
      </c>
      <c r="G1113" s="7" t="s">
        <v>268</v>
      </c>
      <c r="H1113" s="47" t="s">
        <v>790</v>
      </c>
      <c r="I1113" s="47" t="s">
        <v>791</v>
      </c>
      <c r="J1113" s="6">
        <v>70</v>
      </c>
      <c r="K1113" s="8" t="s">
        <v>22</v>
      </c>
      <c r="L1113" s="5">
        <v>450</v>
      </c>
      <c r="P1113" s="3"/>
      <c r="Q1113" s="3"/>
      <c r="R1113" s="3"/>
    </row>
    <row r="1114" spans="1:18" x14ac:dyDescent="0.2">
      <c r="A1114" s="7" t="s">
        <v>16</v>
      </c>
      <c r="B1114" s="7" t="s">
        <v>60</v>
      </c>
      <c r="C1114" s="7" t="s">
        <v>18</v>
      </c>
      <c r="D1114" s="4">
        <v>11214624000470</v>
      </c>
      <c r="E1114" s="8" t="s">
        <v>607</v>
      </c>
      <c r="F1114" s="8" t="s">
        <v>264</v>
      </c>
      <c r="G1114" s="7" t="s">
        <v>265</v>
      </c>
      <c r="H1114" s="47" t="s">
        <v>790</v>
      </c>
      <c r="I1114" s="47" t="s">
        <v>791</v>
      </c>
      <c r="J1114" s="6">
        <v>70</v>
      </c>
      <c r="K1114" s="8" t="s">
        <v>22</v>
      </c>
      <c r="L1114" s="5">
        <v>50</v>
      </c>
      <c r="P1114" s="3"/>
      <c r="Q1114" s="3"/>
      <c r="R1114" s="3"/>
    </row>
    <row r="1115" spans="1:18" x14ac:dyDescent="0.2">
      <c r="A1115" s="7" t="s">
        <v>16</v>
      </c>
      <c r="B1115" s="7" t="s">
        <v>60</v>
      </c>
      <c r="C1115" s="7" t="s">
        <v>18</v>
      </c>
      <c r="D1115" s="4">
        <v>11794674000121</v>
      </c>
      <c r="E1115" s="8" t="s">
        <v>435</v>
      </c>
      <c r="F1115" s="8" t="s">
        <v>281</v>
      </c>
      <c r="G1115" s="7" t="s">
        <v>282</v>
      </c>
      <c r="H1115" s="47" t="s">
        <v>790</v>
      </c>
      <c r="I1115" s="47" t="s">
        <v>791</v>
      </c>
      <c r="J1115" s="6">
        <v>70</v>
      </c>
      <c r="K1115" s="8" t="s">
        <v>22</v>
      </c>
      <c r="L1115" s="5">
        <v>180</v>
      </c>
      <c r="P1115" s="3"/>
      <c r="Q1115" s="3"/>
      <c r="R1115" s="3"/>
    </row>
    <row r="1116" spans="1:18" x14ac:dyDescent="0.2">
      <c r="A1116" s="7" t="s">
        <v>16</v>
      </c>
      <c r="B1116" s="7" t="s">
        <v>60</v>
      </c>
      <c r="C1116" s="7" t="s">
        <v>18</v>
      </c>
      <c r="D1116" s="4">
        <v>12361267009140</v>
      </c>
      <c r="E1116" s="8" t="s">
        <v>561</v>
      </c>
      <c r="F1116" s="8" t="s">
        <v>562</v>
      </c>
      <c r="G1116" s="7" t="s">
        <v>247</v>
      </c>
      <c r="H1116" s="47" t="s">
        <v>790</v>
      </c>
      <c r="I1116" s="47" t="s">
        <v>791</v>
      </c>
      <c r="J1116" s="6">
        <v>70</v>
      </c>
      <c r="K1116" s="8" t="s">
        <v>22</v>
      </c>
      <c r="L1116" s="5">
        <v>5</v>
      </c>
      <c r="P1116" s="3"/>
      <c r="Q1116" s="3"/>
      <c r="R1116" s="3"/>
    </row>
    <row r="1117" spans="1:18" x14ac:dyDescent="0.2">
      <c r="A1117" s="7" t="s">
        <v>16</v>
      </c>
      <c r="B1117" s="7" t="s">
        <v>60</v>
      </c>
      <c r="C1117" s="7" t="s">
        <v>18</v>
      </c>
      <c r="D1117" s="4">
        <v>12568570000161</v>
      </c>
      <c r="E1117" s="8" t="s">
        <v>563</v>
      </c>
      <c r="F1117" s="8" t="s">
        <v>281</v>
      </c>
      <c r="G1117" s="7" t="s">
        <v>282</v>
      </c>
      <c r="H1117" s="47" t="s">
        <v>790</v>
      </c>
      <c r="I1117" s="47" t="s">
        <v>791</v>
      </c>
      <c r="J1117" s="6">
        <v>70</v>
      </c>
      <c r="K1117" s="8" t="s">
        <v>22</v>
      </c>
      <c r="L1117" s="5">
        <v>-5</v>
      </c>
      <c r="P1117" s="3"/>
      <c r="Q1117" s="3"/>
      <c r="R1117" s="3"/>
    </row>
    <row r="1118" spans="1:18" x14ac:dyDescent="0.2">
      <c r="A1118" s="7" t="s">
        <v>16</v>
      </c>
      <c r="B1118" s="7" t="s">
        <v>60</v>
      </c>
      <c r="C1118" s="7" t="s">
        <v>18</v>
      </c>
      <c r="D1118" s="4">
        <v>13131370000100</v>
      </c>
      <c r="E1118" s="8" t="s">
        <v>319</v>
      </c>
      <c r="F1118" s="8" t="s">
        <v>317</v>
      </c>
      <c r="G1118" s="7" t="s">
        <v>318</v>
      </c>
      <c r="H1118" s="47" t="s">
        <v>790</v>
      </c>
      <c r="I1118" s="47" t="s">
        <v>791</v>
      </c>
      <c r="J1118" s="6">
        <v>70</v>
      </c>
      <c r="K1118" s="8" t="s">
        <v>22</v>
      </c>
      <c r="L1118" s="5">
        <v>300</v>
      </c>
      <c r="P1118" s="3"/>
      <c r="Q1118" s="3"/>
      <c r="R1118" s="3"/>
    </row>
    <row r="1119" spans="1:18" x14ac:dyDescent="0.2">
      <c r="A1119" s="7" t="s">
        <v>16</v>
      </c>
      <c r="B1119" s="7" t="s">
        <v>60</v>
      </c>
      <c r="C1119" s="7" t="s">
        <v>18</v>
      </c>
      <c r="D1119" s="4">
        <v>15126437000496</v>
      </c>
      <c r="E1119" s="8" t="s">
        <v>328</v>
      </c>
      <c r="F1119" s="8" t="s">
        <v>310</v>
      </c>
      <c r="G1119" s="7" t="s">
        <v>268</v>
      </c>
      <c r="H1119" s="47" t="s">
        <v>790</v>
      </c>
      <c r="I1119" s="47" t="s">
        <v>791</v>
      </c>
      <c r="J1119" s="6">
        <v>70</v>
      </c>
      <c r="K1119" s="8" t="s">
        <v>22</v>
      </c>
      <c r="L1119" s="5">
        <v>500</v>
      </c>
      <c r="P1119" s="3"/>
      <c r="Q1119" s="3"/>
      <c r="R1119" s="3"/>
    </row>
    <row r="1120" spans="1:18" x14ac:dyDescent="0.2">
      <c r="A1120" s="7" t="s">
        <v>16</v>
      </c>
      <c r="B1120" s="7" t="s">
        <v>60</v>
      </c>
      <c r="C1120" s="7" t="s">
        <v>18</v>
      </c>
      <c r="D1120" s="4">
        <v>15126437001204</v>
      </c>
      <c r="E1120" s="8" t="s">
        <v>643</v>
      </c>
      <c r="F1120" s="8" t="s">
        <v>261</v>
      </c>
      <c r="G1120" s="7" t="s">
        <v>262</v>
      </c>
      <c r="H1120" s="47" t="s">
        <v>790</v>
      </c>
      <c r="I1120" s="47" t="s">
        <v>791</v>
      </c>
      <c r="J1120" s="6">
        <v>70</v>
      </c>
      <c r="K1120" s="8" t="s">
        <v>22</v>
      </c>
      <c r="L1120" s="5">
        <v>750</v>
      </c>
      <c r="P1120" s="3"/>
      <c r="Q1120" s="3"/>
      <c r="R1120" s="3"/>
    </row>
    <row r="1121" spans="1:18" x14ac:dyDescent="0.2">
      <c r="A1121" s="7" t="s">
        <v>16</v>
      </c>
      <c r="B1121" s="7" t="s">
        <v>60</v>
      </c>
      <c r="C1121" s="7" t="s">
        <v>18</v>
      </c>
      <c r="D1121" s="4">
        <v>15242761000127</v>
      </c>
      <c r="E1121" s="8" t="s">
        <v>340</v>
      </c>
      <c r="F1121" s="8" t="s">
        <v>278</v>
      </c>
      <c r="G1121" s="7" t="s">
        <v>276</v>
      </c>
      <c r="H1121" s="47" t="s">
        <v>790</v>
      </c>
      <c r="I1121" s="47" t="s">
        <v>791</v>
      </c>
      <c r="J1121" s="6">
        <v>70</v>
      </c>
      <c r="K1121" s="8" t="s">
        <v>22</v>
      </c>
      <c r="L1121" s="5">
        <v>100</v>
      </c>
      <c r="P1121" s="3"/>
      <c r="Q1121" s="3"/>
      <c r="R1121" s="3"/>
    </row>
    <row r="1122" spans="1:18" x14ac:dyDescent="0.2">
      <c r="A1122" s="7" t="s">
        <v>16</v>
      </c>
      <c r="B1122" s="7" t="s">
        <v>60</v>
      </c>
      <c r="C1122" s="7" t="s">
        <v>18</v>
      </c>
      <c r="D1122" s="4">
        <v>15592785000106</v>
      </c>
      <c r="E1122" s="8" t="s">
        <v>566</v>
      </c>
      <c r="F1122" s="8" t="s">
        <v>317</v>
      </c>
      <c r="G1122" s="7" t="s">
        <v>318</v>
      </c>
      <c r="H1122" s="47" t="s">
        <v>790</v>
      </c>
      <c r="I1122" s="47" t="s">
        <v>791</v>
      </c>
      <c r="J1122" s="6">
        <v>70</v>
      </c>
      <c r="K1122" s="8" t="s">
        <v>22</v>
      </c>
      <c r="L1122" s="5">
        <v>30</v>
      </c>
      <c r="P1122" s="3"/>
      <c r="Q1122" s="3"/>
      <c r="R1122" s="3"/>
    </row>
    <row r="1123" spans="1:18" x14ac:dyDescent="0.2">
      <c r="A1123" s="7" t="s">
        <v>16</v>
      </c>
      <c r="B1123" s="7" t="s">
        <v>60</v>
      </c>
      <c r="C1123" s="7" t="s">
        <v>18</v>
      </c>
      <c r="D1123" s="4">
        <v>29435005004620</v>
      </c>
      <c r="E1123" s="8" t="s">
        <v>370</v>
      </c>
      <c r="F1123" s="8" t="s">
        <v>225</v>
      </c>
      <c r="G1123" s="7" t="s">
        <v>226</v>
      </c>
      <c r="H1123" s="47" t="s">
        <v>790</v>
      </c>
      <c r="I1123" s="47" t="s">
        <v>791</v>
      </c>
      <c r="J1123" s="6">
        <v>70</v>
      </c>
      <c r="K1123" s="8" t="s">
        <v>22</v>
      </c>
      <c r="L1123" s="5">
        <v>145</v>
      </c>
      <c r="P1123" s="3"/>
      <c r="Q1123" s="3"/>
      <c r="R1123" s="3"/>
    </row>
    <row r="1124" spans="1:18" x14ac:dyDescent="0.2">
      <c r="A1124" s="7" t="s">
        <v>16</v>
      </c>
      <c r="B1124" s="7" t="s">
        <v>60</v>
      </c>
      <c r="C1124" s="7" t="s">
        <v>18</v>
      </c>
      <c r="D1124" s="4">
        <v>29435005007484</v>
      </c>
      <c r="E1124" s="8" t="s">
        <v>371</v>
      </c>
      <c r="F1124" s="8" t="s">
        <v>281</v>
      </c>
      <c r="G1124" s="7" t="s">
        <v>282</v>
      </c>
      <c r="H1124" s="47" t="s">
        <v>790</v>
      </c>
      <c r="I1124" s="47" t="s">
        <v>791</v>
      </c>
      <c r="J1124" s="6">
        <v>70</v>
      </c>
      <c r="K1124" s="8" t="s">
        <v>22</v>
      </c>
      <c r="L1124" s="5">
        <v>200</v>
      </c>
      <c r="P1124" s="3"/>
      <c r="Q1124" s="3"/>
      <c r="R1124" s="3"/>
    </row>
    <row r="1125" spans="1:18" x14ac:dyDescent="0.2">
      <c r="A1125" s="7" t="s">
        <v>16</v>
      </c>
      <c r="B1125" s="7" t="s">
        <v>60</v>
      </c>
      <c r="C1125" s="7" t="s">
        <v>18</v>
      </c>
      <c r="D1125" s="4">
        <v>29435005009851</v>
      </c>
      <c r="E1125" s="8" t="s">
        <v>372</v>
      </c>
      <c r="F1125" s="8" t="s">
        <v>246</v>
      </c>
      <c r="G1125" s="7" t="s">
        <v>247</v>
      </c>
      <c r="H1125" s="47" t="s">
        <v>790</v>
      </c>
      <c r="I1125" s="47" t="s">
        <v>791</v>
      </c>
      <c r="J1125" s="6">
        <v>70</v>
      </c>
      <c r="K1125" s="8" t="s">
        <v>22</v>
      </c>
      <c r="L1125" s="5">
        <v>125</v>
      </c>
      <c r="P1125" s="3"/>
      <c r="Q1125" s="3"/>
      <c r="R1125" s="3"/>
    </row>
    <row r="1126" spans="1:18" x14ac:dyDescent="0.2">
      <c r="A1126" s="7" t="s">
        <v>16</v>
      </c>
      <c r="B1126" s="7" t="s">
        <v>60</v>
      </c>
      <c r="C1126" s="7" t="s">
        <v>18</v>
      </c>
      <c r="D1126" s="4">
        <v>30135335000188</v>
      </c>
      <c r="E1126" s="8" t="s">
        <v>623</v>
      </c>
      <c r="F1126" s="8" t="s">
        <v>225</v>
      </c>
      <c r="G1126" s="7" t="s">
        <v>226</v>
      </c>
      <c r="H1126" s="47" t="s">
        <v>790</v>
      </c>
      <c r="I1126" s="47" t="s">
        <v>791</v>
      </c>
      <c r="J1126" s="6">
        <v>70</v>
      </c>
      <c r="K1126" s="8" t="s">
        <v>22</v>
      </c>
      <c r="L1126" s="5">
        <v>455</v>
      </c>
      <c r="P1126" s="3"/>
      <c r="Q1126" s="3"/>
      <c r="R1126" s="3"/>
    </row>
    <row r="1127" spans="1:18" x14ac:dyDescent="0.2">
      <c r="A1127" s="7" t="s">
        <v>16</v>
      </c>
      <c r="B1127" s="7" t="s">
        <v>60</v>
      </c>
      <c r="C1127" s="7" t="s">
        <v>18</v>
      </c>
      <c r="D1127" s="4">
        <v>33000167002155</v>
      </c>
      <c r="E1127" s="8" t="s">
        <v>625</v>
      </c>
      <c r="F1127" s="8" t="s">
        <v>626</v>
      </c>
      <c r="G1127" s="7" t="s">
        <v>238</v>
      </c>
      <c r="H1127" s="47" t="s">
        <v>790</v>
      </c>
      <c r="I1127" s="47" t="s">
        <v>791</v>
      </c>
      <c r="J1127" s="6">
        <v>70</v>
      </c>
      <c r="K1127" s="8" t="s">
        <v>22</v>
      </c>
      <c r="L1127" s="5">
        <v>25</v>
      </c>
      <c r="P1127" s="3"/>
      <c r="Q1127" s="3"/>
      <c r="R1127" s="3"/>
    </row>
    <row r="1128" spans="1:18" x14ac:dyDescent="0.2">
      <c r="A1128" s="7" t="s">
        <v>16</v>
      </c>
      <c r="B1128" s="7" t="s">
        <v>60</v>
      </c>
      <c r="C1128" s="7" t="s">
        <v>18</v>
      </c>
      <c r="D1128" s="4">
        <v>60884855002289</v>
      </c>
      <c r="E1128" s="8" t="s">
        <v>378</v>
      </c>
      <c r="F1128" s="8" t="s">
        <v>225</v>
      </c>
      <c r="G1128" s="7" t="s">
        <v>226</v>
      </c>
      <c r="H1128" s="47" t="s">
        <v>790</v>
      </c>
      <c r="I1128" s="47" t="s">
        <v>791</v>
      </c>
      <c r="J1128" s="6">
        <v>70</v>
      </c>
      <c r="K1128" s="8" t="s">
        <v>22</v>
      </c>
      <c r="L1128" s="5">
        <v>650</v>
      </c>
      <c r="P1128" s="3"/>
      <c r="Q1128" s="3"/>
      <c r="R1128" s="3"/>
    </row>
    <row r="1129" spans="1:18" x14ac:dyDescent="0.2">
      <c r="A1129" s="7" t="s">
        <v>16</v>
      </c>
      <c r="B1129" s="7" t="s">
        <v>60</v>
      </c>
      <c r="C1129" s="7" t="s">
        <v>18</v>
      </c>
      <c r="D1129" s="4">
        <v>61590410001287</v>
      </c>
      <c r="E1129" s="8" t="s">
        <v>580</v>
      </c>
      <c r="F1129" s="8" t="s">
        <v>225</v>
      </c>
      <c r="G1129" s="7" t="s">
        <v>226</v>
      </c>
      <c r="H1129" s="47" t="s">
        <v>790</v>
      </c>
      <c r="I1129" s="47" t="s">
        <v>791</v>
      </c>
      <c r="J1129" s="6">
        <v>70</v>
      </c>
      <c r="K1129" s="8" t="s">
        <v>22</v>
      </c>
      <c r="L1129" s="5">
        <v>170</v>
      </c>
      <c r="P1129" s="3"/>
      <c r="Q1129" s="3"/>
      <c r="R1129" s="3"/>
    </row>
    <row r="1130" spans="1:18" x14ac:dyDescent="0.2">
      <c r="A1130" s="7" t="s">
        <v>16</v>
      </c>
      <c r="B1130" s="7" t="s">
        <v>60</v>
      </c>
      <c r="C1130" s="7" t="s">
        <v>18</v>
      </c>
      <c r="D1130" s="4">
        <v>83367342000252</v>
      </c>
      <c r="E1130" s="8" t="s">
        <v>590</v>
      </c>
      <c r="F1130" s="8" t="s">
        <v>219</v>
      </c>
      <c r="G1130" s="7" t="s">
        <v>220</v>
      </c>
      <c r="H1130" s="47" t="s">
        <v>790</v>
      </c>
      <c r="I1130" s="47" t="s">
        <v>791</v>
      </c>
      <c r="J1130" s="6">
        <v>70</v>
      </c>
      <c r="K1130" s="8" t="s">
        <v>22</v>
      </c>
      <c r="L1130" s="5">
        <v>40</v>
      </c>
      <c r="P1130" s="3"/>
      <c r="Q1130" s="3"/>
      <c r="R1130" s="3"/>
    </row>
    <row r="1131" spans="1:18" x14ac:dyDescent="0.2">
      <c r="A1131" s="7" t="s">
        <v>16</v>
      </c>
      <c r="B1131" s="7" t="s">
        <v>65</v>
      </c>
      <c r="C1131" s="7" t="s">
        <v>66</v>
      </c>
      <c r="D1131" s="4">
        <v>382069000127</v>
      </c>
      <c r="E1131" s="8" t="s">
        <v>472</v>
      </c>
      <c r="F1131" s="8" t="s">
        <v>225</v>
      </c>
      <c r="G1131" s="7" t="s">
        <v>226</v>
      </c>
      <c r="H1131" s="47" t="s">
        <v>790</v>
      </c>
      <c r="I1131" s="47" t="s">
        <v>791</v>
      </c>
      <c r="J1131" s="6">
        <v>70</v>
      </c>
      <c r="K1131" s="8" t="s">
        <v>22</v>
      </c>
      <c r="L1131" s="5">
        <v>0</v>
      </c>
      <c r="P1131" s="3"/>
      <c r="Q1131" s="3"/>
      <c r="R1131" s="3"/>
    </row>
    <row r="1132" spans="1:18" x14ac:dyDescent="0.2">
      <c r="A1132" s="7" t="s">
        <v>16</v>
      </c>
      <c r="B1132" s="7" t="s">
        <v>65</v>
      </c>
      <c r="C1132" s="7" t="s">
        <v>66</v>
      </c>
      <c r="D1132" s="4">
        <v>520237000101</v>
      </c>
      <c r="E1132" s="8" t="s">
        <v>243</v>
      </c>
      <c r="F1132" s="8" t="s">
        <v>225</v>
      </c>
      <c r="G1132" s="7" t="s">
        <v>226</v>
      </c>
      <c r="H1132" s="47" t="s">
        <v>790</v>
      </c>
      <c r="I1132" s="47" t="s">
        <v>791</v>
      </c>
      <c r="J1132" s="6">
        <v>70</v>
      </c>
      <c r="K1132" s="8" t="s">
        <v>22</v>
      </c>
      <c r="L1132" s="5">
        <v>250</v>
      </c>
      <c r="P1132" s="3"/>
      <c r="Q1132" s="3"/>
      <c r="R1132" s="3"/>
    </row>
    <row r="1133" spans="1:18" x14ac:dyDescent="0.2">
      <c r="A1133" s="7" t="s">
        <v>16</v>
      </c>
      <c r="B1133" s="7" t="s">
        <v>65</v>
      </c>
      <c r="C1133" s="7" t="s">
        <v>66</v>
      </c>
      <c r="D1133" s="4">
        <v>610980000144</v>
      </c>
      <c r="E1133" s="8" t="s">
        <v>244</v>
      </c>
      <c r="F1133" s="8" t="s">
        <v>225</v>
      </c>
      <c r="G1133" s="7" t="s">
        <v>226</v>
      </c>
      <c r="H1133" s="47" t="s">
        <v>790</v>
      </c>
      <c r="I1133" s="47" t="s">
        <v>791</v>
      </c>
      <c r="J1133" s="6">
        <v>70</v>
      </c>
      <c r="K1133" s="8" t="s">
        <v>22</v>
      </c>
      <c r="L1133" s="5">
        <v>50</v>
      </c>
      <c r="P1133" s="3"/>
      <c r="Q1133" s="3"/>
      <c r="R1133" s="3"/>
    </row>
    <row r="1134" spans="1:18" x14ac:dyDescent="0.2">
      <c r="A1134" s="7" t="s">
        <v>16</v>
      </c>
      <c r="B1134" s="7" t="s">
        <v>65</v>
      </c>
      <c r="C1134" s="7" t="s">
        <v>66</v>
      </c>
      <c r="D1134" s="4">
        <v>1011865000116</v>
      </c>
      <c r="E1134" s="8" t="s">
        <v>528</v>
      </c>
      <c r="F1134" s="8" t="s">
        <v>237</v>
      </c>
      <c r="G1134" s="7" t="s">
        <v>238</v>
      </c>
      <c r="H1134" s="47" t="s">
        <v>790</v>
      </c>
      <c r="I1134" s="47" t="s">
        <v>791</v>
      </c>
      <c r="J1134" s="6">
        <v>70</v>
      </c>
      <c r="K1134" s="8" t="s">
        <v>22</v>
      </c>
      <c r="L1134" s="5">
        <v>150</v>
      </c>
      <c r="P1134" s="3"/>
      <c r="Q1134" s="3"/>
      <c r="R1134" s="3"/>
    </row>
    <row r="1135" spans="1:18" x14ac:dyDescent="0.2">
      <c r="A1135" s="7" t="s">
        <v>16</v>
      </c>
      <c r="B1135" s="7" t="s">
        <v>65</v>
      </c>
      <c r="C1135" s="7" t="s">
        <v>66</v>
      </c>
      <c r="D1135" s="4">
        <v>1444455000169</v>
      </c>
      <c r="E1135" s="8" t="s">
        <v>1024</v>
      </c>
      <c r="F1135" s="8" t="s">
        <v>235</v>
      </c>
      <c r="G1135" s="7" t="s">
        <v>223</v>
      </c>
      <c r="H1135" s="47"/>
      <c r="I1135" s="47"/>
      <c r="J1135" s="6">
        <v>70</v>
      </c>
      <c r="K1135" s="8" t="s">
        <v>22</v>
      </c>
      <c r="L1135" s="5">
        <v>30</v>
      </c>
      <c r="P1135" s="3"/>
      <c r="Q1135" s="3"/>
      <c r="R1135" s="3"/>
    </row>
    <row r="1136" spans="1:18" x14ac:dyDescent="0.2">
      <c r="A1136" s="7" t="s">
        <v>16</v>
      </c>
      <c r="B1136" s="7" t="s">
        <v>65</v>
      </c>
      <c r="C1136" s="7" t="s">
        <v>66</v>
      </c>
      <c r="D1136" s="4">
        <v>2476067000394</v>
      </c>
      <c r="E1136" s="8" t="s">
        <v>537</v>
      </c>
      <c r="F1136" s="8" t="s">
        <v>237</v>
      </c>
      <c r="G1136" s="7" t="s">
        <v>238</v>
      </c>
      <c r="H1136" s="47" t="s">
        <v>790</v>
      </c>
      <c r="I1136" s="47" t="s">
        <v>791</v>
      </c>
      <c r="J1136" s="6">
        <v>70</v>
      </c>
      <c r="K1136" s="8" t="s">
        <v>22</v>
      </c>
      <c r="L1136" s="5">
        <v>45</v>
      </c>
      <c r="P1136" s="3"/>
      <c r="Q1136" s="3"/>
      <c r="R1136" s="3"/>
    </row>
    <row r="1137" spans="1:18" x14ac:dyDescent="0.2">
      <c r="A1137" s="7" t="s">
        <v>16</v>
      </c>
      <c r="B1137" s="7" t="s">
        <v>65</v>
      </c>
      <c r="C1137" s="7" t="s">
        <v>66</v>
      </c>
      <c r="D1137" s="4">
        <v>2560878000107</v>
      </c>
      <c r="E1137" s="8" t="s">
        <v>270</v>
      </c>
      <c r="F1137" s="8" t="s">
        <v>225</v>
      </c>
      <c r="G1137" s="7" t="s">
        <v>226</v>
      </c>
      <c r="H1137" s="47" t="s">
        <v>790</v>
      </c>
      <c r="I1137" s="47" t="s">
        <v>791</v>
      </c>
      <c r="J1137" s="6">
        <v>70</v>
      </c>
      <c r="K1137" s="8" t="s">
        <v>22</v>
      </c>
      <c r="L1137" s="5">
        <v>5</v>
      </c>
      <c r="P1137" s="3"/>
      <c r="Q1137" s="3"/>
      <c r="R1137" s="3"/>
    </row>
    <row r="1138" spans="1:18" x14ac:dyDescent="0.2">
      <c r="A1138" s="7" t="s">
        <v>16</v>
      </c>
      <c r="B1138" s="7" t="s">
        <v>65</v>
      </c>
      <c r="C1138" s="7" t="s">
        <v>66</v>
      </c>
      <c r="D1138" s="4">
        <v>3568867000136</v>
      </c>
      <c r="E1138" s="8" t="s">
        <v>514</v>
      </c>
      <c r="F1138" s="8" t="s">
        <v>225</v>
      </c>
      <c r="G1138" s="7" t="s">
        <v>226</v>
      </c>
      <c r="H1138" s="47" t="s">
        <v>790</v>
      </c>
      <c r="I1138" s="47" t="s">
        <v>791</v>
      </c>
      <c r="J1138" s="6">
        <v>70</v>
      </c>
      <c r="K1138" s="8" t="s">
        <v>22</v>
      </c>
      <c r="L1138" s="5">
        <v>430</v>
      </c>
      <c r="P1138" s="3"/>
      <c r="Q1138" s="3"/>
      <c r="R1138" s="3"/>
    </row>
    <row r="1139" spans="1:18" x14ac:dyDescent="0.2">
      <c r="A1139" s="7" t="s">
        <v>16</v>
      </c>
      <c r="B1139" s="7" t="s">
        <v>65</v>
      </c>
      <c r="C1139" s="7" t="s">
        <v>66</v>
      </c>
      <c r="D1139" s="4">
        <v>5612725000154</v>
      </c>
      <c r="E1139" s="8" t="s">
        <v>1025</v>
      </c>
      <c r="F1139" s="8" t="s">
        <v>361</v>
      </c>
      <c r="G1139" s="7" t="s">
        <v>362</v>
      </c>
      <c r="H1139" s="47"/>
      <c r="I1139" s="47"/>
      <c r="J1139" s="6">
        <v>70</v>
      </c>
      <c r="K1139" s="8" t="s">
        <v>22</v>
      </c>
      <c r="L1139" s="5">
        <v>30</v>
      </c>
      <c r="P1139" s="3"/>
      <c r="Q1139" s="3"/>
      <c r="R1139" s="3"/>
    </row>
    <row r="1140" spans="1:18" x14ac:dyDescent="0.2">
      <c r="A1140" s="7" t="s">
        <v>16</v>
      </c>
      <c r="B1140" s="7" t="s">
        <v>65</v>
      </c>
      <c r="C1140" s="7" t="s">
        <v>66</v>
      </c>
      <c r="D1140" s="4">
        <v>10839561000132</v>
      </c>
      <c r="E1140" s="8" t="s">
        <v>306</v>
      </c>
      <c r="F1140" s="8" t="s">
        <v>264</v>
      </c>
      <c r="G1140" s="7" t="s">
        <v>265</v>
      </c>
      <c r="H1140" s="47" t="s">
        <v>790</v>
      </c>
      <c r="I1140" s="47" t="s">
        <v>791</v>
      </c>
      <c r="J1140" s="6">
        <v>70</v>
      </c>
      <c r="K1140" s="8" t="s">
        <v>22</v>
      </c>
      <c r="L1140" s="5">
        <v>175</v>
      </c>
      <c r="P1140" s="3"/>
      <c r="Q1140" s="3"/>
      <c r="R1140" s="3"/>
    </row>
    <row r="1141" spans="1:18" x14ac:dyDescent="0.2">
      <c r="A1141" s="7" t="s">
        <v>16</v>
      </c>
      <c r="B1141" s="7" t="s">
        <v>65</v>
      </c>
      <c r="C1141" s="7" t="s">
        <v>66</v>
      </c>
      <c r="D1141" s="4">
        <v>10942995000163</v>
      </c>
      <c r="E1141" s="8" t="s">
        <v>433</v>
      </c>
      <c r="F1141" s="8" t="s">
        <v>225</v>
      </c>
      <c r="G1141" s="7" t="s">
        <v>226</v>
      </c>
      <c r="H1141" s="47" t="s">
        <v>790</v>
      </c>
      <c r="I1141" s="47" t="s">
        <v>791</v>
      </c>
      <c r="J1141" s="6">
        <v>70</v>
      </c>
      <c r="K1141" s="8" t="s">
        <v>22</v>
      </c>
      <c r="L1141" s="5">
        <v>350</v>
      </c>
      <c r="P1141" s="3"/>
      <c r="Q1141" s="3"/>
      <c r="R1141" s="3"/>
    </row>
    <row r="1142" spans="1:18" x14ac:dyDescent="0.2">
      <c r="A1142" s="7" t="s">
        <v>16</v>
      </c>
      <c r="B1142" s="7" t="s">
        <v>65</v>
      </c>
      <c r="C1142" s="7" t="s">
        <v>66</v>
      </c>
      <c r="D1142" s="4">
        <v>15242761000127</v>
      </c>
      <c r="E1142" s="8" t="s">
        <v>340</v>
      </c>
      <c r="F1142" s="8" t="s">
        <v>278</v>
      </c>
      <c r="G1142" s="7" t="s">
        <v>276</v>
      </c>
      <c r="H1142" s="47" t="s">
        <v>790</v>
      </c>
      <c r="I1142" s="47" t="s">
        <v>791</v>
      </c>
      <c r="J1142" s="6">
        <v>70</v>
      </c>
      <c r="K1142" s="8" t="s">
        <v>22</v>
      </c>
      <c r="L1142" s="5">
        <v>100</v>
      </c>
      <c r="P1142" s="3"/>
      <c r="Q1142" s="3"/>
      <c r="R1142" s="3"/>
    </row>
    <row r="1143" spans="1:18" x14ac:dyDescent="0.2">
      <c r="A1143" s="7" t="s">
        <v>16</v>
      </c>
      <c r="B1143" s="7" t="s">
        <v>65</v>
      </c>
      <c r="C1143" s="7" t="s">
        <v>66</v>
      </c>
      <c r="D1143" s="4">
        <v>60884855002289</v>
      </c>
      <c r="E1143" s="8" t="s">
        <v>378</v>
      </c>
      <c r="F1143" s="8" t="s">
        <v>225</v>
      </c>
      <c r="G1143" s="7" t="s">
        <v>226</v>
      </c>
      <c r="H1143" s="47" t="s">
        <v>790</v>
      </c>
      <c r="I1143" s="47" t="s">
        <v>791</v>
      </c>
      <c r="J1143" s="6">
        <v>70</v>
      </c>
      <c r="K1143" s="8" t="s">
        <v>22</v>
      </c>
      <c r="L1143" s="5">
        <v>675</v>
      </c>
      <c r="P1143" s="3"/>
      <c r="Q1143" s="3"/>
      <c r="R1143" s="3"/>
    </row>
    <row r="1144" spans="1:18" x14ac:dyDescent="0.2">
      <c r="A1144" s="7" t="s">
        <v>16</v>
      </c>
      <c r="B1144" s="7" t="s">
        <v>17</v>
      </c>
      <c r="C1144" s="7" t="s">
        <v>18</v>
      </c>
      <c r="D1144" s="4">
        <v>132229000180</v>
      </c>
      <c r="E1144" s="8" t="s">
        <v>525</v>
      </c>
      <c r="F1144" s="8" t="s">
        <v>235</v>
      </c>
      <c r="G1144" s="7" t="s">
        <v>223</v>
      </c>
      <c r="H1144" s="47" t="s">
        <v>784</v>
      </c>
      <c r="I1144" s="47" t="s">
        <v>785</v>
      </c>
      <c r="J1144" s="6">
        <v>70</v>
      </c>
      <c r="K1144" s="8" t="s">
        <v>22</v>
      </c>
      <c r="L1144" s="5">
        <v>120</v>
      </c>
      <c r="P1144" s="3"/>
      <c r="Q1144" s="3"/>
      <c r="R1144" s="3"/>
    </row>
    <row r="1145" spans="1:18" x14ac:dyDescent="0.2">
      <c r="A1145" s="7" t="s">
        <v>16</v>
      </c>
      <c r="B1145" s="7" t="s">
        <v>55</v>
      </c>
      <c r="C1145" s="7" t="s">
        <v>18</v>
      </c>
      <c r="D1145" s="4">
        <v>132229000180</v>
      </c>
      <c r="E1145" s="8" t="s">
        <v>525</v>
      </c>
      <c r="F1145" s="8" t="s">
        <v>235</v>
      </c>
      <c r="G1145" s="7" t="s">
        <v>223</v>
      </c>
      <c r="H1145" s="47" t="s">
        <v>784</v>
      </c>
      <c r="I1145" s="47" t="s">
        <v>785</v>
      </c>
      <c r="J1145" s="6">
        <v>70</v>
      </c>
      <c r="K1145" s="8" t="s">
        <v>22</v>
      </c>
      <c r="L1145" s="5">
        <v>180</v>
      </c>
      <c r="P1145" s="3"/>
      <c r="Q1145" s="3"/>
      <c r="R1145" s="3"/>
    </row>
    <row r="1146" spans="1:18" x14ac:dyDescent="0.2">
      <c r="A1146" s="7" t="s">
        <v>16</v>
      </c>
      <c r="B1146" s="7" t="s">
        <v>17</v>
      </c>
      <c r="C1146" s="7" t="s">
        <v>18</v>
      </c>
      <c r="D1146" s="4">
        <v>410960000120</v>
      </c>
      <c r="E1146" s="8" t="s">
        <v>234</v>
      </c>
      <c r="F1146" s="8" t="s">
        <v>235</v>
      </c>
      <c r="G1146" s="7" t="s">
        <v>223</v>
      </c>
      <c r="H1146" s="47" t="s">
        <v>784</v>
      </c>
      <c r="I1146" s="47" t="s">
        <v>785</v>
      </c>
      <c r="J1146" s="6">
        <v>70</v>
      </c>
      <c r="K1146" s="8" t="s">
        <v>22</v>
      </c>
      <c r="L1146" s="5">
        <v>882.5</v>
      </c>
      <c r="P1146" s="3"/>
      <c r="Q1146" s="3"/>
      <c r="R1146" s="3"/>
    </row>
    <row r="1147" spans="1:18" x14ac:dyDescent="0.2">
      <c r="A1147" s="7" t="s">
        <v>16</v>
      </c>
      <c r="B1147" s="7" t="s">
        <v>55</v>
      </c>
      <c r="C1147" s="7" t="s">
        <v>18</v>
      </c>
      <c r="D1147" s="4">
        <v>410960000120</v>
      </c>
      <c r="E1147" s="8" t="s">
        <v>234</v>
      </c>
      <c r="F1147" s="8" t="s">
        <v>235</v>
      </c>
      <c r="G1147" s="7" t="s">
        <v>223</v>
      </c>
      <c r="H1147" s="47" t="s">
        <v>784</v>
      </c>
      <c r="I1147" s="47" t="s">
        <v>785</v>
      </c>
      <c r="J1147" s="6">
        <v>70</v>
      </c>
      <c r="K1147" s="8" t="s">
        <v>22</v>
      </c>
      <c r="L1147" s="5">
        <v>685</v>
      </c>
      <c r="P1147" s="3"/>
      <c r="Q1147" s="3"/>
      <c r="R1147" s="3"/>
    </row>
    <row r="1148" spans="1:18" x14ac:dyDescent="0.2">
      <c r="A1148" s="7" t="s">
        <v>16</v>
      </c>
      <c r="B1148" s="7" t="s">
        <v>17</v>
      </c>
      <c r="C1148" s="7" t="s">
        <v>18</v>
      </c>
      <c r="D1148" s="4">
        <v>437007000175</v>
      </c>
      <c r="E1148" s="8" t="s">
        <v>239</v>
      </c>
      <c r="F1148" s="8" t="s">
        <v>240</v>
      </c>
      <c r="G1148" s="7" t="s">
        <v>241</v>
      </c>
      <c r="H1148" s="47" t="s">
        <v>784</v>
      </c>
      <c r="I1148" s="47" t="s">
        <v>785</v>
      </c>
      <c r="J1148" s="6">
        <v>70</v>
      </c>
      <c r="K1148" s="8" t="s">
        <v>22</v>
      </c>
      <c r="L1148" s="5">
        <v>420</v>
      </c>
      <c r="P1148" s="3"/>
      <c r="Q1148" s="3"/>
      <c r="R1148" s="3"/>
    </row>
    <row r="1149" spans="1:18" x14ac:dyDescent="0.2">
      <c r="A1149" s="7" t="s">
        <v>16</v>
      </c>
      <c r="B1149" s="7" t="s">
        <v>55</v>
      </c>
      <c r="C1149" s="7" t="s">
        <v>18</v>
      </c>
      <c r="D1149" s="4">
        <v>437007000175</v>
      </c>
      <c r="E1149" s="8" t="s">
        <v>239</v>
      </c>
      <c r="F1149" s="8" t="s">
        <v>240</v>
      </c>
      <c r="G1149" s="7" t="s">
        <v>241</v>
      </c>
      <c r="H1149" s="47" t="s">
        <v>784</v>
      </c>
      <c r="I1149" s="47" t="s">
        <v>785</v>
      </c>
      <c r="J1149" s="6">
        <v>70</v>
      </c>
      <c r="K1149" s="8" t="s">
        <v>22</v>
      </c>
      <c r="L1149" s="5">
        <v>505</v>
      </c>
      <c r="P1149" s="3"/>
      <c r="Q1149" s="3"/>
      <c r="R1149" s="3"/>
    </row>
    <row r="1150" spans="1:18" x14ac:dyDescent="0.2">
      <c r="A1150" s="7" t="s">
        <v>16</v>
      </c>
      <c r="B1150" s="7" t="s">
        <v>17</v>
      </c>
      <c r="C1150" s="7" t="s">
        <v>18</v>
      </c>
      <c r="D1150" s="4">
        <v>521197000104</v>
      </c>
      <c r="E1150" s="8" t="s">
        <v>526</v>
      </c>
      <c r="F1150" s="8" t="s">
        <v>240</v>
      </c>
      <c r="G1150" s="7" t="s">
        <v>241</v>
      </c>
      <c r="H1150" s="47" t="s">
        <v>784</v>
      </c>
      <c r="I1150" s="47" t="s">
        <v>785</v>
      </c>
      <c r="J1150" s="6">
        <v>70</v>
      </c>
      <c r="K1150" s="8" t="s">
        <v>22</v>
      </c>
      <c r="L1150" s="5">
        <v>237.5</v>
      </c>
      <c r="P1150" s="3"/>
      <c r="Q1150" s="3"/>
      <c r="R1150" s="3"/>
    </row>
    <row r="1151" spans="1:18" x14ac:dyDescent="0.2">
      <c r="A1151" s="7" t="s">
        <v>16</v>
      </c>
      <c r="B1151" s="7" t="s">
        <v>55</v>
      </c>
      <c r="C1151" s="7" t="s">
        <v>18</v>
      </c>
      <c r="D1151" s="4">
        <v>521197000104</v>
      </c>
      <c r="E1151" s="8" t="s">
        <v>526</v>
      </c>
      <c r="F1151" s="8" t="s">
        <v>240</v>
      </c>
      <c r="G1151" s="7" t="s">
        <v>241</v>
      </c>
      <c r="H1151" s="47" t="s">
        <v>784</v>
      </c>
      <c r="I1151" s="47" t="s">
        <v>785</v>
      </c>
      <c r="J1151" s="6">
        <v>70</v>
      </c>
      <c r="K1151" s="8" t="s">
        <v>22</v>
      </c>
      <c r="L1151" s="5">
        <v>637.5</v>
      </c>
      <c r="P1151" s="3"/>
      <c r="Q1151" s="3"/>
      <c r="R1151" s="3"/>
    </row>
    <row r="1152" spans="1:18" x14ac:dyDescent="0.2">
      <c r="A1152" s="7" t="s">
        <v>16</v>
      </c>
      <c r="B1152" s="7" t="s">
        <v>17</v>
      </c>
      <c r="C1152" s="7" t="s">
        <v>18</v>
      </c>
      <c r="D1152" s="4">
        <v>942063000167</v>
      </c>
      <c r="E1152" s="8" t="s">
        <v>527</v>
      </c>
      <c r="F1152" s="8" t="s">
        <v>385</v>
      </c>
      <c r="G1152" s="7" t="s">
        <v>233</v>
      </c>
      <c r="H1152" s="47" t="s">
        <v>784</v>
      </c>
      <c r="I1152" s="47" t="s">
        <v>785</v>
      </c>
      <c r="J1152" s="6">
        <v>70</v>
      </c>
      <c r="K1152" s="8" t="s">
        <v>22</v>
      </c>
      <c r="L1152" s="5">
        <v>1115</v>
      </c>
      <c r="P1152" s="3"/>
      <c r="Q1152" s="3"/>
      <c r="R1152" s="3"/>
    </row>
    <row r="1153" spans="1:18" x14ac:dyDescent="0.2">
      <c r="A1153" s="7" t="s">
        <v>16</v>
      </c>
      <c r="B1153" s="7" t="s">
        <v>55</v>
      </c>
      <c r="C1153" s="7" t="s">
        <v>18</v>
      </c>
      <c r="D1153" s="4">
        <v>942063000167</v>
      </c>
      <c r="E1153" s="8" t="s">
        <v>527</v>
      </c>
      <c r="F1153" s="8" t="s">
        <v>385</v>
      </c>
      <c r="G1153" s="7" t="s">
        <v>233</v>
      </c>
      <c r="H1153" s="47" t="s">
        <v>784</v>
      </c>
      <c r="I1153" s="47" t="s">
        <v>785</v>
      </c>
      <c r="J1153" s="6">
        <v>70</v>
      </c>
      <c r="K1153" s="8" t="s">
        <v>22</v>
      </c>
      <c r="L1153" s="5">
        <v>1755</v>
      </c>
      <c r="P1153" s="3"/>
      <c r="Q1153" s="3"/>
      <c r="R1153" s="3"/>
    </row>
    <row r="1154" spans="1:18" x14ac:dyDescent="0.2">
      <c r="A1154" s="7" t="s">
        <v>16</v>
      </c>
      <c r="B1154" s="7" t="s">
        <v>17</v>
      </c>
      <c r="C1154" s="7" t="s">
        <v>18</v>
      </c>
      <c r="D1154" s="4">
        <v>1125832000105</v>
      </c>
      <c r="E1154" s="8" t="s">
        <v>529</v>
      </c>
      <c r="F1154" s="8" t="s">
        <v>388</v>
      </c>
      <c r="G1154" s="7" t="s">
        <v>259</v>
      </c>
      <c r="H1154" s="47" t="s">
        <v>784</v>
      </c>
      <c r="I1154" s="47" t="s">
        <v>785</v>
      </c>
      <c r="J1154" s="6">
        <v>70</v>
      </c>
      <c r="K1154" s="8" t="s">
        <v>22</v>
      </c>
      <c r="L1154" s="5">
        <v>120</v>
      </c>
      <c r="P1154" s="3"/>
      <c r="Q1154" s="3"/>
      <c r="R1154" s="3"/>
    </row>
    <row r="1155" spans="1:18" x14ac:dyDescent="0.2">
      <c r="A1155" s="7" t="s">
        <v>16</v>
      </c>
      <c r="B1155" s="7" t="s">
        <v>55</v>
      </c>
      <c r="C1155" s="7" t="s">
        <v>18</v>
      </c>
      <c r="D1155" s="4">
        <v>1125832000105</v>
      </c>
      <c r="E1155" s="8" t="s">
        <v>529</v>
      </c>
      <c r="F1155" s="8" t="s">
        <v>388</v>
      </c>
      <c r="G1155" s="7" t="s">
        <v>259</v>
      </c>
      <c r="H1155" s="47" t="s">
        <v>784</v>
      </c>
      <c r="I1155" s="47" t="s">
        <v>785</v>
      </c>
      <c r="J1155" s="6">
        <v>70</v>
      </c>
      <c r="K1155" s="8" t="s">
        <v>22</v>
      </c>
      <c r="L1155" s="5">
        <v>60</v>
      </c>
      <c r="P1155" s="3"/>
      <c r="Q1155" s="3"/>
      <c r="R1155" s="3"/>
    </row>
    <row r="1156" spans="1:18" x14ac:dyDescent="0.2">
      <c r="A1156" s="7" t="s">
        <v>16</v>
      </c>
      <c r="B1156" s="7" t="s">
        <v>17</v>
      </c>
      <c r="C1156" s="7" t="s">
        <v>18</v>
      </c>
      <c r="D1156" s="4">
        <v>1396804000114</v>
      </c>
      <c r="E1156" s="8" t="s">
        <v>532</v>
      </c>
      <c r="F1156" s="8" t="s">
        <v>417</v>
      </c>
      <c r="G1156" s="7" t="s">
        <v>418</v>
      </c>
      <c r="H1156" s="47" t="s">
        <v>784</v>
      </c>
      <c r="I1156" s="47" t="s">
        <v>785</v>
      </c>
      <c r="J1156" s="6">
        <v>70</v>
      </c>
      <c r="K1156" s="8" t="s">
        <v>22</v>
      </c>
      <c r="L1156" s="5">
        <v>40</v>
      </c>
      <c r="P1156" s="3"/>
      <c r="Q1156" s="3"/>
      <c r="R1156" s="3"/>
    </row>
    <row r="1157" spans="1:18" x14ac:dyDescent="0.2">
      <c r="A1157" s="7" t="s">
        <v>16</v>
      </c>
      <c r="B1157" s="7" t="s">
        <v>55</v>
      </c>
      <c r="C1157" s="7" t="s">
        <v>18</v>
      </c>
      <c r="D1157" s="4">
        <v>1396804000114</v>
      </c>
      <c r="E1157" s="8" t="s">
        <v>532</v>
      </c>
      <c r="F1157" s="8" t="s">
        <v>417</v>
      </c>
      <c r="G1157" s="7" t="s">
        <v>418</v>
      </c>
      <c r="H1157" s="47" t="s">
        <v>784</v>
      </c>
      <c r="I1157" s="47" t="s">
        <v>785</v>
      </c>
      <c r="J1157" s="6">
        <v>70</v>
      </c>
      <c r="K1157" s="8" t="s">
        <v>22</v>
      </c>
      <c r="L1157" s="5">
        <v>25</v>
      </c>
      <c r="P1157" s="3"/>
      <c r="Q1157" s="3"/>
      <c r="R1157" s="3"/>
    </row>
    <row r="1158" spans="1:18" x14ac:dyDescent="0.2">
      <c r="A1158" s="7" t="s">
        <v>16</v>
      </c>
      <c r="B1158" s="7" t="s">
        <v>55</v>
      </c>
      <c r="C1158" s="7" t="s">
        <v>18</v>
      </c>
      <c r="D1158" s="4">
        <v>1517626000132</v>
      </c>
      <c r="E1158" s="8" t="s">
        <v>257</v>
      </c>
      <c r="F1158" s="8" t="s">
        <v>258</v>
      </c>
      <c r="G1158" s="7" t="s">
        <v>259</v>
      </c>
      <c r="H1158" s="47" t="s">
        <v>784</v>
      </c>
      <c r="I1158" s="47" t="s">
        <v>785</v>
      </c>
      <c r="J1158" s="6">
        <v>70</v>
      </c>
      <c r="K1158" s="8" t="s">
        <v>22</v>
      </c>
      <c r="L1158" s="5">
        <v>190</v>
      </c>
      <c r="P1158" s="3"/>
      <c r="Q1158" s="3"/>
      <c r="R1158" s="3"/>
    </row>
    <row r="1159" spans="1:18" x14ac:dyDescent="0.2">
      <c r="A1159" s="7" t="s">
        <v>16</v>
      </c>
      <c r="B1159" s="7" t="s">
        <v>17</v>
      </c>
      <c r="C1159" s="7" t="s">
        <v>18</v>
      </c>
      <c r="D1159" s="4">
        <v>1554266000300</v>
      </c>
      <c r="E1159" s="8" t="s">
        <v>534</v>
      </c>
      <c r="F1159" s="8" t="s">
        <v>512</v>
      </c>
      <c r="G1159" s="7" t="s">
        <v>259</v>
      </c>
      <c r="H1159" s="47" t="s">
        <v>784</v>
      </c>
      <c r="I1159" s="47" t="s">
        <v>785</v>
      </c>
      <c r="J1159" s="6">
        <v>70</v>
      </c>
      <c r="K1159" s="8" t="s">
        <v>22</v>
      </c>
      <c r="L1159" s="5">
        <v>35</v>
      </c>
      <c r="P1159" s="3"/>
      <c r="Q1159" s="3"/>
      <c r="R1159" s="3"/>
    </row>
    <row r="1160" spans="1:18" x14ac:dyDescent="0.2">
      <c r="A1160" s="7" t="s">
        <v>16</v>
      </c>
      <c r="B1160" s="7" t="s">
        <v>55</v>
      </c>
      <c r="C1160" s="7" t="s">
        <v>18</v>
      </c>
      <c r="D1160" s="4">
        <v>1554266000300</v>
      </c>
      <c r="E1160" s="8" t="s">
        <v>534</v>
      </c>
      <c r="F1160" s="8" t="s">
        <v>512</v>
      </c>
      <c r="G1160" s="7" t="s">
        <v>259</v>
      </c>
      <c r="H1160" s="47" t="s">
        <v>784</v>
      </c>
      <c r="I1160" s="47" t="s">
        <v>785</v>
      </c>
      <c r="J1160" s="6">
        <v>70</v>
      </c>
      <c r="K1160" s="8" t="s">
        <v>22</v>
      </c>
      <c r="L1160" s="5">
        <v>140</v>
      </c>
      <c r="P1160" s="3"/>
      <c r="Q1160" s="3"/>
      <c r="R1160" s="3"/>
    </row>
    <row r="1161" spans="1:18" x14ac:dyDescent="0.2">
      <c r="A1161" s="7" t="s">
        <v>16</v>
      </c>
      <c r="B1161" s="7" t="s">
        <v>17</v>
      </c>
      <c r="C1161" s="7" t="s">
        <v>18</v>
      </c>
      <c r="D1161" s="4">
        <v>2623693000102</v>
      </c>
      <c r="E1161" s="8" t="s">
        <v>538</v>
      </c>
      <c r="F1161" s="8" t="s">
        <v>235</v>
      </c>
      <c r="G1161" s="7" t="s">
        <v>223</v>
      </c>
      <c r="H1161" s="47" t="s">
        <v>784</v>
      </c>
      <c r="I1161" s="47" t="s">
        <v>785</v>
      </c>
      <c r="J1161" s="6">
        <v>70</v>
      </c>
      <c r="K1161" s="8" t="s">
        <v>22</v>
      </c>
      <c r="L1161" s="5">
        <v>20</v>
      </c>
      <c r="P1161" s="3"/>
      <c r="Q1161" s="3"/>
      <c r="R1161" s="3"/>
    </row>
    <row r="1162" spans="1:18" x14ac:dyDescent="0.2">
      <c r="A1162" s="7" t="s">
        <v>16</v>
      </c>
      <c r="B1162" s="7" t="s">
        <v>17</v>
      </c>
      <c r="C1162" s="7" t="s">
        <v>18</v>
      </c>
      <c r="D1162" s="4">
        <v>2862447000286</v>
      </c>
      <c r="E1162" s="8" t="s">
        <v>539</v>
      </c>
      <c r="F1162" s="8" t="s">
        <v>385</v>
      </c>
      <c r="G1162" s="7" t="s">
        <v>233</v>
      </c>
      <c r="H1162" s="47" t="s">
        <v>784</v>
      </c>
      <c r="I1162" s="47" t="s">
        <v>785</v>
      </c>
      <c r="J1162" s="6">
        <v>70</v>
      </c>
      <c r="K1162" s="8" t="s">
        <v>22</v>
      </c>
      <c r="L1162" s="5">
        <v>40</v>
      </c>
      <c r="P1162" s="3"/>
      <c r="Q1162" s="3"/>
      <c r="R1162" s="3"/>
    </row>
    <row r="1163" spans="1:18" x14ac:dyDescent="0.2">
      <c r="A1163" s="7" t="s">
        <v>16</v>
      </c>
      <c r="B1163" s="7" t="s">
        <v>17</v>
      </c>
      <c r="C1163" s="7" t="s">
        <v>18</v>
      </c>
      <c r="D1163" s="4">
        <v>3824198000116</v>
      </c>
      <c r="E1163" s="8" t="s">
        <v>541</v>
      </c>
      <c r="F1163" s="8" t="s">
        <v>385</v>
      </c>
      <c r="G1163" s="7" t="s">
        <v>233</v>
      </c>
      <c r="H1163" s="47" t="s">
        <v>784</v>
      </c>
      <c r="I1163" s="47" t="s">
        <v>785</v>
      </c>
      <c r="J1163" s="6">
        <v>70</v>
      </c>
      <c r="K1163" s="8" t="s">
        <v>22</v>
      </c>
      <c r="L1163" s="5">
        <v>250</v>
      </c>
      <c r="P1163" s="3"/>
      <c r="Q1163" s="3"/>
      <c r="R1163" s="3"/>
    </row>
    <row r="1164" spans="1:18" x14ac:dyDescent="0.2">
      <c r="A1164" s="7" t="s">
        <v>16</v>
      </c>
      <c r="B1164" s="7" t="s">
        <v>55</v>
      </c>
      <c r="C1164" s="7" t="s">
        <v>18</v>
      </c>
      <c r="D1164" s="4">
        <v>3824198000116</v>
      </c>
      <c r="E1164" s="8" t="s">
        <v>541</v>
      </c>
      <c r="F1164" s="8" t="s">
        <v>385</v>
      </c>
      <c r="G1164" s="7" t="s">
        <v>233</v>
      </c>
      <c r="H1164" s="47" t="s">
        <v>784</v>
      </c>
      <c r="I1164" s="47" t="s">
        <v>785</v>
      </c>
      <c r="J1164" s="6">
        <v>70</v>
      </c>
      <c r="K1164" s="8" t="s">
        <v>22</v>
      </c>
      <c r="L1164" s="5">
        <v>250</v>
      </c>
      <c r="P1164" s="3"/>
      <c r="Q1164" s="3"/>
      <c r="R1164" s="3"/>
    </row>
    <row r="1165" spans="1:18" x14ac:dyDescent="0.2">
      <c r="A1165" s="7" t="s">
        <v>16</v>
      </c>
      <c r="B1165" s="7" t="s">
        <v>17</v>
      </c>
      <c r="C1165" s="7" t="s">
        <v>18</v>
      </c>
      <c r="D1165" s="4">
        <v>3850913000195</v>
      </c>
      <c r="E1165" s="8" t="s">
        <v>542</v>
      </c>
      <c r="F1165" s="8" t="s">
        <v>385</v>
      </c>
      <c r="G1165" s="7" t="s">
        <v>233</v>
      </c>
      <c r="H1165" s="47" t="s">
        <v>784</v>
      </c>
      <c r="I1165" s="47" t="s">
        <v>785</v>
      </c>
      <c r="J1165" s="6">
        <v>70</v>
      </c>
      <c r="K1165" s="8" t="s">
        <v>22</v>
      </c>
      <c r="L1165" s="5">
        <v>665</v>
      </c>
      <c r="P1165" s="3"/>
      <c r="Q1165" s="3"/>
      <c r="R1165" s="3"/>
    </row>
    <row r="1166" spans="1:18" x14ac:dyDescent="0.2">
      <c r="A1166" s="7" t="s">
        <v>16</v>
      </c>
      <c r="B1166" s="7" t="s">
        <v>55</v>
      </c>
      <c r="C1166" s="7" t="s">
        <v>18</v>
      </c>
      <c r="D1166" s="4">
        <v>3850913000195</v>
      </c>
      <c r="E1166" s="8" t="s">
        <v>542</v>
      </c>
      <c r="F1166" s="8" t="s">
        <v>385</v>
      </c>
      <c r="G1166" s="7" t="s">
        <v>233</v>
      </c>
      <c r="H1166" s="47" t="s">
        <v>784</v>
      </c>
      <c r="I1166" s="47" t="s">
        <v>785</v>
      </c>
      <c r="J1166" s="6">
        <v>70</v>
      </c>
      <c r="K1166" s="8" t="s">
        <v>22</v>
      </c>
      <c r="L1166" s="5">
        <v>520</v>
      </c>
      <c r="P1166" s="3"/>
      <c r="Q1166" s="3"/>
      <c r="R1166" s="3"/>
    </row>
    <row r="1167" spans="1:18" x14ac:dyDescent="0.2">
      <c r="A1167" s="7" t="s">
        <v>16</v>
      </c>
      <c r="B1167" s="7" t="s">
        <v>55</v>
      </c>
      <c r="C1167" s="7" t="s">
        <v>18</v>
      </c>
      <c r="D1167" s="4">
        <v>1880344000103</v>
      </c>
      <c r="E1167" s="8" t="s">
        <v>513</v>
      </c>
      <c r="F1167" s="8" t="s">
        <v>380</v>
      </c>
      <c r="G1167" s="7" t="s">
        <v>259</v>
      </c>
      <c r="H1167" s="47" t="s">
        <v>784</v>
      </c>
      <c r="I1167" s="47" t="s">
        <v>785</v>
      </c>
      <c r="J1167" s="6">
        <v>70</v>
      </c>
      <c r="K1167" s="8" t="s">
        <v>22</v>
      </c>
      <c r="L1167" s="5">
        <v>70</v>
      </c>
      <c r="P1167" s="3"/>
      <c r="Q1167" s="3"/>
      <c r="R1167" s="3"/>
    </row>
    <row r="1168" spans="1:18" x14ac:dyDescent="0.2">
      <c r="A1168" s="7" t="s">
        <v>16</v>
      </c>
      <c r="B1168" s="7" t="s">
        <v>17</v>
      </c>
      <c r="C1168" s="7" t="s">
        <v>18</v>
      </c>
      <c r="D1168" s="4">
        <v>4670913000176</v>
      </c>
      <c r="E1168" s="8" t="s">
        <v>515</v>
      </c>
      <c r="F1168" s="8" t="s">
        <v>388</v>
      </c>
      <c r="G1168" s="7" t="s">
        <v>259</v>
      </c>
      <c r="H1168" s="47" t="s">
        <v>784</v>
      </c>
      <c r="I1168" s="47" t="s">
        <v>785</v>
      </c>
      <c r="J1168" s="6">
        <v>70</v>
      </c>
      <c r="K1168" s="8" t="s">
        <v>22</v>
      </c>
      <c r="L1168" s="5">
        <v>215</v>
      </c>
      <c r="P1168" s="3"/>
      <c r="Q1168" s="3"/>
      <c r="R1168" s="3"/>
    </row>
    <row r="1169" spans="1:18" x14ac:dyDescent="0.2">
      <c r="A1169" s="7" t="s">
        <v>16</v>
      </c>
      <c r="B1169" s="7" t="s">
        <v>55</v>
      </c>
      <c r="C1169" s="7" t="s">
        <v>18</v>
      </c>
      <c r="D1169" s="4">
        <v>4670913000176</v>
      </c>
      <c r="E1169" s="8" t="s">
        <v>515</v>
      </c>
      <c r="F1169" s="8" t="s">
        <v>388</v>
      </c>
      <c r="G1169" s="7" t="s">
        <v>259</v>
      </c>
      <c r="H1169" s="47" t="s">
        <v>784</v>
      </c>
      <c r="I1169" s="47" t="s">
        <v>785</v>
      </c>
      <c r="J1169" s="6">
        <v>70</v>
      </c>
      <c r="K1169" s="8" t="s">
        <v>22</v>
      </c>
      <c r="L1169" s="5">
        <v>245</v>
      </c>
      <c r="P1169" s="3"/>
      <c r="Q1169" s="3"/>
      <c r="R1169" s="3"/>
    </row>
    <row r="1170" spans="1:18" x14ac:dyDescent="0.2">
      <c r="A1170" s="7" t="s">
        <v>16</v>
      </c>
      <c r="B1170" s="7" t="s">
        <v>55</v>
      </c>
      <c r="C1170" s="7" t="s">
        <v>18</v>
      </c>
      <c r="D1170" s="4">
        <v>4762301000103</v>
      </c>
      <c r="E1170" s="8" t="s">
        <v>600</v>
      </c>
      <c r="F1170" s="8" t="s">
        <v>583</v>
      </c>
      <c r="G1170" s="7" t="s">
        <v>233</v>
      </c>
      <c r="H1170" s="47" t="s">
        <v>784</v>
      </c>
      <c r="I1170" s="47" t="s">
        <v>785</v>
      </c>
      <c r="J1170" s="6">
        <v>70</v>
      </c>
      <c r="K1170" s="8" t="s">
        <v>22</v>
      </c>
      <c r="L1170" s="5">
        <v>180</v>
      </c>
      <c r="P1170" s="3"/>
      <c r="Q1170" s="3"/>
      <c r="R1170" s="3"/>
    </row>
    <row r="1171" spans="1:18" x14ac:dyDescent="0.2">
      <c r="A1171" s="7" t="s">
        <v>16</v>
      </c>
      <c r="B1171" s="7" t="s">
        <v>17</v>
      </c>
      <c r="C1171" s="7" t="s">
        <v>18</v>
      </c>
      <c r="D1171" s="4">
        <v>7039651000134</v>
      </c>
      <c r="E1171" s="8" t="s">
        <v>547</v>
      </c>
      <c r="F1171" s="8" t="s">
        <v>548</v>
      </c>
      <c r="G1171" s="7" t="s">
        <v>418</v>
      </c>
      <c r="H1171" s="47" t="s">
        <v>784</v>
      </c>
      <c r="I1171" s="47" t="s">
        <v>785</v>
      </c>
      <c r="J1171" s="6">
        <v>70</v>
      </c>
      <c r="K1171" s="8" t="s">
        <v>22</v>
      </c>
      <c r="L1171" s="5">
        <v>15</v>
      </c>
      <c r="P1171" s="3"/>
      <c r="Q1171" s="3"/>
      <c r="R1171" s="3"/>
    </row>
    <row r="1172" spans="1:18" x14ac:dyDescent="0.2">
      <c r="A1172" s="7" t="s">
        <v>16</v>
      </c>
      <c r="B1172" s="7" t="s">
        <v>17</v>
      </c>
      <c r="C1172" s="7" t="s">
        <v>18</v>
      </c>
      <c r="D1172" s="4">
        <v>7088017000191</v>
      </c>
      <c r="E1172" s="8" t="s">
        <v>549</v>
      </c>
      <c r="F1172" s="8" t="s">
        <v>550</v>
      </c>
      <c r="G1172" s="7" t="s">
        <v>233</v>
      </c>
      <c r="H1172" s="47" t="s">
        <v>784</v>
      </c>
      <c r="I1172" s="47" t="s">
        <v>785</v>
      </c>
      <c r="J1172" s="6">
        <v>70</v>
      </c>
      <c r="K1172" s="8" t="s">
        <v>22</v>
      </c>
      <c r="L1172" s="5">
        <v>120</v>
      </c>
      <c r="P1172" s="3"/>
      <c r="Q1172" s="3"/>
      <c r="R1172" s="3"/>
    </row>
    <row r="1173" spans="1:18" x14ac:dyDescent="0.2">
      <c r="A1173" s="7" t="s">
        <v>16</v>
      </c>
      <c r="B1173" s="7" t="s">
        <v>17</v>
      </c>
      <c r="C1173" s="7" t="s">
        <v>18</v>
      </c>
      <c r="D1173" s="4">
        <v>7404052000172</v>
      </c>
      <c r="E1173" s="8" t="s">
        <v>516</v>
      </c>
      <c r="F1173" s="8" t="s">
        <v>385</v>
      </c>
      <c r="G1173" s="7" t="s">
        <v>233</v>
      </c>
      <c r="H1173" s="47" t="s">
        <v>784</v>
      </c>
      <c r="I1173" s="47" t="s">
        <v>785</v>
      </c>
      <c r="J1173" s="6">
        <v>70</v>
      </c>
      <c r="K1173" s="8" t="s">
        <v>22</v>
      </c>
      <c r="L1173" s="5">
        <v>105</v>
      </c>
      <c r="P1173" s="3"/>
      <c r="Q1173" s="3"/>
      <c r="R1173" s="3"/>
    </row>
    <row r="1174" spans="1:18" x14ac:dyDescent="0.2">
      <c r="A1174" s="7" t="s">
        <v>16</v>
      </c>
      <c r="B1174" s="7" t="s">
        <v>17</v>
      </c>
      <c r="C1174" s="7" t="s">
        <v>18</v>
      </c>
      <c r="D1174" s="4">
        <v>7734165000136</v>
      </c>
      <c r="E1174" s="8" t="s">
        <v>425</v>
      </c>
      <c r="F1174" s="8" t="s">
        <v>385</v>
      </c>
      <c r="G1174" s="7" t="s">
        <v>233</v>
      </c>
      <c r="H1174" s="47" t="s">
        <v>784</v>
      </c>
      <c r="I1174" s="47" t="s">
        <v>785</v>
      </c>
      <c r="J1174" s="6">
        <v>70</v>
      </c>
      <c r="K1174" s="8" t="s">
        <v>22</v>
      </c>
      <c r="L1174" s="5">
        <v>4500</v>
      </c>
      <c r="P1174" s="3"/>
      <c r="Q1174" s="3"/>
      <c r="R1174" s="3"/>
    </row>
    <row r="1175" spans="1:18" x14ac:dyDescent="0.2">
      <c r="A1175" s="7" t="s">
        <v>16</v>
      </c>
      <c r="B1175" s="7" t="s">
        <v>17</v>
      </c>
      <c r="C1175" s="7" t="s">
        <v>18</v>
      </c>
      <c r="D1175" s="4">
        <v>7794623002257</v>
      </c>
      <c r="E1175" s="8" t="s">
        <v>552</v>
      </c>
      <c r="F1175" s="8" t="s">
        <v>553</v>
      </c>
      <c r="G1175" s="7" t="s">
        <v>233</v>
      </c>
      <c r="H1175" s="47" t="s">
        <v>784</v>
      </c>
      <c r="I1175" s="47" t="s">
        <v>785</v>
      </c>
      <c r="J1175" s="6">
        <v>70</v>
      </c>
      <c r="K1175" s="8" t="s">
        <v>22</v>
      </c>
      <c r="L1175" s="5">
        <v>515</v>
      </c>
      <c r="P1175" s="3"/>
      <c r="Q1175" s="3"/>
      <c r="R1175" s="3"/>
    </row>
    <row r="1176" spans="1:18" x14ac:dyDescent="0.2">
      <c r="A1176" s="7" t="s">
        <v>16</v>
      </c>
      <c r="B1176" s="7" t="s">
        <v>17</v>
      </c>
      <c r="C1176" s="7" t="s">
        <v>18</v>
      </c>
      <c r="D1176" s="4">
        <v>8597121000174</v>
      </c>
      <c r="E1176" s="8" t="s">
        <v>428</v>
      </c>
      <c r="F1176" s="8" t="s">
        <v>385</v>
      </c>
      <c r="G1176" s="7" t="s">
        <v>233</v>
      </c>
      <c r="H1176" s="47" t="s">
        <v>784</v>
      </c>
      <c r="I1176" s="47" t="s">
        <v>785</v>
      </c>
      <c r="J1176" s="6">
        <v>70</v>
      </c>
      <c r="K1176" s="8" t="s">
        <v>22</v>
      </c>
      <c r="L1176" s="5">
        <v>14000</v>
      </c>
      <c r="P1176" s="3"/>
      <c r="Q1176" s="3"/>
      <c r="R1176" s="3"/>
    </row>
    <row r="1177" spans="1:18" x14ac:dyDescent="0.2">
      <c r="A1177" s="7" t="s">
        <v>16</v>
      </c>
      <c r="B1177" s="7" t="s">
        <v>17</v>
      </c>
      <c r="C1177" s="7" t="s">
        <v>18</v>
      </c>
      <c r="D1177" s="4">
        <v>9572216000287</v>
      </c>
      <c r="E1177" s="8" t="s">
        <v>557</v>
      </c>
      <c r="F1177" s="8" t="s">
        <v>558</v>
      </c>
      <c r="G1177" s="7" t="s">
        <v>253</v>
      </c>
      <c r="H1177" s="47" t="s">
        <v>784</v>
      </c>
      <c r="I1177" s="47" t="s">
        <v>785</v>
      </c>
      <c r="J1177" s="6">
        <v>70</v>
      </c>
      <c r="K1177" s="8" t="s">
        <v>22</v>
      </c>
      <c r="L1177" s="5">
        <v>90</v>
      </c>
      <c r="P1177" s="3"/>
      <c r="Q1177" s="3"/>
      <c r="R1177" s="3"/>
    </row>
    <row r="1178" spans="1:18" x14ac:dyDescent="0.2">
      <c r="A1178" s="7" t="s">
        <v>16</v>
      </c>
      <c r="B1178" s="7" t="s">
        <v>17</v>
      </c>
      <c r="C1178" s="7" t="s">
        <v>18</v>
      </c>
      <c r="D1178" s="4">
        <v>9605231000284</v>
      </c>
      <c r="E1178" s="8" t="s">
        <v>559</v>
      </c>
      <c r="F1178" s="8" t="s">
        <v>331</v>
      </c>
      <c r="G1178" s="7" t="s">
        <v>253</v>
      </c>
      <c r="H1178" s="47" t="s">
        <v>784</v>
      </c>
      <c r="I1178" s="47" t="s">
        <v>785</v>
      </c>
      <c r="J1178" s="6">
        <v>70</v>
      </c>
      <c r="K1178" s="8" t="s">
        <v>22</v>
      </c>
      <c r="L1178" s="5">
        <v>100</v>
      </c>
      <c r="P1178" s="3"/>
      <c r="Q1178" s="3"/>
      <c r="R1178" s="3"/>
    </row>
    <row r="1179" spans="1:18" x14ac:dyDescent="0.2">
      <c r="A1179" s="7" t="s">
        <v>16</v>
      </c>
      <c r="B1179" s="7" t="s">
        <v>17</v>
      </c>
      <c r="C1179" s="7" t="s">
        <v>18</v>
      </c>
      <c r="D1179" s="4">
        <v>20207543000191</v>
      </c>
      <c r="E1179" s="8" t="s">
        <v>567</v>
      </c>
      <c r="F1179" s="8" t="s">
        <v>346</v>
      </c>
      <c r="G1179" s="7" t="s">
        <v>223</v>
      </c>
      <c r="H1179" s="47" t="s">
        <v>784</v>
      </c>
      <c r="I1179" s="47" t="s">
        <v>785</v>
      </c>
      <c r="J1179" s="6">
        <v>70</v>
      </c>
      <c r="K1179" s="8" t="s">
        <v>22</v>
      </c>
      <c r="L1179" s="5">
        <v>310</v>
      </c>
      <c r="P1179" s="3"/>
      <c r="Q1179" s="3"/>
      <c r="R1179" s="3"/>
    </row>
    <row r="1180" spans="1:18" x14ac:dyDescent="0.2">
      <c r="A1180" s="7" t="s">
        <v>16</v>
      </c>
      <c r="B1180" s="7" t="s">
        <v>17</v>
      </c>
      <c r="C1180" s="7" t="s">
        <v>18</v>
      </c>
      <c r="D1180" s="4">
        <v>21998635000108</v>
      </c>
      <c r="E1180" s="8" t="s">
        <v>568</v>
      </c>
      <c r="F1180" s="8" t="s">
        <v>508</v>
      </c>
      <c r="G1180" s="7" t="s">
        <v>233</v>
      </c>
      <c r="H1180" s="47" t="s">
        <v>784</v>
      </c>
      <c r="I1180" s="47" t="s">
        <v>785</v>
      </c>
      <c r="J1180" s="6">
        <v>70</v>
      </c>
      <c r="K1180" s="8" t="s">
        <v>22</v>
      </c>
      <c r="L1180" s="5">
        <v>20</v>
      </c>
      <c r="P1180" s="3"/>
      <c r="Q1180" s="3"/>
      <c r="R1180" s="3"/>
    </row>
    <row r="1181" spans="1:18" x14ac:dyDescent="0.2">
      <c r="A1181" s="7" t="s">
        <v>16</v>
      </c>
      <c r="B1181" s="7" t="s">
        <v>17</v>
      </c>
      <c r="C1181" s="7" t="s">
        <v>18</v>
      </c>
      <c r="D1181" s="4">
        <v>23278898000160</v>
      </c>
      <c r="E1181" s="8" t="s">
        <v>569</v>
      </c>
      <c r="F1181" s="8" t="s">
        <v>570</v>
      </c>
      <c r="G1181" s="7" t="s">
        <v>223</v>
      </c>
      <c r="H1181" s="47" t="s">
        <v>784</v>
      </c>
      <c r="I1181" s="47" t="s">
        <v>785</v>
      </c>
      <c r="J1181" s="6">
        <v>70</v>
      </c>
      <c r="K1181" s="8" t="s">
        <v>22</v>
      </c>
      <c r="L1181" s="5">
        <v>120</v>
      </c>
      <c r="P1181" s="3"/>
      <c r="Q1181" s="3"/>
      <c r="R1181" s="3"/>
    </row>
    <row r="1182" spans="1:18" x14ac:dyDescent="0.2">
      <c r="A1182" s="7" t="s">
        <v>16</v>
      </c>
      <c r="B1182" s="7" t="s">
        <v>17</v>
      </c>
      <c r="C1182" s="7" t="s">
        <v>18</v>
      </c>
      <c r="D1182" s="4">
        <v>25648387000207</v>
      </c>
      <c r="E1182" s="8" t="s">
        <v>573</v>
      </c>
      <c r="F1182" s="8" t="s">
        <v>346</v>
      </c>
      <c r="G1182" s="7" t="s">
        <v>223</v>
      </c>
      <c r="H1182" s="47" t="s">
        <v>784</v>
      </c>
      <c r="I1182" s="47" t="s">
        <v>785</v>
      </c>
      <c r="J1182" s="6">
        <v>70</v>
      </c>
      <c r="K1182" s="8" t="s">
        <v>22</v>
      </c>
      <c r="L1182" s="5">
        <v>400</v>
      </c>
      <c r="P1182" s="3"/>
      <c r="Q1182" s="3"/>
      <c r="R1182" s="3"/>
    </row>
    <row r="1183" spans="1:18" x14ac:dyDescent="0.2">
      <c r="A1183" s="7" t="s">
        <v>16</v>
      </c>
      <c r="B1183" s="7" t="s">
        <v>17</v>
      </c>
      <c r="C1183" s="7" t="s">
        <v>18</v>
      </c>
      <c r="D1183" s="4">
        <v>27080605001591</v>
      </c>
      <c r="E1183" s="8" t="s">
        <v>574</v>
      </c>
      <c r="F1183" s="8" t="s">
        <v>417</v>
      </c>
      <c r="G1183" s="7" t="s">
        <v>418</v>
      </c>
      <c r="H1183" s="47" t="s">
        <v>784</v>
      </c>
      <c r="I1183" s="47" t="s">
        <v>785</v>
      </c>
      <c r="J1183" s="6">
        <v>70</v>
      </c>
      <c r="K1183" s="8" t="s">
        <v>22</v>
      </c>
      <c r="L1183" s="5">
        <v>1000</v>
      </c>
      <c r="P1183" s="3"/>
      <c r="Q1183" s="3"/>
      <c r="R1183" s="3"/>
    </row>
    <row r="1184" spans="1:18" x14ac:dyDescent="0.2">
      <c r="A1184" s="7" t="s">
        <v>16</v>
      </c>
      <c r="B1184" s="7" t="s">
        <v>17</v>
      </c>
      <c r="C1184" s="7" t="s">
        <v>18</v>
      </c>
      <c r="D1184" s="4">
        <v>28137925000106</v>
      </c>
      <c r="E1184" s="8" t="s">
        <v>575</v>
      </c>
      <c r="F1184" s="8" t="s">
        <v>451</v>
      </c>
      <c r="G1184" s="7" t="s">
        <v>418</v>
      </c>
      <c r="H1184" s="47" t="s">
        <v>784</v>
      </c>
      <c r="I1184" s="47" t="s">
        <v>785</v>
      </c>
      <c r="J1184" s="6">
        <v>70</v>
      </c>
      <c r="K1184" s="8" t="s">
        <v>22</v>
      </c>
      <c r="L1184" s="5">
        <v>100</v>
      </c>
      <c r="P1184" s="3"/>
      <c r="Q1184" s="3"/>
      <c r="R1184" s="3"/>
    </row>
    <row r="1185" spans="1:18" x14ac:dyDescent="0.2">
      <c r="A1185" s="7" t="s">
        <v>16</v>
      </c>
      <c r="B1185" s="7" t="s">
        <v>17</v>
      </c>
      <c r="C1185" s="7" t="s">
        <v>18</v>
      </c>
      <c r="D1185" s="4">
        <v>29135795000208</v>
      </c>
      <c r="E1185" s="8" t="s">
        <v>576</v>
      </c>
      <c r="F1185" s="8" t="s">
        <v>577</v>
      </c>
      <c r="G1185" s="7" t="s">
        <v>241</v>
      </c>
      <c r="H1185" s="47" t="s">
        <v>784</v>
      </c>
      <c r="I1185" s="47" t="s">
        <v>785</v>
      </c>
      <c r="J1185" s="6">
        <v>70</v>
      </c>
      <c r="K1185" s="8" t="s">
        <v>22</v>
      </c>
      <c r="L1185" s="5">
        <v>100</v>
      </c>
      <c r="P1185" s="3"/>
      <c r="Q1185" s="3"/>
      <c r="R1185" s="3"/>
    </row>
    <row r="1186" spans="1:18" x14ac:dyDescent="0.2">
      <c r="A1186" s="7" t="s">
        <v>16</v>
      </c>
      <c r="B1186" s="7" t="s">
        <v>17</v>
      </c>
      <c r="C1186" s="7" t="s">
        <v>18</v>
      </c>
      <c r="D1186" s="4">
        <v>29435005005600</v>
      </c>
      <c r="E1186" s="8" t="s">
        <v>518</v>
      </c>
      <c r="F1186" s="8" t="s">
        <v>385</v>
      </c>
      <c r="G1186" s="7" t="s">
        <v>233</v>
      </c>
      <c r="H1186" s="47" t="s">
        <v>784</v>
      </c>
      <c r="I1186" s="47" t="s">
        <v>785</v>
      </c>
      <c r="J1186" s="6">
        <v>70</v>
      </c>
      <c r="K1186" s="8" t="s">
        <v>22</v>
      </c>
      <c r="L1186" s="5">
        <v>180</v>
      </c>
      <c r="P1186" s="3"/>
      <c r="Q1186" s="3"/>
      <c r="R1186" s="3"/>
    </row>
    <row r="1187" spans="1:18" x14ac:dyDescent="0.2">
      <c r="A1187" s="7" t="s">
        <v>16</v>
      </c>
      <c r="B1187" s="7" t="s">
        <v>17</v>
      </c>
      <c r="C1187" s="7" t="s">
        <v>18</v>
      </c>
      <c r="D1187" s="4">
        <v>30117769000155</v>
      </c>
      <c r="E1187" s="8" t="s">
        <v>578</v>
      </c>
      <c r="F1187" s="8" t="s">
        <v>385</v>
      </c>
      <c r="G1187" s="7" t="s">
        <v>233</v>
      </c>
      <c r="H1187" s="47" t="s">
        <v>784</v>
      </c>
      <c r="I1187" s="47" t="s">
        <v>785</v>
      </c>
      <c r="J1187" s="6">
        <v>70</v>
      </c>
      <c r="K1187" s="8" t="s">
        <v>22</v>
      </c>
      <c r="L1187" s="5">
        <v>265</v>
      </c>
      <c r="P1187" s="3"/>
      <c r="Q1187" s="3"/>
      <c r="R1187" s="3"/>
    </row>
    <row r="1188" spans="1:18" x14ac:dyDescent="0.2">
      <c r="A1188" s="7" t="s">
        <v>16</v>
      </c>
      <c r="B1188" s="7" t="s">
        <v>17</v>
      </c>
      <c r="C1188" s="7" t="s">
        <v>18</v>
      </c>
      <c r="D1188" s="4">
        <v>39387477000107</v>
      </c>
      <c r="E1188" s="8" t="s">
        <v>579</v>
      </c>
      <c r="F1188" s="8" t="s">
        <v>451</v>
      </c>
      <c r="G1188" s="7" t="s">
        <v>418</v>
      </c>
      <c r="H1188" s="47" t="s">
        <v>784</v>
      </c>
      <c r="I1188" s="47" t="s">
        <v>785</v>
      </c>
      <c r="J1188" s="6">
        <v>70</v>
      </c>
      <c r="K1188" s="8" t="s">
        <v>22</v>
      </c>
      <c r="L1188" s="5">
        <v>180</v>
      </c>
      <c r="P1188" s="3"/>
      <c r="Q1188" s="3"/>
      <c r="R1188" s="3"/>
    </row>
    <row r="1189" spans="1:18" x14ac:dyDescent="0.2">
      <c r="A1189" s="7" t="s">
        <v>16</v>
      </c>
      <c r="B1189" s="7" t="s">
        <v>17</v>
      </c>
      <c r="C1189" s="7" t="s">
        <v>18</v>
      </c>
      <c r="D1189" s="4">
        <v>41781949000234</v>
      </c>
      <c r="E1189" s="8" t="s">
        <v>519</v>
      </c>
      <c r="F1189" s="8" t="s">
        <v>520</v>
      </c>
      <c r="G1189" s="7" t="s">
        <v>223</v>
      </c>
      <c r="H1189" s="47" t="s">
        <v>784</v>
      </c>
      <c r="I1189" s="47" t="s">
        <v>785</v>
      </c>
      <c r="J1189" s="6">
        <v>70</v>
      </c>
      <c r="K1189" s="8" t="s">
        <v>22</v>
      </c>
      <c r="L1189" s="5">
        <v>150</v>
      </c>
      <c r="P1189" s="3"/>
      <c r="Q1189" s="3"/>
      <c r="R1189" s="3"/>
    </row>
    <row r="1190" spans="1:18" x14ac:dyDescent="0.2">
      <c r="A1190" s="7" t="s">
        <v>16</v>
      </c>
      <c r="B1190" s="7" t="s">
        <v>17</v>
      </c>
      <c r="C1190" s="7" t="s">
        <v>18</v>
      </c>
      <c r="D1190" s="4">
        <v>60884855001207</v>
      </c>
      <c r="E1190" s="8" t="s">
        <v>377</v>
      </c>
      <c r="F1190" s="8" t="s">
        <v>240</v>
      </c>
      <c r="G1190" s="7" t="s">
        <v>241</v>
      </c>
      <c r="H1190" s="47" t="s">
        <v>784</v>
      </c>
      <c r="I1190" s="47" t="s">
        <v>785</v>
      </c>
      <c r="J1190" s="6">
        <v>70</v>
      </c>
      <c r="K1190" s="8" t="s">
        <v>22</v>
      </c>
      <c r="L1190" s="5">
        <v>440</v>
      </c>
      <c r="P1190" s="3"/>
      <c r="Q1190" s="3"/>
      <c r="R1190" s="3"/>
    </row>
    <row r="1191" spans="1:18" x14ac:dyDescent="0.2">
      <c r="A1191" s="7" t="s">
        <v>16</v>
      </c>
      <c r="B1191" s="7" t="s">
        <v>17</v>
      </c>
      <c r="C1191" s="7" t="s">
        <v>18</v>
      </c>
      <c r="D1191" s="4">
        <v>68709211000212</v>
      </c>
      <c r="E1191" s="8" t="s">
        <v>459</v>
      </c>
      <c r="F1191" s="8" t="s">
        <v>369</v>
      </c>
      <c r="G1191" s="7" t="s">
        <v>241</v>
      </c>
      <c r="H1191" s="47" t="s">
        <v>784</v>
      </c>
      <c r="I1191" s="47" t="s">
        <v>785</v>
      </c>
      <c r="J1191" s="6">
        <v>70</v>
      </c>
      <c r="K1191" s="8" t="s">
        <v>22</v>
      </c>
      <c r="L1191" s="5">
        <v>300</v>
      </c>
      <c r="P1191" s="3"/>
      <c r="Q1191" s="3"/>
      <c r="R1191" s="3"/>
    </row>
    <row r="1192" spans="1:18" x14ac:dyDescent="0.2">
      <c r="A1192" s="7" t="s">
        <v>16</v>
      </c>
      <c r="B1192" s="7" t="s">
        <v>17</v>
      </c>
      <c r="C1192" s="7" t="s">
        <v>18</v>
      </c>
      <c r="D1192" s="4">
        <v>73863342000109</v>
      </c>
      <c r="E1192" s="8" t="s">
        <v>582</v>
      </c>
      <c r="F1192" s="8" t="s">
        <v>583</v>
      </c>
      <c r="G1192" s="7" t="s">
        <v>233</v>
      </c>
      <c r="H1192" s="47" t="s">
        <v>784</v>
      </c>
      <c r="I1192" s="47" t="s">
        <v>785</v>
      </c>
      <c r="J1192" s="6">
        <v>70</v>
      </c>
      <c r="K1192" s="8" t="s">
        <v>22</v>
      </c>
      <c r="L1192" s="5">
        <v>10</v>
      </c>
      <c r="P1192" s="3"/>
      <c r="Q1192" s="3"/>
      <c r="R1192" s="3"/>
    </row>
    <row r="1193" spans="1:18" x14ac:dyDescent="0.2">
      <c r="A1193" s="7" t="s">
        <v>16</v>
      </c>
      <c r="B1193" s="7" t="s">
        <v>17</v>
      </c>
      <c r="C1193" s="7" t="s">
        <v>18</v>
      </c>
      <c r="D1193" s="4">
        <v>75222224001895</v>
      </c>
      <c r="E1193" s="8" t="s">
        <v>584</v>
      </c>
      <c r="F1193" s="8" t="s">
        <v>583</v>
      </c>
      <c r="G1193" s="7" t="s">
        <v>233</v>
      </c>
      <c r="H1193" s="47" t="s">
        <v>784</v>
      </c>
      <c r="I1193" s="47" t="s">
        <v>785</v>
      </c>
      <c r="J1193" s="6">
        <v>70</v>
      </c>
      <c r="K1193" s="8" t="s">
        <v>22</v>
      </c>
      <c r="L1193" s="5">
        <v>600</v>
      </c>
      <c r="P1193" s="3"/>
      <c r="Q1193" s="3"/>
      <c r="R1193" s="3"/>
    </row>
    <row r="1194" spans="1:18" x14ac:dyDescent="0.2">
      <c r="A1194" s="7" t="s">
        <v>16</v>
      </c>
      <c r="B1194" s="7" t="s">
        <v>17</v>
      </c>
      <c r="C1194" s="7" t="s">
        <v>18</v>
      </c>
      <c r="D1194" s="4">
        <v>76562198000169</v>
      </c>
      <c r="E1194" s="8" t="s">
        <v>585</v>
      </c>
      <c r="F1194" s="8" t="s">
        <v>385</v>
      </c>
      <c r="G1194" s="7" t="s">
        <v>233</v>
      </c>
      <c r="H1194" s="47" t="s">
        <v>784</v>
      </c>
      <c r="I1194" s="47" t="s">
        <v>785</v>
      </c>
      <c r="J1194" s="6">
        <v>70</v>
      </c>
      <c r="K1194" s="8" t="s">
        <v>22</v>
      </c>
      <c r="L1194" s="5">
        <v>27.5</v>
      </c>
      <c r="P1194" s="3"/>
      <c r="Q1194" s="3"/>
      <c r="R1194" s="3"/>
    </row>
    <row r="1195" spans="1:18" x14ac:dyDescent="0.2">
      <c r="A1195" s="7" t="s">
        <v>16</v>
      </c>
      <c r="B1195" s="7" t="s">
        <v>17</v>
      </c>
      <c r="C1195" s="7" t="s">
        <v>18</v>
      </c>
      <c r="D1195" s="4">
        <v>76591569000130</v>
      </c>
      <c r="E1195" s="8" t="s">
        <v>386</v>
      </c>
      <c r="F1195" s="8" t="s">
        <v>385</v>
      </c>
      <c r="G1195" s="7" t="s">
        <v>233</v>
      </c>
      <c r="H1195" s="47" t="s">
        <v>784</v>
      </c>
      <c r="I1195" s="47" t="s">
        <v>785</v>
      </c>
      <c r="J1195" s="6">
        <v>70</v>
      </c>
      <c r="K1195" s="8" t="s">
        <v>22</v>
      </c>
      <c r="L1195" s="5">
        <v>200</v>
      </c>
      <c r="P1195" s="3"/>
      <c r="Q1195" s="3"/>
      <c r="R1195" s="3"/>
    </row>
    <row r="1196" spans="1:18" x14ac:dyDescent="0.2">
      <c r="A1196" s="7" t="s">
        <v>16</v>
      </c>
      <c r="B1196" s="7" t="s">
        <v>17</v>
      </c>
      <c r="C1196" s="7" t="s">
        <v>18</v>
      </c>
      <c r="D1196" s="4">
        <v>76659820002367</v>
      </c>
      <c r="E1196" s="8" t="s">
        <v>586</v>
      </c>
      <c r="F1196" s="8" t="s">
        <v>385</v>
      </c>
      <c r="G1196" s="7" t="s">
        <v>233</v>
      </c>
      <c r="H1196" s="47" t="s">
        <v>784</v>
      </c>
      <c r="I1196" s="47" t="s">
        <v>785</v>
      </c>
      <c r="J1196" s="6">
        <v>70</v>
      </c>
      <c r="K1196" s="8" t="s">
        <v>22</v>
      </c>
      <c r="L1196" s="5">
        <v>40</v>
      </c>
      <c r="P1196" s="3"/>
      <c r="Q1196" s="3"/>
      <c r="R1196" s="3"/>
    </row>
    <row r="1197" spans="1:18" x14ac:dyDescent="0.2">
      <c r="A1197" s="7" t="s">
        <v>16</v>
      </c>
      <c r="B1197" s="7" t="s">
        <v>17</v>
      </c>
      <c r="C1197" s="7" t="s">
        <v>18</v>
      </c>
      <c r="D1197" s="4">
        <v>77265361000194</v>
      </c>
      <c r="E1197" s="8" t="s">
        <v>587</v>
      </c>
      <c r="F1197" s="8" t="s">
        <v>522</v>
      </c>
      <c r="G1197" s="7" t="s">
        <v>233</v>
      </c>
      <c r="H1197" s="47" t="s">
        <v>784</v>
      </c>
      <c r="I1197" s="47" t="s">
        <v>785</v>
      </c>
      <c r="J1197" s="6">
        <v>70</v>
      </c>
      <c r="K1197" s="8" t="s">
        <v>22</v>
      </c>
      <c r="L1197" s="5">
        <v>100</v>
      </c>
      <c r="P1197" s="3"/>
      <c r="Q1197" s="3"/>
      <c r="R1197" s="3"/>
    </row>
    <row r="1198" spans="1:18" x14ac:dyDescent="0.2">
      <c r="A1198" s="7" t="s">
        <v>16</v>
      </c>
      <c r="B1198" s="7" t="s">
        <v>17</v>
      </c>
      <c r="C1198" s="7" t="s">
        <v>18</v>
      </c>
      <c r="D1198" s="4">
        <v>77858611001414</v>
      </c>
      <c r="E1198" s="8" t="s">
        <v>460</v>
      </c>
      <c r="F1198" s="8" t="s">
        <v>344</v>
      </c>
      <c r="G1198" s="7" t="s">
        <v>259</v>
      </c>
      <c r="H1198" s="47" t="s">
        <v>784</v>
      </c>
      <c r="I1198" s="47" t="s">
        <v>785</v>
      </c>
      <c r="J1198" s="6">
        <v>70</v>
      </c>
      <c r="K1198" s="8" t="s">
        <v>22</v>
      </c>
      <c r="L1198" s="5">
        <v>200</v>
      </c>
      <c r="P1198" s="3"/>
      <c r="Q1198" s="3"/>
      <c r="R1198" s="3"/>
    </row>
    <row r="1199" spans="1:18" x14ac:dyDescent="0.2">
      <c r="A1199" s="7" t="s">
        <v>16</v>
      </c>
      <c r="B1199" s="7" t="s">
        <v>17</v>
      </c>
      <c r="C1199" s="7" t="s">
        <v>18</v>
      </c>
      <c r="D1199" s="4">
        <v>80490618000116</v>
      </c>
      <c r="E1199" s="8" t="s">
        <v>588</v>
      </c>
      <c r="F1199" s="8" t="s">
        <v>524</v>
      </c>
      <c r="G1199" s="7" t="s">
        <v>259</v>
      </c>
      <c r="H1199" s="47" t="s">
        <v>784</v>
      </c>
      <c r="I1199" s="47" t="s">
        <v>785</v>
      </c>
      <c r="J1199" s="6">
        <v>70</v>
      </c>
      <c r="K1199" s="8" t="s">
        <v>22</v>
      </c>
      <c r="L1199" s="5">
        <v>80</v>
      </c>
      <c r="P1199" s="3"/>
      <c r="Q1199" s="3"/>
      <c r="R1199" s="3"/>
    </row>
    <row r="1200" spans="1:18" x14ac:dyDescent="0.2">
      <c r="A1200" s="7" t="s">
        <v>16</v>
      </c>
      <c r="B1200" s="7" t="s">
        <v>17</v>
      </c>
      <c r="C1200" s="7" t="s">
        <v>18</v>
      </c>
      <c r="D1200" s="4">
        <v>80673411000187</v>
      </c>
      <c r="E1200" s="8" t="s">
        <v>387</v>
      </c>
      <c r="F1200" s="8" t="s">
        <v>388</v>
      </c>
      <c r="G1200" s="7" t="s">
        <v>259</v>
      </c>
      <c r="H1200" s="47" t="s">
        <v>784</v>
      </c>
      <c r="I1200" s="47" t="s">
        <v>785</v>
      </c>
      <c r="J1200" s="6">
        <v>70</v>
      </c>
      <c r="K1200" s="8" t="s">
        <v>22</v>
      </c>
      <c r="L1200" s="5">
        <v>240</v>
      </c>
      <c r="P1200" s="3"/>
      <c r="Q1200" s="3"/>
      <c r="R1200" s="3"/>
    </row>
    <row r="1201" spans="1:18" x14ac:dyDescent="0.2">
      <c r="A1201" s="7" t="s">
        <v>16</v>
      </c>
      <c r="B1201" s="7" t="s">
        <v>17</v>
      </c>
      <c r="C1201" s="7" t="s">
        <v>18</v>
      </c>
      <c r="D1201" s="4">
        <v>82624776000651</v>
      </c>
      <c r="E1201" s="8" t="s">
        <v>589</v>
      </c>
      <c r="F1201" s="8" t="s">
        <v>380</v>
      </c>
      <c r="G1201" s="7" t="s">
        <v>259</v>
      </c>
      <c r="H1201" s="47" t="s">
        <v>784</v>
      </c>
      <c r="I1201" s="47" t="s">
        <v>785</v>
      </c>
      <c r="J1201" s="6">
        <v>70</v>
      </c>
      <c r="K1201" s="8" t="s">
        <v>22</v>
      </c>
      <c r="L1201" s="5">
        <v>450</v>
      </c>
      <c r="P1201" s="3"/>
      <c r="Q1201" s="3"/>
      <c r="R1201" s="3"/>
    </row>
    <row r="1202" spans="1:18" x14ac:dyDescent="0.2">
      <c r="A1202" s="7" t="s">
        <v>16</v>
      </c>
      <c r="B1202" s="7" t="s">
        <v>17</v>
      </c>
      <c r="C1202" s="7" t="s">
        <v>18</v>
      </c>
      <c r="D1202" s="4">
        <v>83884999000106</v>
      </c>
      <c r="E1202" s="8" t="s">
        <v>591</v>
      </c>
      <c r="F1202" s="8" t="s">
        <v>388</v>
      </c>
      <c r="G1202" s="7" t="s">
        <v>259</v>
      </c>
      <c r="H1202" s="47" t="s">
        <v>784</v>
      </c>
      <c r="I1202" s="47" t="s">
        <v>785</v>
      </c>
      <c r="J1202" s="6">
        <v>70</v>
      </c>
      <c r="K1202" s="8" t="s">
        <v>22</v>
      </c>
      <c r="L1202" s="5">
        <v>300</v>
      </c>
      <c r="P1202" s="3"/>
      <c r="Q1202" s="3"/>
      <c r="R1202" s="3"/>
    </row>
    <row r="1203" spans="1:18" x14ac:dyDescent="0.2">
      <c r="A1203" s="7" t="s">
        <v>16</v>
      </c>
      <c r="B1203" s="7" t="s">
        <v>17</v>
      </c>
      <c r="C1203" s="7" t="s">
        <v>18</v>
      </c>
      <c r="D1203" s="4">
        <v>87317764001084</v>
      </c>
      <c r="E1203" s="8" t="s">
        <v>461</v>
      </c>
      <c r="F1203" s="8" t="s">
        <v>305</v>
      </c>
      <c r="G1203" s="7" t="s">
        <v>253</v>
      </c>
      <c r="H1203" s="47" t="s">
        <v>784</v>
      </c>
      <c r="I1203" s="47" t="s">
        <v>785</v>
      </c>
      <c r="J1203" s="6">
        <v>70</v>
      </c>
      <c r="K1203" s="8" t="s">
        <v>22</v>
      </c>
      <c r="L1203" s="5">
        <v>330</v>
      </c>
      <c r="P1203" s="3"/>
      <c r="Q1203" s="3"/>
      <c r="R1203" s="3"/>
    </row>
    <row r="1204" spans="1:18" x14ac:dyDescent="0.2">
      <c r="A1204" s="7" t="s">
        <v>16</v>
      </c>
      <c r="B1204" s="7" t="s">
        <v>17</v>
      </c>
      <c r="C1204" s="7" t="s">
        <v>18</v>
      </c>
      <c r="D1204" s="4">
        <v>87607149000626</v>
      </c>
      <c r="E1204" s="8" t="s">
        <v>592</v>
      </c>
      <c r="F1204" s="8" t="s">
        <v>399</v>
      </c>
      <c r="G1204" s="7" t="s">
        <v>253</v>
      </c>
      <c r="H1204" s="47" t="s">
        <v>784</v>
      </c>
      <c r="I1204" s="47" t="s">
        <v>785</v>
      </c>
      <c r="J1204" s="6">
        <v>70</v>
      </c>
      <c r="K1204" s="8" t="s">
        <v>22</v>
      </c>
      <c r="L1204" s="5">
        <v>240</v>
      </c>
      <c r="P1204" s="3"/>
      <c r="Q1204" s="3"/>
      <c r="R1204" s="3"/>
    </row>
    <row r="1205" spans="1:18" x14ac:dyDescent="0.2">
      <c r="A1205" s="7" t="s">
        <v>16</v>
      </c>
      <c r="B1205" s="7" t="s">
        <v>17</v>
      </c>
      <c r="C1205" s="7" t="s">
        <v>18</v>
      </c>
      <c r="D1205" s="4">
        <v>87827689002405</v>
      </c>
      <c r="E1205" s="8" t="s">
        <v>394</v>
      </c>
      <c r="F1205" s="8" t="s">
        <v>252</v>
      </c>
      <c r="G1205" s="7" t="s">
        <v>253</v>
      </c>
      <c r="H1205" s="47" t="s">
        <v>784</v>
      </c>
      <c r="I1205" s="47" t="s">
        <v>785</v>
      </c>
      <c r="J1205" s="6">
        <v>70</v>
      </c>
      <c r="K1205" s="8" t="s">
        <v>22</v>
      </c>
      <c r="L1205" s="5">
        <v>90</v>
      </c>
      <c r="P1205" s="3"/>
      <c r="Q1205" s="3"/>
      <c r="R1205" s="3"/>
    </row>
    <row r="1206" spans="1:18" x14ac:dyDescent="0.2">
      <c r="A1206" s="7" t="s">
        <v>16</v>
      </c>
      <c r="B1206" s="7" t="s">
        <v>17</v>
      </c>
      <c r="C1206" s="7" t="s">
        <v>18</v>
      </c>
      <c r="D1206" s="4">
        <v>94831294000147</v>
      </c>
      <c r="E1206" s="8" t="s">
        <v>593</v>
      </c>
      <c r="F1206" s="8" t="s">
        <v>305</v>
      </c>
      <c r="G1206" s="7" t="s">
        <v>253</v>
      </c>
      <c r="H1206" s="47" t="s">
        <v>784</v>
      </c>
      <c r="I1206" s="47" t="s">
        <v>785</v>
      </c>
      <c r="J1206" s="6">
        <v>70</v>
      </c>
      <c r="K1206" s="8" t="s">
        <v>22</v>
      </c>
      <c r="L1206" s="5">
        <v>30</v>
      </c>
      <c r="P1206" s="3"/>
      <c r="Q1206" s="3"/>
      <c r="R1206" s="3"/>
    </row>
    <row r="1207" spans="1:18" x14ac:dyDescent="0.2">
      <c r="A1207" s="7" t="s">
        <v>16</v>
      </c>
      <c r="B1207" s="7" t="s">
        <v>17</v>
      </c>
      <c r="C1207" s="7" t="s">
        <v>18</v>
      </c>
      <c r="D1207" s="4">
        <v>95610887000146</v>
      </c>
      <c r="E1207" s="8" t="s">
        <v>406</v>
      </c>
      <c r="F1207" s="8" t="s">
        <v>331</v>
      </c>
      <c r="G1207" s="7" t="s">
        <v>253</v>
      </c>
      <c r="H1207" s="47" t="s">
        <v>784</v>
      </c>
      <c r="I1207" s="47" t="s">
        <v>785</v>
      </c>
      <c r="J1207" s="6">
        <v>70</v>
      </c>
      <c r="K1207" s="8" t="s">
        <v>22</v>
      </c>
      <c r="L1207" s="5">
        <v>300</v>
      </c>
      <c r="P1207" s="3"/>
      <c r="Q1207" s="3"/>
      <c r="R1207" s="3"/>
    </row>
    <row r="1208" spans="1:18" x14ac:dyDescent="0.2">
      <c r="A1208" s="7" t="s">
        <v>16</v>
      </c>
      <c r="B1208" s="7" t="s">
        <v>55</v>
      </c>
      <c r="C1208" s="7" t="s">
        <v>18</v>
      </c>
      <c r="D1208" s="4">
        <v>7404052000172</v>
      </c>
      <c r="E1208" s="8" t="s">
        <v>516</v>
      </c>
      <c r="F1208" s="8" t="s">
        <v>385</v>
      </c>
      <c r="G1208" s="7" t="s">
        <v>233</v>
      </c>
      <c r="H1208" s="47" t="s">
        <v>784</v>
      </c>
      <c r="I1208" s="47" t="s">
        <v>785</v>
      </c>
      <c r="J1208" s="6">
        <v>70</v>
      </c>
      <c r="K1208" s="8" t="s">
        <v>22</v>
      </c>
      <c r="L1208" s="5">
        <v>45</v>
      </c>
      <c r="P1208" s="3"/>
      <c r="Q1208" s="3"/>
      <c r="R1208" s="3"/>
    </row>
    <row r="1209" spans="1:18" x14ac:dyDescent="0.2">
      <c r="A1209" s="7" t="s">
        <v>16</v>
      </c>
      <c r="B1209" s="7" t="s">
        <v>55</v>
      </c>
      <c r="C1209" s="7" t="s">
        <v>18</v>
      </c>
      <c r="D1209" s="4">
        <v>7734165000136</v>
      </c>
      <c r="E1209" s="8" t="s">
        <v>425</v>
      </c>
      <c r="F1209" s="8" t="s">
        <v>385</v>
      </c>
      <c r="G1209" s="7" t="s">
        <v>233</v>
      </c>
      <c r="H1209" s="47" t="s">
        <v>784</v>
      </c>
      <c r="I1209" s="47" t="s">
        <v>785</v>
      </c>
      <c r="J1209" s="6">
        <v>70</v>
      </c>
      <c r="K1209" s="8" t="s">
        <v>22</v>
      </c>
      <c r="L1209" s="5">
        <v>4350</v>
      </c>
      <c r="P1209" s="3"/>
      <c r="Q1209" s="3"/>
      <c r="R1209" s="3"/>
    </row>
    <row r="1210" spans="1:18" x14ac:dyDescent="0.2">
      <c r="A1210" s="7" t="s">
        <v>16</v>
      </c>
      <c r="B1210" s="7" t="s">
        <v>55</v>
      </c>
      <c r="C1210" s="7" t="s">
        <v>18</v>
      </c>
      <c r="D1210" s="4">
        <v>7794623002257</v>
      </c>
      <c r="E1210" s="8" t="s">
        <v>552</v>
      </c>
      <c r="F1210" s="8" t="s">
        <v>553</v>
      </c>
      <c r="G1210" s="7" t="s">
        <v>233</v>
      </c>
      <c r="H1210" s="47" t="s">
        <v>784</v>
      </c>
      <c r="I1210" s="47" t="s">
        <v>785</v>
      </c>
      <c r="J1210" s="6">
        <v>70</v>
      </c>
      <c r="K1210" s="8" t="s">
        <v>22</v>
      </c>
      <c r="L1210" s="5">
        <v>415</v>
      </c>
      <c r="P1210" s="3"/>
      <c r="Q1210" s="3"/>
      <c r="R1210" s="3"/>
    </row>
    <row r="1211" spans="1:18" x14ac:dyDescent="0.2">
      <c r="A1211" s="7" t="s">
        <v>16</v>
      </c>
      <c r="B1211" s="7" t="s">
        <v>55</v>
      </c>
      <c r="C1211" s="7" t="s">
        <v>18</v>
      </c>
      <c r="D1211" s="4">
        <v>9579964000291</v>
      </c>
      <c r="E1211" s="8" t="s">
        <v>604</v>
      </c>
      <c r="F1211" s="8" t="s">
        <v>385</v>
      </c>
      <c r="G1211" s="7" t="s">
        <v>233</v>
      </c>
      <c r="H1211" s="47" t="s">
        <v>784</v>
      </c>
      <c r="I1211" s="47" t="s">
        <v>785</v>
      </c>
      <c r="J1211" s="6">
        <v>70</v>
      </c>
      <c r="K1211" s="8" t="s">
        <v>22</v>
      </c>
      <c r="L1211" s="5">
        <v>1250</v>
      </c>
      <c r="P1211" s="3"/>
      <c r="Q1211" s="3"/>
      <c r="R1211" s="3"/>
    </row>
    <row r="1212" spans="1:18" x14ac:dyDescent="0.2">
      <c r="A1212" s="7" t="s">
        <v>16</v>
      </c>
      <c r="B1212" s="7" t="s">
        <v>55</v>
      </c>
      <c r="C1212" s="7" t="s">
        <v>18</v>
      </c>
      <c r="D1212" s="4">
        <v>11055682000156</v>
      </c>
      <c r="E1212" s="8" t="s">
        <v>605</v>
      </c>
      <c r="F1212" s="8" t="s">
        <v>606</v>
      </c>
      <c r="G1212" s="7" t="s">
        <v>253</v>
      </c>
      <c r="H1212" s="47" t="s">
        <v>784</v>
      </c>
      <c r="I1212" s="47" t="s">
        <v>785</v>
      </c>
      <c r="J1212" s="6">
        <v>70</v>
      </c>
      <c r="K1212" s="8" t="s">
        <v>22</v>
      </c>
      <c r="L1212" s="5">
        <v>225</v>
      </c>
      <c r="P1212" s="3"/>
      <c r="Q1212" s="3"/>
      <c r="R1212" s="3"/>
    </row>
    <row r="1213" spans="1:18" x14ac:dyDescent="0.2">
      <c r="A1213" s="7" t="s">
        <v>16</v>
      </c>
      <c r="B1213" s="7" t="s">
        <v>55</v>
      </c>
      <c r="C1213" s="7" t="s">
        <v>18</v>
      </c>
      <c r="D1213" s="4">
        <v>12361267004261</v>
      </c>
      <c r="E1213" s="8" t="s">
        <v>609</v>
      </c>
      <c r="F1213" s="8" t="s">
        <v>610</v>
      </c>
      <c r="G1213" s="7" t="s">
        <v>259</v>
      </c>
      <c r="H1213" s="47" t="s">
        <v>784</v>
      </c>
      <c r="I1213" s="47" t="s">
        <v>785</v>
      </c>
      <c r="J1213" s="6">
        <v>70</v>
      </c>
      <c r="K1213" s="8" t="s">
        <v>22</v>
      </c>
      <c r="L1213" s="5">
        <v>120</v>
      </c>
      <c r="P1213" s="3"/>
      <c r="Q1213" s="3"/>
      <c r="R1213" s="3"/>
    </row>
    <row r="1214" spans="1:18" x14ac:dyDescent="0.2">
      <c r="A1214" s="7" t="s">
        <v>16</v>
      </c>
      <c r="B1214" s="7" t="s">
        <v>55</v>
      </c>
      <c r="C1214" s="7" t="s">
        <v>18</v>
      </c>
      <c r="D1214" s="4">
        <v>12508728000108</v>
      </c>
      <c r="E1214" s="8" t="s">
        <v>517</v>
      </c>
      <c r="F1214" s="8" t="s">
        <v>331</v>
      </c>
      <c r="G1214" s="7" t="s">
        <v>253</v>
      </c>
      <c r="H1214" s="47" t="s">
        <v>784</v>
      </c>
      <c r="I1214" s="47" t="s">
        <v>785</v>
      </c>
      <c r="J1214" s="6">
        <v>70</v>
      </c>
      <c r="K1214" s="8" t="s">
        <v>22</v>
      </c>
      <c r="L1214" s="5">
        <v>40</v>
      </c>
      <c r="P1214" s="3"/>
      <c r="Q1214" s="3"/>
      <c r="R1214" s="3"/>
    </row>
    <row r="1215" spans="1:18" x14ac:dyDescent="0.2">
      <c r="A1215" s="7" t="s">
        <v>16</v>
      </c>
      <c r="B1215" s="7" t="s">
        <v>55</v>
      </c>
      <c r="C1215" s="7" t="s">
        <v>18</v>
      </c>
      <c r="D1215" s="4">
        <v>17774738000613</v>
      </c>
      <c r="E1215" s="8" t="s">
        <v>615</v>
      </c>
      <c r="F1215" s="8" t="s">
        <v>616</v>
      </c>
      <c r="G1215" s="7" t="s">
        <v>223</v>
      </c>
      <c r="H1215" s="47" t="s">
        <v>784</v>
      </c>
      <c r="I1215" s="47" t="s">
        <v>785</v>
      </c>
      <c r="J1215" s="6">
        <v>70</v>
      </c>
      <c r="K1215" s="8" t="s">
        <v>22</v>
      </c>
      <c r="L1215" s="5">
        <v>180</v>
      </c>
      <c r="P1215" s="3"/>
      <c r="Q1215" s="3"/>
      <c r="R1215" s="3"/>
    </row>
    <row r="1216" spans="1:18" x14ac:dyDescent="0.2">
      <c r="A1216" s="7" t="s">
        <v>16</v>
      </c>
      <c r="B1216" s="7" t="s">
        <v>55</v>
      </c>
      <c r="C1216" s="7" t="s">
        <v>18</v>
      </c>
      <c r="D1216" s="4">
        <v>19274091000181</v>
      </c>
      <c r="E1216" s="8" t="s">
        <v>617</v>
      </c>
      <c r="F1216" s="8" t="s">
        <v>618</v>
      </c>
      <c r="G1216" s="7" t="s">
        <v>223</v>
      </c>
      <c r="H1216" s="47" t="s">
        <v>784</v>
      </c>
      <c r="I1216" s="47" t="s">
        <v>785</v>
      </c>
      <c r="J1216" s="6">
        <v>70</v>
      </c>
      <c r="K1216" s="8" t="s">
        <v>22</v>
      </c>
      <c r="L1216" s="5">
        <v>140</v>
      </c>
      <c r="P1216" s="3"/>
      <c r="Q1216" s="3"/>
      <c r="R1216" s="3"/>
    </row>
    <row r="1217" spans="1:18" x14ac:dyDescent="0.2">
      <c r="A1217" s="7" t="s">
        <v>16</v>
      </c>
      <c r="B1217" s="7" t="s">
        <v>55</v>
      </c>
      <c r="C1217" s="7" t="s">
        <v>18</v>
      </c>
      <c r="D1217" s="4">
        <v>23278898000160</v>
      </c>
      <c r="E1217" s="8" t="s">
        <v>569</v>
      </c>
      <c r="F1217" s="8" t="s">
        <v>570</v>
      </c>
      <c r="G1217" s="7" t="s">
        <v>223</v>
      </c>
      <c r="H1217" s="47" t="s">
        <v>784</v>
      </c>
      <c r="I1217" s="47" t="s">
        <v>785</v>
      </c>
      <c r="J1217" s="6">
        <v>70</v>
      </c>
      <c r="K1217" s="8" t="s">
        <v>22</v>
      </c>
      <c r="L1217" s="5">
        <v>120</v>
      </c>
      <c r="P1217" s="3"/>
      <c r="Q1217" s="3"/>
      <c r="R1217" s="3"/>
    </row>
    <row r="1218" spans="1:18" x14ac:dyDescent="0.2">
      <c r="A1218" s="7" t="s">
        <v>16</v>
      </c>
      <c r="B1218" s="7" t="s">
        <v>55</v>
      </c>
      <c r="C1218" s="7" t="s">
        <v>18</v>
      </c>
      <c r="D1218" s="4">
        <v>27080605000358</v>
      </c>
      <c r="E1218" s="8" t="s">
        <v>620</v>
      </c>
      <c r="F1218" s="8" t="s">
        <v>621</v>
      </c>
      <c r="G1218" s="7" t="s">
        <v>418</v>
      </c>
      <c r="H1218" s="47" t="s">
        <v>784</v>
      </c>
      <c r="I1218" s="47" t="s">
        <v>785</v>
      </c>
      <c r="J1218" s="6">
        <v>70</v>
      </c>
      <c r="K1218" s="8" t="s">
        <v>22</v>
      </c>
      <c r="L1218" s="5">
        <v>300</v>
      </c>
      <c r="P1218" s="3"/>
      <c r="Q1218" s="3"/>
      <c r="R1218" s="3"/>
    </row>
    <row r="1219" spans="1:18" x14ac:dyDescent="0.2">
      <c r="A1219" s="7" t="s">
        <v>16</v>
      </c>
      <c r="B1219" s="7" t="s">
        <v>55</v>
      </c>
      <c r="C1219" s="7" t="s">
        <v>18</v>
      </c>
      <c r="D1219" s="4">
        <v>27578434001525</v>
      </c>
      <c r="E1219" s="8" t="s">
        <v>450</v>
      </c>
      <c r="F1219" s="8" t="s">
        <v>451</v>
      </c>
      <c r="G1219" s="7" t="s">
        <v>418</v>
      </c>
      <c r="H1219" s="47" t="s">
        <v>784</v>
      </c>
      <c r="I1219" s="47" t="s">
        <v>785</v>
      </c>
      <c r="J1219" s="6">
        <v>70</v>
      </c>
      <c r="K1219" s="8" t="s">
        <v>22</v>
      </c>
      <c r="L1219" s="5">
        <v>1500</v>
      </c>
      <c r="P1219" s="3"/>
      <c r="Q1219" s="3"/>
      <c r="R1219" s="3"/>
    </row>
    <row r="1220" spans="1:18" x14ac:dyDescent="0.2">
      <c r="A1220" s="7" t="s">
        <v>16</v>
      </c>
      <c r="B1220" s="7" t="s">
        <v>55</v>
      </c>
      <c r="C1220" s="7" t="s">
        <v>18</v>
      </c>
      <c r="D1220" s="4">
        <v>29135795000208</v>
      </c>
      <c r="E1220" s="8" t="s">
        <v>576</v>
      </c>
      <c r="F1220" s="8" t="s">
        <v>577</v>
      </c>
      <c r="G1220" s="7" t="s">
        <v>241</v>
      </c>
      <c r="H1220" s="47" t="s">
        <v>784</v>
      </c>
      <c r="I1220" s="47" t="s">
        <v>785</v>
      </c>
      <c r="J1220" s="6">
        <v>70</v>
      </c>
      <c r="K1220" s="8" t="s">
        <v>22</v>
      </c>
      <c r="L1220" s="5">
        <v>275</v>
      </c>
      <c r="P1220" s="3"/>
      <c r="Q1220" s="3"/>
      <c r="R1220" s="3"/>
    </row>
    <row r="1221" spans="1:18" x14ac:dyDescent="0.2">
      <c r="A1221" s="7" t="s">
        <v>16</v>
      </c>
      <c r="B1221" s="7" t="s">
        <v>55</v>
      </c>
      <c r="C1221" s="7" t="s">
        <v>18</v>
      </c>
      <c r="D1221" s="4">
        <v>29435005003497</v>
      </c>
      <c r="E1221" s="8" t="s">
        <v>622</v>
      </c>
      <c r="F1221" s="8" t="s">
        <v>286</v>
      </c>
      <c r="G1221" s="7" t="s">
        <v>241</v>
      </c>
      <c r="H1221" s="47" t="s">
        <v>784</v>
      </c>
      <c r="I1221" s="47" t="s">
        <v>785</v>
      </c>
      <c r="J1221" s="6">
        <v>70</v>
      </c>
      <c r="K1221" s="8" t="s">
        <v>22</v>
      </c>
      <c r="L1221" s="5">
        <v>150</v>
      </c>
      <c r="P1221" s="3"/>
      <c r="Q1221" s="3"/>
      <c r="R1221" s="3"/>
    </row>
    <row r="1222" spans="1:18" x14ac:dyDescent="0.2">
      <c r="A1222" s="7" t="s">
        <v>16</v>
      </c>
      <c r="B1222" s="7" t="s">
        <v>55</v>
      </c>
      <c r="C1222" s="7" t="s">
        <v>18</v>
      </c>
      <c r="D1222" s="4">
        <v>29435005005600</v>
      </c>
      <c r="E1222" s="8" t="s">
        <v>518</v>
      </c>
      <c r="F1222" s="8" t="s">
        <v>385</v>
      </c>
      <c r="G1222" s="7" t="s">
        <v>233</v>
      </c>
      <c r="H1222" s="47" t="s">
        <v>784</v>
      </c>
      <c r="I1222" s="47" t="s">
        <v>785</v>
      </c>
      <c r="J1222" s="6">
        <v>70</v>
      </c>
      <c r="K1222" s="8" t="s">
        <v>22</v>
      </c>
      <c r="L1222" s="5">
        <v>255</v>
      </c>
      <c r="P1222" s="3"/>
      <c r="Q1222" s="3"/>
      <c r="R1222" s="3"/>
    </row>
    <row r="1223" spans="1:18" x14ac:dyDescent="0.2">
      <c r="A1223" s="7" t="s">
        <v>16</v>
      </c>
      <c r="B1223" s="7" t="s">
        <v>55</v>
      </c>
      <c r="C1223" s="7" t="s">
        <v>18</v>
      </c>
      <c r="D1223" s="4">
        <v>30537740000122</v>
      </c>
      <c r="E1223" s="8" t="s">
        <v>624</v>
      </c>
      <c r="F1223" s="8" t="s">
        <v>577</v>
      </c>
      <c r="G1223" s="7" t="s">
        <v>241</v>
      </c>
      <c r="H1223" s="47" t="s">
        <v>784</v>
      </c>
      <c r="I1223" s="47" t="s">
        <v>785</v>
      </c>
      <c r="J1223" s="6">
        <v>70</v>
      </c>
      <c r="K1223" s="8" t="s">
        <v>22</v>
      </c>
      <c r="L1223" s="5">
        <v>215</v>
      </c>
      <c r="P1223" s="3"/>
      <c r="Q1223" s="3"/>
      <c r="R1223" s="3"/>
    </row>
    <row r="1224" spans="1:18" x14ac:dyDescent="0.2">
      <c r="A1224" s="7" t="s">
        <v>16</v>
      </c>
      <c r="B1224" s="7" t="s">
        <v>55</v>
      </c>
      <c r="C1224" s="7" t="s">
        <v>18</v>
      </c>
      <c r="D1224" s="4">
        <v>36238913000198</v>
      </c>
      <c r="E1224" s="8" t="s">
        <v>503</v>
      </c>
      <c r="F1224" s="8" t="s">
        <v>504</v>
      </c>
      <c r="G1224" s="7" t="s">
        <v>241</v>
      </c>
      <c r="H1224" s="47" t="s">
        <v>784</v>
      </c>
      <c r="I1224" s="47" t="s">
        <v>785</v>
      </c>
      <c r="J1224" s="6">
        <v>70</v>
      </c>
      <c r="K1224" s="8" t="s">
        <v>22</v>
      </c>
      <c r="L1224" s="5">
        <v>125</v>
      </c>
      <c r="P1224" s="3"/>
      <c r="Q1224" s="3"/>
      <c r="R1224" s="3"/>
    </row>
    <row r="1225" spans="1:18" x14ac:dyDescent="0.2">
      <c r="A1225" s="7" t="s">
        <v>16</v>
      </c>
      <c r="B1225" s="7" t="s">
        <v>55</v>
      </c>
      <c r="C1225" s="7" t="s">
        <v>18</v>
      </c>
      <c r="D1225" s="4">
        <v>39387477000107</v>
      </c>
      <c r="E1225" s="8" t="s">
        <v>579</v>
      </c>
      <c r="F1225" s="8" t="s">
        <v>451</v>
      </c>
      <c r="G1225" s="7" t="s">
        <v>418</v>
      </c>
      <c r="H1225" s="47" t="s">
        <v>784</v>
      </c>
      <c r="I1225" s="47" t="s">
        <v>785</v>
      </c>
      <c r="J1225" s="6">
        <v>70</v>
      </c>
      <c r="K1225" s="8" t="s">
        <v>22</v>
      </c>
      <c r="L1225" s="5">
        <v>75</v>
      </c>
      <c r="P1225" s="3"/>
      <c r="Q1225" s="3"/>
      <c r="R1225" s="3"/>
    </row>
    <row r="1226" spans="1:18" x14ac:dyDescent="0.2">
      <c r="A1226" s="7" t="s">
        <v>16</v>
      </c>
      <c r="B1226" s="7" t="s">
        <v>55</v>
      </c>
      <c r="C1226" s="7" t="s">
        <v>18</v>
      </c>
      <c r="D1226" s="4">
        <v>41781949000234</v>
      </c>
      <c r="E1226" s="8" t="s">
        <v>519</v>
      </c>
      <c r="F1226" s="8" t="s">
        <v>520</v>
      </c>
      <c r="G1226" s="7" t="s">
        <v>223</v>
      </c>
      <c r="H1226" s="47" t="s">
        <v>784</v>
      </c>
      <c r="I1226" s="47" t="s">
        <v>785</v>
      </c>
      <c r="J1226" s="6">
        <v>70</v>
      </c>
      <c r="K1226" s="8" t="s">
        <v>22</v>
      </c>
      <c r="L1226" s="5">
        <v>40</v>
      </c>
      <c r="P1226" s="3"/>
      <c r="Q1226" s="3"/>
      <c r="R1226" s="3"/>
    </row>
    <row r="1227" spans="1:18" x14ac:dyDescent="0.2">
      <c r="A1227" s="7" t="s">
        <v>16</v>
      </c>
      <c r="B1227" s="7" t="s">
        <v>55</v>
      </c>
      <c r="C1227" s="7" t="s">
        <v>18</v>
      </c>
      <c r="D1227" s="4">
        <v>60884855001207</v>
      </c>
      <c r="E1227" s="8" t="s">
        <v>377</v>
      </c>
      <c r="F1227" s="8" t="s">
        <v>240</v>
      </c>
      <c r="G1227" s="7" t="s">
        <v>241</v>
      </c>
      <c r="H1227" s="47" t="s">
        <v>784</v>
      </c>
      <c r="I1227" s="47" t="s">
        <v>785</v>
      </c>
      <c r="J1227" s="6">
        <v>70</v>
      </c>
      <c r="K1227" s="8" t="s">
        <v>22</v>
      </c>
      <c r="L1227" s="5">
        <v>985</v>
      </c>
      <c r="P1227" s="3"/>
      <c r="Q1227" s="3"/>
      <c r="R1227" s="3"/>
    </row>
    <row r="1228" spans="1:18" x14ac:dyDescent="0.2">
      <c r="A1228" s="7" t="s">
        <v>16</v>
      </c>
      <c r="B1228" s="7" t="s">
        <v>55</v>
      </c>
      <c r="C1228" s="7" t="s">
        <v>18</v>
      </c>
      <c r="D1228" s="4">
        <v>68709211000212</v>
      </c>
      <c r="E1228" s="8" t="s">
        <v>459</v>
      </c>
      <c r="F1228" s="8" t="s">
        <v>369</v>
      </c>
      <c r="G1228" s="7" t="s">
        <v>241</v>
      </c>
      <c r="H1228" s="47" t="s">
        <v>784</v>
      </c>
      <c r="I1228" s="47" t="s">
        <v>785</v>
      </c>
      <c r="J1228" s="6">
        <v>70</v>
      </c>
      <c r="K1228" s="8" t="s">
        <v>22</v>
      </c>
      <c r="L1228" s="5">
        <v>200</v>
      </c>
      <c r="P1228" s="3"/>
      <c r="Q1228" s="3"/>
      <c r="R1228" s="3"/>
    </row>
    <row r="1229" spans="1:18" x14ac:dyDescent="0.2">
      <c r="A1229" s="7" t="s">
        <v>16</v>
      </c>
      <c r="B1229" s="7" t="s">
        <v>55</v>
      </c>
      <c r="C1229" s="7" t="s">
        <v>18</v>
      </c>
      <c r="D1229" s="4">
        <v>73863342000109</v>
      </c>
      <c r="E1229" s="8" t="s">
        <v>582</v>
      </c>
      <c r="F1229" s="8" t="s">
        <v>583</v>
      </c>
      <c r="G1229" s="7" t="s">
        <v>233</v>
      </c>
      <c r="H1229" s="47" t="s">
        <v>784</v>
      </c>
      <c r="I1229" s="47" t="s">
        <v>785</v>
      </c>
      <c r="J1229" s="6">
        <v>70</v>
      </c>
      <c r="K1229" s="8" t="s">
        <v>22</v>
      </c>
      <c r="L1229" s="5">
        <v>20</v>
      </c>
      <c r="P1229" s="3"/>
      <c r="Q1229" s="3"/>
      <c r="R1229" s="3"/>
    </row>
    <row r="1230" spans="1:18" x14ac:dyDescent="0.2">
      <c r="A1230" s="7" t="s">
        <v>16</v>
      </c>
      <c r="B1230" s="7" t="s">
        <v>55</v>
      </c>
      <c r="C1230" s="7" t="s">
        <v>18</v>
      </c>
      <c r="D1230" s="4">
        <v>75222224001895</v>
      </c>
      <c r="E1230" s="8" t="s">
        <v>584</v>
      </c>
      <c r="F1230" s="8" t="s">
        <v>583</v>
      </c>
      <c r="G1230" s="7" t="s">
        <v>233</v>
      </c>
      <c r="H1230" s="47" t="s">
        <v>784</v>
      </c>
      <c r="I1230" s="47" t="s">
        <v>785</v>
      </c>
      <c r="J1230" s="6">
        <v>70</v>
      </c>
      <c r="K1230" s="8" t="s">
        <v>22</v>
      </c>
      <c r="L1230" s="5">
        <v>1200</v>
      </c>
      <c r="P1230" s="3"/>
      <c r="Q1230" s="3"/>
      <c r="R1230" s="3"/>
    </row>
    <row r="1231" spans="1:18" x14ac:dyDescent="0.2">
      <c r="A1231" s="7" t="s">
        <v>16</v>
      </c>
      <c r="B1231" s="7" t="s">
        <v>55</v>
      </c>
      <c r="C1231" s="7" t="s">
        <v>18</v>
      </c>
      <c r="D1231" s="4">
        <v>76498013000102</v>
      </c>
      <c r="E1231" s="8" t="s">
        <v>627</v>
      </c>
      <c r="F1231" s="8" t="s">
        <v>385</v>
      </c>
      <c r="G1231" s="7" t="s">
        <v>233</v>
      </c>
      <c r="H1231" s="47" t="s">
        <v>784</v>
      </c>
      <c r="I1231" s="47" t="s">
        <v>785</v>
      </c>
      <c r="J1231" s="6">
        <v>70</v>
      </c>
      <c r="K1231" s="8" t="s">
        <v>22</v>
      </c>
      <c r="L1231" s="5">
        <v>55</v>
      </c>
      <c r="P1231" s="3"/>
      <c r="Q1231" s="3"/>
      <c r="R1231" s="3"/>
    </row>
    <row r="1232" spans="1:18" x14ac:dyDescent="0.2">
      <c r="A1232" s="7" t="s">
        <v>16</v>
      </c>
      <c r="B1232" s="7" t="s">
        <v>55</v>
      </c>
      <c r="C1232" s="7" t="s">
        <v>18</v>
      </c>
      <c r="D1232" s="4">
        <v>76555069000143</v>
      </c>
      <c r="E1232" s="8" t="s">
        <v>384</v>
      </c>
      <c r="F1232" s="8" t="s">
        <v>385</v>
      </c>
      <c r="G1232" s="7" t="s">
        <v>233</v>
      </c>
      <c r="H1232" s="47" t="s">
        <v>784</v>
      </c>
      <c r="I1232" s="47" t="s">
        <v>785</v>
      </c>
      <c r="J1232" s="6">
        <v>70</v>
      </c>
      <c r="K1232" s="8" t="s">
        <v>22</v>
      </c>
      <c r="L1232" s="5">
        <v>170</v>
      </c>
      <c r="P1232" s="3"/>
      <c r="Q1232" s="3"/>
      <c r="R1232" s="3"/>
    </row>
    <row r="1233" spans="1:18" x14ac:dyDescent="0.2">
      <c r="A1233" s="7" t="s">
        <v>16</v>
      </c>
      <c r="B1233" s="7" t="s">
        <v>55</v>
      </c>
      <c r="C1233" s="7" t="s">
        <v>18</v>
      </c>
      <c r="D1233" s="4">
        <v>76591569000130</v>
      </c>
      <c r="E1233" s="8" t="s">
        <v>386</v>
      </c>
      <c r="F1233" s="8" t="s">
        <v>385</v>
      </c>
      <c r="G1233" s="7" t="s">
        <v>233</v>
      </c>
      <c r="H1233" s="47" t="s">
        <v>784</v>
      </c>
      <c r="I1233" s="47" t="s">
        <v>785</v>
      </c>
      <c r="J1233" s="6">
        <v>70</v>
      </c>
      <c r="K1233" s="8" t="s">
        <v>22</v>
      </c>
      <c r="L1233" s="5">
        <v>250</v>
      </c>
      <c r="P1233" s="3"/>
      <c r="Q1233" s="3"/>
      <c r="R1233" s="3"/>
    </row>
    <row r="1234" spans="1:18" x14ac:dyDescent="0.2">
      <c r="A1234" s="7" t="s">
        <v>16</v>
      </c>
      <c r="B1234" s="7" t="s">
        <v>55</v>
      </c>
      <c r="C1234" s="7" t="s">
        <v>18</v>
      </c>
      <c r="D1234" s="4">
        <v>76659820002367</v>
      </c>
      <c r="E1234" s="8" t="s">
        <v>586</v>
      </c>
      <c r="F1234" s="8" t="s">
        <v>385</v>
      </c>
      <c r="G1234" s="7" t="s">
        <v>233</v>
      </c>
      <c r="H1234" s="47" t="s">
        <v>784</v>
      </c>
      <c r="I1234" s="47" t="s">
        <v>785</v>
      </c>
      <c r="J1234" s="6">
        <v>70</v>
      </c>
      <c r="K1234" s="8" t="s">
        <v>22</v>
      </c>
      <c r="L1234" s="5">
        <v>315</v>
      </c>
      <c r="P1234" s="3"/>
      <c r="Q1234" s="3"/>
      <c r="R1234" s="3"/>
    </row>
    <row r="1235" spans="1:18" x14ac:dyDescent="0.2">
      <c r="A1235" s="7" t="s">
        <v>16</v>
      </c>
      <c r="B1235" s="7" t="s">
        <v>55</v>
      </c>
      <c r="C1235" s="7" t="s">
        <v>18</v>
      </c>
      <c r="D1235" s="4">
        <v>78633088000176</v>
      </c>
      <c r="E1235" s="8" t="s">
        <v>628</v>
      </c>
      <c r="F1235" s="8" t="s">
        <v>583</v>
      </c>
      <c r="G1235" s="7" t="s">
        <v>233</v>
      </c>
      <c r="H1235" s="47" t="s">
        <v>784</v>
      </c>
      <c r="I1235" s="47" t="s">
        <v>785</v>
      </c>
      <c r="J1235" s="6">
        <v>70</v>
      </c>
      <c r="K1235" s="8" t="s">
        <v>22</v>
      </c>
      <c r="L1235" s="5">
        <v>10</v>
      </c>
      <c r="P1235" s="3"/>
      <c r="Q1235" s="3"/>
      <c r="R1235" s="3"/>
    </row>
    <row r="1236" spans="1:18" x14ac:dyDescent="0.2">
      <c r="A1236" s="7" t="s">
        <v>16</v>
      </c>
      <c r="B1236" s="7" t="s">
        <v>55</v>
      </c>
      <c r="C1236" s="7" t="s">
        <v>18</v>
      </c>
      <c r="D1236" s="4">
        <v>79115762000193</v>
      </c>
      <c r="E1236" s="8" t="s">
        <v>521</v>
      </c>
      <c r="F1236" s="8" t="s">
        <v>522</v>
      </c>
      <c r="G1236" s="7" t="s">
        <v>233</v>
      </c>
      <c r="H1236" s="47" t="s">
        <v>784</v>
      </c>
      <c r="I1236" s="47" t="s">
        <v>785</v>
      </c>
      <c r="J1236" s="6">
        <v>70</v>
      </c>
      <c r="K1236" s="8" t="s">
        <v>22</v>
      </c>
      <c r="L1236" s="5">
        <v>225</v>
      </c>
      <c r="P1236" s="3"/>
      <c r="Q1236" s="3"/>
      <c r="R1236" s="3"/>
    </row>
    <row r="1237" spans="1:18" x14ac:dyDescent="0.2">
      <c r="A1237" s="7" t="s">
        <v>16</v>
      </c>
      <c r="B1237" s="7" t="s">
        <v>55</v>
      </c>
      <c r="C1237" s="7" t="s">
        <v>18</v>
      </c>
      <c r="D1237" s="4">
        <v>80490618000116</v>
      </c>
      <c r="E1237" s="8" t="s">
        <v>588</v>
      </c>
      <c r="F1237" s="8" t="s">
        <v>524</v>
      </c>
      <c r="G1237" s="7" t="s">
        <v>259</v>
      </c>
      <c r="H1237" s="47" t="s">
        <v>784</v>
      </c>
      <c r="I1237" s="47" t="s">
        <v>785</v>
      </c>
      <c r="J1237" s="6">
        <v>70</v>
      </c>
      <c r="K1237" s="8" t="s">
        <v>22</v>
      </c>
      <c r="L1237" s="5">
        <v>60</v>
      </c>
      <c r="P1237" s="3"/>
      <c r="Q1237" s="3"/>
      <c r="R1237" s="3"/>
    </row>
    <row r="1238" spans="1:18" x14ac:dyDescent="0.2">
      <c r="A1238" s="7" t="s">
        <v>16</v>
      </c>
      <c r="B1238" s="7" t="s">
        <v>55</v>
      </c>
      <c r="C1238" s="7" t="s">
        <v>18</v>
      </c>
      <c r="D1238" s="4">
        <v>87096616003101</v>
      </c>
      <c r="E1238" s="8" t="s">
        <v>629</v>
      </c>
      <c r="F1238" s="8" t="s">
        <v>305</v>
      </c>
      <c r="G1238" s="7" t="s">
        <v>253</v>
      </c>
      <c r="H1238" s="47" t="s">
        <v>784</v>
      </c>
      <c r="I1238" s="47" t="s">
        <v>785</v>
      </c>
      <c r="J1238" s="6">
        <v>70</v>
      </c>
      <c r="K1238" s="8" t="s">
        <v>22</v>
      </c>
      <c r="L1238" s="5">
        <v>1500</v>
      </c>
      <c r="P1238" s="3"/>
      <c r="Q1238" s="3"/>
      <c r="R1238" s="3"/>
    </row>
    <row r="1239" spans="1:18" x14ac:dyDescent="0.2">
      <c r="A1239" s="7" t="s">
        <v>16</v>
      </c>
      <c r="B1239" s="7" t="s">
        <v>55</v>
      </c>
      <c r="C1239" s="7" t="s">
        <v>18</v>
      </c>
      <c r="D1239" s="4">
        <v>87317764001084</v>
      </c>
      <c r="E1239" s="8" t="s">
        <v>461</v>
      </c>
      <c r="F1239" s="8" t="s">
        <v>305</v>
      </c>
      <c r="G1239" s="7" t="s">
        <v>253</v>
      </c>
      <c r="H1239" s="47" t="s">
        <v>784</v>
      </c>
      <c r="I1239" s="47" t="s">
        <v>785</v>
      </c>
      <c r="J1239" s="6">
        <v>70</v>
      </c>
      <c r="K1239" s="8" t="s">
        <v>22</v>
      </c>
      <c r="L1239" s="5">
        <v>240</v>
      </c>
      <c r="P1239" s="3"/>
      <c r="Q1239" s="3"/>
      <c r="R1239" s="3"/>
    </row>
    <row r="1240" spans="1:18" x14ac:dyDescent="0.2">
      <c r="A1240" s="7" t="s">
        <v>16</v>
      </c>
      <c r="B1240" s="7" t="s">
        <v>55</v>
      </c>
      <c r="C1240" s="7" t="s">
        <v>18</v>
      </c>
      <c r="D1240" s="4">
        <v>87607149000626</v>
      </c>
      <c r="E1240" s="8" t="s">
        <v>592</v>
      </c>
      <c r="F1240" s="8" t="s">
        <v>399</v>
      </c>
      <c r="G1240" s="7" t="s">
        <v>253</v>
      </c>
      <c r="H1240" s="47" t="s">
        <v>784</v>
      </c>
      <c r="I1240" s="47" t="s">
        <v>785</v>
      </c>
      <c r="J1240" s="6">
        <v>70</v>
      </c>
      <c r="K1240" s="8" t="s">
        <v>22</v>
      </c>
      <c r="L1240" s="5">
        <v>235</v>
      </c>
      <c r="P1240" s="3"/>
      <c r="Q1240" s="3"/>
      <c r="R1240" s="3"/>
    </row>
    <row r="1241" spans="1:18" x14ac:dyDescent="0.2">
      <c r="A1241" s="7" t="s">
        <v>16</v>
      </c>
      <c r="B1241" s="7" t="s">
        <v>55</v>
      </c>
      <c r="C1241" s="7" t="s">
        <v>18</v>
      </c>
      <c r="D1241" s="4">
        <v>87638334000505</v>
      </c>
      <c r="E1241" s="8" t="s">
        <v>630</v>
      </c>
      <c r="F1241" s="8" t="s">
        <v>631</v>
      </c>
      <c r="G1241" s="7" t="s">
        <v>253</v>
      </c>
      <c r="H1241" s="47" t="s">
        <v>784</v>
      </c>
      <c r="I1241" s="47" t="s">
        <v>785</v>
      </c>
      <c r="J1241" s="6">
        <v>70</v>
      </c>
      <c r="K1241" s="8" t="s">
        <v>22</v>
      </c>
      <c r="L1241" s="5">
        <v>10</v>
      </c>
      <c r="P1241" s="3"/>
      <c r="Q1241" s="3"/>
      <c r="R1241" s="3"/>
    </row>
    <row r="1242" spans="1:18" x14ac:dyDescent="0.2">
      <c r="A1242" s="7" t="s">
        <v>16</v>
      </c>
      <c r="B1242" s="7" t="s">
        <v>55</v>
      </c>
      <c r="C1242" s="7" t="s">
        <v>18</v>
      </c>
      <c r="D1242" s="4">
        <v>87827689002405</v>
      </c>
      <c r="E1242" s="8" t="s">
        <v>394</v>
      </c>
      <c r="F1242" s="8" t="s">
        <v>252</v>
      </c>
      <c r="G1242" s="7" t="s">
        <v>253</v>
      </c>
      <c r="H1242" s="47" t="s">
        <v>784</v>
      </c>
      <c r="I1242" s="47" t="s">
        <v>785</v>
      </c>
      <c r="J1242" s="6">
        <v>70</v>
      </c>
      <c r="K1242" s="8" t="s">
        <v>22</v>
      </c>
      <c r="L1242" s="5">
        <v>90</v>
      </c>
      <c r="P1242" s="3"/>
      <c r="Q1242" s="3"/>
      <c r="R1242" s="3"/>
    </row>
    <row r="1243" spans="1:18" x14ac:dyDescent="0.2">
      <c r="A1243" s="7" t="s">
        <v>16</v>
      </c>
      <c r="B1243" s="7" t="s">
        <v>55</v>
      </c>
      <c r="C1243" s="7" t="s">
        <v>18</v>
      </c>
      <c r="D1243" s="4">
        <v>88625686002443</v>
      </c>
      <c r="E1243" s="8" t="s">
        <v>396</v>
      </c>
      <c r="F1243" s="8" t="s">
        <v>305</v>
      </c>
      <c r="G1243" s="7" t="s">
        <v>253</v>
      </c>
      <c r="H1243" s="47" t="s">
        <v>784</v>
      </c>
      <c r="I1243" s="47" t="s">
        <v>785</v>
      </c>
      <c r="J1243" s="6">
        <v>70</v>
      </c>
      <c r="K1243" s="8" t="s">
        <v>22</v>
      </c>
      <c r="L1243" s="5">
        <v>240</v>
      </c>
      <c r="P1243" s="3"/>
      <c r="Q1243" s="3"/>
      <c r="R1243" s="3"/>
    </row>
    <row r="1244" spans="1:18" x14ac:dyDescent="0.2">
      <c r="A1244" s="7" t="s">
        <v>16</v>
      </c>
      <c r="B1244" s="7" t="s">
        <v>55</v>
      </c>
      <c r="C1244" s="7" t="s">
        <v>18</v>
      </c>
      <c r="D1244" s="4">
        <v>88830609000139</v>
      </c>
      <c r="E1244" s="8" t="s">
        <v>632</v>
      </c>
      <c r="F1244" s="8" t="s">
        <v>252</v>
      </c>
      <c r="G1244" s="7" t="s">
        <v>253</v>
      </c>
      <c r="H1244" s="47" t="s">
        <v>784</v>
      </c>
      <c r="I1244" s="47" t="s">
        <v>785</v>
      </c>
      <c r="J1244" s="6">
        <v>70</v>
      </c>
      <c r="K1244" s="8" t="s">
        <v>22</v>
      </c>
      <c r="L1244" s="5">
        <v>140</v>
      </c>
      <c r="P1244" s="3"/>
      <c r="Q1244" s="3"/>
      <c r="R1244" s="3"/>
    </row>
    <row r="1245" spans="1:18" x14ac:dyDescent="0.2">
      <c r="A1245" s="7" t="s">
        <v>16</v>
      </c>
      <c r="B1245" s="7" t="s">
        <v>55</v>
      </c>
      <c r="C1245" s="7" t="s">
        <v>18</v>
      </c>
      <c r="D1245" s="4">
        <v>92815000000168</v>
      </c>
      <c r="E1245" s="8" t="s">
        <v>403</v>
      </c>
      <c r="F1245" s="8" t="s">
        <v>305</v>
      </c>
      <c r="G1245" s="7" t="s">
        <v>253</v>
      </c>
      <c r="H1245" s="47" t="s">
        <v>784</v>
      </c>
      <c r="I1245" s="47" t="s">
        <v>785</v>
      </c>
      <c r="J1245" s="6">
        <v>70</v>
      </c>
      <c r="K1245" s="8" t="s">
        <v>22</v>
      </c>
      <c r="L1245" s="5">
        <v>90</v>
      </c>
      <c r="P1245" s="3"/>
      <c r="Q1245" s="3"/>
      <c r="R1245" s="3"/>
    </row>
    <row r="1246" spans="1:18" x14ac:dyDescent="0.2">
      <c r="A1246" s="7" t="s">
        <v>16</v>
      </c>
      <c r="B1246" s="7" t="s">
        <v>55</v>
      </c>
      <c r="C1246" s="7" t="s">
        <v>18</v>
      </c>
      <c r="D1246" s="4">
        <v>92963560000160</v>
      </c>
      <c r="E1246" s="8" t="s">
        <v>465</v>
      </c>
      <c r="F1246" s="8" t="s">
        <v>305</v>
      </c>
      <c r="G1246" s="7" t="s">
        <v>253</v>
      </c>
      <c r="H1246" s="47" t="s">
        <v>784</v>
      </c>
      <c r="I1246" s="47" t="s">
        <v>785</v>
      </c>
      <c r="J1246" s="6">
        <v>70</v>
      </c>
      <c r="K1246" s="8" t="s">
        <v>22</v>
      </c>
      <c r="L1246" s="5">
        <v>100</v>
      </c>
      <c r="P1246" s="3"/>
      <c r="Q1246" s="3"/>
      <c r="R1246" s="3"/>
    </row>
    <row r="1247" spans="1:18" x14ac:dyDescent="0.2">
      <c r="A1247" s="7" t="s">
        <v>16</v>
      </c>
      <c r="B1247" s="7" t="s">
        <v>55</v>
      </c>
      <c r="C1247" s="7" t="s">
        <v>18</v>
      </c>
      <c r="D1247" s="4">
        <v>94831294000147</v>
      </c>
      <c r="E1247" s="8" t="s">
        <v>593</v>
      </c>
      <c r="F1247" s="8" t="s">
        <v>305</v>
      </c>
      <c r="G1247" s="7" t="s">
        <v>253</v>
      </c>
      <c r="H1247" s="47" t="s">
        <v>784</v>
      </c>
      <c r="I1247" s="47" t="s">
        <v>785</v>
      </c>
      <c r="J1247" s="6">
        <v>70</v>
      </c>
      <c r="K1247" s="8" t="s">
        <v>22</v>
      </c>
      <c r="L1247" s="5">
        <v>30</v>
      </c>
      <c r="P1247" s="3"/>
      <c r="Q1247" s="3"/>
      <c r="R1247" s="3"/>
    </row>
    <row r="1248" spans="1:18" x14ac:dyDescent="0.2">
      <c r="A1248" s="7" t="s">
        <v>16</v>
      </c>
      <c r="B1248" s="7" t="s">
        <v>55</v>
      </c>
      <c r="C1248" s="7" t="s">
        <v>18</v>
      </c>
      <c r="D1248" s="4">
        <v>95610887000146</v>
      </c>
      <c r="E1248" s="8" t="s">
        <v>406</v>
      </c>
      <c r="F1248" s="8" t="s">
        <v>331</v>
      </c>
      <c r="G1248" s="7" t="s">
        <v>253</v>
      </c>
      <c r="H1248" s="47" t="s">
        <v>784</v>
      </c>
      <c r="I1248" s="47" t="s">
        <v>785</v>
      </c>
      <c r="J1248" s="6">
        <v>70</v>
      </c>
      <c r="K1248" s="8" t="s">
        <v>22</v>
      </c>
      <c r="L1248" s="5">
        <v>100</v>
      </c>
      <c r="P1248" s="3"/>
      <c r="Q1248" s="3"/>
      <c r="R1248" s="3"/>
    </row>
    <row r="1249" spans="1:18" x14ac:dyDescent="0.2">
      <c r="A1249" s="7" t="s">
        <v>16</v>
      </c>
      <c r="B1249" s="7" t="s">
        <v>60</v>
      </c>
      <c r="C1249" s="7" t="s">
        <v>18</v>
      </c>
      <c r="D1249" s="4">
        <v>304148000110</v>
      </c>
      <c r="E1249" s="8" t="s">
        <v>231</v>
      </c>
      <c r="F1249" s="8" t="s">
        <v>232</v>
      </c>
      <c r="G1249" s="7" t="s">
        <v>233</v>
      </c>
      <c r="H1249" s="47" t="s">
        <v>784</v>
      </c>
      <c r="I1249" s="47" t="s">
        <v>785</v>
      </c>
      <c r="J1249" s="6">
        <v>70</v>
      </c>
      <c r="K1249" s="8" t="s">
        <v>22</v>
      </c>
      <c r="L1249" s="5">
        <v>175</v>
      </c>
      <c r="P1249" s="3"/>
      <c r="Q1249" s="3"/>
      <c r="R1249" s="3"/>
    </row>
    <row r="1250" spans="1:18" x14ac:dyDescent="0.2">
      <c r="A1250" s="7" t="s">
        <v>16</v>
      </c>
      <c r="B1250" s="7" t="s">
        <v>60</v>
      </c>
      <c r="C1250" s="7" t="s">
        <v>18</v>
      </c>
      <c r="D1250" s="4">
        <v>410960000120</v>
      </c>
      <c r="E1250" s="8" t="s">
        <v>234</v>
      </c>
      <c r="F1250" s="8" t="s">
        <v>235</v>
      </c>
      <c r="G1250" s="7" t="s">
        <v>223</v>
      </c>
      <c r="H1250" s="47" t="s">
        <v>784</v>
      </c>
      <c r="I1250" s="47" t="s">
        <v>785</v>
      </c>
      <c r="J1250" s="6">
        <v>70</v>
      </c>
      <c r="K1250" s="8" t="s">
        <v>22</v>
      </c>
      <c r="L1250" s="5">
        <v>662.5</v>
      </c>
      <c r="P1250" s="3"/>
      <c r="Q1250" s="3"/>
      <c r="R1250" s="3"/>
    </row>
    <row r="1251" spans="1:18" x14ac:dyDescent="0.2">
      <c r="A1251" s="7" t="s">
        <v>16</v>
      </c>
      <c r="B1251" s="7" t="s">
        <v>60</v>
      </c>
      <c r="C1251" s="7" t="s">
        <v>18</v>
      </c>
      <c r="D1251" s="4">
        <v>437007000175</v>
      </c>
      <c r="E1251" s="8" t="s">
        <v>239</v>
      </c>
      <c r="F1251" s="8" t="s">
        <v>240</v>
      </c>
      <c r="G1251" s="7" t="s">
        <v>241</v>
      </c>
      <c r="H1251" s="47" t="s">
        <v>784</v>
      </c>
      <c r="I1251" s="47" t="s">
        <v>785</v>
      </c>
      <c r="J1251" s="6">
        <v>70</v>
      </c>
      <c r="K1251" s="8" t="s">
        <v>22</v>
      </c>
      <c r="L1251" s="5">
        <v>500</v>
      </c>
      <c r="P1251" s="3"/>
      <c r="Q1251" s="3"/>
      <c r="R1251" s="3"/>
    </row>
    <row r="1252" spans="1:18" x14ac:dyDescent="0.2">
      <c r="A1252" s="7" t="s">
        <v>16</v>
      </c>
      <c r="B1252" s="7" t="s">
        <v>60</v>
      </c>
      <c r="C1252" s="7" t="s">
        <v>18</v>
      </c>
      <c r="D1252" s="4">
        <v>521197000104</v>
      </c>
      <c r="E1252" s="8" t="s">
        <v>526</v>
      </c>
      <c r="F1252" s="8" t="s">
        <v>240</v>
      </c>
      <c r="G1252" s="7" t="s">
        <v>241</v>
      </c>
      <c r="H1252" s="47" t="s">
        <v>784</v>
      </c>
      <c r="I1252" s="47" t="s">
        <v>785</v>
      </c>
      <c r="J1252" s="6">
        <v>70</v>
      </c>
      <c r="K1252" s="8" t="s">
        <v>22</v>
      </c>
      <c r="L1252" s="5">
        <v>297.5</v>
      </c>
      <c r="P1252" s="3"/>
      <c r="Q1252" s="3"/>
      <c r="R1252" s="3"/>
    </row>
    <row r="1253" spans="1:18" x14ac:dyDescent="0.2">
      <c r="A1253" s="7" t="s">
        <v>16</v>
      </c>
      <c r="B1253" s="7" t="s">
        <v>60</v>
      </c>
      <c r="C1253" s="7" t="s">
        <v>18</v>
      </c>
      <c r="D1253" s="4">
        <v>942063000167</v>
      </c>
      <c r="E1253" s="8" t="s">
        <v>527</v>
      </c>
      <c r="F1253" s="8" t="s">
        <v>385</v>
      </c>
      <c r="G1253" s="7" t="s">
        <v>233</v>
      </c>
      <c r="H1253" s="47" t="s">
        <v>784</v>
      </c>
      <c r="I1253" s="47" t="s">
        <v>785</v>
      </c>
      <c r="J1253" s="6">
        <v>70</v>
      </c>
      <c r="K1253" s="8" t="s">
        <v>22</v>
      </c>
      <c r="L1253" s="5">
        <v>800</v>
      </c>
      <c r="P1253" s="3"/>
      <c r="Q1253" s="3"/>
      <c r="R1253" s="3"/>
    </row>
    <row r="1254" spans="1:18" x14ac:dyDescent="0.2">
      <c r="A1254" s="7" t="s">
        <v>16</v>
      </c>
      <c r="B1254" s="7" t="s">
        <v>60</v>
      </c>
      <c r="C1254" s="7" t="s">
        <v>18</v>
      </c>
      <c r="D1254" s="4">
        <v>1125832000105</v>
      </c>
      <c r="E1254" s="8" t="s">
        <v>529</v>
      </c>
      <c r="F1254" s="8" t="s">
        <v>388</v>
      </c>
      <c r="G1254" s="7" t="s">
        <v>259</v>
      </c>
      <c r="H1254" s="47" t="s">
        <v>784</v>
      </c>
      <c r="I1254" s="47" t="s">
        <v>785</v>
      </c>
      <c r="J1254" s="6">
        <v>70</v>
      </c>
      <c r="K1254" s="8" t="s">
        <v>22</v>
      </c>
      <c r="L1254" s="5">
        <v>60</v>
      </c>
      <c r="P1254" s="3"/>
      <c r="Q1254" s="3"/>
      <c r="R1254" s="3"/>
    </row>
    <row r="1255" spans="1:18" x14ac:dyDescent="0.2">
      <c r="A1255" s="7" t="s">
        <v>16</v>
      </c>
      <c r="B1255" s="7" t="s">
        <v>60</v>
      </c>
      <c r="C1255" s="7" t="s">
        <v>18</v>
      </c>
      <c r="D1255" s="4">
        <v>1554266000149</v>
      </c>
      <c r="E1255" s="8" t="s">
        <v>511</v>
      </c>
      <c r="F1255" s="8" t="s">
        <v>512</v>
      </c>
      <c r="G1255" s="7" t="s">
        <v>259</v>
      </c>
      <c r="H1255" s="47" t="s">
        <v>784</v>
      </c>
      <c r="I1255" s="47" t="s">
        <v>785</v>
      </c>
      <c r="J1255" s="6">
        <v>70</v>
      </c>
      <c r="K1255" s="8" t="s">
        <v>22</v>
      </c>
      <c r="L1255" s="5">
        <v>70</v>
      </c>
      <c r="P1255" s="3"/>
      <c r="Q1255" s="3"/>
      <c r="R1255" s="3"/>
    </row>
    <row r="1256" spans="1:18" x14ac:dyDescent="0.2">
      <c r="A1256" s="7" t="s">
        <v>16</v>
      </c>
      <c r="B1256" s="7" t="s">
        <v>60</v>
      </c>
      <c r="C1256" s="7" t="s">
        <v>18</v>
      </c>
      <c r="D1256" s="4">
        <v>1554266000300</v>
      </c>
      <c r="E1256" s="8" t="s">
        <v>534</v>
      </c>
      <c r="F1256" s="8" t="s">
        <v>512</v>
      </c>
      <c r="G1256" s="7" t="s">
        <v>259</v>
      </c>
      <c r="H1256" s="47" t="s">
        <v>784</v>
      </c>
      <c r="I1256" s="47" t="s">
        <v>785</v>
      </c>
      <c r="J1256" s="6">
        <v>70</v>
      </c>
      <c r="K1256" s="8" t="s">
        <v>22</v>
      </c>
      <c r="L1256" s="5">
        <v>35</v>
      </c>
      <c r="P1256" s="3"/>
      <c r="Q1256" s="3"/>
      <c r="R1256" s="3"/>
    </row>
    <row r="1257" spans="1:18" x14ac:dyDescent="0.2">
      <c r="A1257" s="7" t="s">
        <v>16</v>
      </c>
      <c r="B1257" s="7" t="s">
        <v>60</v>
      </c>
      <c r="C1257" s="7" t="s">
        <v>18</v>
      </c>
      <c r="D1257" s="4">
        <v>1880344000103</v>
      </c>
      <c r="E1257" s="8" t="s">
        <v>513</v>
      </c>
      <c r="F1257" s="8" t="s">
        <v>380</v>
      </c>
      <c r="G1257" s="7" t="s">
        <v>259</v>
      </c>
      <c r="H1257" s="47" t="s">
        <v>784</v>
      </c>
      <c r="I1257" s="47" t="s">
        <v>785</v>
      </c>
      <c r="J1257" s="6">
        <v>70</v>
      </c>
      <c r="K1257" s="8" t="s">
        <v>22</v>
      </c>
      <c r="L1257" s="5">
        <v>125</v>
      </c>
      <c r="P1257" s="3"/>
      <c r="Q1257" s="3"/>
      <c r="R1257" s="3"/>
    </row>
    <row r="1258" spans="1:18" x14ac:dyDescent="0.2">
      <c r="A1258" s="7" t="s">
        <v>16</v>
      </c>
      <c r="B1258" s="7" t="s">
        <v>60</v>
      </c>
      <c r="C1258" s="7" t="s">
        <v>18</v>
      </c>
      <c r="D1258" s="4">
        <v>2623693000102</v>
      </c>
      <c r="E1258" s="8" t="s">
        <v>538</v>
      </c>
      <c r="F1258" s="8" t="s">
        <v>235</v>
      </c>
      <c r="G1258" s="7" t="s">
        <v>223</v>
      </c>
      <c r="H1258" s="47" t="s">
        <v>784</v>
      </c>
      <c r="I1258" s="47" t="s">
        <v>785</v>
      </c>
      <c r="J1258" s="6">
        <v>70</v>
      </c>
      <c r="K1258" s="8" t="s">
        <v>22</v>
      </c>
      <c r="L1258" s="5">
        <v>20</v>
      </c>
      <c r="P1258" s="3"/>
      <c r="Q1258" s="3"/>
      <c r="R1258" s="3"/>
    </row>
    <row r="1259" spans="1:18" x14ac:dyDescent="0.2">
      <c r="A1259" s="7" t="s">
        <v>16</v>
      </c>
      <c r="B1259" s="7" t="s">
        <v>60</v>
      </c>
      <c r="C1259" s="7" t="s">
        <v>18</v>
      </c>
      <c r="D1259" s="4">
        <v>3850913000195</v>
      </c>
      <c r="E1259" s="8" t="s">
        <v>542</v>
      </c>
      <c r="F1259" s="8" t="s">
        <v>385</v>
      </c>
      <c r="G1259" s="7" t="s">
        <v>233</v>
      </c>
      <c r="H1259" s="47" t="s">
        <v>784</v>
      </c>
      <c r="I1259" s="47" t="s">
        <v>785</v>
      </c>
      <c r="J1259" s="6">
        <v>70</v>
      </c>
      <c r="K1259" s="8" t="s">
        <v>22</v>
      </c>
      <c r="L1259" s="5">
        <v>660</v>
      </c>
      <c r="P1259" s="3"/>
      <c r="Q1259" s="3"/>
      <c r="R1259" s="3"/>
    </row>
    <row r="1260" spans="1:18" x14ac:dyDescent="0.2">
      <c r="A1260" s="7" t="s">
        <v>16</v>
      </c>
      <c r="B1260" s="7" t="s">
        <v>60</v>
      </c>
      <c r="C1260" s="7" t="s">
        <v>18</v>
      </c>
      <c r="D1260" s="4">
        <v>4670913000176</v>
      </c>
      <c r="E1260" s="8" t="s">
        <v>515</v>
      </c>
      <c r="F1260" s="8" t="s">
        <v>388</v>
      </c>
      <c r="G1260" s="7" t="s">
        <v>259</v>
      </c>
      <c r="H1260" s="47" t="s">
        <v>784</v>
      </c>
      <c r="I1260" s="47" t="s">
        <v>785</v>
      </c>
      <c r="J1260" s="6">
        <v>70</v>
      </c>
      <c r="K1260" s="8" t="s">
        <v>22</v>
      </c>
      <c r="L1260" s="5">
        <v>375</v>
      </c>
      <c r="P1260" s="3"/>
      <c r="Q1260" s="3"/>
      <c r="R1260" s="3"/>
    </row>
    <row r="1261" spans="1:18" x14ac:dyDescent="0.2">
      <c r="A1261" s="7" t="s">
        <v>16</v>
      </c>
      <c r="B1261" s="7" t="s">
        <v>60</v>
      </c>
      <c r="C1261" s="7" t="s">
        <v>18</v>
      </c>
      <c r="D1261" s="4">
        <v>4762301000103</v>
      </c>
      <c r="E1261" s="8" t="s">
        <v>600</v>
      </c>
      <c r="F1261" s="8" t="s">
        <v>583</v>
      </c>
      <c r="G1261" s="7" t="s">
        <v>233</v>
      </c>
      <c r="H1261" s="47" t="s">
        <v>784</v>
      </c>
      <c r="I1261" s="47" t="s">
        <v>785</v>
      </c>
      <c r="J1261" s="6">
        <v>70</v>
      </c>
      <c r="K1261" s="8" t="s">
        <v>22</v>
      </c>
      <c r="L1261" s="5">
        <v>405</v>
      </c>
      <c r="P1261" s="3"/>
      <c r="Q1261" s="3"/>
      <c r="R1261" s="3"/>
    </row>
    <row r="1262" spans="1:18" x14ac:dyDescent="0.2">
      <c r="A1262" s="7" t="s">
        <v>16</v>
      </c>
      <c r="B1262" s="7" t="s">
        <v>60</v>
      </c>
      <c r="C1262" s="7" t="s">
        <v>18</v>
      </c>
      <c r="D1262" s="4">
        <v>7039651000134</v>
      </c>
      <c r="E1262" s="8" t="s">
        <v>547</v>
      </c>
      <c r="F1262" s="8" t="s">
        <v>548</v>
      </c>
      <c r="G1262" s="7" t="s">
        <v>418</v>
      </c>
      <c r="H1262" s="47" t="s">
        <v>784</v>
      </c>
      <c r="I1262" s="47" t="s">
        <v>785</v>
      </c>
      <c r="J1262" s="6">
        <v>70</v>
      </c>
      <c r="K1262" s="8" t="s">
        <v>22</v>
      </c>
      <c r="L1262" s="5">
        <v>25</v>
      </c>
      <c r="P1262" s="3"/>
      <c r="Q1262" s="3"/>
      <c r="R1262" s="3"/>
    </row>
    <row r="1263" spans="1:18" x14ac:dyDescent="0.2">
      <c r="A1263" s="7" t="s">
        <v>16</v>
      </c>
      <c r="B1263" s="7" t="s">
        <v>60</v>
      </c>
      <c r="C1263" s="7" t="s">
        <v>18</v>
      </c>
      <c r="D1263" s="4">
        <v>7404052000172</v>
      </c>
      <c r="E1263" s="8" t="s">
        <v>516</v>
      </c>
      <c r="F1263" s="8" t="s">
        <v>385</v>
      </c>
      <c r="G1263" s="7" t="s">
        <v>233</v>
      </c>
      <c r="H1263" s="47" t="s">
        <v>784</v>
      </c>
      <c r="I1263" s="47" t="s">
        <v>785</v>
      </c>
      <c r="J1263" s="6">
        <v>70</v>
      </c>
      <c r="K1263" s="8" t="s">
        <v>22</v>
      </c>
      <c r="L1263" s="5">
        <v>130</v>
      </c>
      <c r="P1263" s="3"/>
      <c r="Q1263" s="3"/>
      <c r="R1263" s="3"/>
    </row>
    <row r="1264" spans="1:18" x14ac:dyDescent="0.2">
      <c r="A1264" s="7" t="s">
        <v>16</v>
      </c>
      <c r="B1264" s="7" t="s">
        <v>60</v>
      </c>
      <c r="C1264" s="7" t="s">
        <v>18</v>
      </c>
      <c r="D1264" s="4">
        <v>7734165000136</v>
      </c>
      <c r="E1264" s="8" t="s">
        <v>425</v>
      </c>
      <c r="F1264" s="8" t="s">
        <v>385</v>
      </c>
      <c r="G1264" s="7" t="s">
        <v>233</v>
      </c>
      <c r="H1264" s="47" t="s">
        <v>784</v>
      </c>
      <c r="I1264" s="47" t="s">
        <v>785</v>
      </c>
      <c r="J1264" s="6">
        <v>70</v>
      </c>
      <c r="K1264" s="8" t="s">
        <v>22</v>
      </c>
      <c r="L1264" s="5">
        <v>5575</v>
      </c>
      <c r="P1264" s="3"/>
      <c r="Q1264" s="3"/>
      <c r="R1264" s="3"/>
    </row>
    <row r="1265" spans="1:18" x14ac:dyDescent="0.2">
      <c r="A1265" s="7" t="s">
        <v>16</v>
      </c>
      <c r="B1265" s="7" t="s">
        <v>60</v>
      </c>
      <c r="C1265" s="7" t="s">
        <v>18</v>
      </c>
      <c r="D1265" s="4">
        <v>7794623002257</v>
      </c>
      <c r="E1265" s="8" t="s">
        <v>552</v>
      </c>
      <c r="F1265" s="8" t="s">
        <v>553</v>
      </c>
      <c r="G1265" s="7" t="s">
        <v>233</v>
      </c>
      <c r="H1265" s="47" t="s">
        <v>784</v>
      </c>
      <c r="I1265" s="47" t="s">
        <v>785</v>
      </c>
      <c r="J1265" s="6">
        <v>70</v>
      </c>
      <c r="K1265" s="8" t="s">
        <v>22</v>
      </c>
      <c r="L1265" s="5">
        <v>630</v>
      </c>
      <c r="P1265" s="3"/>
      <c r="Q1265" s="3"/>
      <c r="R1265" s="3"/>
    </row>
    <row r="1266" spans="1:18" x14ac:dyDescent="0.2">
      <c r="A1266" s="7" t="s">
        <v>16</v>
      </c>
      <c r="B1266" s="7" t="s">
        <v>60</v>
      </c>
      <c r="C1266" s="7" t="s">
        <v>18</v>
      </c>
      <c r="D1266" s="4">
        <v>8597121000174</v>
      </c>
      <c r="E1266" s="8" t="s">
        <v>428</v>
      </c>
      <c r="F1266" s="8" t="s">
        <v>385</v>
      </c>
      <c r="G1266" s="7" t="s">
        <v>233</v>
      </c>
      <c r="H1266" s="47" t="s">
        <v>784</v>
      </c>
      <c r="I1266" s="47" t="s">
        <v>785</v>
      </c>
      <c r="J1266" s="6">
        <v>70</v>
      </c>
      <c r="K1266" s="8" t="s">
        <v>22</v>
      </c>
      <c r="L1266" s="5">
        <v>560</v>
      </c>
      <c r="P1266" s="3"/>
      <c r="Q1266" s="3"/>
      <c r="R1266" s="3"/>
    </row>
    <row r="1267" spans="1:18" x14ac:dyDescent="0.2">
      <c r="A1267" s="7" t="s">
        <v>16</v>
      </c>
      <c r="B1267" s="7" t="s">
        <v>60</v>
      </c>
      <c r="C1267" s="7" t="s">
        <v>18</v>
      </c>
      <c r="D1267" s="4">
        <v>10562003000172</v>
      </c>
      <c r="E1267" s="8" t="s">
        <v>642</v>
      </c>
      <c r="F1267" s="8" t="s">
        <v>458</v>
      </c>
      <c r="G1267" s="7" t="s">
        <v>241</v>
      </c>
      <c r="H1267" s="47" t="s">
        <v>784</v>
      </c>
      <c r="I1267" s="47" t="s">
        <v>785</v>
      </c>
      <c r="J1267" s="6">
        <v>70</v>
      </c>
      <c r="K1267" s="8" t="s">
        <v>22</v>
      </c>
      <c r="L1267" s="5">
        <v>175</v>
      </c>
      <c r="P1267" s="3"/>
      <c r="Q1267" s="3"/>
      <c r="R1267" s="3"/>
    </row>
    <row r="1268" spans="1:18" x14ac:dyDescent="0.2">
      <c r="A1268" s="7" t="s">
        <v>16</v>
      </c>
      <c r="B1268" s="7" t="s">
        <v>60</v>
      </c>
      <c r="C1268" s="7" t="s">
        <v>18</v>
      </c>
      <c r="D1268" s="4">
        <v>10586940000168</v>
      </c>
      <c r="E1268" s="8" t="s">
        <v>483</v>
      </c>
      <c r="F1268" s="8" t="s">
        <v>451</v>
      </c>
      <c r="G1268" s="7" t="s">
        <v>418</v>
      </c>
      <c r="H1268" s="47" t="s">
        <v>784</v>
      </c>
      <c r="I1268" s="47" t="s">
        <v>785</v>
      </c>
      <c r="J1268" s="6">
        <v>70</v>
      </c>
      <c r="K1268" s="8" t="s">
        <v>22</v>
      </c>
      <c r="L1268" s="5">
        <v>1150</v>
      </c>
      <c r="P1268" s="3"/>
      <c r="Q1268" s="3"/>
      <c r="R1268" s="3"/>
    </row>
    <row r="1269" spans="1:18" x14ac:dyDescent="0.2">
      <c r="A1269" s="7" t="s">
        <v>16</v>
      </c>
      <c r="B1269" s="7" t="s">
        <v>60</v>
      </c>
      <c r="C1269" s="7" t="s">
        <v>18</v>
      </c>
      <c r="D1269" s="4">
        <v>12508728000108</v>
      </c>
      <c r="E1269" s="8" t="s">
        <v>517</v>
      </c>
      <c r="F1269" s="8" t="s">
        <v>331</v>
      </c>
      <c r="G1269" s="7" t="s">
        <v>253</v>
      </c>
      <c r="H1269" s="47" t="s">
        <v>784</v>
      </c>
      <c r="I1269" s="47" t="s">
        <v>785</v>
      </c>
      <c r="J1269" s="6">
        <v>70</v>
      </c>
      <c r="K1269" s="8" t="s">
        <v>22</v>
      </c>
      <c r="L1269" s="5">
        <v>20</v>
      </c>
      <c r="P1269" s="3"/>
      <c r="Q1269" s="3"/>
      <c r="R1269" s="3"/>
    </row>
    <row r="1270" spans="1:18" x14ac:dyDescent="0.2">
      <c r="A1270" s="7" t="s">
        <v>16</v>
      </c>
      <c r="B1270" s="7" t="s">
        <v>60</v>
      </c>
      <c r="C1270" s="7" t="s">
        <v>18</v>
      </c>
      <c r="D1270" s="4">
        <v>25648387000207</v>
      </c>
      <c r="E1270" s="8" t="s">
        <v>573</v>
      </c>
      <c r="F1270" s="8" t="s">
        <v>346</v>
      </c>
      <c r="G1270" s="7" t="s">
        <v>223</v>
      </c>
      <c r="H1270" s="47" t="s">
        <v>784</v>
      </c>
      <c r="I1270" s="47" t="s">
        <v>785</v>
      </c>
      <c r="J1270" s="6">
        <v>70</v>
      </c>
      <c r="K1270" s="8" t="s">
        <v>22</v>
      </c>
      <c r="L1270" s="5">
        <v>650</v>
      </c>
      <c r="P1270" s="3"/>
      <c r="Q1270" s="3"/>
      <c r="R1270" s="3"/>
    </row>
    <row r="1271" spans="1:18" x14ac:dyDescent="0.2">
      <c r="A1271" s="7" t="s">
        <v>16</v>
      </c>
      <c r="B1271" s="7" t="s">
        <v>60</v>
      </c>
      <c r="C1271" s="7" t="s">
        <v>18</v>
      </c>
      <c r="D1271" s="4">
        <v>25910449000460</v>
      </c>
      <c r="E1271" s="8" t="s">
        <v>644</v>
      </c>
      <c r="F1271" s="8" t="s">
        <v>645</v>
      </c>
      <c r="G1271" s="7" t="s">
        <v>223</v>
      </c>
      <c r="H1271" s="47" t="s">
        <v>784</v>
      </c>
      <c r="I1271" s="47" t="s">
        <v>785</v>
      </c>
      <c r="J1271" s="6">
        <v>70</v>
      </c>
      <c r="K1271" s="8" t="s">
        <v>22</v>
      </c>
      <c r="L1271" s="5">
        <v>30</v>
      </c>
      <c r="P1271" s="3"/>
      <c r="Q1271" s="3"/>
      <c r="R1271" s="3"/>
    </row>
    <row r="1272" spans="1:18" x14ac:dyDescent="0.2">
      <c r="A1272" s="7" t="s">
        <v>16</v>
      </c>
      <c r="B1272" s="7" t="s">
        <v>60</v>
      </c>
      <c r="C1272" s="7" t="s">
        <v>18</v>
      </c>
      <c r="D1272" s="4">
        <v>27080605000358</v>
      </c>
      <c r="E1272" s="8" t="s">
        <v>620</v>
      </c>
      <c r="F1272" s="8" t="s">
        <v>621</v>
      </c>
      <c r="G1272" s="7" t="s">
        <v>418</v>
      </c>
      <c r="H1272" s="47" t="s">
        <v>784</v>
      </c>
      <c r="I1272" s="47" t="s">
        <v>785</v>
      </c>
      <c r="J1272" s="6">
        <v>70</v>
      </c>
      <c r="K1272" s="8" t="s">
        <v>22</v>
      </c>
      <c r="L1272" s="5">
        <v>200</v>
      </c>
      <c r="P1272" s="3"/>
      <c r="Q1272" s="3"/>
      <c r="R1272" s="3"/>
    </row>
    <row r="1273" spans="1:18" x14ac:dyDescent="0.2">
      <c r="A1273" s="7" t="s">
        <v>16</v>
      </c>
      <c r="B1273" s="7" t="s">
        <v>60</v>
      </c>
      <c r="C1273" s="7" t="s">
        <v>18</v>
      </c>
      <c r="D1273" s="4">
        <v>27578434001525</v>
      </c>
      <c r="E1273" s="8" t="s">
        <v>450</v>
      </c>
      <c r="F1273" s="8" t="s">
        <v>451</v>
      </c>
      <c r="G1273" s="7" t="s">
        <v>418</v>
      </c>
      <c r="H1273" s="47" t="s">
        <v>784</v>
      </c>
      <c r="I1273" s="47" t="s">
        <v>785</v>
      </c>
      <c r="J1273" s="6">
        <v>70</v>
      </c>
      <c r="K1273" s="8" t="s">
        <v>22</v>
      </c>
      <c r="L1273" s="5">
        <v>1000</v>
      </c>
      <c r="P1273" s="3"/>
      <c r="Q1273" s="3"/>
      <c r="R1273" s="3"/>
    </row>
    <row r="1274" spans="1:18" x14ac:dyDescent="0.2">
      <c r="A1274" s="7" t="s">
        <v>16</v>
      </c>
      <c r="B1274" s="7" t="s">
        <v>60</v>
      </c>
      <c r="C1274" s="7" t="s">
        <v>18</v>
      </c>
      <c r="D1274" s="4">
        <v>28523215000378</v>
      </c>
      <c r="E1274" s="8" t="s">
        <v>646</v>
      </c>
      <c r="F1274" s="8" t="s">
        <v>240</v>
      </c>
      <c r="G1274" s="7" t="s">
        <v>241</v>
      </c>
      <c r="H1274" s="47" t="s">
        <v>784</v>
      </c>
      <c r="I1274" s="47" t="s">
        <v>785</v>
      </c>
      <c r="J1274" s="6">
        <v>70</v>
      </c>
      <c r="K1274" s="8" t="s">
        <v>22</v>
      </c>
      <c r="L1274" s="5">
        <v>300</v>
      </c>
      <c r="P1274" s="3"/>
      <c r="Q1274" s="3"/>
      <c r="R1274" s="3"/>
    </row>
    <row r="1275" spans="1:18" x14ac:dyDescent="0.2">
      <c r="A1275" s="7" t="s">
        <v>16</v>
      </c>
      <c r="B1275" s="7" t="s">
        <v>60</v>
      </c>
      <c r="C1275" s="7" t="s">
        <v>18</v>
      </c>
      <c r="D1275" s="4">
        <v>29435005005600</v>
      </c>
      <c r="E1275" s="8" t="s">
        <v>518</v>
      </c>
      <c r="F1275" s="8" t="s">
        <v>385</v>
      </c>
      <c r="G1275" s="7" t="s">
        <v>233</v>
      </c>
      <c r="H1275" s="47" t="s">
        <v>784</v>
      </c>
      <c r="I1275" s="47" t="s">
        <v>785</v>
      </c>
      <c r="J1275" s="6">
        <v>70</v>
      </c>
      <c r="K1275" s="8" t="s">
        <v>22</v>
      </c>
      <c r="L1275" s="5">
        <v>185</v>
      </c>
      <c r="P1275" s="3"/>
      <c r="Q1275" s="3"/>
      <c r="R1275" s="3"/>
    </row>
    <row r="1276" spans="1:18" x14ac:dyDescent="0.2">
      <c r="A1276" s="7" t="s">
        <v>16</v>
      </c>
      <c r="B1276" s="7" t="s">
        <v>60</v>
      </c>
      <c r="C1276" s="7" t="s">
        <v>18</v>
      </c>
      <c r="D1276" s="4">
        <v>30117769000155</v>
      </c>
      <c r="E1276" s="8" t="s">
        <v>578</v>
      </c>
      <c r="F1276" s="8" t="s">
        <v>385</v>
      </c>
      <c r="G1276" s="7" t="s">
        <v>233</v>
      </c>
      <c r="H1276" s="47" t="s">
        <v>784</v>
      </c>
      <c r="I1276" s="47" t="s">
        <v>785</v>
      </c>
      <c r="J1276" s="6">
        <v>70</v>
      </c>
      <c r="K1276" s="8" t="s">
        <v>22</v>
      </c>
      <c r="L1276" s="5">
        <v>205</v>
      </c>
      <c r="P1276" s="3"/>
      <c r="Q1276" s="3"/>
      <c r="R1276" s="3"/>
    </row>
    <row r="1277" spans="1:18" x14ac:dyDescent="0.2">
      <c r="A1277" s="7" t="s">
        <v>16</v>
      </c>
      <c r="B1277" s="7" t="s">
        <v>60</v>
      </c>
      <c r="C1277" s="7" t="s">
        <v>18</v>
      </c>
      <c r="D1277" s="4">
        <v>30638381000108</v>
      </c>
      <c r="E1277" s="8" t="s">
        <v>647</v>
      </c>
      <c r="F1277" s="8" t="s">
        <v>367</v>
      </c>
      <c r="G1277" s="7" t="s">
        <v>241</v>
      </c>
      <c r="H1277" s="47" t="s">
        <v>784</v>
      </c>
      <c r="I1277" s="47" t="s">
        <v>785</v>
      </c>
      <c r="J1277" s="6">
        <v>70</v>
      </c>
      <c r="K1277" s="8" t="s">
        <v>22</v>
      </c>
      <c r="L1277" s="5">
        <v>125</v>
      </c>
      <c r="P1277" s="3"/>
      <c r="Q1277" s="3"/>
      <c r="R1277" s="3"/>
    </row>
    <row r="1278" spans="1:18" x14ac:dyDescent="0.2">
      <c r="A1278" s="7" t="s">
        <v>16</v>
      </c>
      <c r="B1278" s="7" t="s">
        <v>60</v>
      </c>
      <c r="C1278" s="7" t="s">
        <v>18</v>
      </c>
      <c r="D1278" s="4">
        <v>39387477000107</v>
      </c>
      <c r="E1278" s="8" t="s">
        <v>579</v>
      </c>
      <c r="F1278" s="8" t="s">
        <v>451</v>
      </c>
      <c r="G1278" s="7" t="s">
        <v>418</v>
      </c>
      <c r="H1278" s="47" t="s">
        <v>784</v>
      </c>
      <c r="I1278" s="47" t="s">
        <v>785</v>
      </c>
      <c r="J1278" s="6">
        <v>70</v>
      </c>
      <c r="K1278" s="8" t="s">
        <v>22</v>
      </c>
      <c r="L1278" s="5">
        <v>350</v>
      </c>
      <c r="P1278" s="3"/>
      <c r="Q1278" s="3"/>
      <c r="R1278" s="3"/>
    </row>
    <row r="1279" spans="1:18" x14ac:dyDescent="0.2">
      <c r="A1279" s="7" t="s">
        <v>16</v>
      </c>
      <c r="B1279" s="7" t="s">
        <v>60</v>
      </c>
      <c r="C1279" s="7" t="s">
        <v>18</v>
      </c>
      <c r="D1279" s="4">
        <v>60884855001207</v>
      </c>
      <c r="E1279" s="8" t="s">
        <v>377</v>
      </c>
      <c r="F1279" s="8" t="s">
        <v>240</v>
      </c>
      <c r="G1279" s="7" t="s">
        <v>241</v>
      </c>
      <c r="H1279" s="47" t="s">
        <v>784</v>
      </c>
      <c r="I1279" s="47" t="s">
        <v>785</v>
      </c>
      <c r="J1279" s="6">
        <v>70</v>
      </c>
      <c r="K1279" s="8" t="s">
        <v>22</v>
      </c>
      <c r="L1279" s="5">
        <v>790</v>
      </c>
      <c r="P1279" s="3"/>
      <c r="Q1279" s="3"/>
      <c r="R1279" s="3"/>
    </row>
    <row r="1280" spans="1:18" x14ac:dyDescent="0.2">
      <c r="A1280" s="7" t="s">
        <v>16</v>
      </c>
      <c r="B1280" s="7" t="s">
        <v>60</v>
      </c>
      <c r="C1280" s="7" t="s">
        <v>18</v>
      </c>
      <c r="D1280" s="4">
        <v>68709211000212</v>
      </c>
      <c r="E1280" s="8" t="s">
        <v>459</v>
      </c>
      <c r="F1280" s="8" t="s">
        <v>369</v>
      </c>
      <c r="G1280" s="7" t="s">
        <v>241</v>
      </c>
      <c r="H1280" s="47" t="s">
        <v>784</v>
      </c>
      <c r="I1280" s="47" t="s">
        <v>785</v>
      </c>
      <c r="J1280" s="6">
        <v>70</v>
      </c>
      <c r="K1280" s="8" t="s">
        <v>22</v>
      </c>
      <c r="L1280" s="5">
        <v>200</v>
      </c>
      <c r="P1280" s="3"/>
      <c r="Q1280" s="3"/>
      <c r="R1280" s="3"/>
    </row>
    <row r="1281" spans="1:18" x14ac:dyDescent="0.2">
      <c r="A1281" s="7" t="s">
        <v>16</v>
      </c>
      <c r="B1281" s="7" t="s">
        <v>60</v>
      </c>
      <c r="C1281" s="7" t="s">
        <v>18</v>
      </c>
      <c r="D1281" s="4">
        <v>73863342000109</v>
      </c>
      <c r="E1281" s="8" t="s">
        <v>582</v>
      </c>
      <c r="F1281" s="8" t="s">
        <v>583</v>
      </c>
      <c r="G1281" s="7" t="s">
        <v>233</v>
      </c>
      <c r="H1281" s="47" t="s">
        <v>784</v>
      </c>
      <c r="I1281" s="47" t="s">
        <v>785</v>
      </c>
      <c r="J1281" s="6">
        <v>70</v>
      </c>
      <c r="K1281" s="8" t="s">
        <v>22</v>
      </c>
      <c r="L1281" s="5">
        <v>20</v>
      </c>
      <c r="P1281" s="3"/>
      <c r="Q1281" s="3"/>
      <c r="R1281" s="3"/>
    </row>
    <row r="1282" spans="1:18" x14ac:dyDescent="0.2">
      <c r="A1282" s="7" t="s">
        <v>16</v>
      </c>
      <c r="B1282" s="7" t="s">
        <v>60</v>
      </c>
      <c r="C1282" s="7" t="s">
        <v>18</v>
      </c>
      <c r="D1282" s="4">
        <v>75222224001895</v>
      </c>
      <c r="E1282" s="8" t="s">
        <v>584</v>
      </c>
      <c r="F1282" s="8" t="s">
        <v>583</v>
      </c>
      <c r="G1282" s="7" t="s">
        <v>233</v>
      </c>
      <c r="H1282" s="47" t="s">
        <v>784</v>
      </c>
      <c r="I1282" s="47" t="s">
        <v>785</v>
      </c>
      <c r="J1282" s="6">
        <v>70</v>
      </c>
      <c r="K1282" s="8" t="s">
        <v>22</v>
      </c>
      <c r="L1282" s="5">
        <v>1485</v>
      </c>
      <c r="P1282" s="3"/>
      <c r="Q1282" s="3"/>
      <c r="R1282" s="3"/>
    </row>
    <row r="1283" spans="1:18" x14ac:dyDescent="0.2">
      <c r="A1283" s="7" t="s">
        <v>16</v>
      </c>
      <c r="B1283" s="7" t="s">
        <v>60</v>
      </c>
      <c r="C1283" s="7" t="s">
        <v>18</v>
      </c>
      <c r="D1283" s="4">
        <v>76555069000143</v>
      </c>
      <c r="E1283" s="8" t="s">
        <v>384</v>
      </c>
      <c r="F1283" s="8" t="s">
        <v>385</v>
      </c>
      <c r="G1283" s="7" t="s">
        <v>233</v>
      </c>
      <c r="H1283" s="47" t="s">
        <v>784</v>
      </c>
      <c r="I1283" s="47" t="s">
        <v>785</v>
      </c>
      <c r="J1283" s="6">
        <v>70</v>
      </c>
      <c r="K1283" s="8" t="s">
        <v>22</v>
      </c>
      <c r="L1283" s="5">
        <v>280</v>
      </c>
      <c r="P1283" s="3"/>
      <c r="Q1283" s="3"/>
      <c r="R1283" s="3"/>
    </row>
    <row r="1284" spans="1:18" x14ac:dyDescent="0.2">
      <c r="A1284" s="7" t="s">
        <v>16</v>
      </c>
      <c r="B1284" s="7" t="s">
        <v>60</v>
      </c>
      <c r="C1284" s="7" t="s">
        <v>18</v>
      </c>
      <c r="D1284" s="4">
        <v>76591569000130</v>
      </c>
      <c r="E1284" s="8" t="s">
        <v>386</v>
      </c>
      <c r="F1284" s="8" t="s">
        <v>385</v>
      </c>
      <c r="G1284" s="7" t="s">
        <v>233</v>
      </c>
      <c r="H1284" s="47" t="s">
        <v>784</v>
      </c>
      <c r="I1284" s="47" t="s">
        <v>785</v>
      </c>
      <c r="J1284" s="6">
        <v>70</v>
      </c>
      <c r="K1284" s="8" t="s">
        <v>22</v>
      </c>
      <c r="L1284" s="5">
        <v>1000</v>
      </c>
      <c r="P1284" s="3"/>
      <c r="Q1284" s="3"/>
      <c r="R1284" s="3"/>
    </row>
    <row r="1285" spans="1:18" x14ac:dyDescent="0.2">
      <c r="A1285" s="7" t="s">
        <v>16</v>
      </c>
      <c r="B1285" s="7" t="s">
        <v>60</v>
      </c>
      <c r="C1285" s="7" t="s">
        <v>18</v>
      </c>
      <c r="D1285" s="4">
        <v>76659820002367</v>
      </c>
      <c r="E1285" s="8" t="s">
        <v>586</v>
      </c>
      <c r="F1285" s="8" t="s">
        <v>385</v>
      </c>
      <c r="G1285" s="7" t="s">
        <v>233</v>
      </c>
      <c r="H1285" s="47" t="s">
        <v>784</v>
      </c>
      <c r="I1285" s="47" t="s">
        <v>785</v>
      </c>
      <c r="J1285" s="6">
        <v>70</v>
      </c>
      <c r="K1285" s="8" t="s">
        <v>22</v>
      </c>
      <c r="L1285" s="5">
        <v>45</v>
      </c>
      <c r="P1285" s="3"/>
      <c r="Q1285" s="3"/>
      <c r="R1285" s="3"/>
    </row>
    <row r="1286" spans="1:18" x14ac:dyDescent="0.2">
      <c r="A1286" s="7" t="s">
        <v>16</v>
      </c>
      <c r="B1286" s="7" t="s">
        <v>60</v>
      </c>
      <c r="C1286" s="7" t="s">
        <v>18</v>
      </c>
      <c r="D1286" s="4">
        <v>77858611001414</v>
      </c>
      <c r="E1286" s="8" t="s">
        <v>460</v>
      </c>
      <c r="F1286" s="8" t="s">
        <v>344</v>
      </c>
      <c r="G1286" s="7" t="s">
        <v>259</v>
      </c>
      <c r="H1286" s="47" t="s">
        <v>784</v>
      </c>
      <c r="I1286" s="47" t="s">
        <v>785</v>
      </c>
      <c r="J1286" s="6">
        <v>70</v>
      </c>
      <c r="K1286" s="8" t="s">
        <v>22</v>
      </c>
      <c r="L1286" s="5">
        <v>250</v>
      </c>
      <c r="P1286" s="3"/>
      <c r="Q1286" s="3"/>
      <c r="R1286" s="3"/>
    </row>
    <row r="1287" spans="1:18" x14ac:dyDescent="0.2">
      <c r="A1287" s="7" t="s">
        <v>16</v>
      </c>
      <c r="B1287" s="7" t="s">
        <v>60</v>
      </c>
      <c r="C1287" s="7" t="s">
        <v>18</v>
      </c>
      <c r="D1287" s="4">
        <v>78633088000176</v>
      </c>
      <c r="E1287" s="8" t="s">
        <v>628</v>
      </c>
      <c r="F1287" s="8" t="s">
        <v>583</v>
      </c>
      <c r="G1287" s="7" t="s">
        <v>233</v>
      </c>
      <c r="H1287" s="47" t="s">
        <v>784</v>
      </c>
      <c r="I1287" s="47" t="s">
        <v>785</v>
      </c>
      <c r="J1287" s="6">
        <v>70</v>
      </c>
      <c r="K1287" s="8" t="s">
        <v>22</v>
      </c>
      <c r="L1287" s="5">
        <v>10</v>
      </c>
      <c r="P1287" s="3"/>
      <c r="Q1287" s="3"/>
      <c r="R1287" s="3"/>
    </row>
    <row r="1288" spans="1:18" x14ac:dyDescent="0.2">
      <c r="A1288" s="7" t="s">
        <v>16</v>
      </c>
      <c r="B1288" s="7" t="s">
        <v>60</v>
      </c>
      <c r="C1288" s="7" t="s">
        <v>18</v>
      </c>
      <c r="D1288" s="4">
        <v>79115762000193</v>
      </c>
      <c r="E1288" s="8" t="s">
        <v>521</v>
      </c>
      <c r="F1288" s="8" t="s">
        <v>522</v>
      </c>
      <c r="G1288" s="7" t="s">
        <v>233</v>
      </c>
      <c r="H1288" s="47" t="s">
        <v>784</v>
      </c>
      <c r="I1288" s="47" t="s">
        <v>785</v>
      </c>
      <c r="J1288" s="6">
        <v>70</v>
      </c>
      <c r="K1288" s="8" t="s">
        <v>22</v>
      </c>
      <c r="L1288" s="5">
        <v>25</v>
      </c>
      <c r="P1288" s="3"/>
      <c r="Q1288" s="3"/>
      <c r="R1288" s="3"/>
    </row>
    <row r="1289" spans="1:18" x14ac:dyDescent="0.2">
      <c r="A1289" s="7" t="s">
        <v>16</v>
      </c>
      <c r="B1289" s="7" t="s">
        <v>60</v>
      </c>
      <c r="C1289" s="7" t="s">
        <v>18</v>
      </c>
      <c r="D1289" s="4">
        <v>80490618000116</v>
      </c>
      <c r="E1289" s="8" t="s">
        <v>588</v>
      </c>
      <c r="F1289" s="8" t="s">
        <v>524</v>
      </c>
      <c r="G1289" s="7" t="s">
        <v>259</v>
      </c>
      <c r="H1289" s="47" t="s">
        <v>784</v>
      </c>
      <c r="I1289" s="47" t="s">
        <v>785</v>
      </c>
      <c r="J1289" s="6">
        <v>70</v>
      </c>
      <c r="K1289" s="8" t="s">
        <v>22</v>
      </c>
      <c r="L1289" s="5">
        <v>60</v>
      </c>
      <c r="P1289" s="3"/>
      <c r="Q1289" s="3"/>
      <c r="R1289" s="3"/>
    </row>
    <row r="1290" spans="1:18" x14ac:dyDescent="0.2">
      <c r="A1290" s="7" t="s">
        <v>16</v>
      </c>
      <c r="B1290" s="7" t="s">
        <v>60</v>
      </c>
      <c r="C1290" s="7" t="s">
        <v>18</v>
      </c>
      <c r="D1290" s="4">
        <v>80673411000187</v>
      </c>
      <c r="E1290" s="8" t="s">
        <v>387</v>
      </c>
      <c r="F1290" s="8" t="s">
        <v>388</v>
      </c>
      <c r="G1290" s="7" t="s">
        <v>259</v>
      </c>
      <c r="H1290" s="47" t="s">
        <v>784</v>
      </c>
      <c r="I1290" s="47" t="s">
        <v>785</v>
      </c>
      <c r="J1290" s="6">
        <v>70</v>
      </c>
      <c r="K1290" s="8" t="s">
        <v>22</v>
      </c>
      <c r="L1290" s="5">
        <v>240</v>
      </c>
      <c r="P1290" s="3"/>
      <c r="Q1290" s="3"/>
      <c r="R1290" s="3"/>
    </row>
    <row r="1291" spans="1:18" x14ac:dyDescent="0.2">
      <c r="A1291" s="7" t="s">
        <v>16</v>
      </c>
      <c r="B1291" s="7" t="s">
        <v>60</v>
      </c>
      <c r="C1291" s="7" t="s">
        <v>18</v>
      </c>
      <c r="D1291" s="4">
        <v>81715716000410</v>
      </c>
      <c r="E1291" s="8" t="s">
        <v>648</v>
      </c>
      <c r="F1291" s="8" t="s">
        <v>649</v>
      </c>
      <c r="G1291" s="7" t="s">
        <v>233</v>
      </c>
      <c r="H1291" s="47" t="s">
        <v>784</v>
      </c>
      <c r="I1291" s="47" t="s">
        <v>785</v>
      </c>
      <c r="J1291" s="6">
        <v>70</v>
      </c>
      <c r="K1291" s="8" t="s">
        <v>22</v>
      </c>
      <c r="L1291" s="5">
        <v>30</v>
      </c>
      <c r="P1291" s="3"/>
      <c r="Q1291" s="3"/>
      <c r="R1291" s="3"/>
    </row>
    <row r="1292" spans="1:18" x14ac:dyDescent="0.2">
      <c r="A1292" s="7" t="s">
        <v>16</v>
      </c>
      <c r="B1292" s="7" t="s">
        <v>60</v>
      </c>
      <c r="C1292" s="7" t="s">
        <v>18</v>
      </c>
      <c r="D1292" s="4">
        <v>82654088000120</v>
      </c>
      <c r="E1292" s="8" t="s">
        <v>650</v>
      </c>
      <c r="F1292" s="8" t="s">
        <v>380</v>
      </c>
      <c r="G1292" s="7" t="s">
        <v>259</v>
      </c>
      <c r="H1292" s="47" t="s">
        <v>784</v>
      </c>
      <c r="I1292" s="47" t="s">
        <v>785</v>
      </c>
      <c r="J1292" s="6">
        <v>70</v>
      </c>
      <c r="K1292" s="8" t="s">
        <v>22</v>
      </c>
      <c r="L1292" s="5">
        <v>20</v>
      </c>
      <c r="P1292" s="3"/>
      <c r="Q1292" s="3"/>
      <c r="R1292" s="3"/>
    </row>
    <row r="1293" spans="1:18" x14ac:dyDescent="0.2">
      <c r="A1293" s="7" t="s">
        <v>16</v>
      </c>
      <c r="B1293" s="7" t="s">
        <v>60</v>
      </c>
      <c r="C1293" s="7" t="s">
        <v>18</v>
      </c>
      <c r="D1293" s="4">
        <v>85241339000809</v>
      </c>
      <c r="E1293" s="8" t="s">
        <v>523</v>
      </c>
      <c r="F1293" s="8" t="s">
        <v>524</v>
      </c>
      <c r="G1293" s="7" t="s">
        <v>259</v>
      </c>
      <c r="H1293" s="47" t="s">
        <v>784</v>
      </c>
      <c r="I1293" s="47" t="s">
        <v>785</v>
      </c>
      <c r="J1293" s="6">
        <v>70</v>
      </c>
      <c r="K1293" s="8" t="s">
        <v>22</v>
      </c>
      <c r="L1293" s="5">
        <v>310</v>
      </c>
      <c r="P1293" s="3"/>
      <c r="Q1293" s="3"/>
      <c r="R1293" s="3"/>
    </row>
    <row r="1294" spans="1:18" x14ac:dyDescent="0.2">
      <c r="A1294" s="7" t="s">
        <v>16</v>
      </c>
      <c r="B1294" s="7" t="s">
        <v>60</v>
      </c>
      <c r="C1294" s="7" t="s">
        <v>18</v>
      </c>
      <c r="D1294" s="4">
        <v>87317764001084</v>
      </c>
      <c r="E1294" s="8" t="s">
        <v>461</v>
      </c>
      <c r="F1294" s="8" t="s">
        <v>305</v>
      </c>
      <c r="G1294" s="7" t="s">
        <v>253</v>
      </c>
      <c r="H1294" s="47" t="s">
        <v>784</v>
      </c>
      <c r="I1294" s="47" t="s">
        <v>785</v>
      </c>
      <c r="J1294" s="6">
        <v>70</v>
      </c>
      <c r="K1294" s="8" t="s">
        <v>22</v>
      </c>
      <c r="L1294" s="5">
        <v>200</v>
      </c>
      <c r="P1294" s="3"/>
      <c r="Q1294" s="3"/>
      <c r="R1294" s="3"/>
    </row>
    <row r="1295" spans="1:18" x14ac:dyDescent="0.2">
      <c r="A1295" s="7" t="s">
        <v>16</v>
      </c>
      <c r="B1295" s="7" t="s">
        <v>60</v>
      </c>
      <c r="C1295" s="7" t="s">
        <v>18</v>
      </c>
      <c r="D1295" s="4">
        <v>87827689002405</v>
      </c>
      <c r="E1295" s="8" t="s">
        <v>394</v>
      </c>
      <c r="F1295" s="8" t="s">
        <v>252</v>
      </c>
      <c r="G1295" s="7" t="s">
        <v>253</v>
      </c>
      <c r="H1295" s="47" t="s">
        <v>784</v>
      </c>
      <c r="I1295" s="47" t="s">
        <v>785</v>
      </c>
      <c r="J1295" s="6">
        <v>70</v>
      </c>
      <c r="K1295" s="8" t="s">
        <v>22</v>
      </c>
      <c r="L1295" s="5">
        <v>90</v>
      </c>
      <c r="P1295" s="3"/>
      <c r="Q1295" s="3"/>
      <c r="R1295" s="3"/>
    </row>
    <row r="1296" spans="1:18" x14ac:dyDescent="0.2">
      <c r="A1296" s="7" t="s">
        <v>16</v>
      </c>
      <c r="B1296" s="7" t="s">
        <v>60</v>
      </c>
      <c r="C1296" s="7" t="s">
        <v>18</v>
      </c>
      <c r="D1296" s="4">
        <v>92815000000168</v>
      </c>
      <c r="E1296" s="8" t="s">
        <v>403</v>
      </c>
      <c r="F1296" s="8" t="s">
        <v>305</v>
      </c>
      <c r="G1296" s="7" t="s">
        <v>253</v>
      </c>
      <c r="H1296" s="47" t="s">
        <v>784</v>
      </c>
      <c r="I1296" s="47" t="s">
        <v>785</v>
      </c>
      <c r="J1296" s="6">
        <v>70</v>
      </c>
      <c r="K1296" s="8" t="s">
        <v>22</v>
      </c>
      <c r="L1296" s="5">
        <v>90</v>
      </c>
      <c r="P1296" s="3"/>
      <c r="Q1296" s="3"/>
      <c r="R1296" s="3"/>
    </row>
    <row r="1297" spans="1:18" x14ac:dyDescent="0.2">
      <c r="A1297" s="7" t="s">
        <v>16</v>
      </c>
      <c r="B1297" s="7" t="s">
        <v>60</v>
      </c>
      <c r="C1297" s="7" t="s">
        <v>18</v>
      </c>
      <c r="D1297" s="4">
        <v>94831294000147</v>
      </c>
      <c r="E1297" s="8" t="s">
        <v>593</v>
      </c>
      <c r="F1297" s="8" t="s">
        <v>305</v>
      </c>
      <c r="G1297" s="7" t="s">
        <v>253</v>
      </c>
      <c r="H1297" s="47" t="s">
        <v>784</v>
      </c>
      <c r="I1297" s="47" t="s">
        <v>785</v>
      </c>
      <c r="J1297" s="6">
        <v>70</v>
      </c>
      <c r="K1297" s="8" t="s">
        <v>22</v>
      </c>
      <c r="L1297" s="5">
        <v>30</v>
      </c>
      <c r="P1297" s="3"/>
      <c r="Q1297" s="3"/>
      <c r="R1297" s="3"/>
    </row>
    <row r="1298" spans="1:18" x14ac:dyDescent="0.2">
      <c r="A1298" s="7" t="s">
        <v>16</v>
      </c>
      <c r="B1298" s="7" t="s">
        <v>60</v>
      </c>
      <c r="C1298" s="7" t="s">
        <v>18</v>
      </c>
      <c r="D1298" s="4">
        <v>95610887000146</v>
      </c>
      <c r="E1298" s="8" t="s">
        <v>406</v>
      </c>
      <c r="F1298" s="8" t="s">
        <v>331</v>
      </c>
      <c r="G1298" s="7" t="s">
        <v>253</v>
      </c>
      <c r="H1298" s="47" t="s">
        <v>784</v>
      </c>
      <c r="I1298" s="47" t="s">
        <v>785</v>
      </c>
      <c r="J1298" s="6">
        <v>70</v>
      </c>
      <c r="K1298" s="8" t="s">
        <v>22</v>
      </c>
      <c r="L1298" s="5">
        <v>450</v>
      </c>
      <c r="P1298" s="3"/>
      <c r="Q1298" s="3"/>
      <c r="R1298" s="3"/>
    </row>
    <row r="1299" spans="1:18" x14ac:dyDescent="0.2">
      <c r="A1299" s="7" t="s">
        <v>16</v>
      </c>
      <c r="B1299" s="7" t="s">
        <v>65</v>
      </c>
      <c r="C1299" s="7" t="s">
        <v>66</v>
      </c>
      <c r="D1299" s="4">
        <v>132229000180</v>
      </c>
      <c r="E1299" s="8" t="s">
        <v>525</v>
      </c>
      <c r="F1299" s="8" t="s">
        <v>235</v>
      </c>
      <c r="G1299" s="7" t="s">
        <v>223</v>
      </c>
      <c r="H1299" s="47" t="s">
        <v>784</v>
      </c>
      <c r="I1299" s="47" t="s">
        <v>785</v>
      </c>
      <c r="J1299" s="6">
        <v>70</v>
      </c>
      <c r="K1299" s="8" t="s">
        <v>22</v>
      </c>
      <c r="L1299" s="5">
        <v>105</v>
      </c>
      <c r="P1299" s="3"/>
      <c r="Q1299" s="3"/>
      <c r="R1299" s="3"/>
    </row>
    <row r="1300" spans="1:18" x14ac:dyDescent="0.2">
      <c r="A1300" s="7" t="s">
        <v>16</v>
      </c>
      <c r="B1300" s="7" t="s">
        <v>65</v>
      </c>
      <c r="C1300" s="7" t="s">
        <v>66</v>
      </c>
      <c r="D1300" s="4">
        <v>1554266000149</v>
      </c>
      <c r="E1300" s="8" t="s">
        <v>511</v>
      </c>
      <c r="F1300" s="8" t="s">
        <v>512</v>
      </c>
      <c r="G1300" s="7" t="s">
        <v>259</v>
      </c>
      <c r="H1300" s="47" t="s">
        <v>784</v>
      </c>
      <c r="I1300" s="47" t="s">
        <v>785</v>
      </c>
      <c r="J1300" s="6">
        <v>70</v>
      </c>
      <c r="K1300" s="8" t="s">
        <v>22</v>
      </c>
      <c r="L1300" s="5">
        <v>70</v>
      </c>
      <c r="P1300" s="3"/>
      <c r="Q1300" s="3"/>
      <c r="R1300" s="3"/>
    </row>
    <row r="1301" spans="1:18" x14ac:dyDescent="0.2">
      <c r="A1301" s="7" t="s">
        <v>16</v>
      </c>
      <c r="B1301" s="7" t="s">
        <v>65</v>
      </c>
      <c r="C1301" s="7" t="s">
        <v>66</v>
      </c>
      <c r="D1301" s="4">
        <v>1880344000103</v>
      </c>
      <c r="E1301" s="8" t="s">
        <v>513</v>
      </c>
      <c r="F1301" s="8" t="s">
        <v>380</v>
      </c>
      <c r="G1301" s="7" t="s">
        <v>259</v>
      </c>
      <c r="H1301" s="47" t="s">
        <v>784</v>
      </c>
      <c r="I1301" s="47" t="s">
        <v>785</v>
      </c>
      <c r="J1301" s="6">
        <v>70</v>
      </c>
      <c r="K1301" s="8" t="s">
        <v>22</v>
      </c>
      <c r="L1301" s="5">
        <v>240</v>
      </c>
      <c r="P1301" s="3"/>
      <c r="Q1301" s="3"/>
      <c r="R1301" s="3"/>
    </row>
    <row r="1302" spans="1:18" x14ac:dyDescent="0.2">
      <c r="A1302" s="7" t="s">
        <v>16</v>
      </c>
      <c r="B1302" s="7" t="s">
        <v>65</v>
      </c>
      <c r="C1302" s="7" t="s">
        <v>66</v>
      </c>
      <c r="D1302" s="4">
        <v>4670913000176</v>
      </c>
      <c r="E1302" s="8" t="s">
        <v>515</v>
      </c>
      <c r="F1302" s="8" t="s">
        <v>388</v>
      </c>
      <c r="G1302" s="7" t="s">
        <v>259</v>
      </c>
      <c r="H1302" s="47" t="s">
        <v>784</v>
      </c>
      <c r="I1302" s="47" t="s">
        <v>785</v>
      </c>
      <c r="J1302" s="6">
        <v>70</v>
      </c>
      <c r="K1302" s="8" t="s">
        <v>22</v>
      </c>
      <c r="L1302" s="5">
        <v>265</v>
      </c>
      <c r="P1302" s="3"/>
      <c r="Q1302" s="3"/>
      <c r="R1302" s="3"/>
    </row>
    <row r="1303" spans="1:18" x14ac:dyDescent="0.2">
      <c r="A1303" s="7" t="s">
        <v>16</v>
      </c>
      <c r="B1303" s="7" t="s">
        <v>65</v>
      </c>
      <c r="C1303" s="7" t="s">
        <v>66</v>
      </c>
      <c r="D1303" s="4">
        <v>7404052000172</v>
      </c>
      <c r="E1303" s="8" t="s">
        <v>516</v>
      </c>
      <c r="F1303" s="8" t="s">
        <v>385</v>
      </c>
      <c r="G1303" s="7" t="s">
        <v>233</v>
      </c>
      <c r="H1303" s="47" t="s">
        <v>784</v>
      </c>
      <c r="I1303" s="47" t="s">
        <v>785</v>
      </c>
      <c r="J1303" s="6">
        <v>70</v>
      </c>
      <c r="K1303" s="8" t="s">
        <v>22</v>
      </c>
      <c r="L1303" s="5">
        <v>45</v>
      </c>
      <c r="P1303" s="3"/>
      <c r="Q1303" s="3"/>
      <c r="R1303" s="3"/>
    </row>
    <row r="1304" spans="1:18" x14ac:dyDescent="0.2">
      <c r="A1304" s="7" t="s">
        <v>16</v>
      </c>
      <c r="B1304" s="7" t="s">
        <v>65</v>
      </c>
      <c r="C1304" s="7" t="s">
        <v>66</v>
      </c>
      <c r="D1304" s="4">
        <v>7734165000136</v>
      </c>
      <c r="E1304" s="8" t="s">
        <v>425</v>
      </c>
      <c r="F1304" s="8" t="s">
        <v>385</v>
      </c>
      <c r="G1304" s="7" t="s">
        <v>233</v>
      </c>
      <c r="H1304" s="47" t="s">
        <v>784</v>
      </c>
      <c r="I1304" s="47" t="s">
        <v>785</v>
      </c>
      <c r="J1304" s="6">
        <v>70</v>
      </c>
      <c r="K1304" s="8" t="s">
        <v>22</v>
      </c>
      <c r="L1304" s="5">
        <v>2000</v>
      </c>
      <c r="P1304" s="3"/>
      <c r="Q1304" s="3"/>
      <c r="R1304" s="3"/>
    </row>
    <row r="1305" spans="1:18" x14ac:dyDescent="0.2">
      <c r="A1305" s="7" t="s">
        <v>16</v>
      </c>
      <c r="B1305" s="7" t="s">
        <v>65</v>
      </c>
      <c r="C1305" s="7" t="s">
        <v>66</v>
      </c>
      <c r="D1305" s="4">
        <v>12508728000108</v>
      </c>
      <c r="E1305" s="8" t="s">
        <v>517</v>
      </c>
      <c r="F1305" s="8" t="s">
        <v>331</v>
      </c>
      <c r="G1305" s="7" t="s">
        <v>253</v>
      </c>
      <c r="H1305" s="47" t="s">
        <v>784</v>
      </c>
      <c r="I1305" s="47" t="s">
        <v>785</v>
      </c>
      <c r="J1305" s="6">
        <v>70</v>
      </c>
      <c r="K1305" s="8" t="s">
        <v>22</v>
      </c>
      <c r="L1305" s="5">
        <v>20</v>
      </c>
      <c r="P1305" s="3"/>
      <c r="Q1305" s="3"/>
      <c r="R1305" s="3"/>
    </row>
    <row r="1306" spans="1:18" x14ac:dyDescent="0.2">
      <c r="A1306" s="7" t="s">
        <v>16</v>
      </c>
      <c r="B1306" s="7" t="s">
        <v>65</v>
      </c>
      <c r="C1306" s="7" t="s">
        <v>66</v>
      </c>
      <c r="D1306" s="4">
        <v>21998635000108</v>
      </c>
      <c r="E1306" s="8" t="s">
        <v>568</v>
      </c>
      <c r="F1306" s="8" t="s">
        <v>508</v>
      </c>
      <c r="G1306" s="7" t="s">
        <v>233</v>
      </c>
      <c r="H1306" s="47" t="s">
        <v>784</v>
      </c>
      <c r="I1306" s="47" t="s">
        <v>785</v>
      </c>
      <c r="J1306" s="6">
        <v>70</v>
      </c>
      <c r="K1306" s="8" t="s">
        <v>22</v>
      </c>
      <c r="L1306" s="5">
        <v>10</v>
      </c>
      <c r="P1306" s="3"/>
      <c r="Q1306" s="3"/>
      <c r="R1306" s="3"/>
    </row>
    <row r="1307" spans="1:18" x14ac:dyDescent="0.2">
      <c r="A1307" s="7" t="s">
        <v>16</v>
      </c>
      <c r="B1307" s="7" t="s">
        <v>65</v>
      </c>
      <c r="C1307" s="7" t="s">
        <v>66</v>
      </c>
      <c r="D1307" s="4">
        <v>27578434001525</v>
      </c>
      <c r="E1307" s="8" t="s">
        <v>450</v>
      </c>
      <c r="F1307" s="8" t="s">
        <v>451</v>
      </c>
      <c r="G1307" s="7" t="s">
        <v>418</v>
      </c>
      <c r="H1307" s="47" t="s">
        <v>784</v>
      </c>
      <c r="I1307" s="47" t="s">
        <v>785</v>
      </c>
      <c r="J1307" s="6">
        <v>70</v>
      </c>
      <c r="K1307" s="8" t="s">
        <v>22</v>
      </c>
      <c r="L1307" s="5">
        <v>1000</v>
      </c>
      <c r="P1307" s="3"/>
      <c r="Q1307" s="3"/>
      <c r="R1307" s="3"/>
    </row>
    <row r="1308" spans="1:18" x14ac:dyDescent="0.2">
      <c r="A1308" s="7" t="s">
        <v>16</v>
      </c>
      <c r="B1308" s="7" t="s">
        <v>65</v>
      </c>
      <c r="C1308" s="7" t="s">
        <v>66</v>
      </c>
      <c r="D1308" s="4">
        <v>28137925000106</v>
      </c>
      <c r="E1308" s="8" t="s">
        <v>575</v>
      </c>
      <c r="F1308" s="8" t="s">
        <v>451</v>
      </c>
      <c r="G1308" s="7" t="s">
        <v>418</v>
      </c>
      <c r="H1308" s="47" t="s">
        <v>784</v>
      </c>
      <c r="I1308" s="47" t="s">
        <v>785</v>
      </c>
      <c r="J1308" s="6">
        <v>70</v>
      </c>
      <c r="K1308" s="8" t="s">
        <v>22</v>
      </c>
      <c r="L1308" s="5">
        <v>300</v>
      </c>
      <c r="P1308" s="3"/>
      <c r="Q1308" s="3"/>
      <c r="R1308" s="3"/>
    </row>
    <row r="1309" spans="1:18" x14ac:dyDescent="0.2">
      <c r="A1309" s="7" t="s">
        <v>16</v>
      </c>
      <c r="B1309" s="7" t="s">
        <v>65</v>
      </c>
      <c r="C1309" s="7" t="s">
        <v>66</v>
      </c>
      <c r="D1309" s="4">
        <v>29435005005600</v>
      </c>
      <c r="E1309" s="8" t="s">
        <v>518</v>
      </c>
      <c r="F1309" s="8" t="s">
        <v>385</v>
      </c>
      <c r="G1309" s="7" t="s">
        <v>233</v>
      </c>
      <c r="H1309" s="47" t="s">
        <v>784</v>
      </c>
      <c r="I1309" s="47" t="s">
        <v>785</v>
      </c>
      <c r="J1309" s="6">
        <v>70</v>
      </c>
      <c r="K1309" s="8" t="s">
        <v>22</v>
      </c>
      <c r="L1309" s="5">
        <v>150</v>
      </c>
      <c r="P1309" s="3"/>
      <c r="Q1309" s="3"/>
      <c r="R1309" s="3"/>
    </row>
    <row r="1310" spans="1:18" x14ac:dyDescent="0.2">
      <c r="A1310" s="7" t="s">
        <v>16</v>
      </c>
      <c r="B1310" s="7" t="s">
        <v>65</v>
      </c>
      <c r="C1310" s="7" t="s">
        <v>66</v>
      </c>
      <c r="D1310" s="4">
        <v>30117769000155</v>
      </c>
      <c r="E1310" s="8" t="s">
        <v>578</v>
      </c>
      <c r="F1310" s="8" t="s">
        <v>385</v>
      </c>
      <c r="G1310" s="7" t="s">
        <v>233</v>
      </c>
      <c r="H1310" s="47" t="s">
        <v>784</v>
      </c>
      <c r="I1310" s="47" t="s">
        <v>785</v>
      </c>
      <c r="J1310" s="6">
        <v>70</v>
      </c>
      <c r="K1310" s="8" t="s">
        <v>22</v>
      </c>
      <c r="L1310" s="5">
        <v>350</v>
      </c>
      <c r="P1310" s="3"/>
      <c r="Q1310" s="3"/>
      <c r="R1310" s="3"/>
    </row>
    <row r="1311" spans="1:18" x14ac:dyDescent="0.2">
      <c r="A1311" s="7" t="s">
        <v>16</v>
      </c>
      <c r="B1311" s="7" t="s">
        <v>65</v>
      </c>
      <c r="C1311" s="7" t="s">
        <v>66</v>
      </c>
      <c r="D1311" s="4">
        <v>41781949000234</v>
      </c>
      <c r="E1311" s="8" t="s">
        <v>519</v>
      </c>
      <c r="F1311" s="8" t="s">
        <v>520</v>
      </c>
      <c r="G1311" s="7" t="s">
        <v>223</v>
      </c>
      <c r="H1311" s="47" t="s">
        <v>784</v>
      </c>
      <c r="I1311" s="47" t="s">
        <v>785</v>
      </c>
      <c r="J1311" s="6">
        <v>70</v>
      </c>
      <c r="K1311" s="8" t="s">
        <v>22</v>
      </c>
      <c r="L1311" s="5">
        <v>40</v>
      </c>
      <c r="P1311" s="3"/>
      <c r="Q1311" s="3"/>
      <c r="R1311" s="3"/>
    </row>
    <row r="1312" spans="1:18" x14ac:dyDescent="0.2">
      <c r="A1312" s="7" t="s">
        <v>16</v>
      </c>
      <c r="B1312" s="7" t="s">
        <v>65</v>
      </c>
      <c r="C1312" s="7" t="s">
        <v>66</v>
      </c>
      <c r="D1312" s="4">
        <v>60884855001207</v>
      </c>
      <c r="E1312" s="8" t="s">
        <v>377</v>
      </c>
      <c r="F1312" s="8" t="s">
        <v>240</v>
      </c>
      <c r="G1312" s="7" t="s">
        <v>241</v>
      </c>
      <c r="H1312" s="47" t="s">
        <v>784</v>
      </c>
      <c r="I1312" s="47" t="s">
        <v>785</v>
      </c>
      <c r="J1312" s="6">
        <v>70</v>
      </c>
      <c r="K1312" s="8" t="s">
        <v>22</v>
      </c>
      <c r="L1312" s="5">
        <v>40</v>
      </c>
      <c r="P1312" s="3"/>
      <c r="Q1312" s="3"/>
      <c r="R1312" s="3"/>
    </row>
    <row r="1313" spans="1:18" x14ac:dyDescent="0.2">
      <c r="A1313" s="7" t="s">
        <v>16</v>
      </c>
      <c r="B1313" s="7" t="s">
        <v>65</v>
      </c>
      <c r="C1313" s="7" t="s">
        <v>66</v>
      </c>
      <c r="D1313" s="4">
        <v>76498013000102</v>
      </c>
      <c r="E1313" s="8" t="s">
        <v>627</v>
      </c>
      <c r="F1313" s="8" t="s">
        <v>385</v>
      </c>
      <c r="G1313" s="7" t="s">
        <v>233</v>
      </c>
      <c r="H1313" s="47" t="s">
        <v>784</v>
      </c>
      <c r="I1313" s="47" t="s">
        <v>785</v>
      </c>
      <c r="J1313" s="6">
        <v>70</v>
      </c>
      <c r="K1313" s="8" t="s">
        <v>22</v>
      </c>
      <c r="L1313" s="5">
        <v>175</v>
      </c>
      <c r="P1313" s="3"/>
      <c r="Q1313" s="3"/>
      <c r="R1313" s="3"/>
    </row>
    <row r="1314" spans="1:18" x14ac:dyDescent="0.2">
      <c r="A1314" s="7" t="s">
        <v>16</v>
      </c>
      <c r="B1314" s="7" t="s">
        <v>65</v>
      </c>
      <c r="C1314" s="7" t="s">
        <v>66</v>
      </c>
      <c r="D1314" s="4">
        <v>76659820002367</v>
      </c>
      <c r="E1314" s="8" t="s">
        <v>586</v>
      </c>
      <c r="F1314" s="8" t="s">
        <v>385</v>
      </c>
      <c r="G1314" s="7" t="s">
        <v>233</v>
      </c>
      <c r="H1314" s="47" t="s">
        <v>784</v>
      </c>
      <c r="I1314" s="47" t="s">
        <v>785</v>
      </c>
      <c r="J1314" s="6">
        <v>70</v>
      </c>
      <c r="K1314" s="8" t="s">
        <v>22</v>
      </c>
      <c r="L1314" s="5">
        <v>120</v>
      </c>
      <c r="P1314" s="3"/>
      <c r="Q1314" s="3"/>
      <c r="R1314" s="3"/>
    </row>
    <row r="1315" spans="1:18" x14ac:dyDescent="0.2">
      <c r="A1315" s="7" t="s">
        <v>16</v>
      </c>
      <c r="B1315" s="7" t="s">
        <v>65</v>
      </c>
      <c r="C1315" s="7" t="s">
        <v>66</v>
      </c>
      <c r="D1315" s="4">
        <v>77858611001414</v>
      </c>
      <c r="E1315" s="8" t="s">
        <v>460</v>
      </c>
      <c r="F1315" s="8" t="s">
        <v>344</v>
      </c>
      <c r="G1315" s="7" t="s">
        <v>259</v>
      </c>
      <c r="H1315" s="47" t="s">
        <v>784</v>
      </c>
      <c r="I1315" s="47" t="s">
        <v>785</v>
      </c>
      <c r="J1315" s="6">
        <v>70</v>
      </c>
      <c r="K1315" s="8" t="s">
        <v>22</v>
      </c>
      <c r="L1315" s="5">
        <v>140</v>
      </c>
      <c r="P1315" s="3"/>
      <c r="Q1315" s="3"/>
      <c r="R1315" s="3"/>
    </row>
    <row r="1316" spans="1:18" x14ac:dyDescent="0.2">
      <c r="A1316" s="7" t="s">
        <v>16</v>
      </c>
      <c r="B1316" s="7" t="s">
        <v>65</v>
      </c>
      <c r="C1316" s="7" t="s">
        <v>66</v>
      </c>
      <c r="D1316" s="4">
        <v>79115762000193</v>
      </c>
      <c r="E1316" s="8" t="s">
        <v>521</v>
      </c>
      <c r="F1316" s="8" t="s">
        <v>522</v>
      </c>
      <c r="G1316" s="7" t="s">
        <v>233</v>
      </c>
      <c r="H1316" s="47" t="s">
        <v>784</v>
      </c>
      <c r="I1316" s="47" t="s">
        <v>785</v>
      </c>
      <c r="J1316" s="6">
        <v>70</v>
      </c>
      <c r="K1316" s="8" t="s">
        <v>22</v>
      </c>
      <c r="L1316" s="5">
        <v>25</v>
      </c>
      <c r="P1316" s="3"/>
      <c r="Q1316" s="3"/>
      <c r="R1316" s="3"/>
    </row>
    <row r="1317" spans="1:18" x14ac:dyDescent="0.2">
      <c r="A1317" s="7" t="s">
        <v>16</v>
      </c>
      <c r="B1317" s="7" t="s">
        <v>65</v>
      </c>
      <c r="C1317" s="7" t="s">
        <v>66</v>
      </c>
      <c r="D1317" s="4">
        <v>85241339000809</v>
      </c>
      <c r="E1317" s="8" t="s">
        <v>523</v>
      </c>
      <c r="F1317" s="8" t="s">
        <v>524</v>
      </c>
      <c r="G1317" s="7" t="s">
        <v>259</v>
      </c>
      <c r="H1317" s="47" t="s">
        <v>784</v>
      </c>
      <c r="I1317" s="47" t="s">
        <v>785</v>
      </c>
      <c r="J1317" s="6">
        <v>70</v>
      </c>
      <c r="K1317" s="8" t="s">
        <v>22</v>
      </c>
      <c r="L1317" s="5">
        <v>260</v>
      </c>
      <c r="P1317" s="3"/>
      <c r="Q1317" s="3"/>
      <c r="R1317" s="3"/>
    </row>
    <row r="1318" spans="1:18" x14ac:dyDescent="0.2">
      <c r="A1318" s="7" t="s">
        <v>16</v>
      </c>
      <c r="B1318" s="7" t="s">
        <v>65</v>
      </c>
      <c r="C1318" s="7" t="s">
        <v>66</v>
      </c>
      <c r="D1318" s="4">
        <v>87827689002405</v>
      </c>
      <c r="E1318" s="8" t="s">
        <v>394</v>
      </c>
      <c r="F1318" s="8" t="s">
        <v>252</v>
      </c>
      <c r="G1318" s="7" t="s">
        <v>253</v>
      </c>
      <c r="H1318" s="47" t="s">
        <v>784</v>
      </c>
      <c r="I1318" s="47" t="s">
        <v>785</v>
      </c>
      <c r="J1318" s="6">
        <v>70</v>
      </c>
      <c r="K1318" s="8" t="s">
        <v>22</v>
      </c>
      <c r="L1318" s="5">
        <v>90</v>
      </c>
      <c r="P1318" s="3"/>
      <c r="Q1318" s="3"/>
      <c r="R1318" s="3"/>
    </row>
    <row r="1319" spans="1:18" x14ac:dyDescent="0.2">
      <c r="A1319" s="7" t="s">
        <v>16</v>
      </c>
      <c r="B1319" s="7" t="s">
        <v>65</v>
      </c>
      <c r="C1319" s="7" t="s">
        <v>66</v>
      </c>
      <c r="D1319" s="4">
        <v>95610887000146</v>
      </c>
      <c r="E1319" s="8" t="s">
        <v>406</v>
      </c>
      <c r="F1319" s="8" t="s">
        <v>331</v>
      </c>
      <c r="G1319" s="7" t="s">
        <v>253</v>
      </c>
      <c r="H1319" s="47" t="s">
        <v>784</v>
      </c>
      <c r="I1319" s="47" t="s">
        <v>785</v>
      </c>
      <c r="J1319" s="6">
        <v>70</v>
      </c>
      <c r="K1319" s="8" t="s">
        <v>22</v>
      </c>
      <c r="L1319" s="5">
        <v>150</v>
      </c>
      <c r="P1319" s="3"/>
      <c r="Q1319" s="3"/>
      <c r="R1319" s="3"/>
    </row>
    <row r="1320" spans="1:18" x14ac:dyDescent="0.2">
      <c r="A1320" s="7" t="s">
        <v>16</v>
      </c>
      <c r="B1320" s="7" t="s">
        <v>65</v>
      </c>
      <c r="C1320" s="7" t="s">
        <v>66</v>
      </c>
      <c r="D1320" s="4">
        <v>9219138000584</v>
      </c>
      <c r="E1320" s="8" t="s">
        <v>667</v>
      </c>
      <c r="F1320" s="8" t="s">
        <v>652</v>
      </c>
      <c r="G1320" s="7" t="s">
        <v>241</v>
      </c>
      <c r="H1320" s="47" t="s">
        <v>784</v>
      </c>
      <c r="I1320" s="47" t="s">
        <v>785</v>
      </c>
      <c r="J1320" s="6">
        <v>64</v>
      </c>
      <c r="K1320" s="8" t="s">
        <v>68</v>
      </c>
      <c r="L1320" s="5">
        <v>18</v>
      </c>
      <c r="P1320" s="3"/>
      <c r="Q1320" s="3"/>
      <c r="R1320" s="3"/>
    </row>
    <row r="1321" spans="1:18" x14ac:dyDescent="0.2">
      <c r="A1321" s="7" t="s">
        <v>16</v>
      </c>
      <c r="B1321" s="7" t="s">
        <v>65</v>
      </c>
      <c r="C1321" s="7" t="s">
        <v>66</v>
      </c>
      <c r="D1321" s="4">
        <v>9219138000584</v>
      </c>
      <c r="E1321" s="8" t="s">
        <v>667</v>
      </c>
      <c r="F1321" s="8" t="s">
        <v>652</v>
      </c>
      <c r="G1321" s="7" t="s">
        <v>241</v>
      </c>
      <c r="H1321" s="47" t="s">
        <v>784</v>
      </c>
      <c r="I1321" s="47" t="s">
        <v>785</v>
      </c>
      <c r="J1321" s="6">
        <v>70</v>
      </c>
      <c r="K1321" s="8" t="s">
        <v>22</v>
      </c>
      <c r="L1321" s="5">
        <v>50</v>
      </c>
      <c r="P1321" s="3"/>
      <c r="Q1321" s="3"/>
      <c r="R1321" s="3"/>
    </row>
    <row r="1322" spans="1:18" x14ac:dyDescent="0.2">
      <c r="A1322" s="7" t="s">
        <v>16</v>
      </c>
      <c r="B1322" s="7" t="s">
        <v>65</v>
      </c>
      <c r="C1322" s="7" t="s">
        <v>66</v>
      </c>
      <c r="D1322" s="4">
        <v>21265360000195</v>
      </c>
      <c r="E1322" s="8" t="s">
        <v>673</v>
      </c>
      <c r="F1322" s="8" t="s">
        <v>652</v>
      </c>
      <c r="G1322" s="7" t="s">
        <v>241</v>
      </c>
      <c r="H1322" s="47" t="s">
        <v>784</v>
      </c>
      <c r="I1322" s="47" t="s">
        <v>785</v>
      </c>
      <c r="J1322" s="6">
        <v>73</v>
      </c>
      <c r="K1322" s="8" t="s">
        <v>69</v>
      </c>
      <c r="L1322" s="5">
        <v>16</v>
      </c>
      <c r="P1322" s="3"/>
      <c r="Q1322" s="3"/>
      <c r="R1322" s="3"/>
    </row>
    <row r="1323" spans="1:18" x14ac:dyDescent="0.2">
      <c r="A1323" s="7" t="s">
        <v>16</v>
      </c>
      <c r="B1323" s="7" t="s">
        <v>65</v>
      </c>
      <c r="C1323" s="7" t="s">
        <v>66</v>
      </c>
      <c r="D1323" s="4">
        <v>29259736000403</v>
      </c>
      <c r="E1323" s="8" t="s">
        <v>678</v>
      </c>
      <c r="F1323" s="8" t="s">
        <v>652</v>
      </c>
      <c r="G1323" s="7" t="s">
        <v>241</v>
      </c>
      <c r="H1323" s="47" t="s">
        <v>784</v>
      </c>
      <c r="I1323" s="47" t="s">
        <v>785</v>
      </c>
      <c r="J1323" s="6">
        <v>73</v>
      </c>
      <c r="K1323" s="8" t="s">
        <v>69</v>
      </c>
      <c r="L1323" s="5">
        <v>12</v>
      </c>
      <c r="P1323" s="3"/>
      <c r="Q1323" s="3"/>
      <c r="R1323" s="3"/>
    </row>
    <row r="1324" spans="1:18" x14ac:dyDescent="0.2">
      <c r="A1324" s="7" t="s">
        <v>16</v>
      </c>
      <c r="B1324" s="7" t="s">
        <v>65</v>
      </c>
      <c r="C1324" s="7" t="s">
        <v>66</v>
      </c>
      <c r="D1324" s="4">
        <v>29435005005198</v>
      </c>
      <c r="E1324" s="8" t="s">
        <v>679</v>
      </c>
      <c r="F1324" s="8" t="s">
        <v>652</v>
      </c>
      <c r="G1324" s="7" t="s">
        <v>241</v>
      </c>
      <c r="H1324" s="47" t="s">
        <v>784</v>
      </c>
      <c r="I1324" s="47" t="s">
        <v>785</v>
      </c>
      <c r="J1324" s="6">
        <v>62</v>
      </c>
      <c r="K1324" s="8" t="s">
        <v>74</v>
      </c>
      <c r="L1324" s="5">
        <v>31</v>
      </c>
      <c r="P1324" s="3"/>
      <c r="Q1324" s="3"/>
      <c r="R1324" s="3"/>
    </row>
    <row r="1325" spans="1:18" x14ac:dyDescent="0.2">
      <c r="A1325" s="7" t="s">
        <v>16</v>
      </c>
      <c r="B1325" s="7" t="s">
        <v>65</v>
      </c>
      <c r="C1325" s="7" t="s">
        <v>66</v>
      </c>
      <c r="D1325" s="4">
        <v>29435005005198</v>
      </c>
      <c r="E1325" s="8" t="s">
        <v>679</v>
      </c>
      <c r="F1325" s="8" t="s">
        <v>652</v>
      </c>
      <c r="G1325" s="7" t="s">
        <v>241</v>
      </c>
      <c r="H1325" s="47" t="s">
        <v>784</v>
      </c>
      <c r="I1325" s="47" t="s">
        <v>785</v>
      </c>
      <c r="J1325" s="6">
        <v>64</v>
      </c>
      <c r="K1325" s="8" t="s">
        <v>68</v>
      </c>
      <c r="L1325" s="5">
        <v>20</v>
      </c>
      <c r="P1325" s="3"/>
      <c r="Q1325" s="3"/>
      <c r="R1325" s="3"/>
    </row>
    <row r="1326" spans="1:18" x14ac:dyDescent="0.2">
      <c r="A1326" s="7" t="s">
        <v>16</v>
      </c>
      <c r="B1326" s="7" t="s">
        <v>65</v>
      </c>
      <c r="C1326" s="7" t="s">
        <v>66</v>
      </c>
      <c r="D1326" s="4">
        <v>29435005005783</v>
      </c>
      <c r="E1326" s="8" t="s">
        <v>680</v>
      </c>
      <c r="F1326" s="8" t="s">
        <v>652</v>
      </c>
      <c r="G1326" s="7" t="s">
        <v>241</v>
      </c>
      <c r="H1326" s="47" t="s">
        <v>784</v>
      </c>
      <c r="I1326" s="47" t="s">
        <v>785</v>
      </c>
      <c r="J1326" s="6">
        <v>70</v>
      </c>
      <c r="K1326" s="8" t="s">
        <v>22</v>
      </c>
      <c r="L1326" s="5">
        <v>205</v>
      </c>
      <c r="P1326" s="3"/>
      <c r="Q1326" s="3"/>
      <c r="R1326" s="3"/>
    </row>
    <row r="1327" spans="1:18" x14ac:dyDescent="0.2">
      <c r="A1327" s="7" t="s">
        <v>16</v>
      </c>
      <c r="B1327" s="7" t="s">
        <v>65</v>
      </c>
      <c r="C1327" s="7" t="s">
        <v>66</v>
      </c>
      <c r="D1327" s="4">
        <v>33000167000101</v>
      </c>
      <c r="E1327" s="8" t="s">
        <v>685</v>
      </c>
      <c r="F1327" s="8" t="s">
        <v>652</v>
      </c>
      <c r="G1327" s="7" t="s">
        <v>241</v>
      </c>
      <c r="H1327" s="47" t="s">
        <v>784</v>
      </c>
      <c r="I1327" s="47" t="s">
        <v>785</v>
      </c>
      <c r="J1327" s="6">
        <v>70</v>
      </c>
      <c r="K1327" s="8" t="s">
        <v>22</v>
      </c>
      <c r="L1327" s="5">
        <v>20</v>
      </c>
      <c r="P1327" s="3"/>
      <c r="Q1327" s="3"/>
      <c r="R1327" s="3"/>
    </row>
    <row r="1328" spans="1:18" x14ac:dyDescent="0.2">
      <c r="A1328" s="7" t="s">
        <v>16</v>
      </c>
      <c r="B1328" s="7" t="s">
        <v>65</v>
      </c>
      <c r="C1328" s="7" t="s">
        <v>66</v>
      </c>
      <c r="D1328" s="4">
        <v>33419482000259</v>
      </c>
      <c r="E1328" s="8" t="s">
        <v>686</v>
      </c>
      <c r="F1328" s="8" t="s">
        <v>652</v>
      </c>
      <c r="G1328" s="7" t="s">
        <v>241</v>
      </c>
      <c r="H1328" s="47" t="s">
        <v>784</v>
      </c>
      <c r="I1328" s="47" t="s">
        <v>785</v>
      </c>
      <c r="J1328" s="6">
        <v>70</v>
      </c>
      <c r="K1328" s="8" t="s">
        <v>22</v>
      </c>
      <c r="L1328" s="5">
        <v>20</v>
      </c>
      <c r="P1328" s="3"/>
      <c r="Q1328" s="3"/>
      <c r="R1328" s="3"/>
    </row>
    <row r="1329" spans="1:18" x14ac:dyDescent="0.2">
      <c r="A1329" s="7" t="s">
        <v>16</v>
      </c>
      <c r="B1329" s="7" t="s">
        <v>65</v>
      </c>
      <c r="C1329" s="7" t="s">
        <v>66</v>
      </c>
      <c r="D1329" s="4">
        <v>42297507000107</v>
      </c>
      <c r="E1329" s="8" t="s">
        <v>703</v>
      </c>
      <c r="F1329" s="8" t="s">
        <v>652</v>
      </c>
      <c r="G1329" s="7" t="s">
        <v>241</v>
      </c>
      <c r="H1329" s="47" t="s">
        <v>784</v>
      </c>
      <c r="I1329" s="47" t="s">
        <v>785</v>
      </c>
      <c r="J1329" s="6">
        <v>64</v>
      </c>
      <c r="K1329" s="8" t="s">
        <v>68</v>
      </c>
      <c r="L1329" s="5">
        <v>3</v>
      </c>
      <c r="P1329" s="3"/>
      <c r="Q1329" s="3"/>
      <c r="R1329" s="3"/>
    </row>
    <row r="1330" spans="1:18" x14ac:dyDescent="0.2">
      <c r="A1330" s="7" t="s">
        <v>16</v>
      </c>
      <c r="B1330" s="7" t="s">
        <v>65</v>
      </c>
      <c r="C1330" s="7" t="s">
        <v>66</v>
      </c>
      <c r="D1330" s="4">
        <v>60884855001630</v>
      </c>
      <c r="E1330" s="8" t="s">
        <v>693</v>
      </c>
      <c r="F1330" s="8" t="s">
        <v>652</v>
      </c>
      <c r="G1330" s="7" t="s">
        <v>241</v>
      </c>
      <c r="H1330" s="47" t="s">
        <v>784</v>
      </c>
      <c r="I1330" s="47" t="s">
        <v>785</v>
      </c>
      <c r="J1330" s="6">
        <v>62</v>
      </c>
      <c r="K1330" s="8" t="s">
        <v>74</v>
      </c>
      <c r="L1330" s="5">
        <v>13</v>
      </c>
      <c r="P1330" s="3"/>
      <c r="Q1330" s="3"/>
      <c r="R1330" s="3"/>
    </row>
    <row r="1331" spans="1:18" x14ac:dyDescent="0.2">
      <c r="A1331" s="7" t="s">
        <v>16</v>
      </c>
      <c r="B1331" s="7" t="s">
        <v>65</v>
      </c>
      <c r="C1331" s="7" t="s">
        <v>66</v>
      </c>
      <c r="D1331" s="4">
        <v>60884855001630</v>
      </c>
      <c r="E1331" s="8" t="s">
        <v>693</v>
      </c>
      <c r="F1331" s="8" t="s">
        <v>652</v>
      </c>
      <c r="G1331" s="7" t="s">
        <v>241</v>
      </c>
      <c r="H1331" s="47" t="s">
        <v>784</v>
      </c>
      <c r="I1331" s="47" t="s">
        <v>785</v>
      </c>
      <c r="J1331" s="6">
        <v>64</v>
      </c>
      <c r="K1331" s="8" t="s">
        <v>68</v>
      </c>
      <c r="L1331" s="5">
        <v>9</v>
      </c>
      <c r="P1331" s="3"/>
      <c r="Q1331" s="3"/>
      <c r="R1331" s="3"/>
    </row>
    <row r="1332" spans="1:18" x14ac:dyDescent="0.2">
      <c r="A1332" s="7" t="s">
        <v>16</v>
      </c>
      <c r="B1332" s="7" t="s">
        <v>65</v>
      </c>
      <c r="C1332" s="7" t="s">
        <v>66</v>
      </c>
      <c r="D1332" s="4">
        <v>72101124000506</v>
      </c>
      <c r="E1332" s="8" t="s">
        <v>695</v>
      </c>
      <c r="F1332" s="8" t="s">
        <v>652</v>
      </c>
      <c r="G1332" s="7" t="s">
        <v>241</v>
      </c>
      <c r="H1332" s="47" t="s">
        <v>784</v>
      </c>
      <c r="I1332" s="47" t="s">
        <v>785</v>
      </c>
      <c r="J1332" s="6">
        <v>70</v>
      </c>
      <c r="K1332" s="8" t="s">
        <v>22</v>
      </c>
      <c r="L1332" s="5">
        <v>25</v>
      </c>
      <c r="P1332" s="3"/>
      <c r="Q1332" s="3"/>
      <c r="R1332" s="3"/>
    </row>
    <row r="1333" spans="1:18" x14ac:dyDescent="0.2">
      <c r="A1333" s="7" t="s">
        <v>16</v>
      </c>
      <c r="B1333" s="7" t="s">
        <v>17</v>
      </c>
      <c r="C1333" s="7" t="s">
        <v>18</v>
      </c>
      <c r="D1333" s="4">
        <v>11114987760</v>
      </c>
      <c r="E1333" s="8" t="s">
        <v>651</v>
      </c>
      <c r="F1333" s="8" t="s">
        <v>652</v>
      </c>
      <c r="G1333" s="7" t="s">
        <v>241</v>
      </c>
      <c r="H1333" s="47" t="s">
        <v>784</v>
      </c>
      <c r="I1333" s="47" t="s">
        <v>785</v>
      </c>
      <c r="J1333" s="6">
        <v>70</v>
      </c>
      <c r="K1333" s="8" t="s">
        <v>22</v>
      </c>
      <c r="L1333" s="5">
        <v>15</v>
      </c>
      <c r="P1333" s="3"/>
      <c r="Q1333" s="3"/>
      <c r="R1333" s="3"/>
    </row>
    <row r="1334" spans="1:18" x14ac:dyDescent="0.2">
      <c r="A1334" s="7" t="s">
        <v>16</v>
      </c>
      <c r="B1334" s="7" t="s">
        <v>17</v>
      </c>
      <c r="C1334" s="7" t="s">
        <v>18</v>
      </c>
      <c r="D1334" s="4">
        <v>394544020291</v>
      </c>
      <c r="E1334" s="8" t="s">
        <v>653</v>
      </c>
      <c r="F1334" s="8" t="s">
        <v>652</v>
      </c>
      <c r="G1334" s="7" t="s">
        <v>241</v>
      </c>
      <c r="H1334" s="47" t="s">
        <v>784</v>
      </c>
      <c r="I1334" s="47" t="s">
        <v>785</v>
      </c>
      <c r="J1334" s="6">
        <v>64</v>
      </c>
      <c r="K1334" s="8" t="s">
        <v>68</v>
      </c>
      <c r="L1334" s="5">
        <v>60</v>
      </c>
      <c r="P1334" s="3"/>
      <c r="Q1334" s="3"/>
      <c r="R1334" s="3"/>
    </row>
    <row r="1335" spans="1:18" x14ac:dyDescent="0.2">
      <c r="A1335" s="7" t="s">
        <v>16</v>
      </c>
      <c r="B1335" s="7" t="s">
        <v>17</v>
      </c>
      <c r="C1335" s="7" t="s">
        <v>18</v>
      </c>
      <c r="D1335" s="4">
        <v>394544020372</v>
      </c>
      <c r="E1335" s="8" t="s">
        <v>654</v>
      </c>
      <c r="F1335" s="8" t="s">
        <v>652</v>
      </c>
      <c r="G1335" s="7" t="s">
        <v>241</v>
      </c>
      <c r="H1335" s="47" t="s">
        <v>784</v>
      </c>
      <c r="I1335" s="47" t="s">
        <v>785</v>
      </c>
      <c r="J1335" s="6">
        <v>70</v>
      </c>
      <c r="K1335" s="8" t="s">
        <v>22</v>
      </c>
      <c r="L1335" s="5">
        <v>390</v>
      </c>
      <c r="P1335" s="3"/>
      <c r="Q1335" s="3"/>
      <c r="R1335" s="3"/>
    </row>
    <row r="1336" spans="1:18" x14ac:dyDescent="0.2">
      <c r="A1336" s="7" t="s">
        <v>16</v>
      </c>
      <c r="B1336" s="7" t="s">
        <v>17</v>
      </c>
      <c r="C1336" s="7" t="s">
        <v>18</v>
      </c>
      <c r="D1336" s="4">
        <v>394544020453</v>
      </c>
      <c r="E1336" s="8" t="s">
        <v>655</v>
      </c>
      <c r="F1336" s="8" t="s">
        <v>652</v>
      </c>
      <c r="G1336" s="7" t="s">
        <v>241</v>
      </c>
      <c r="H1336" s="47" t="s">
        <v>784</v>
      </c>
      <c r="I1336" s="47" t="s">
        <v>785</v>
      </c>
      <c r="J1336" s="6">
        <v>70</v>
      </c>
      <c r="K1336" s="8" t="s">
        <v>22</v>
      </c>
      <c r="L1336" s="5">
        <v>600</v>
      </c>
      <c r="P1336" s="3"/>
      <c r="Q1336" s="3"/>
      <c r="R1336" s="3"/>
    </row>
    <row r="1337" spans="1:18" x14ac:dyDescent="0.2">
      <c r="A1337" s="7" t="s">
        <v>16</v>
      </c>
      <c r="B1337" s="7" t="s">
        <v>17</v>
      </c>
      <c r="C1337" s="7" t="s">
        <v>18</v>
      </c>
      <c r="D1337" s="4">
        <v>394544021000</v>
      </c>
      <c r="E1337" s="8" t="s">
        <v>656</v>
      </c>
      <c r="F1337" s="8" t="s">
        <v>652</v>
      </c>
      <c r="G1337" s="7" t="s">
        <v>241</v>
      </c>
      <c r="H1337" s="47" t="s">
        <v>784</v>
      </c>
      <c r="I1337" s="47" t="s">
        <v>785</v>
      </c>
      <c r="J1337" s="6">
        <v>70</v>
      </c>
      <c r="K1337" s="8" t="s">
        <v>22</v>
      </c>
      <c r="L1337" s="5">
        <v>150</v>
      </c>
      <c r="P1337" s="3"/>
      <c r="Q1337" s="3"/>
      <c r="R1337" s="3"/>
    </row>
    <row r="1338" spans="1:18" x14ac:dyDescent="0.2">
      <c r="A1338" s="7" t="s">
        <v>16</v>
      </c>
      <c r="B1338" s="7" t="s">
        <v>17</v>
      </c>
      <c r="C1338" s="7" t="s">
        <v>18</v>
      </c>
      <c r="D1338" s="4">
        <v>394544021344</v>
      </c>
      <c r="E1338" s="8" t="s">
        <v>657</v>
      </c>
      <c r="F1338" s="8" t="s">
        <v>652</v>
      </c>
      <c r="G1338" s="7" t="s">
        <v>241</v>
      </c>
      <c r="H1338" s="47" t="s">
        <v>784</v>
      </c>
      <c r="I1338" s="47" t="s">
        <v>785</v>
      </c>
      <c r="J1338" s="6">
        <v>62</v>
      </c>
      <c r="K1338" s="8" t="s">
        <v>74</v>
      </c>
      <c r="L1338" s="5">
        <v>190</v>
      </c>
      <c r="P1338" s="3"/>
      <c r="Q1338" s="3"/>
      <c r="R1338" s="3"/>
    </row>
    <row r="1339" spans="1:18" x14ac:dyDescent="0.2">
      <c r="A1339" s="7" t="s">
        <v>16</v>
      </c>
      <c r="B1339" s="7" t="s">
        <v>17</v>
      </c>
      <c r="C1339" s="7" t="s">
        <v>18</v>
      </c>
      <c r="D1339" s="4">
        <v>394544021344</v>
      </c>
      <c r="E1339" s="8" t="s">
        <v>657</v>
      </c>
      <c r="F1339" s="8" t="s">
        <v>652</v>
      </c>
      <c r="G1339" s="7" t="s">
        <v>241</v>
      </c>
      <c r="H1339" s="47" t="s">
        <v>784</v>
      </c>
      <c r="I1339" s="47" t="s">
        <v>785</v>
      </c>
      <c r="J1339" s="6">
        <v>64</v>
      </c>
      <c r="K1339" s="8" t="s">
        <v>68</v>
      </c>
      <c r="L1339" s="5">
        <v>70</v>
      </c>
      <c r="P1339" s="3"/>
      <c r="Q1339" s="3"/>
      <c r="R1339" s="3"/>
    </row>
    <row r="1340" spans="1:18" x14ac:dyDescent="0.2">
      <c r="A1340" s="7" t="s">
        <v>16</v>
      </c>
      <c r="B1340" s="7" t="s">
        <v>55</v>
      </c>
      <c r="C1340" s="7" t="s">
        <v>18</v>
      </c>
      <c r="D1340" s="4">
        <v>394502014870</v>
      </c>
      <c r="E1340" s="8" t="s">
        <v>697</v>
      </c>
      <c r="F1340" s="8" t="s">
        <v>652</v>
      </c>
      <c r="G1340" s="7" t="s">
        <v>241</v>
      </c>
      <c r="H1340" s="47" t="s">
        <v>784</v>
      </c>
      <c r="I1340" s="47" t="s">
        <v>785</v>
      </c>
      <c r="J1340" s="6">
        <v>64</v>
      </c>
      <c r="K1340" s="8" t="s">
        <v>68</v>
      </c>
      <c r="L1340" s="5">
        <v>10</v>
      </c>
      <c r="P1340" s="3"/>
      <c r="Q1340" s="3"/>
      <c r="R1340" s="3"/>
    </row>
    <row r="1341" spans="1:18" x14ac:dyDescent="0.2">
      <c r="A1341" s="7" t="s">
        <v>16</v>
      </c>
      <c r="B1341" s="7" t="s">
        <v>55</v>
      </c>
      <c r="C1341" s="7" t="s">
        <v>18</v>
      </c>
      <c r="D1341" s="4">
        <v>394544017150</v>
      </c>
      <c r="E1341" s="8" t="s">
        <v>698</v>
      </c>
      <c r="F1341" s="8" t="s">
        <v>652</v>
      </c>
      <c r="G1341" s="7" t="s">
        <v>241</v>
      </c>
      <c r="H1341" s="47" t="s">
        <v>784</v>
      </c>
      <c r="I1341" s="47" t="s">
        <v>785</v>
      </c>
      <c r="J1341" s="6">
        <v>64</v>
      </c>
      <c r="K1341" s="8" t="s">
        <v>68</v>
      </c>
      <c r="L1341" s="5">
        <v>20</v>
      </c>
      <c r="P1341" s="3"/>
      <c r="Q1341" s="3"/>
      <c r="R1341" s="3"/>
    </row>
    <row r="1342" spans="1:18" x14ac:dyDescent="0.2">
      <c r="A1342" s="7" t="s">
        <v>16</v>
      </c>
      <c r="B1342" s="7" t="s">
        <v>17</v>
      </c>
      <c r="C1342" s="7" t="s">
        <v>18</v>
      </c>
      <c r="D1342" s="4">
        <v>2284062000521</v>
      </c>
      <c r="E1342" s="8" t="s">
        <v>658</v>
      </c>
      <c r="F1342" s="8" t="s">
        <v>652</v>
      </c>
      <c r="G1342" s="7" t="s">
        <v>241</v>
      </c>
      <c r="H1342" s="47" t="s">
        <v>784</v>
      </c>
      <c r="I1342" s="47" t="s">
        <v>785</v>
      </c>
      <c r="J1342" s="6">
        <v>62</v>
      </c>
      <c r="K1342" s="8" t="s">
        <v>74</v>
      </c>
      <c r="L1342" s="5">
        <v>1</v>
      </c>
      <c r="P1342" s="3"/>
      <c r="Q1342" s="3"/>
      <c r="R1342" s="3"/>
    </row>
    <row r="1343" spans="1:18" x14ac:dyDescent="0.2">
      <c r="A1343" s="7" t="s">
        <v>16</v>
      </c>
      <c r="B1343" s="7" t="s">
        <v>17</v>
      </c>
      <c r="C1343" s="7" t="s">
        <v>18</v>
      </c>
      <c r="D1343" s="4">
        <v>2284062000521</v>
      </c>
      <c r="E1343" s="8" t="s">
        <v>658</v>
      </c>
      <c r="F1343" s="8" t="s">
        <v>652</v>
      </c>
      <c r="G1343" s="7" t="s">
        <v>241</v>
      </c>
      <c r="H1343" s="47" t="s">
        <v>784</v>
      </c>
      <c r="I1343" s="47" t="s">
        <v>785</v>
      </c>
      <c r="J1343" s="6">
        <v>64</v>
      </c>
      <c r="K1343" s="8" t="s">
        <v>68</v>
      </c>
      <c r="L1343" s="5">
        <v>8</v>
      </c>
      <c r="P1343" s="3"/>
      <c r="Q1343" s="3"/>
      <c r="R1343" s="3"/>
    </row>
    <row r="1344" spans="1:18" x14ac:dyDescent="0.2">
      <c r="A1344" s="7" t="s">
        <v>16</v>
      </c>
      <c r="B1344" s="7" t="s">
        <v>55</v>
      </c>
      <c r="C1344" s="7" t="s">
        <v>18</v>
      </c>
      <c r="D1344" s="4">
        <v>2284062000521</v>
      </c>
      <c r="E1344" s="8" t="s">
        <v>658</v>
      </c>
      <c r="F1344" s="8" t="s">
        <v>652</v>
      </c>
      <c r="G1344" s="7" t="s">
        <v>241</v>
      </c>
      <c r="H1344" s="47" t="s">
        <v>784</v>
      </c>
      <c r="I1344" s="47" t="s">
        <v>785</v>
      </c>
      <c r="J1344" s="6">
        <v>62</v>
      </c>
      <c r="K1344" s="8" t="s">
        <v>74</v>
      </c>
      <c r="L1344" s="5">
        <v>3</v>
      </c>
      <c r="P1344" s="3"/>
      <c r="Q1344" s="3"/>
      <c r="R1344" s="3"/>
    </row>
    <row r="1345" spans="1:18" x14ac:dyDescent="0.2">
      <c r="A1345" s="7" t="s">
        <v>16</v>
      </c>
      <c r="B1345" s="7" t="s">
        <v>55</v>
      </c>
      <c r="C1345" s="7" t="s">
        <v>18</v>
      </c>
      <c r="D1345" s="4">
        <v>2284062000521</v>
      </c>
      <c r="E1345" s="8" t="s">
        <v>658</v>
      </c>
      <c r="F1345" s="8" t="s">
        <v>652</v>
      </c>
      <c r="G1345" s="7" t="s">
        <v>241</v>
      </c>
      <c r="H1345" s="47" t="s">
        <v>784</v>
      </c>
      <c r="I1345" s="47" t="s">
        <v>785</v>
      </c>
      <c r="J1345" s="6">
        <v>64</v>
      </c>
      <c r="K1345" s="8" t="s">
        <v>68</v>
      </c>
      <c r="L1345" s="5">
        <v>22</v>
      </c>
      <c r="P1345" s="3"/>
      <c r="Q1345" s="3"/>
      <c r="R1345" s="3"/>
    </row>
    <row r="1346" spans="1:18" x14ac:dyDescent="0.2">
      <c r="A1346" s="7" t="s">
        <v>16</v>
      </c>
      <c r="B1346" s="7" t="s">
        <v>17</v>
      </c>
      <c r="C1346" s="7" t="s">
        <v>18</v>
      </c>
      <c r="D1346" s="4">
        <v>2864097000106</v>
      </c>
      <c r="E1346" s="8" t="s">
        <v>659</v>
      </c>
      <c r="F1346" s="8" t="s">
        <v>652</v>
      </c>
      <c r="G1346" s="7" t="s">
        <v>241</v>
      </c>
      <c r="H1346" s="47" t="s">
        <v>784</v>
      </c>
      <c r="I1346" s="47" t="s">
        <v>785</v>
      </c>
      <c r="J1346" s="6">
        <v>70</v>
      </c>
      <c r="K1346" s="8" t="s">
        <v>22</v>
      </c>
      <c r="L1346" s="5">
        <v>315</v>
      </c>
      <c r="P1346" s="3"/>
      <c r="Q1346" s="3"/>
      <c r="R1346" s="3"/>
    </row>
    <row r="1347" spans="1:18" x14ac:dyDescent="0.2">
      <c r="A1347" s="7" t="s">
        <v>16</v>
      </c>
      <c r="B1347" s="7" t="s">
        <v>55</v>
      </c>
      <c r="C1347" s="7" t="s">
        <v>18</v>
      </c>
      <c r="D1347" s="4">
        <v>2864097000106</v>
      </c>
      <c r="E1347" s="8" t="s">
        <v>659</v>
      </c>
      <c r="F1347" s="8" t="s">
        <v>652</v>
      </c>
      <c r="G1347" s="7" t="s">
        <v>241</v>
      </c>
      <c r="H1347" s="47" t="s">
        <v>784</v>
      </c>
      <c r="I1347" s="47" t="s">
        <v>785</v>
      </c>
      <c r="J1347" s="6">
        <v>70</v>
      </c>
      <c r="K1347" s="8" t="s">
        <v>22</v>
      </c>
      <c r="L1347" s="5">
        <v>150</v>
      </c>
      <c r="P1347" s="3"/>
      <c r="Q1347" s="3"/>
      <c r="R1347" s="3"/>
    </row>
    <row r="1348" spans="1:18" x14ac:dyDescent="0.2">
      <c r="A1348" s="7" t="s">
        <v>16</v>
      </c>
      <c r="B1348" s="7" t="s">
        <v>17</v>
      </c>
      <c r="C1348" s="7" t="s">
        <v>18</v>
      </c>
      <c r="D1348" s="4">
        <v>6047087000996</v>
      </c>
      <c r="E1348" s="8" t="s">
        <v>660</v>
      </c>
      <c r="F1348" s="8" t="s">
        <v>652</v>
      </c>
      <c r="G1348" s="7" t="s">
        <v>241</v>
      </c>
      <c r="H1348" s="47" t="s">
        <v>784</v>
      </c>
      <c r="I1348" s="47" t="s">
        <v>785</v>
      </c>
      <c r="J1348" s="6">
        <v>62</v>
      </c>
      <c r="K1348" s="8" t="s">
        <v>74</v>
      </c>
      <c r="L1348" s="5">
        <v>20</v>
      </c>
      <c r="P1348" s="3"/>
      <c r="Q1348" s="3"/>
      <c r="R1348" s="3"/>
    </row>
    <row r="1349" spans="1:18" x14ac:dyDescent="0.2">
      <c r="A1349" s="7" t="s">
        <v>16</v>
      </c>
      <c r="B1349" s="7" t="s">
        <v>17</v>
      </c>
      <c r="C1349" s="7" t="s">
        <v>18</v>
      </c>
      <c r="D1349" s="4">
        <v>6047087000996</v>
      </c>
      <c r="E1349" s="8" t="s">
        <v>660</v>
      </c>
      <c r="F1349" s="8" t="s">
        <v>652</v>
      </c>
      <c r="G1349" s="7" t="s">
        <v>241</v>
      </c>
      <c r="H1349" s="47" t="s">
        <v>784</v>
      </c>
      <c r="I1349" s="47" t="s">
        <v>785</v>
      </c>
      <c r="J1349" s="6">
        <v>64</v>
      </c>
      <c r="K1349" s="8" t="s">
        <v>68</v>
      </c>
      <c r="L1349" s="5">
        <v>30</v>
      </c>
      <c r="P1349" s="3"/>
      <c r="Q1349" s="3"/>
      <c r="R1349" s="3"/>
    </row>
    <row r="1350" spans="1:18" x14ac:dyDescent="0.2">
      <c r="A1350" s="7" t="s">
        <v>16</v>
      </c>
      <c r="B1350" s="7" t="s">
        <v>17</v>
      </c>
      <c r="C1350" s="7" t="s">
        <v>18</v>
      </c>
      <c r="D1350" s="4">
        <v>6047087001020</v>
      </c>
      <c r="E1350" s="8" t="s">
        <v>661</v>
      </c>
      <c r="F1350" s="8" t="s">
        <v>652</v>
      </c>
      <c r="G1350" s="7" t="s">
        <v>241</v>
      </c>
      <c r="H1350" s="47" t="s">
        <v>784</v>
      </c>
      <c r="I1350" s="47" t="s">
        <v>785</v>
      </c>
      <c r="J1350" s="6">
        <v>62</v>
      </c>
      <c r="K1350" s="8" t="s">
        <v>74</v>
      </c>
      <c r="L1350" s="5">
        <v>100</v>
      </c>
      <c r="P1350" s="3"/>
      <c r="Q1350" s="3"/>
      <c r="R1350" s="3"/>
    </row>
    <row r="1351" spans="1:18" x14ac:dyDescent="0.2">
      <c r="A1351" s="7" t="s">
        <v>16</v>
      </c>
      <c r="B1351" s="7" t="s">
        <v>17</v>
      </c>
      <c r="C1351" s="7" t="s">
        <v>18</v>
      </c>
      <c r="D1351" s="4">
        <v>6047087001020</v>
      </c>
      <c r="E1351" s="8" t="s">
        <v>661</v>
      </c>
      <c r="F1351" s="8" t="s">
        <v>652</v>
      </c>
      <c r="G1351" s="7" t="s">
        <v>241</v>
      </c>
      <c r="H1351" s="47" t="s">
        <v>784</v>
      </c>
      <c r="I1351" s="47" t="s">
        <v>785</v>
      </c>
      <c r="J1351" s="6">
        <v>64</v>
      </c>
      <c r="K1351" s="8" t="s">
        <v>68</v>
      </c>
      <c r="L1351" s="5">
        <v>80</v>
      </c>
      <c r="P1351" s="3"/>
      <c r="Q1351" s="3"/>
      <c r="R1351" s="3"/>
    </row>
    <row r="1352" spans="1:18" x14ac:dyDescent="0.2">
      <c r="A1352" s="7" t="s">
        <v>16</v>
      </c>
      <c r="B1352" s="7" t="s">
        <v>17</v>
      </c>
      <c r="C1352" s="7" t="s">
        <v>18</v>
      </c>
      <c r="D1352" s="4">
        <v>6047087002697</v>
      </c>
      <c r="E1352" s="8" t="s">
        <v>662</v>
      </c>
      <c r="F1352" s="8" t="s">
        <v>652</v>
      </c>
      <c r="G1352" s="7" t="s">
        <v>241</v>
      </c>
      <c r="H1352" s="47" t="s">
        <v>784</v>
      </c>
      <c r="I1352" s="47" t="s">
        <v>785</v>
      </c>
      <c r="J1352" s="6">
        <v>62</v>
      </c>
      <c r="K1352" s="8" t="s">
        <v>74</v>
      </c>
      <c r="L1352" s="5">
        <v>14</v>
      </c>
      <c r="P1352" s="3"/>
      <c r="Q1352" s="3"/>
      <c r="R1352" s="3"/>
    </row>
    <row r="1353" spans="1:18" x14ac:dyDescent="0.2">
      <c r="A1353" s="7" t="s">
        <v>16</v>
      </c>
      <c r="B1353" s="7" t="s">
        <v>17</v>
      </c>
      <c r="C1353" s="7" t="s">
        <v>18</v>
      </c>
      <c r="D1353" s="4">
        <v>6047087002697</v>
      </c>
      <c r="E1353" s="8" t="s">
        <v>662</v>
      </c>
      <c r="F1353" s="8" t="s">
        <v>652</v>
      </c>
      <c r="G1353" s="7" t="s">
        <v>241</v>
      </c>
      <c r="H1353" s="47" t="s">
        <v>784</v>
      </c>
      <c r="I1353" s="47" t="s">
        <v>785</v>
      </c>
      <c r="J1353" s="6">
        <v>64</v>
      </c>
      <c r="K1353" s="8" t="s">
        <v>68</v>
      </c>
      <c r="L1353" s="5">
        <v>8</v>
      </c>
      <c r="P1353" s="3"/>
      <c r="Q1353" s="3"/>
      <c r="R1353" s="3"/>
    </row>
    <row r="1354" spans="1:18" x14ac:dyDescent="0.2">
      <c r="A1354" s="7" t="s">
        <v>16</v>
      </c>
      <c r="B1354" s="7" t="s">
        <v>17</v>
      </c>
      <c r="C1354" s="7" t="s">
        <v>18</v>
      </c>
      <c r="D1354" s="4">
        <v>6047087003316</v>
      </c>
      <c r="E1354" s="8" t="s">
        <v>663</v>
      </c>
      <c r="F1354" s="8" t="s">
        <v>652</v>
      </c>
      <c r="G1354" s="7" t="s">
        <v>241</v>
      </c>
      <c r="H1354" s="47" t="s">
        <v>784</v>
      </c>
      <c r="I1354" s="47" t="s">
        <v>785</v>
      </c>
      <c r="J1354" s="6">
        <v>62</v>
      </c>
      <c r="K1354" s="8" t="s">
        <v>74</v>
      </c>
      <c r="L1354" s="5">
        <v>1</v>
      </c>
      <c r="P1354" s="3"/>
      <c r="Q1354" s="3"/>
      <c r="R1354" s="3"/>
    </row>
    <row r="1355" spans="1:18" x14ac:dyDescent="0.2">
      <c r="A1355" s="7" t="s">
        <v>16</v>
      </c>
      <c r="B1355" s="7" t="s">
        <v>17</v>
      </c>
      <c r="C1355" s="7" t="s">
        <v>18</v>
      </c>
      <c r="D1355" s="4">
        <v>6047087003316</v>
      </c>
      <c r="E1355" s="8" t="s">
        <v>663</v>
      </c>
      <c r="F1355" s="8" t="s">
        <v>652</v>
      </c>
      <c r="G1355" s="7" t="s">
        <v>241</v>
      </c>
      <c r="H1355" s="47" t="s">
        <v>784</v>
      </c>
      <c r="I1355" s="47" t="s">
        <v>785</v>
      </c>
      <c r="J1355" s="6">
        <v>64</v>
      </c>
      <c r="K1355" s="8" t="s">
        <v>68</v>
      </c>
      <c r="L1355" s="5">
        <v>3</v>
      </c>
      <c r="P1355" s="3"/>
      <c r="Q1355" s="3"/>
      <c r="R1355" s="3"/>
    </row>
    <row r="1356" spans="1:18" x14ac:dyDescent="0.2">
      <c r="A1356" s="7" t="s">
        <v>16</v>
      </c>
      <c r="B1356" s="7" t="s">
        <v>17</v>
      </c>
      <c r="C1356" s="7" t="s">
        <v>18</v>
      </c>
      <c r="D1356" s="4">
        <v>7794623004896</v>
      </c>
      <c r="E1356" s="8" t="s">
        <v>664</v>
      </c>
      <c r="F1356" s="8" t="s">
        <v>652</v>
      </c>
      <c r="G1356" s="7" t="s">
        <v>241</v>
      </c>
      <c r="H1356" s="47" t="s">
        <v>784</v>
      </c>
      <c r="I1356" s="47" t="s">
        <v>785</v>
      </c>
      <c r="J1356" s="6">
        <v>70</v>
      </c>
      <c r="K1356" s="8" t="s">
        <v>22</v>
      </c>
      <c r="L1356" s="5">
        <v>1850</v>
      </c>
      <c r="P1356" s="3"/>
      <c r="Q1356" s="3"/>
      <c r="R1356" s="3"/>
    </row>
    <row r="1357" spans="1:18" x14ac:dyDescent="0.2">
      <c r="A1357" s="7" t="s">
        <v>16</v>
      </c>
      <c r="B1357" s="7" t="s">
        <v>17</v>
      </c>
      <c r="C1357" s="7" t="s">
        <v>18</v>
      </c>
      <c r="D1357" s="4">
        <v>8100676002102</v>
      </c>
      <c r="E1357" s="8" t="s">
        <v>665</v>
      </c>
      <c r="F1357" s="8" t="s">
        <v>652</v>
      </c>
      <c r="G1357" s="7" t="s">
        <v>241</v>
      </c>
      <c r="H1357" s="47" t="s">
        <v>784</v>
      </c>
      <c r="I1357" s="47" t="s">
        <v>785</v>
      </c>
      <c r="J1357" s="6">
        <v>62</v>
      </c>
      <c r="K1357" s="8" t="s">
        <v>74</v>
      </c>
      <c r="L1357" s="5">
        <v>19</v>
      </c>
      <c r="P1357" s="3"/>
      <c r="Q1357" s="3"/>
      <c r="R1357" s="3"/>
    </row>
    <row r="1358" spans="1:18" x14ac:dyDescent="0.2">
      <c r="A1358" s="7" t="s">
        <v>16</v>
      </c>
      <c r="B1358" s="7" t="s">
        <v>17</v>
      </c>
      <c r="C1358" s="7" t="s">
        <v>18</v>
      </c>
      <c r="D1358" s="4">
        <v>8100676002102</v>
      </c>
      <c r="E1358" s="8" t="s">
        <v>665</v>
      </c>
      <c r="F1358" s="8" t="s">
        <v>652</v>
      </c>
      <c r="G1358" s="7" t="s">
        <v>241</v>
      </c>
      <c r="H1358" s="47" t="s">
        <v>784</v>
      </c>
      <c r="I1358" s="47" t="s">
        <v>785</v>
      </c>
      <c r="J1358" s="6">
        <v>64</v>
      </c>
      <c r="K1358" s="8" t="s">
        <v>68</v>
      </c>
      <c r="L1358" s="5">
        <v>31</v>
      </c>
      <c r="P1358" s="3"/>
      <c r="Q1358" s="3"/>
      <c r="R1358" s="3"/>
    </row>
    <row r="1359" spans="1:18" x14ac:dyDescent="0.2">
      <c r="A1359" s="7" t="s">
        <v>16</v>
      </c>
      <c r="B1359" s="7" t="s">
        <v>17</v>
      </c>
      <c r="C1359" s="7" t="s">
        <v>18</v>
      </c>
      <c r="D1359" s="4">
        <v>8850962000222</v>
      </c>
      <c r="E1359" s="8" t="s">
        <v>666</v>
      </c>
      <c r="F1359" s="8" t="s">
        <v>652</v>
      </c>
      <c r="G1359" s="7" t="s">
        <v>241</v>
      </c>
      <c r="H1359" s="47" t="s">
        <v>784</v>
      </c>
      <c r="I1359" s="47" t="s">
        <v>785</v>
      </c>
      <c r="J1359" s="6">
        <v>62</v>
      </c>
      <c r="K1359" s="8" t="s">
        <v>74</v>
      </c>
      <c r="L1359" s="5">
        <v>1</v>
      </c>
      <c r="P1359" s="3"/>
      <c r="Q1359" s="3"/>
      <c r="R1359" s="3"/>
    </row>
    <row r="1360" spans="1:18" x14ac:dyDescent="0.2">
      <c r="A1360" s="7" t="s">
        <v>16</v>
      </c>
      <c r="B1360" s="7" t="s">
        <v>17</v>
      </c>
      <c r="C1360" s="7" t="s">
        <v>18</v>
      </c>
      <c r="D1360" s="4">
        <v>8850962000222</v>
      </c>
      <c r="E1360" s="8" t="s">
        <v>666</v>
      </c>
      <c r="F1360" s="8" t="s">
        <v>652</v>
      </c>
      <c r="G1360" s="7" t="s">
        <v>241</v>
      </c>
      <c r="H1360" s="47" t="s">
        <v>784</v>
      </c>
      <c r="I1360" s="47" t="s">
        <v>785</v>
      </c>
      <c r="J1360" s="6">
        <v>64</v>
      </c>
      <c r="K1360" s="8" t="s">
        <v>68</v>
      </c>
      <c r="L1360" s="5">
        <v>1</v>
      </c>
      <c r="P1360" s="3"/>
      <c r="Q1360" s="3"/>
      <c r="R1360" s="3"/>
    </row>
    <row r="1361" spans="1:18" x14ac:dyDescent="0.2">
      <c r="A1361" s="7" t="s">
        <v>16</v>
      </c>
      <c r="B1361" s="7" t="s">
        <v>17</v>
      </c>
      <c r="C1361" s="7" t="s">
        <v>18</v>
      </c>
      <c r="D1361" s="4">
        <v>9219138000584</v>
      </c>
      <c r="E1361" s="8" t="s">
        <v>667</v>
      </c>
      <c r="F1361" s="8" t="s">
        <v>652</v>
      </c>
      <c r="G1361" s="7" t="s">
        <v>241</v>
      </c>
      <c r="H1361" s="47" t="s">
        <v>784</v>
      </c>
      <c r="I1361" s="47" t="s">
        <v>785</v>
      </c>
      <c r="J1361" s="6">
        <v>62</v>
      </c>
      <c r="K1361" s="8" t="s">
        <v>74</v>
      </c>
      <c r="L1361" s="5">
        <v>4</v>
      </c>
      <c r="P1361" s="3"/>
      <c r="Q1361" s="3"/>
      <c r="R1361" s="3"/>
    </row>
    <row r="1362" spans="1:18" x14ac:dyDescent="0.2">
      <c r="A1362" s="7" t="s">
        <v>16</v>
      </c>
      <c r="B1362" s="7" t="s">
        <v>17</v>
      </c>
      <c r="C1362" s="7" t="s">
        <v>18</v>
      </c>
      <c r="D1362" s="4">
        <v>9219138000584</v>
      </c>
      <c r="E1362" s="8" t="s">
        <v>667</v>
      </c>
      <c r="F1362" s="8" t="s">
        <v>652</v>
      </c>
      <c r="G1362" s="7" t="s">
        <v>241</v>
      </c>
      <c r="H1362" s="47" t="s">
        <v>784</v>
      </c>
      <c r="I1362" s="47" t="s">
        <v>785</v>
      </c>
      <c r="J1362" s="6">
        <v>70</v>
      </c>
      <c r="K1362" s="8" t="s">
        <v>22</v>
      </c>
      <c r="L1362" s="5">
        <v>420</v>
      </c>
      <c r="P1362" s="3"/>
      <c r="Q1362" s="3"/>
      <c r="R1362" s="3"/>
    </row>
    <row r="1363" spans="1:18" x14ac:dyDescent="0.2">
      <c r="A1363" s="7" t="s">
        <v>16</v>
      </c>
      <c r="B1363" s="7" t="s">
        <v>17</v>
      </c>
      <c r="C1363" s="7" t="s">
        <v>18</v>
      </c>
      <c r="D1363" s="4">
        <v>9219138000584</v>
      </c>
      <c r="E1363" s="8" t="s">
        <v>667</v>
      </c>
      <c r="F1363" s="8" t="s">
        <v>652</v>
      </c>
      <c r="G1363" s="7" t="s">
        <v>241</v>
      </c>
      <c r="H1363" s="47" t="s">
        <v>784</v>
      </c>
      <c r="I1363" s="47" t="s">
        <v>785</v>
      </c>
      <c r="J1363" s="6">
        <v>73</v>
      </c>
      <c r="K1363" s="8" t="s">
        <v>69</v>
      </c>
      <c r="L1363" s="5">
        <v>84</v>
      </c>
      <c r="P1363" s="3"/>
      <c r="Q1363" s="3"/>
      <c r="R1363" s="3"/>
    </row>
    <row r="1364" spans="1:18" x14ac:dyDescent="0.2">
      <c r="A1364" s="7" t="s">
        <v>16</v>
      </c>
      <c r="B1364" s="7" t="s">
        <v>17</v>
      </c>
      <c r="C1364" s="7" t="s">
        <v>18</v>
      </c>
      <c r="D1364" s="4">
        <v>9578217000158</v>
      </c>
      <c r="E1364" s="8" t="s">
        <v>668</v>
      </c>
      <c r="F1364" s="8" t="s">
        <v>652</v>
      </c>
      <c r="G1364" s="7" t="s">
        <v>241</v>
      </c>
      <c r="H1364" s="47" t="s">
        <v>784</v>
      </c>
      <c r="I1364" s="47" t="s">
        <v>785</v>
      </c>
      <c r="J1364" s="6">
        <v>62</v>
      </c>
      <c r="K1364" s="8" t="s">
        <v>74</v>
      </c>
      <c r="L1364" s="5">
        <v>4</v>
      </c>
      <c r="P1364" s="3"/>
      <c r="Q1364" s="3"/>
      <c r="R1364" s="3"/>
    </row>
    <row r="1365" spans="1:18" x14ac:dyDescent="0.2">
      <c r="A1365" s="7" t="s">
        <v>16</v>
      </c>
      <c r="B1365" s="7" t="s">
        <v>17</v>
      </c>
      <c r="C1365" s="7" t="s">
        <v>18</v>
      </c>
      <c r="D1365" s="4">
        <v>9578217000158</v>
      </c>
      <c r="E1365" s="8" t="s">
        <v>668</v>
      </c>
      <c r="F1365" s="8" t="s">
        <v>652</v>
      </c>
      <c r="G1365" s="7" t="s">
        <v>241</v>
      </c>
      <c r="H1365" s="47" t="s">
        <v>784</v>
      </c>
      <c r="I1365" s="47" t="s">
        <v>785</v>
      </c>
      <c r="J1365" s="6">
        <v>64</v>
      </c>
      <c r="K1365" s="8" t="s">
        <v>68</v>
      </c>
      <c r="L1365" s="5">
        <v>3</v>
      </c>
      <c r="P1365" s="3"/>
      <c r="Q1365" s="3"/>
      <c r="R1365" s="3"/>
    </row>
    <row r="1366" spans="1:18" x14ac:dyDescent="0.2">
      <c r="A1366" s="7" t="s">
        <v>16</v>
      </c>
      <c r="B1366" s="7" t="s">
        <v>17</v>
      </c>
      <c r="C1366" s="7" t="s">
        <v>18</v>
      </c>
      <c r="D1366" s="4">
        <v>9609235000230</v>
      </c>
      <c r="E1366" s="8" t="s">
        <v>669</v>
      </c>
      <c r="F1366" s="8" t="s">
        <v>652</v>
      </c>
      <c r="G1366" s="7" t="s">
        <v>241</v>
      </c>
      <c r="H1366" s="47" t="s">
        <v>784</v>
      </c>
      <c r="I1366" s="47" t="s">
        <v>785</v>
      </c>
      <c r="J1366" s="6">
        <v>70</v>
      </c>
      <c r="K1366" s="8" t="s">
        <v>22</v>
      </c>
      <c r="L1366" s="5">
        <v>450</v>
      </c>
      <c r="P1366" s="3"/>
      <c r="Q1366" s="3"/>
      <c r="R1366" s="3"/>
    </row>
    <row r="1367" spans="1:18" x14ac:dyDescent="0.2">
      <c r="A1367" s="7" t="s">
        <v>16</v>
      </c>
      <c r="B1367" s="7" t="s">
        <v>17</v>
      </c>
      <c r="C1367" s="7" t="s">
        <v>18</v>
      </c>
      <c r="D1367" s="4">
        <v>11279865000155</v>
      </c>
      <c r="E1367" s="8" t="s">
        <v>670</v>
      </c>
      <c r="F1367" s="8" t="s">
        <v>652</v>
      </c>
      <c r="G1367" s="7" t="s">
        <v>241</v>
      </c>
      <c r="H1367" s="47" t="s">
        <v>784</v>
      </c>
      <c r="I1367" s="47" t="s">
        <v>785</v>
      </c>
      <c r="J1367" s="6">
        <v>64</v>
      </c>
      <c r="K1367" s="8" t="s">
        <v>68</v>
      </c>
      <c r="L1367" s="5">
        <v>8</v>
      </c>
      <c r="P1367" s="3"/>
      <c r="Q1367" s="3"/>
      <c r="R1367" s="3"/>
    </row>
    <row r="1368" spans="1:18" x14ac:dyDescent="0.2">
      <c r="A1368" s="7" t="s">
        <v>16</v>
      </c>
      <c r="B1368" s="7" t="s">
        <v>17</v>
      </c>
      <c r="C1368" s="7" t="s">
        <v>18</v>
      </c>
      <c r="D1368" s="4">
        <v>18010750000100</v>
      </c>
      <c r="E1368" s="8" t="s">
        <v>671</v>
      </c>
      <c r="F1368" s="8" t="s">
        <v>652</v>
      </c>
      <c r="G1368" s="7" t="s">
        <v>241</v>
      </c>
      <c r="H1368" s="47" t="s">
        <v>784</v>
      </c>
      <c r="I1368" s="47" t="s">
        <v>785</v>
      </c>
      <c r="J1368" s="6">
        <v>70</v>
      </c>
      <c r="K1368" s="8" t="s">
        <v>22</v>
      </c>
      <c r="L1368" s="5">
        <v>150</v>
      </c>
      <c r="P1368" s="3"/>
      <c r="Q1368" s="3"/>
      <c r="R1368" s="3"/>
    </row>
    <row r="1369" spans="1:18" x14ac:dyDescent="0.2">
      <c r="A1369" s="7" t="s">
        <v>16</v>
      </c>
      <c r="B1369" s="7" t="s">
        <v>17</v>
      </c>
      <c r="C1369" s="7" t="s">
        <v>18</v>
      </c>
      <c r="D1369" s="4">
        <v>21109731000140</v>
      </c>
      <c r="E1369" s="8" t="s">
        <v>672</v>
      </c>
      <c r="F1369" s="8" t="s">
        <v>652</v>
      </c>
      <c r="G1369" s="7" t="s">
        <v>241</v>
      </c>
      <c r="H1369" s="47" t="s">
        <v>784</v>
      </c>
      <c r="I1369" s="47" t="s">
        <v>785</v>
      </c>
      <c r="J1369" s="6">
        <v>73</v>
      </c>
      <c r="K1369" s="8" t="s">
        <v>69</v>
      </c>
      <c r="L1369" s="5">
        <v>112</v>
      </c>
      <c r="P1369" s="3"/>
      <c r="Q1369" s="3"/>
      <c r="R1369" s="3"/>
    </row>
    <row r="1370" spans="1:18" x14ac:dyDescent="0.2">
      <c r="A1370" s="7" t="s">
        <v>16</v>
      </c>
      <c r="B1370" s="7" t="s">
        <v>17</v>
      </c>
      <c r="C1370" s="7" t="s">
        <v>18</v>
      </c>
      <c r="D1370" s="4">
        <v>21265360000195</v>
      </c>
      <c r="E1370" s="8" t="s">
        <v>673</v>
      </c>
      <c r="F1370" s="8" t="s">
        <v>652</v>
      </c>
      <c r="G1370" s="7" t="s">
        <v>241</v>
      </c>
      <c r="H1370" s="47" t="s">
        <v>784</v>
      </c>
      <c r="I1370" s="47" t="s">
        <v>785</v>
      </c>
      <c r="J1370" s="6">
        <v>73</v>
      </c>
      <c r="K1370" s="8" t="s">
        <v>69</v>
      </c>
      <c r="L1370" s="5">
        <v>16</v>
      </c>
      <c r="P1370" s="3"/>
      <c r="Q1370" s="3"/>
      <c r="R1370" s="3"/>
    </row>
    <row r="1371" spans="1:18" x14ac:dyDescent="0.2">
      <c r="A1371" s="7" t="s">
        <v>16</v>
      </c>
      <c r="B1371" s="7" t="s">
        <v>17</v>
      </c>
      <c r="C1371" s="7" t="s">
        <v>18</v>
      </c>
      <c r="D1371" s="4">
        <v>24217779000160</v>
      </c>
      <c r="E1371" s="8" t="s">
        <v>674</v>
      </c>
      <c r="F1371" s="8" t="s">
        <v>652</v>
      </c>
      <c r="G1371" s="7" t="s">
        <v>241</v>
      </c>
      <c r="H1371" s="47" t="s">
        <v>784</v>
      </c>
      <c r="I1371" s="47" t="s">
        <v>785</v>
      </c>
      <c r="J1371" s="6">
        <v>64</v>
      </c>
      <c r="K1371" s="8" t="s">
        <v>68</v>
      </c>
      <c r="L1371" s="5">
        <v>6</v>
      </c>
      <c r="P1371" s="3"/>
      <c r="Q1371" s="3"/>
      <c r="R1371" s="3"/>
    </row>
    <row r="1372" spans="1:18" x14ac:dyDescent="0.2">
      <c r="A1372" s="7" t="s">
        <v>16</v>
      </c>
      <c r="B1372" s="7" t="s">
        <v>17</v>
      </c>
      <c r="C1372" s="7" t="s">
        <v>18</v>
      </c>
      <c r="D1372" s="4">
        <v>27901222000131</v>
      </c>
      <c r="E1372" s="8" t="s">
        <v>675</v>
      </c>
      <c r="F1372" s="8" t="s">
        <v>652</v>
      </c>
      <c r="G1372" s="7" t="s">
        <v>241</v>
      </c>
      <c r="H1372" s="47" t="s">
        <v>784</v>
      </c>
      <c r="I1372" s="47" t="s">
        <v>785</v>
      </c>
      <c r="J1372" s="6">
        <v>62</v>
      </c>
      <c r="K1372" s="8" t="s">
        <v>74</v>
      </c>
      <c r="L1372" s="5">
        <v>5</v>
      </c>
      <c r="P1372" s="3"/>
      <c r="Q1372" s="3"/>
      <c r="R1372" s="3"/>
    </row>
    <row r="1373" spans="1:18" x14ac:dyDescent="0.2">
      <c r="A1373" s="7" t="s">
        <v>16</v>
      </c>
      <c r="B1373" s="7" t="s">
        <v>17</v>
      </c>
      <c r="C1373" s="7" t="s">
        <v>18</v>
      </c>
      <c r="D1373" s="4">
        <v>28000107000159</v>
      </c>
      <c r="E1373" s="8" t="s">
        <v>676</v>
      </c>
      <c r="F1373" s="8" t="s">
        <v>652</v>
      </c>
      <c r="G1373" s="7" t="s">
        <v>241</v>
      </c>
      <c r="H1373" s="47" t="s">
        <v>784</v>
      </c>
      <c r="I1373" s="47" t="s">
        <v>785</v>
      </c>
      <c r="J1373" s="6">
        <v>70</v>
      </c>
      <c r="K1373" s="8" t="s">
        <v>22</v>
      </c>
      <c r="L1373" s="5">
        <v>120</v>
      </c>
      <c r="P1373" s="3"/>
      <c r="Q1373" s="3"/>
      <c r="R1373" s="3"/>
    </row>
    <row r="1374" spans="1:18" x14ac:dyDescent="0.2">
      <c r="A1374" s="7" t="s">
        <v>16</v>
      </c>
      <c r="B1374" s="7" t="s">
        <v>17</v>
      </c>
      <c r="C1374" s="7" t="s">
        <v>18</v>
      </c>
      <c r="D1374" s="4">
        <v>28000107000159</v>
      </c>
      <c r="E1374" s="8" t="s">
        <v>676</v>
      </c>
      <c r="F1374" s="8" t="s">
        <v>652</v>
      </c>
      <c r="G1374" s="7" t="s">
        <v>241</v>
      </c>
      <c r="H1374" s="47" t="s">
        <v>784</v>
      </c>
      <c r="I1374" s="47" t="s">
        <v>785</v>
      </c>
      <c r="J1374" s="6">
        <v>73</v>
      </c>
      <c r="K1374" s="8" t="s">
        <v>69</v>
      </c>
      <c r="L1374" s="5">
        <v>150</v>
      </c>
      <c r="P1374" s="3"/>
      <c r="Q1374" s="3"/>
      <c r="R1374" s="3"/>
    </row>
    <row r="1375" spans="1:18" x14ac:dyDescent="0.2">
      <c r="A1375" s="7" t="s">
        <v>16</v>
      </c>
      <c r="B1375" s="7" t="s">
        <v>17</v>
      </c>
      <c r="C1375" s="7" t="s">
        <v>18</v>
      </c>
      <c r="D1375" s="4">
        <v>28602407000108</v>
      </c>
      <c r="E1375" s="8" t="s">
        <v>677</v>
      </c>
      <c r="F1375" s="8" t="s">
        <v>652</v>
      </c>
      <c r="G1375" s="7" t="s">
        <v>241</v>
      </c>
      <c r="H1375" s="47" t="s">
        <v>784</v>
      </c>
      <c r="I1375" s="47" t="s">
        <v>785</v>
      </c>
      <c r="J1375" s="6">
        <v>64</v>
      </c>
      <c r="K1375" s="8" t="s">
        <v>68</v>
      </c>
      <c r="L1375" s="5">
        <v>1</v>
      </c>
      <c r="P1375" s="3"/>
      <c r="Q1375" s="3"/>
      <c r="R1375" s="3"/>
    </row>
    <row r="1376" spans="1:18" x14ac:dyDescent="0.2">
      <c r="A1376" s="7" t="s">
        <v>16</v>
      </c>
      <c r="B1376" s="7" t="s">
        <v>17</v>
      </c>
      <c r="C1376" s="7" t="s">
        <v>18</v>
      </c>
      <c r="D1376" s="4">
        <v>29259736000403</v>
      </c>
      <c r="E1376" s="8" t="s">
        <v>678</v>
      </c>
      <c r="F1376" s="8" t="s">
        <v>652</v>
      </c>
      <c r="G1376" s="7" t="s">
        <v>241</v>
      </c>
      <c r="H1376" s="47" t="s">
        <v>784</v>
      </c>
      <c r="I1376" s="47" t="s">
        <v>785</v>
      </c>
      <c r="J1376" s="6">
        <v>64</v>
      </c>
      <c r="K1376" s="8" t="s">
        <v>68</v>
      </c>
      <c r="L1376" s="5">
        <v>5</v>
      </c>
      <c r="P1376" s="3"/>
      <c r="Q1376" s="3"/>
      <c r="R1376" s="3"/>
    </row>
    <row r="1377" spans="1:18" x14ac:dyDescent="0.2">
      <c r="A1377" s="7" t="s">
        <v>16</v>
      </c>
      <c r="B1377" s="7" t="s">
        <v>17</v>
      </c>
      <c r="C1377" s="7" t="s">
        <v>18</v>
      </c>
      <c r="D1377" s="4">
        <v>29259736000403</v>
      </c>
      <c r="E1377" s="8" t="s">
        <v>678</v>
      </c>
      <c r="F1377" s="8" t="s">
        <v>652</v>
      </c>
      <c r="G1377" s="7" t="s">
        <v>241</v>
      </c>
      <c r="H1377" s="47" t="s">
        <v>784</v>
      </c>
      <c r="I1377" s="47" t="s">
        <v>785</v>
      </c>
      <c r="J1377" s="6">
        <v>73</v>
      </c>
      <c r="K1377" s="8" t="s">
        <v>69</v>
      </c>
      <c r="L1377" s="5">
        <v>40</v>
      </c>
      <c r="P1377" s="3"/>
      <c r="Q1377" s="3"/>
      <c r="R1377" s="3"/>
    </row>
    <row r="1378" spans="1:18" x14ac:dyDescent="0.2">
      <c r="A1378" s="7" t="s">
        <v>16</v>
      </c>
      <c r="B1378" s="7" t="s">
        <v>17</v>
      </c>
      <c r="C1378" s="7" t="s">
        <v>18</v>
      </c>
      <c r="D1378" s="4">
        <v>29435005005198</v>
      </c>
      <c r="E1378" s="8" t="s">
        <v>679</v>
      </c>
      <c r="F1378" s="8" t="s">
        <v>652</v>
      </c>
      <c r="G1378" s="7" t="s">
        <v>241</v>
      </c>
      <c r="H1378" s="47" t="s">
        <v>784</v>
      </c>
      <c r="I1378" s="47" t="s">
        <v>785</v>
      </c>
      <c r="J1378" s="6">
        <v>62</v>
      </c>
      <c r="K1378" s="8" t="s">
        <v>74</v>
      </c>
      <c r="L1378" s="5">
        <v>17</v>
      </c>
      <c r="P1378" s="3"/>
      <c r="Q1378" s="3"/>
      <c r="R1378" s="3"/>
    </row>
    <row r="1379" spans="1:18" x14ac:dyDescent="0.2">
      <c r="A1379" s="7" t="s">
        <v>16</v>
      </c>
      <c r="B1379" s="7" t="s">
        <v>17</v>
      </c>
      <c r="C1379" s="7" t="s">
        <v>18</v>
      </c>
      <c r="D1379" s="4">
        <v>29435005005198</v>
      </c>
      <c r="E1379" s="8" t="s">
        <v>679</v>
      </c>
      <c r="F1379" s="8" t="s">
        <v>652</v>
      </c>
      <c r="G1379" s="7" t="s">
        <v>241</v>
      </c>
      <c r="H1379" s="47" t="s">
        <v>784</v>
      </c>
      <c r="I1379" s="47" t="s">
        <v>785</v>
      </c>
      <c r="J1379" s="6">
        <v>64</v>
      </c>
      <c r="K1379" s="8" t="s">
        <v>68</v>
      </c>
      <c r="L1379" s="5">
        <v>16</v>
      </c>
      <c r="P1379" s="3"/>
      <c r="Q1379" s="3"/>
      <c r="R1379" s="3"/>
    </row>
    <row r="1380" spans="1:18" x14ac:dyDescent="0.2">
      <c r="A1380" s="7" t="s">
        <v>16</v>
      </c>
      <c r="B1380" s="7" t="s">
        <v>17</v>
      </c>
      <c r="C1380" s="7" t="s">
        <v>18</v>
      </c>
      <c r="D1380" s="4">
        <v>29435005005783</v>
      </c>
      <c r="E1380" s="8" t="s">
        <v>680</v>
      </c>
      <c r="F1380" s="8" t="s">
        <v>652</v>
      </c>
      <c r="G1380" s="7" t="s">
        <v>241</v>
      </c>
      <c r="H1380" s="47" t="s">
        <v>784</v>
      </c>
      <c r="I1380" s="47" t="s">
        <v>785</v>
      </c>
      <c r="J1380" s="6">
        <v>70</v>
      </c>
      <c r="K1380" s="8" t="s">
        <v>22</v>
      </c>
      <c r="L1380" s="5">
        <v>225</v>
      </c>
      <c r="P1380" s="3"/>
      <c r="Q1380" s="3"/>
      <c r="R1380" s="3"/>
    </row>
    <row r="1381" spans="1:18" x14ac:dyDescent="0.2">
      <c r="A1381" s="7" t="s">
        <v>16</v>
      </c>
      <c r="B1381" s="7" t="s">
        <v>17</v>
      </c>
      <c r="C1381" s="7" t="s">
        <v>18</v>
      </c>
      <c r="D1381" s="4">
        <v>29435005006160</v>
      </c>
      <c r="E1381" s="8" t="s">
        <v>681</v>
      </c>
      <c r="F1381" s="8" t="s">
        <v>652</v>
      </c>
      <c r="G1381" s="7" t="s">
        <v>241</v>
      </c>
      <c r="H1381" s="47" t="s">
        <v>784</v>
      </c>
      <c r="I1381" s="47" t="s">
        <v>785</v>
      </c>
      <c r="J1381" s="6">
        <v>62</v>
      </c>
      <c r="K1381" s="8" t="s">
        <v>74</v>
      </c>
      <c r="L1381" s="5">
        <v>6</v>
      </c>
      <c r="P1381" s="3"/>
      <c r="Q1381" s="3"/>
      <c r="R1381" s="3"/>
    </row>
    <row r="1382" spans="1:18" x14ac:dyDescent="0.2">
      <c r="A1382" s="7" t="s">
        <v>16</v>
      </c>
      <c r="B1382" s="7" t="s">
        <v>17</v>
      </c>
      <c r="C1382" s="7" t="s">
        <v>18</v>
      </c>
      <c r="D1382" s="4">
        <v>29435005006160</v>
      </c>
      <c r="E1382" s="8" t="s">
        <v>681</v>
      </c>
      <c r="F1382" s="8" t="s">
        <v>652</v>
      </c>
      <c r="G1382" s="7" t="s">
        <v>241</v>
      </c>
      <c r="H1382" s="47" t="s">
        <v>784</v>
      </c>
      <c r="I1382" s="47" t="s">
        <v>785</v>
      </c>
      <c r="J1382" s="6">
        <v>64</v>
      </c>
      <c r="K1382" s="8" t="s">
        <v>68</v>
      </c>
      <c r="L1382" s="5">
        <v>5</v>
      </c>
      <c r="P1382" s="3"/>
      <c r="Q1382" s="3"/>
      <c r="R1382" s="3"/>
    </row>
    <row r="1383" spans="1:18" x14ac:dyDescent="0.2">
      <c r="A1383" s="7" t="s">
        <v>16</v>
      </c>
      <c r="B1383" s="7" t="s">
        <v>17</v>
      </c>
      <c r="C1383" s="7" t="s">
        <v>18</v>
      </c>
      <c r="D1383" s="4">
        <v>29435005006160</v>
      </c>
      <c r="E1383" s="8" t="s">
        <v>681</v>
      </c>
      <c r="F1383" s="8" t="s">
        <v>652</v>
      </c>
      <c r="G1383" s="7" t="s">
        <v>241</v>
      </c>
      <c r="H1383" s="47" t="s">
        <v>784</v>
      </c>
      <c r="I1383" s="47" t="s">
        <v>785</v>
      </c>
      <c r="J1383" s="6">
        <v>70</v>
      </c>
      <c r="K1383" s="8" t="s">
        <v>22</v>
      </c>
      <c r="L1383" s="5">
        <v>50</v>
      </c>
      <c r="P1383" s="3"/>
      <c r="Q1383" s="3"/>
      <c r="R1383" s="3"/>
    </row>
    <row r="1384" spans="1:18" x14ac:dyDescent="0.2">
      <c r="A1384" s="7" t="s">
        <v>16</v>
      </c>
      <c r="B1384" s="7" t="s">
        <v>17</v>
      </c>
      <c r="C1384" s="7" t="s">
        <v>18</v>
      </c>
      <c r="D1384" s="4">
        <v>31635857000101</v>
      </c>
      <c r="E1384" s="8" t="s">
        <v>682</v>
      </c>
      <c r="F1384" s="8" t="s">
        <v>652</v>
      </c>
      <c r="G1384" s="7" t="s">
        <v>241</v>
      </c>
      <c r="H1384" s="47" t="s">
        <v>784</v>
      </c>
      <c r="I1384" s="47" t="s">
        <v>785</v>
      </c>
      <c r="J1384" s="6">
        <v>62</v>
      </c>
      <c r="K1384" s="8" t="s">
        <v>74</v>
      </c>
      <c r="L1384" s="5">
        <v>1</v>
      </c>
      <c r="P1384" s="3"/>
      <c r="Q1384" s="3"/>
      <c r="R1384" s="3"/>
    </row>
    <row r="1385" spans="1:18" x14ac:dyDescent="0.2">
      <c r="A1385" s="7" t="s">
        <v>16</v>
      </c>
      <c r="B1385" s="7" t="s">
        <v>17</v>
      </c>
      <c r="C1385" s="7" t="s">
        <v>18</v>
      </c>
      <c r="D1385" s="4">
        <v>31635857000292</v>
      </c>
      <c r="E1385" s="8" t="s">
        <v>683</v>
      </c>
      <c r="F1385" s="8" t="s">
        <v>652</v>
      </c>
      <c r="G1385" s="7" t="s">
        <v>241</v>
      </c>
      <c r="H1385" s="47" t="s">
        <v>784</v>
      </c>
      <c r="I1385" s="47" t="s">
        <v>785</v>
      </c>
      <c r="J1385" s="6">
        <v>62</v>
      </c>
      <c r="K1385" s="8" t="s">
        <v>74</v>
      </c>
      <c r="L1385" s="5">
        <v>7</v>
      </c>
      <c r="P1385" s="3"/>
      <c r="Q1385" s="3"/>
      <c r="R1385" s="3"/>
    </row>
    <row r="1386" spans="1:18" x14ac:dyDescent="0.2">
      <c r="A1386" s="7" t="s">
        <v>16</v>
      </c>
      <c r="B1386" s="7" t="s">
        <v>17</v>
      </c>
      <c r="C1386" s="7" t="s">
        <v>18</v>
      </c>
      <c r="D1386" s="4">
        <v>31635857000292</v>
      </c>
      <c r="E1386" s="8" t="s">
        <v>683</v>
      </c>
      <c r="F1386" s="8" t="s">
        <v>652</v>
      </c>
      <c r="G1386" s="7" t="s">
        <v>241</v>
      </c>
      <c r="H1386" s="47" t="s">
        <v>784</v>
      </c>
      <c r="I1386" s="47" t="s">
        <v>785</v>
      </c>
      <c r="J1386" s="6">
        <v>73</v>
      </c>
      <c r="K1386" s="8" t="s">
        <v>69</v>
      </c>
      <c r="L1386" s="5">
        <v>12</v>
      </c>
      <c r="P1386" s="3"/>
      <c r="Q1386" s="3"/>
      <c r="R1386" s="3"/>
    </row>
    <row r="1387" spans="1:18" x14ac:dyDescent="0.2">
      <c r="A1387" s="7" t="s">
        <v>16</v>
      </c>
      <c r="B1387" s="7" t="s">
        <v>17</v>
      </c>
      <c r="C1387" s="7" t="s">
        <v>18</v>
      </c>
      <c r="D1387" s="4">
        <v>32154700000127</v>
      </c>
      <c r="E1387" s="8" t="s">
        <v>684</v>
      </c>
      <c r="F1387" s="8" t="s">
        <v>652</v>
      </c>
      <c r="G1387" s="7" t="s">
        <v>241</v>
      </c>
      <c r="H1387" s="47" t="s">
        <v>784</v>
      </c>
      <c r="I1387" s="47" t="s">
        <v>785</v>
      </c>
      <c r="J1387" s="6">
        <v>62</v>
      </c>
      <c r="K1387" s="8" t="s">
        <v>74</v>
      </c>
      <c r="L1387" s="5">
        <v>5</v>
      </c>
      <c r="P1387" s="3"/>
      <c r="Q1387" s="3"/>
      <c r="R1387" s="3"/>
    </row>
    <row r="1388" spans="1:18" x14ac:dyDescent="0.2">
      <c r="A1388" s="7" t="s">
        <v>16</v>
      </c>
      <c r="B1388" s="7" t="s">
        <v>17</v>
      </c>
      <c r="C1388" s="7" t="s">
        <v>18</v>
      </c>
      <c r="D1388" s="4">
        <v>32154700000127</v>
      </c>
      <c r="E1388" s="8" t="s">
        <v>684</v>
      </c>
      <c r="F1388" s="8" t="s">
        <v>652</v>
      </c>
      <c r="G1388" s="7" t="s">
        <v>241</v>
      </c>
      <c r="H1388" s="47" t="s">
        <v>784</v>
      </c>
      <c r="I1388" s="47" t="s">
        <v>785</v>
      </c>
      <c r="J1388" s="6">
        <v>64</v>
      </c>
      <c r="K1388" s="8" t="s">
        <v>68</v>
      </c>
      <c r="L1388" s="5">
        <v>8</v>
      </c>
      <c r="P1388" s="3"/>
      <c r="Q1388" s="3"/>
      <c r="R1388" s="3"/>
    </row>
    <row r="1389" spans="1:18" x14ac:dyDescent="0.2">
      <c r="A1389" s="7" t="s">
        <v>16</v>
      </c>
      <c r="B1389" s="7" t="s">
        <v>17</v>
      </c>
      <c r="C1389" s="7" t="s">
        <v>18</v>
      </c>
      <c r="D1389" s="4">
        <v>33000167000101</v>
      </c>
      <c r="E1389" s="8" t="s">
        <v>685</v>
      </c>
      <c r="F1389" s="8" t="s">
        <v>652</v>
      </c>
      <c r="G1389" s="7" t="s">
        <v>241</v>
      </c>
      <c r="H1389" s="47" t="s">
        <v>784</v>
      </c>
      <c r="I1389" s="47" t="s">
        <v>785</v>
      </c>
      <c r="J1389" s="6">
        <v>70</v>
      </c>
      <c r="K1389" s="8" t="s">
        <v>22</v>
      </c>
      <c r="L1389" s="5">
        <v>140</v>
      </c>
      <c r="P1389" s="3"/>
      <c r="Q1389" s="3"/>
      <c r="R1389" s="3"/>
    </row>
    <row r="1390" spans="1:18" x14ac:dyDescent="0.2">
      <c r="A1390" s="7" t="s">
        <v>16</v>
      </c>
      <c r="B1390" s="7" t="s">
        <v>17</v>
      </c>
      <c r="C1390" s="7" t="s">
        <v>18</v>
      </c>
      <c r="D1390" s="4">
        <v>33419482000259</v>
      </c>
      <c r="E1390" s="8" t="s">
        <v>686</v>
      </c>
      <c r="F1390" s="8" t="s">
        <v>652</v>
      </c>
      <c r="G1390" s="7" t="s">
        <v>241</v>
      </c>
      <c r="H1390" s="47" t="s">
        <v>784</v>
      </c>
      <c r="I1390" s="47" t="s">
        <v>785</v>
      </c>
      <c r="J1390" s="6">
        <v>62</v>
      </c>
      <c r="K1390" s="8" t="s">
        <v>74</v>
      </c>
      <c r="L1390" s="5">
        <v>11</v>
      </c>
      <c r="P1390" s="3"/>
      <c r="Q1390" s="3"/>
      <c r="R1390" s="3"/>
    </row>
    <row r="1391" spans="1:18" x14ac:dyDescent="0.2">
      <c r="A1391" s="7" t="s">
        <v>16</v>
      </c>
      <c r="B1391" s="7" t="s">
        <v>17</v>
      </c>
      <c r="C1391" s="7" t="s">
        <v>18</v>
      </c>
      <c r="D1391" s="4">
        <v>33419482000259</v>
      </c>
      <c r="E1391" s="8" t="s">
        <v>686</v>
      </c>
      <c r="F1391" s="8" t="s">
        <v>652</v>
      </c>
      <c r="G1391" s="7" t="s">
        <v>241</v>
      </c>
      <c r="H1391" s="47" t="s">
        <v>784</v>
      </c>
      <c r="I1391" s="47" t="s">
        <v>785</v>
      </c>
      <c r="J1391" s="6">
        <v>64</v>
      </c>
      <c r="K1391" s="8" t="s">
        <v>68</v>
      </c>
      <c r="L1391" s="5">
        <v>9</v>
      </c>
      <c r="P1391" s="3"/>
      <c r="Q1391" s="3"/>
      <c r="R1391" s="3"/>
    </row>
    <row r="1392" spans="1:18" x14ac:dyDescent="0.2">
      <c r="A1392" s="7" t="s">
        <v>16</v>
      </c>
      <c r="B1392" s="7" t="s">
        <v>17</v>
      </c>
      <c r="C1392" s="7" t="s">
        <v>18</v>
      </c>
      <c r="D1392" s="4">
        <v>33419482000259</v>
      </c>
      <c r="E1392" s="8" t="s">
        <v>686</v>
      </c>
      <c r="F1392" s="8" t="s">
        <v>652</v>
      </c>
      <c r="G1392" s="7" t="s">
        <v>241</v>
      </c>
      <c r="H1392" s="47" t="s">
        <v>784</v>
      </c>
      <c r="I1392" s="47" t="s">
        <v>785</v>
      </c>
      <c r="J1392" s="6">
        <v>70</v>
      </c>
      <c r="K1392" s="8" t="s">
        <v>22</v>
      </c>
      <c r="L1392" s="5">
        <v>10</v>
      </c>
      <c r="P1392" s="3"/>
      <c r="Q1392" s="3"/>
      <c r="R1392" s="3"/>
    </row>
    <row r="1393" spans="1:18" x14ac:dyDescent="0.2">
      <c r="A1393" s="7" t="s">
        <v>16</v>
      </c>
      <c r="B1393" s="7" t="s">
        <v>17</v>
      </c>
      <c r="C1393" s="7" t="s">
        <v>18</v>
      </c>
      <c r="D1393" s="4">
        <v>33663683002674</v>
      </c>
      <c r="E1393" s="8" t="s">
        <v>687</v>
      </c>
      <c r="F1393" s="8" t="s">
        <v>652</v>
      </c>
      <c r="G1393" s="7" t="s">
        <v>241</v>
      </c>
      <c r="H1393" s="47" t="s">
        <v>784</v>
      </c>
      <c r="I1393" s="47" t="s">
        <v>785</v>
      </c>
      <c r="J1393" s="6">
        <v>64</v>
      </c>
      <c r="K1393" s="8" t="s">
        <v>68</v>
      </c>
      <c r="L1393" s="5">
        <v>2</v>
      </c>
      <c r="P1393" s="3"/>
      <c r="Q1393" s="3"/>
      <c r="R1393" s="3"/>
    </row>
    <row r="1394" spans="1:18" x14ac:dyDescent="0.2">
      <c r="A1394" s="7" t="s">
        <v>16</v>
      </c>
      <c r="B1394" s="7" t="s">
        <v>17</v>
      </c>
      <c r="C1394" s="7" t="s">
        <v>18</v>
      </c>
      <c r="D1394" s="4">
        <v>33663683005347</v>
      </c>
      <c r="E1394" s="8" t="s">
        <v>688</v>
      </c>
      <c r="F1394" s="8" t="s">
        <v>652</v>
      </c>
      <c r="G1394" s="7" t="s">
        <v>241</v>
      </c>
      <c r="H1394" s="47" t="s">
        <v>784</v>
      </c>
      <c r="I1394" s="47" t="s">
        <v>785</v>
      </c>
      <c r="J1394" s="6">
        <v>70</v>
      </c>
      <c r="K1394" s="8" t="s">
        <v>22</v>
      </c>
      <c r="L1394" s="5">
        <v>800</v>
      </c>
      <c r="P1394" s="3"/>
      <c r="Q1394" s="3"/>
      <c r="R1394" s="3"/>
    </row>
    <row r="1395" spans="1:18" x14ac:dyDescent="0.2">
      <c r="A1395" s="7" t="s">
        <v>16</v>
      </c>
      <c r="B1395" s="7" t="s">
        <v>17</v>
      </c>
      <c r="C1395" s="7" t="s">
        <v>18</v>
      </c>
      <c r="D1395" s="4">
        <v>33781055000216</v>
      </c>
      <c r="E1395" s="8" t="s">
        <v>689</v>
      </c>
      <c r="F1395" s="8" t="s">
        <v>652</v>
      </c>
      <c r="G1395" s="7" t="s">
        <v>241</v>
      </c>
      <c r="H1395" s="47" t="s">
        <v>784</v>
      </c>
      <c r="I1395" s="47" t="s">
        <v>785</v>
      </c>
      <c r="J1395" s="6">
        <v>70</v>
      </c>
      <c r="K1395" s="8" t="s">
        <v>22</v>
      </c>
      <c r="L1395" s="5">
        <v>270</v>
      </c>
      <c r="P1395" s="3"/>
      <c r="Q1395" s="3"/>
      <c r="R1395" s="3"/>
    </row>
    <row r="1396" spans="1:18" x14ac:dyDescent="0.2">
      <c r="A1396" s="7" t="s">
        <v>16</v>
      </c>
      <c r="B1396" s="7" t="s">
        <v>17</v>
      </c>
      <c r="C1396" s="7" t="s">
        <v>18</v>
      </c>
      <c r="D1396" s="4">
        <v>33927377000140</v>
      </c>
      <c r="E1396" s="8" t="s">
        <v>690</v>
      </c>
      <c r="F1396" s="8" t="s">
        <v>652</v>
      </c>
      <c r="G1396" s="7" t="s">
        <v>241</v>
      </c>
      <c r="H1396" s="47" t="s">
        <v>784</v>
      </c>
      <c r="I1396" s="47" t="s">
        <v>785</v>
      </c>
      <c r="J1396" s="6">
        <v>70</v>
      </c>
      <c r="K1396" s="8" t="s">
        <v>22</v>
      </c>
      <c r="L1396" s="5">
        <v>-5</v>
      </c>
      <c r="P1396" s="3"/>
      <c r="Q1396" s="3"/>
      <c r="R1396" s="3"/>
    </row>
    <row r="1397" spans="1:18" x14ac:dyDescent="0.2">
      <c r="A1397" s="7" t="s">
        <v>16</v>
      </c>
      <c r="B1397" s="7" t="s">
        <v>17</v>
      </c>
      <c r="C1397" s="7" t="s">
        <v>18</v>
      </c>
      <c r="D1397" s="4">
        <v>39086160000130</v>
      </c>
      <c r="E1397" s="8" t="s">
        <v>691</v>
      </c>
      <c r="F1397" s="8" t="s">
        <v>652</v>
      </c>
      <c r="G1397" s="7" t="s">
        <v>241</v>
      </c>
      <c r="H1397" s="47" t="s">
        <v>784</v>
      </c>
      <c r="I1397" s="47" t="s">
        <v>785</v>
      </c>
      <c r="J1397" s="6">
        <v>70</v>
      </c>
      <c r="K1397" s="8" t="s">
        <v>22</v>
      </c>
      <c r="L1397" s="5">
        <v>200</v>
      </c>
      <c r="P1397" s="3"/>
      <c r="Q1397" s="3"/>
      <c r="R1397" s="3"/>
    </row>
    <row r="1398" spans="1:18" x14ac:dyDescent="0.2">
      <c r="A1398" s="7" t="s">
        <v>16</v>
      </c>
      <c r="B1398" s="7" t="s">
        <v>17</v>
      </c>
      <c r="C1398" s="7" t="s">
        <v>18</v>
      </c>
      <c r="D1398" s="4">
        <v>39086160000130</v>
      </c>
      <c r="E1398" s="8" t="s">
        <v>691</v>
      </c>
      <c r="F1398" s="8" t="s">
        <v>652</v>
      </c>
      <c r="G1398" s="7" t="s">
        <v>241</v>
      </c>
      <c r="H1398" s="47" t="s">
        <v>784</v>
      </c>
      <c r="I1398" s="47" t="s">
        <v>785</v>
      </c>
      <c r="J1398" s="6">
        <v>73</v>
      </c>
      <c r="K1398" s="8" t="s">
        <v>69</v>
      </c>
      <c r="L1398" s="5">
        <v>100</v>
      </c>
      <c r="P1398" s="3"/>
      <c r="Q1398" s="3"/>
      <c r="R1398" s="3"/>
    </row>
    <row r="1399" spans="1:18" x14ac:dyDescent="0.2">
      <c r="A1399" s="7" t="s">
        <v>16</v>
      </c>
      <c r="B1399" s="7" t="s">
        <v>17</v>
      </c>
      <c r="C1399" s="7" t="s">
        <v>18</v>
      </c>
      <c r="D1399" s="4">
        <v>53221255004995</v>
      </c>
      <c r="E1399" s="8" t="s">
        <v>692</v>
      </c>
      <c r="F1399" s="8" t="s">
        <v>652</v>
      </c>
      <c r="G1399" s="7" t="s">
        <v>241</v>
      </c>
      <c r="H1399" s="47" t="s">
        <v>784</v>
      </c>
      <c r="I1399" s="47" t="s">
        <v>785</v>
      </c>
      <c r="J1399" s="6">
        <v>62</v>
      </c>
      <c r="K1399" s="8" t="s">
        <v>74</v>
      </c>
      <c r="L1399" s="5">
        <v>2</v>
      </c>
      <c r="P1399" s="3"/>
      <c r="Q1399" s="3"/>
      <c r="R1399" s="3"/>
    </row>
    <row r="1400" spans="1:18" x14ac:dyDescent="0.2">
      <c r="A1400" s="7" t="s">
        <v>16</v>
      </c>
      <c r="B1400" s="7" t="s">
        <v>17</v>
      </c>
      <c r="C1400" s="7" t="s">
        <v>18</v>
      </c>
      <c r="D1400" s="4">
        <v>60884855001630</v>
      </c>
      <c r="E1400" s="8" t="s">
        <v>693</v>
      </c>
      <c r="F1400" s="8" t="s">
        <v>652</v>
      </c>
      <c r="G1400" s="7" t="s">
        <v>241</v>
      </c>
      <c r="H1400" s="47" t="s">
        <v>784</v>
      </c>
      <c r="I1400" s="47" t="s">
        <v>785</v>
      </c>
      <c r="J1400" s="6">
        <v>62</v>
      </c>
      <c r="K1400" s="8" t="s">
        <v>74</v>
      </c>
      <c r="L1400" s="5">
        <v>25</v>
      </c>
      <c r="P1400" s="3"/>
      <c r="Q1400" s="3"/>
      <c r="R1400" s="3"/>
    </row>
    <row r="1401" spans="1:18" x14ac:dyDescent="0.2">
      <c r="A1401" s="7" t="s">
        <v>16</v>
      </c>
      <c r="B1401" s="7" t="s">
        <v>17</v>
      </c>
      <c r="C1401" s="7" t="s">
        <v>18</v>
      </c>
      <c r="D1401" s="4">
        <v>60884855001630</v>
      </c>
      <c r="E1401" s="8" t="s">
        <v>693</v>
      </c>
      <c r="F1401" s="8" t="s">
        <v>652</v>
      </c>
      <c r="G1401" s="7" t="s">
        <v>241</v>
      </c>
      <c r="H1401" s="47" t="s">
        <v>784</v>
      </c>
      <c r="I1401" s="47" t="s">
        <v>785</v>
      </c>
      <c r="J1401" s="6">
        <v>64</v>
      </c>
      <c r="K1401" s="8" t="s">
        <v>68</v>
      </c>
      <c r="L1401" s="5">
        <v>9</v>
      </c>
      <c r="P1401" s="3"/>
      <c r="Q1401" s="3"/>
      <c r="R1401" s="3"/>
    </row>
    <row r="1402" spans="1:18" x14ac:dyDescent="0.2">
      <c r="A1402" s="7" t="s">
        <v>16</v>
      </c>
      <c r="B1402" s="7" t="s">
        <v>17</v>
      </c>
      <c r="C1402" s="7" t="s">
        <v>18</v>
      </c>
      <c r="D1402" s="4">
        <v>60884855001630</v>
      </c>
      <c r="E1402" s="8" t="s">
        <v>693</v>
      </c>
      <c r="F1402" s="8" t="s">
        <v>652</v>
      </c>
      <c r="G1402" s="7" t="s">
        <v>241</v>
      </c>
      <c r="H1402" s="47" t="s">
        <v>784</v>
      </c>
      <c r="I1402" s="47" t="s">
        <v>785</v>
      </c>
      <c r="J1402" s="6">
        <v>70</v>
      </c>
      <c r="K1402" s="8" t="s">
        <v>22</v>
      </c>
      <c r="L1402" s="5">
        <v>375</v>
      </c>
      <c r="P1402" s="3"/>
      <c r="Q1402" s="3"/>
      <c r="R1402" s="3"/>
    </row>
    <row r="1403" spans="1:18" x14ac:dyDescent="0.2">
      <c r="A1403" s="7" t="s">
        <v>16</v>
      </c>
      <c r="B1403" s="7" t="s">
        <v>17</v>
      </c>
      <c r="C1403" s="7" t="s">
        <v>18</v>
      </c>
      <c r="D1403" s="4">
        <v>60922168000348</v>
      </c>
      <c r="E1403" s="8" t="s">
        <v>694</v>
      </c>
      <c r="F1403" s="8" t="s">
        <v>652</v>
      </c>
      <c r="G1403" s="7" t="s">
        <v>241</v>
      </c>
      <c r="H1403" s="47" t="s">
        <v>784</v>
      </c>
      <c r="I1403" s="47" t="s">
        <v>785</v>
      </c>
      <c r="J1403" s="6">
        <v>62</v>
      </c>
      <c r="K1403" s="8" t="s">
        <v>74</v>
      </c>
      <c r="L1403" s="5">
        <v>2</v>
      </c>
      <c r="P1403" s="3"/>
      <c r="Q1403" s="3"/>
      <c r="R1403" s="3"/>
    </row>
    <row r="1404" spans="1:18" x14ac:dyDescent="0.2">
      <c r="A1404" s="7" t="s">
        <v>16</v>
      </c>
      <c r="B1404" s="7" t="s">
        <v>17</v>
      </c>
      <c r="C1404" s="7" t="s">
        <v>18</v>
      </c>
      <c r="D1404" s="4">
        <v>60922168000348</v>
      </c>
      <c r="E1404" s="8" t="s">
        <v>694</v>
      </c>
      <c r="F1404" s="8" t="s">
        <v>652</v>
      </c>
      <c r="G1404" s="7" t="s">
        <v>241</v>
      </c>
      <c r="H1404" s="47" t="s">
        <v>784</v>
      </c>
      <c r="I1404" s="47" t="s">
        <v>785</v>
      </c>
      <c r="J1404" s="6">
        <v>64</v>
      </c>
      <c r="K1404" s="8" t="s">
        <v>68</v>
      </c>
      <c r="L1404" s="5">
        <v>3</v>
      </c>
      <c r="P1404" s="3"/>
      <c r="Q1404" s="3"/>
      <c r="R1404" s="3"/>
    </row>
    <row r="1405" spans="1:18" x14ac:dyDescent="0.2">
      <c r="A1405" s="7" t="s">
        <v>16</v>
      </c>
      <c r="B1405" s="7" t="s">
        <v>17</v>
      </c>
      <c r="C1405" s="7" t="s">
        <v>18</v>
      </c>
      <c r="D1405" s="4">
        <v>60922168000348</v>
      </c>
      <c r="E1405" s="8" t="s">
        <v>694</v>
      </c>
      <c r="F1405" s="8" t="s">
        <v>652</v>
      </c>
      <c r="G1405" s="7" t="s">
        <v>241</v>
      </c>
      <c r="H1405" s="47" t="s">
        <v>784</v>
      </c>
      <c r="I1405" s="47" t="s">
        <v>785</v>
      </c>
      <c r="J1405" s="6">
        <v>70</v>
      </c>
      <c r="K1405" s="8" t="s">
        <v>22</v>
      </c>
      <c r="L1405" s="5">
        <v>330</v>
      </c>
      <c r="P1405" s="3"/>
      <c r="Q1405" s="3"/>
      <c r="R1405" s="3"/>
    </row>
    <row r="1406" spans="1:18" x14ac:dyDescent="0.2">
      <c r="A1406" s="7" t="s">
        <v>16</v>
      </c>
      <c r="B1406" s="7" t="s">
        <v>17</v>
      </c>
      <c r="C1406" s="7" t="s">
        <v>18</v>
      </c>
      <c r="D1406" s="4">
        <v>72101124000506</v>
      </c>
      <c r="E1406" s="8" t="s">
        <v>695</v>
      </c>
      <c r="F1406" s="8" t="s">
        <v>652</v>
      </c>
      <c r="G1406" s="7" t="s">
        <v>241</v>
      </c>
      <c r="H1406" s="47" t="s">
        <v>784</v>
      </c>
      <c r="I1406" s="47" t="s">
        <v>785</v>
      </c>
      <c r="J1406" s="6">
        <v>73</v>
      </c>
      <c r="K1406" s="8" t="s">
        <v>69</v>
      </c>
      <c r="L1406" s="5">
        <v>229</v>
      </c>
      <c r="P1406" s="3"/>
      <c r="Q1406" s="3"/>
      <c r="R1406" s="3"/>
    </row>
    <row r="1407" spans="1:18" x14ac:dyDescent="0.2">
      <c r="A1407" s="7" t="s">
        <v>16</v>
      </c>
      <c r="B1407" s="7" t="s">
        <v>17</v>
      </c>
      <c r="C1407" s="7" t="s">
        <v>18</v>
      </c>
      <c r="D1407" s="4">
        <v>73696718000219</v>
      </c>
      <c r="E1407" s="8" t="s">
        <v>696</v>
      </c>
      <c r="F1407" s="8" t="s">
        <v>652</v>
      </c>
      <c r="G1407" s="7" t="s">
        <v>241</v>
      </c>
      <c r="H1407" s="47" t="s">
        <v>784</v>
      </c>
      <c r="I1407" s="47" t="s">
        <v>785</v>
      </c>
      <c r="J1407" s="6">
        <v>62</v>
      </c>
      <c r="K1407" s="8" t="s">
        <v>74</v>
      </c>
      <c r="L1407" s="5">
        <v>9</v>
      </c>
      <c r="P1407" s="3"/>
      <c r="Q1407" s="3"/>
      <c r="R1407" s="3"/>
    </row>
    <row r="1408" spans="1:18" x14ac:dyDescent="0.2">
      <c r="A1408" s="7" t="s">
        <v>16</v>
      </c>
      <c r="B1408" s="7" t="s">
        <v>17</v>
      </c>
      <c r="C1408" s="7" t="s">
        <v>18</v>
      </c>
      <c r="D1408" s="4">
        <v>73696718000219</v>
      </c>
      <c r="E1408" s="8" t="s">
        <v>696</v>
      </c>
      <c r="F1408" s="8" t="s">
        <v>652</v>
      </c>
      <c r="G1408" s="7" t="s">
        <v>241</v>
      </c>
      <c r="H1408" s="47" t="s">
        <v>784</v>
      </c>
      <c r="I1408" s="47" t="s">
        <v>785</v>
      </c>
      <c r="J1408" s="6">
        <v>64</v>
      </c>
      <c r="K1408" s="8" t="s">
        <v>68</v>
      </c>
      <c r="L1408" s="5">
        <v>3</v>
      </c>
      <c r="P1408" s="3"/>
      <c r="Q1408" s="3"/>
      <c r="R1408" s="3"/>
    </row>
    <row r="1409" spans="1:18" x14ac:dyDescent="0.2">
      <c r="A1409" s="7" t="s">
        <v>16</v>
      </c>
      <c r="B1409" s="7" t="s">
        <v>55</v>
      </c>
      <c r="C1409" s="7" t="s">
        <v>18</v>
      </c>
      <c r="D1409" s="4">
        <v>6047087000996</v>
      </c>
      <c r="E1409" s="8" t="s">
        <v>660</v>
      </c>
      <c r="F1409" s="8" t="s">
        <v>652</v>
      </c>
      <c r="G1409" s="7" t="s">
        <v>241</v>
      </c>
      <c r="H1409" s="47" t="s">
        <v>784</v>
      </c>
      <c r="I1409" s="47" t="s">
        <v>785</v>
      </c>
      <c r="J1409" s="6">
        <v>62</v>
      </c>
      <c r="K1409" s="8" t="s">
        <v>74</v>
      </c>
      <c r="L1409" s="5">
        <v>10</v>
      </c>
      <c r="P1409" s="3"/>
      <c r="Q1409" s="3"/>
      <c r="R1409" s="3"/>
    </row>
    <row r="1410" spans="1:18" x14ac:dyDescent="0.2">
      <c r="A1410" s="7" t="s">
        <v>16</v>
      </c>
      <c r="B1410" s="7" t="s">
        <v>55</v>
      </c>
      <c r="C1410" s="7" t="s">
        <v>18</v>
      </c>
      <c r="D1410" s="4">
        <v>6047087000996</v>
      </c>
      <c r="E1410" s="8" t="s">
        <v>660</v>
      </c>
      <c r="F1410" s="8" t="s">
        <v>652</v>
      </c>
      <c r="G1410" s="7" t="s">
        <v>241</v>
      </c>
      <c r="H1410" s="47" t="s">
        <v>784</v>
      </c>
      <c r="I1410" s="47" t="s">
        <v>785</v>
      </c>
      <c r="J1410" s="6">
        <v>64</v>
      </c>
      <c r="K1410" s="8" t="s">
        <v>68</v>
      </c>
      <c r="L1410" s="5">
        <v>15</v>
      </c>
      <c r="P1410" s="3"/>
      <c r="Q1410" s="3"/>
      <c r="R1410" s="3"/>
    </row>
    <row r="1411" spans="1:18" x14ac:dyDescent="0.2">
      <c r="A1411" s="7" t="s">
        <v>16</v>
      </c>
      <c r="B1411" s="7" t="s">
        <v>55</v>
      </c>
      <c r="C1411" s="7" t="s">
        <v>18</v>
      </c>
      <c r="D1411" s="4">
        <v>6047087001020</v>
      </c>
      <c r="E1411" s="8" t="s">
        <v>661</v>
      </c>
      <c r="F1411" s="8" t="s">
        <v>652</v>
      </c>
      <c r="G1411" s="7" t="s">
        <v>241</v>
      </c>
      <c r="H1411" s="47" t="s">
        <v>784</v>
      </c>
      <c r="I1411" s="47" t="s">
        <v>785</v>
      </c>
      <c r="J1411" s="6">
        <v>62</v>
      </c>
      <c r="K1411" s="8" t="s">
        <v>74</v>
      </c>
      <c r="L1411" s="5">
        <v>120</v>
      </c>
      <c r="P1411" s="3"/>
      <c r="Q1411" s="3"/>
      <c r="R1411" s="3"/>
    </row>
    <row r="1412" spans="1:18" x14ac:dyDescent="0.2">
      <c r="A1412" s="7" t="s">
        <v>16</v>
      </c>
      <c r="B1412" s="7" t="s">
        <v>55</v>
      </c>
      <c r="C1412" s="7" t="s">
        <v>18</v>
      </c>
      <c r="D1412" s="4">
        <v>6047087001020</v>
      </c>
      <c r="E1412" s="8" t="s">
        <v>661</v>
      </c>
      <c r="F1412" s="8" t="s">
        <v>652</v>
      </c>
      <c r="G1412" s="7" t="s">
        <v>241</v>
      </c>
      <c r="H1412" s="47" t="s">
        <v>784</v>
      </c>
      <c r="I1412" s="47" t="s">
        <v>785</v>
      </c>
      <c r="J1412" s="6">
        <v>64</v>
      </c>
      <c r="K1412" s="8" t="s">
        <v>68</v>
      </c>
      <c r="L1412" s="5">
        <v>55</v>
      </c>
      <c r="P1412" s="3"/>
      <c r="Q1412" s="3"/>
      <c r="R1412" s="3"/>
    </row>
    <row r="1413" spans="1:18" x14ac:dyDescent="0.2">
      <c r="A1413" s="7" t="s">
        <v>16</v>
      </c>
      <c r="B1413" s="7" t="s">
        <v>55</v>
      </c>
      <c r="C1413" s="7" t="s">
        <v>18</v>
      </c>
      <c r="D1413" s="4">
        <v>6047087002697</v>
      </c>
      <c r="E1413" s="8" t="s">
        <v>662</v>
      </c>
      <c r="F1413" s="8" t="s">
        <v>652</v>
      </c>
      <c r="G1413" s="7" t="s">
        <v>241</v>
      </c>
      <c r="H1413" s="47" t="s">
        <v>784</v>
      </c>
      <c r="I1413" s="47" t="s">
        <v>785</v>
      </c>
      <c r="J1413" s="6">
        <v>62</v>
      </c>
      <c r="K1413" s="8" t="s">
        <v>74</v>
      </c>
      <c r="L1413" s="5">
        <v>9</v>
      </c>
      <c r="P1413" s="3"/>
      <c r="Q1413" s="3"/>
      <c r="R1413" s="3"/>
    </row>
    <row r="1414" spans="1:18" x14ac:dyDescent="0.2">
      <c r="A1414" s="7" t="s">
        <v>16</v>
      </c>
      <c r="B1414" s="7" t="s">
        <v>55</v>
      </c>
      <c r="C1414" s="7" t="s">
        <v>18</v>
      </c>
      <c r="D1414" s="4">
        <v>6047087002697</v>
      </c>
      <c r="E1414" s="8" t="s">
        <v>662</v>
      </c>
      <c r="F1414" s="8" t="s">
        <v>652</v>
      </c>
      <c r="G1414" s="7" t="s">
        <v>241</v>
      </c>
      <c r="H1414" s="47" t="s">
        <v>784</v>
      </c>
      <c r="I1414" s="47" t="s">
        <v>785</v>
      </c>
      <c r="J1414" s="6">
        <v>70</v>
      </c>
      <c r="K1414" s="8" t="s">
        <v>22</v>
      </c>
      <c r="L1414" s="5">
        <v>75</v>
      </c>
      <c r="P1414" s="3"/>
      <c r="Q1414" s="3"/>
      <c r="R1414" s="3"/>
    </row>
    <row r="1415" spans="1:18" x14ac:dyDescent="0.2">
      <c r="A1415" s="7" t="s">
        <v>16</v>
      </c>
      <c r="B1415" s="7" t="s">
        <v>55</v>
      </c>
      <c r="C1415" s="7" t="s">
        <v>18</v>
      </c>
      <c r="D1415" s="4">
        <v>7794623004896</v>
      </c>
      <c r="E1415" s="8" t="s">
        <v>664</v>
      </c>
      <c r="F1415" s="8" t="s">
        <v>652</v>
      </c>
      <c r="G1415" s="7" t="s">
        <v>241</v>
      </c>
      <c r="H1415" s="47" t="s">
        <v>784</v>
      </c>
      <c r="I1415" s="47" t="s">
        <v>785</v>
      </c>
      <c r="J1415" s="6">
        <v>70</v>
      </c>
      <c r="K1415" s="8" t="s">
        <v>22</v>
      </c>
      <c r="L1415" s="5">
        <v>700</v>
      </c>
      <c r="P1415" s="3"/>
      <c r="Q1415" s="3"/>
      <c r="R1415" s="3"/>
    </row>
    <row r="1416" spans="1:18" x14ac:dyDescent="0.2">
      <c r="A1416" s="7" t="s">
        <v>16</v>
      </c>
      <c r="B1416" s="7" t="s">
        <v>55</v>
      </c>
      <c r="C1416" s="7" t="s">
        <v>18</v>
      </c>
      <c r="D1416" s="4">
        <v>8100676002102</v>
      </c>
      <c r="E1416" s="8" t="s">
        <v>665</v>
      </c>
      <c r="F1416" s="8" t="s">
        <v>652</v>
      </c>
      <c r="G1416" s="7" t="s">
        <v>241</v>
      </c>
      <c r="H1416" s="47" t="s">
        <v>784</v>
      </c>
      <c r="I1416" s="47" t="s">
        <v>785</v>
      </c>
      <c r="J1416" s="6">
        <v>64</v>
      </c>
      <c r="K1416" s="8" t="s">
        <v>68</v>
      </c>
      <c r="L1416" s="5">
        <v>30</v>
      </c>
      <c r="P1416" s="3"/>
      <c r="Q1416" s="3"/>
      <c r="R1416" s="3"/>
    </row>
    <row r="1417" spans="1:18" x14ac:dyDescent="0.2">
      <c r="A1417" s="7" t="s">
        <v>16</v>
      </c>
      <c r="B1417" s="7" t="s">
        <v>55</v>
      </c>
      <c r="C1417" s="7" t="s">
        <v>18</v>
      </c>
      <c r="D1417" s="4">
        <v>8100676002102</v>
      </c>
      <c r="E1417" s="8" t="s">
        <v>665</v>
      </c>
      <c r="F1417" s="8" t="s">
        <v>652</v>
      </c>
      <c r="G1417" s="7" t="s">
        <v>241</v>
      </c>
      <c r="H1417" s="47" t="s">
        <v>784</v>
      </c>
      <c r="I1417" s="47" t="s">
        <v>785</v>
      </c>
      <c r="J1417" s="6">
        <v>70</v>
      </c>
      <c r="K1417" s="8" t="s">
        <v>22</v>
      </c>
      <c r="L1417" s="5">
        <v>400</v>
      </c>
      <c r="P1417" s="3"/>
      <c r="Q1417" s="3"/>
      <c r="R1417" s="3"/>
    </row>
    <row r="1418" spans="1:18" x14ac:dyDescent="0.2">
      <c r="A1418" s="7" t="s">
        <v>16</v>
      </c>
      <c r="B1418" s="7" t="s">
        <v>55</v>
      </c>
      <c r="C1418" s="7" t="s">
        <v>18</v>
      </c>
      <c r="D1418" s="4">
        <v>8850962000222</v>
      </c>
      <c r="E1418" s="8" t="s">
        <v>666</v>
      </c>
      <c r="F1418" s="8" t="s">
        <v>652</v>
      </c>
      <c r="G1418" s="7" t="s">
        <v>241</v>
      </c>
      <c r="H1418" s="47" t="s">
        <v>784</v>
      </c>
      <c r="I1418" s="47" t="s">
        <v>785</v>
      </c>
      <c r="J1418" s="6">
        <v>62</v>
      </c>
      <c r="K1418" s="8" t="s">
        <v>74</v>
      </c>
      <c r="L1418" s="5">
        <v>16</v>
      </c>
      <c r="P1418" s="3"/>
      <c r="Q1418" s="3"/>
      <c r="R1418" s="3"/>
    </row>
    <row r="1419" spans="1:18" x14ac:dyDescent="0.2">
      <c r="A1419" s="7" t="s">
        <v>16</v>
      </c>
      <c r="B1419" s="7" t="s">
        <v>55</v>
      </c>
      <c r="C1419" s="7" t="s">
        <v>18</v>
      </c>
      <c r="D1419" s="4">
        <v>8850962000222</v>
      </c>
      <c r="E1419" s="8" t="s">
        <v>666</v>
      </c>
      <c r="F1419" s="8" t="s">
        <v>652</v>
      </c>
      <c r="G1419" s="7" t="s">
        <v>241</v>
      </c>
      <c r="H1419" s="47" t="s">
        <v>784</v>
      </c>
      <c r="I1419" s="47" t="s">
        <v>785</v>
      </c>
      <c r="J1419" s="6">
        <v>64</v>
      </c>
      <c r="K1419" s="8" t="s">
        <v>68</v>
      </c>
      <c r="L1419" s="5">
        <v>16</v>
      </c>
      <c r="P1419" s="3"/>
      <c r="Q1419" s="3"/>
      <c r="R1419" s="3"/>
    </row>
    <row r="1420" spans="1:18" x14ac:dyDescent="0.2">
      <c r="A1420" s="7" t="s">
        <v>16</v>
      </c>
      <c r="B1420" s="7" t="s">
        <v>55</v>
      </c>
      <c r="C1420" s="7" t="s">
        <v>18</v>
      </c>
      <c r="D1420" s="4">
        <v>9219138000584</v>
      </c>
      <c r="E1420" s="8" t="s">
        <v>667</v>
      </c>
      <c r="F1420" s="8" t="s">
        <v>652</v>
      </c>
      <c r="G1420" s="7" t="s">
        <v>241</v>
      </c>
      <c r="H1420" s="47" t="s">
        <v>784</v>
      </c>
      <c r="I1420" s="47" t="s">
        <v>785</v>
      </c>
      <c r="J1420" s="6">
        <v>64</v>
      </c>
      <c r="K1420" s="8" t="s">
        <v>68</v>
      </c>
      <c r="L1420" s="5">
        <v>4</v>
      </c>
      <c r="P1420" s="3"/>
      <c r="Q1420" s="3"/>
      <c r="R1420" s="3"/>
    </row>
    <row r="1421" spans="1:18" x14ac:dyDescent="0.2">
      <c r="A1421" s="7" t="s">
        <v>16</v>
      </c>
      <c r="B1421" s="7" t="s">
        <v>55</v>
      </c>
      <c r="C1421" s="7" t="s">
        <v>18</v>
      </c>
      <c r="D1421" s="4">
        <v>9219138000584</v>
      </c>
      <c r="E1421" s="8" t="s">
        <v>667</v>
      </c>
      <c r="F1421" s="8" t="s">
        <v>652</v>
      </c>
      <c r="G1421" s="7" t="s">
        <v>241</v>
      </c>
      <c r="H1421" s="47" t="s">
        <v>784</v>
      </c>
      <c r="I1421" s="47" t="s">
        <v>785</v>
      </c>
      <c r="J1421" s="6">
        <v>70</v>
      </c>
      <c r="K1421" s="8" t="s">
        <v>22</v>
      </c>
      <c r="L1421" s="5">
        <v>670</v>
      </c>
      <c r="P1421" s="3"/>
      <c r="Q1421" s="3"/>
      <c r="R1421" s="3"/>
    </row>
    <row r="1422" spans="1:18" x14ac:dyDescent="0.2">
      <c r="A1422" s="7" t="s">
        <v>16</v>
      </c>
      <c r="B1422" s="7" t="s">
        <v>55</v>
      </c>
      <c r="C1422" s="7" t="s">
        <v>18</v>
      </c>
      <c r="D1422" s="4">
        <v>9219138000584</v>
      </c>
      <c r="E1422" s="8" t="s">
        <v>667</v>
      </c>
      <c r="F1422" s="8" t="s">
        <v>652</v>
      </c>
      <c r="G1422" s="7" t="s">
        <v>241</v>
      </c>
      <c r="H1422" s="47" t="s">
        <v>784</v>
      </c>
      <c r="I1422" s="47" t="s">
        <v>785</v>
      </c>
      <c r="J1422" s="6">
        <v>73</v>
      </c>
      <c r="K1422" s="8" t="s">
        <v>69</v>
      </c>
      <c r="L1422" s="5">
        <v>188</v>
      </c>
      <c r="P1422" s="3"/>
      <c r="Q1422" s="3"/>
      <c r="R1422" s="3"/>
    </row>
    <row r="1423" spans="1:18" x14ac:dyDescent="0.2">
      <c r="A1423" s="7" t="s">
        <v>16</v>
      </c>
      <c r="B1423" s="7" t="s">
        <v>55</v>
      </c>
      <c r="C1423" s="7" t="s">
        <v>18</v>
      </c>
      <c r="D1423" s="4">
        <v>9578217000158</v>
      </c>
      <c r="E1423" s="8" t="s">
        <v>668</v>
      </c>
      <c r="F1423" s="8" t="s">
        <v>652</v>
      </c>
      <c r="G1423" s="7" t="s">
        <v>241</v>
      </c>
      <c r="H1423" s="47" t="s">
        <v>784</v>
      </c>
      <c r="I1423" s="47" t="s">
        <v>785</v>
      </c>
      <c r="J1423" s="6">
        <v>62</v>
      </c>
      <c r="K1423" s="8" t="s">
        <v>74</v>
      </c>
      <c r="L1423" s="5">
        <v>3</v>
      </c>
      <c r="P1423" s="3"/>
      <c r="Q1423" s="3"/>
      <c r="R1423" s="3"/>
    </row>
    <row r="1424" spans="1:18" x14ac:dyDescent="0.2">
      <c r="A1424" s="7" t="s">
        <v>16</v>
      </c>
      <c r="B1424" s="7" t="s">
        <v>55</v>
      </c>
      <c r="C1424" s="7" t="s">
        <v>18</v>
      </c>
      <c r="D1424" s="4">
        <v>9578217000158</v>
      </c>
      <c r="E1424" s="8" t="s">
        <v>668</v>
      </c>
      <c r="F1424" s="8" t="s">
        <v>652</v>
      </c>
      <c r="G1424" s="7" t="s">
        <v>241</v>
      </c>
      <c r="H1424" s="47" t="s">
        <v>784</v>
      </c>
      <c r="I1424" s="47" t="s">
        <v>785</v>
      </c>
      <c r="J1424" s="6">
        <v>64</v>
      </c>
      <c r="K1424" s="8" t="s">
        <v>68</v>
      </c>
      <c r="L1424" s="5">
        <v>4</v>
      </c>
      <c r="P1424" s="3"/>
      <c r="Q1424" s="3"/>
      <c r="R1424" s="3"/>
    </row>
    <row r="1425" spans="1:18" x14ac:dyDescent="0.2">
      <c r="A1425" s="7" t="s">
        <v>16</v>
      </c>
      <c r="B1425" s="7" t="s">
        <v>55</v>
      </c>
      <c r="C1425" s="7" t="s">
        <v>18</v>
      </c>
      <c r="D1425" s="4">
        <v>18010750000100</v>
      </c>
      <c r="E1425" s="8" t="s">
        <v>671</v>
      </c>
      <c r="F1425" s="8" t="s">
        <v>652</v>
      </c>
      <c r="G1425" s="7" t="s">
        <v>241</v>
      </c>
      <c r="H1425" s="47" t="s">
        <v>784</v>
      </c>
      <c r="I1425" s="47" t="s">
        <v>785</v>
      </c>
      <c r="J1425" s="6">
        <v>70</v>
      </c>
      <c r="K1425" s="8" t="s">
        <v>22</v>
      </c>
      <c r="L1425" s="5">
        <v>265</v>
      </c>
      <c r="P1425" s="3"/>
      <c r="Q1425" s="3"/>
      <c r="R1425" s="3"/>
    </row>
    <row r="1426" spans="1:18" x14ac:dyDescent="0.2">
      <c r="A1426" s="7" t="s">
        <v>16</v>
      </c>
      <c r="B1426" s="7" t="s">
        <v>55</v>
      </c>
      <c r="C1426" s="7" t="s">
        <v>18</v>
      </c>
      <c r="D1426" s="4">
        <v>21265360000195</v>
      </c>
      <c r="E1426" s="8" t="s">
        <v>673</v>
      </c>
      <c r="F1426" s="8" t="s">
        <v>652</v>
      </c>
      <c r="G1426" s="7" t="s">
        <v>241</v>
      </c>
      <c r="H1426" s="47" t="s">
        <v>784</v>
      </c>
      <c r="I1426" s="47" t="s">
        <v>785</v>
      </c>
      <c r="J1426" s="6">
        <v>73</v>
      </c>
      <c r="K1426" s="8" t="s">
        <v>69</v>
      </c>
      <c r="L1426" s="5">
        <v>16</v>
      </c>
      <c r="P1426" s="3"/>
      <c r="Q1426" s="3"/>
      <c r="R1426" s="3"/>
    </row>
    <row r="1427" spans="1:18" x14ac:dyDescent="0.2">
      <c r="A1427" s="7" t="s">
        <v>16</v>
      </c>
      <c r="B1427" s="7" t="s">
        <v>55</v>
      </c>
      <c r="C1427" s="7" t="s">
        <v>18</v>
      </c>
      <c r="D1427" s="4">
        <v>22400856000197</v>
      </c>
      <c r="E1427" s="8" t="s">
        <v>699</v>
      </c>
      <c r="F1427" s="8" t="s">
        <v>652</v>
      </c>
      <c r="G1427" s="7" t="s">
        <v>241</v>
      </c>
      <c r="H1427" s="47" t="s">
        <v>784</v>
      </c>
      <c r="I1427" s="47" t="s">
        <v>785</v>
      </c>
      <c r="J1427" s="6">
        <v>70</v>
      </c>
      <c r="K1427" s="8" t="s">
        <v>22</v>
      </c>
      <c r="L1427" s="5">
        <v>50</v>
      </c>
      <c r="P1427" s="3"/>
      <c r="Q1427" s="3"/>
      <c r="R1427" s="3"/>
    </row>
    <row r="1428" spans="1:18" x14ac:dyDescent="0.2">
      <c r="A1428" s="7" t="s">
        <v>16</v>
      </c>
      <c r="B1428" s="7" t="s">
        <v>55</v>
      </c>
      <c r="C1428" s="7" t="s">
        <v>18</v>
      </c>
      <c r="D1428" s="4">
        <v>24217779000160</v>
      </c>
      <c r="E1428" s="8" t="s">
        <v>674</v>
      </c>
      <c r="F1428" s="8" t="s">
        <v>652</v>
      </c>
      <c r="G1428" s="7" t="s">
        <v>241</v>
      </c>
      <c r="H1428" s="47" t="s">
        <v>784</v>
      </c>
      <c r="I1428" s="47" t="s">
        <v>785</v>
      </c>
      <c r="J1428" s="6">
        <v>64</v>
      </c>
      <c r="K1428" s="8" t="s">
        <v>68</v>
      </c>
      <c r="L1428" s="5">
        <v>4</v>
      </c>
      <c r="P1428" s="3"/>
      <c r="Q1428" s="3"/>
      <c r="R1428" s="3"/>
    </row>
    <row r="1429" spans="1:18" x14ac:dyDescent="0.2">
      <c r="A1429" s="7" t="s">
        <v>16</v>
      </c>
      <c r="B1429" s="7" t="s">
        <v>55</v>
      </c>
      <c r="C1429" s="7" t="s">
        <v>18</v>
      </c>
      <c r="D1429" s="4">
        <v>28000107000159</v>
      </c>
      <c r="E1429" s="8" t="s">
        <v>676</v>
      </c>
      <c r="F1429" s="8" t="s">
        <v>652</v>
      </c>
      <c r="G1429" s="7" t="s">
        <v>241</v>
      </c>
      <c r="H1429" s="47" t="s">
        <v>784</v>
      </c>
      <c r="I1429" s="47" t="s">
        <v>785</v>
      </c>
      <c r="J1429" s="6">
        <v>70</v>
      </c>
      <c r="K1429" s="8" t="s">
        <v>22</v>
      </c>
      <c r="L1429" s="5">
        <v>90</v>
      </c>
      <c r="P1429" s="3"/>
      <c r="Q1429" s="3"/>
      <c r="R1429" s="3"/>
    </row>
    <row r="1430" spans="1:18" x14ac:dyDescent="0.2">
      <c r="A1430" s="7" t="s">
        <v>16</v>
      </c>
      <c r="B1430" s="7" t="s">
        <v>55</v>
      </c>
      <c r="C1430" s="7" t="s">
        <v>18</v>
      </c>
      <c r="D1430" s="4">
        <v>28000107000159</v>
      </c>
      <c r="E1430" s="8" t="s">
        <v>676</v>
      </c>
      <c r="F1430" s="8" t="s">
        <v>652</v>
      </c>
      <c r="G1430" s="7" t="s">
        <v>241</v>
      </c>
      <c r="H1430" s="47" t="s">
        <v>784</v>
      </c>
      <c r="I1430" s="47" t="s">
        <v>785</v>
      </c>
      <c r="J1430" s="6">
        <v>73</v>
      </c>
      <c r="K1430" s="8" t="s">
        <v>69</v>
      </c>
      <c r="L1430" s="5">
        <v>140</v>
      </c>
      <c r="P1430" s="3"/>
      <c r="Q1430" s="3"/>
      <c r="R1430" s="3"/>
    </row>
    <row r="1431" spans="1:18" x14ac:dyDescent="0.2">
      <c r="A1431" s="7" t="s">
        <v>16</v>
      </c>
      <c r="B1431" s="7" t="s">
        <v>55</v>
      </c>
      <c r="C1431" s="7" t="s">
        <v>18</v>
      </c>
      <c r="D1431" s="4">
        <v>28602407000108</v>
      </c>
      <c r="E1431" s="8" t="s">
        <v>677</v>
      </c>
      <c r="F1431" s="8" t="s">
        <v>652</v>
      </c>
      <c r="G1431" s="7" t="s">
        <v>241</v>
      </c>
      <c r="H1431" s="47" t="s">
        <v>784</v>
      </c>
      <c r="I1431" s="47" t="s">
        <v>785</v>
      </c>
      <c r="J1431" s="6">
        <v>73</v>
      </c>
      <c r="K1431" s="8" t="s">
        <v>69</v>
      </c>
      <c r="L1431" s="5">
        <v>4</v>
      </c>
      <c r="P1431" s="3"/>
      <c r="Q1431" s="3"/>
      <c r="R1431" s="3"/>
    </row>
    <row r="1432" spans="1:18" x14ac:dyDescent="0.2">
      <c r="A1432" s="7" t="s">
        <v>16</v>
      </c>
      <c r="B1432" s="7" t="s">
        <v>55</v>
      </c>
      <c r="C1432" s="7" t="s">
        <v>18</v>
      </c>
      <c r="D1432" s="4">
        <v>29259736000403</v>
      </c>
      <c r="E1432" s="8" t="s">
        <v>678</v>
      </c>
      <c r="F1432" s="8" t="s">
        <v>652</v>
      </c>
      <c r="G1432" s="7" t="s">
        <v>241</v>
      </c>
      <c r="H1432" s="47" t="s">
        <v>784</v>
      </c>
      <c r="I1432" s="47" t="s">
        <v>785</v>
      </c>
      <c r="J1432" s="6">
        <v>62</v>
      </c>
      <c r="K1432" s="8" t="s">
        <v>74</v>
      </c>
      <c r="L1432" s="5">
        <v>56</v>
      </c>
      <c r="P1432" s="3"/>
      <c r="Q1432" s="3"/>
      <c r="R1432" s="3"/>
    </row>
    <row r="1433" spans="1:18" x14ac:dyDescent="0.2">
      <c r="A1433" s="7" t="s">
        <v>16</v>
      </c>
      <c r="B1433" s="7" t="s">
        <v>55</v>
      </c>
      <c r="C1433" s="7" t="s">
        <v>18</v>
      </c>
      <c r="D1433" s="4">
        <v>29259736000403</v>
      </c>
      <c r="E1433" s="8" t="s">
        <v>678</v>
      </c>
      <c r="F1433" s="8" t="s">
        <v>652</v>
      </c>
      <c r="G1433" s="7" t="s">
        <v>241</v>
      </c>
      <c r="H1433" s="47" t="s">
        <v>784</v>
      </c>
      <c r="I1433" s="47" t="s">
        <v>785</v>
      </c>
      <c r="J1433" s="6">
        <v>64</v>
      </c>
      <c r="K1433" s="8" t="s">
        <v>68</v>
      </c>
      <c r="L1433" s="5">
        <v>2</v>
      </c>
      <c r="P1433" s="3"/>
      <c r="Q1433" s="3"/>
      <c r="R1433" s="3"/>
    </row>
    <row r="1434" spans="1:18" x14ac:dyDescent="0.2">
      <c r="A1434" s="7" t="s">
        <v>16</v>
      </c>
      <c r="B1434" s="7" t="s">
        <v>55</v>
      </c>
      <c r="C1434" s="7" t="s">
        <v>18</v>
      </c>
      <c r="D1434" s="4">
        <v>29259736000403</v>
      </c>
      <c r="E1434" s="8" t="s">
        <v>678</v>
      </c>
      <c r="F1434" s="8" t="s">
        <v>652</v>
      </c>
      <c r="G1434" s="7" t="s">
        <v>241</v>
      </c>
      <c r="H1434" s="47" t="s">
        <v>784</v>
      </c>
      <c r="I1434" s="47" t="s">
        <v>785</v>
      </c>
      <c r="J1434" s="6">
        <v>73</v>
      </c>
      <c r="K1434" s="8" t="s">
        <v>69</v>
      </c>
      <c r="L1434" s="5">
        <v>16</v>
      </c>
      <c r="P1434" s="3"/>
      <c r="Q1434" s="3"/>
      <c r="R1434" s="3"/>
    </row>
    <row r="1435" spans="1:18" x14ac:dyDescent="0.2">
      <c r="A1435" s="7" t="s">
        <v>16</v>
      </c>
      <c r="B1435" s="7" t="s">
        <v>55</v>
      </c>
      <c r="C1435" s="7" t="s">
        <v>18</v>
      </c>
      <c r="D1435" s="4">
        <v>29435005005198</v>
      </c>
      <c r="E1435" s="8" t="s">
        <v>679</v>
      </c>
      <c r="F1435" s="8" t="s">
        <v>652</v>
      </c>
      <c r="G1435" s="7" t="s">
        <v>241</v>
      </c>
      <c r="H1435" s="47" t="s">
        <v>784</v>
      </c>
      <c r="I1435" s="47" t="s">
        <v>785</v>
      </c>
      <c r="J1435" s="6">
        <v>70</v>
      </c>
      <c r="K1435" s="8" t="s">
        <v>22</v>
      </c>
      <c r="L1435" s="5">
        <v>200</v>
      </c>
      <c r="P1435" s="3"/>
      <c r="Q1435" s="3"/>
      <c r="R1435" s="3"/>
    </row>
    <row r="1436" spans="1:18" x14ac:dyDescent="0.2">
      <c r="A1436" s="7" t="s">
        <v>16</v>
      </c>
      <c r="B1436" s="7" t="s">
        <v>55</v>
      </c>
      <c r="C1436" s="7" t="s">
        <v>18</v>
      </c>
      <c r="D1436" s="4">
        <v>29435005005279</v>
      </c>
      <c r="E1436" s="8" t="s">
        <v>700</v>
      </c>
      <c r="F1436" s="8" t="s">
        <v>652</v>
      </c>
      <c r="G1436" s="7" t="s">
        <v>241</v>
      </c>
      <c r="H1436" s="47" t="s">
        <v>784</v>
      </c>
      <c r="I1436" s="47" t="s">
        <v>785</v>
      </c>
      <c r="J1436" s="6">
        <v>64</v>
      </c>
      <c r="K1436" s="8" t="s">
        <v>68</v>
      </c>
      <c r="L1436" s="5">
        <v>5</v>
      </c>
      <c r="P1436" s="3"/>
      <c r="Q1436" s="3"/>
      <c r="R1436" s="3"/>
    </row>
    <row r="1437" spans="1:18" x14ac:dyDescent="0.2">
      <c r="A1437" s="7" t="s">
        <v>16</v>
      </c>
      <c r="B1437" s="7" t="s">
        <v>55</v>
      </c>
      <c r="C1437" s="7" t="s">
        <v>18</v>
      </c>
      <c r="D1437" s="4">
        <v>29435005005783</v>
      </c>
      <c r="E1437" s="8" t="s">
        <v>680</v>
      </c>
      <c r="F1437" s="8" t="s">
        <v>652</v>
      </c>
      <c r="G1437" s="7" t="s">
        <v>241</v>
      </c>
      <c r="H1437" s="47" t="s">
        <v>784</v>
      </c>
      <c r="I1437" s="47" t="s">
        <v>785</v>
      </c>
      <c r="J1437" s="6">
        <v>70</v>
      </c>
      <c r="K1437" s="8" t="s">
        <v>22</v>
      </c>
      <c r="L1437" s="5">
        <v>385</v>
      </c>
      <c r="P1437" s="3"/>
      <c r="Q1437" s="3"/>
      <c r="R1437" s="3"/>
    </row>
    <row r="1438" spans="1:18" x14ac:dyDescent="0.2">
      <c r="A1438" s="7" t="s">
        <v>16</v>
      </c>
      <c r="B1438" s="7" t="s">
        <v>55</v>
      </c>
      <c r="C1438" s="7" t="s">
        <v>18</v>
      </c>
      <c r="D1438" s="4">
        <v>29435005006160</v>
      </c>
      <c r="E1438" s="8" t="s">
        <v>681</v>
      </c>
      <c r="F1438" s="8" t="s">
        <v>652</v>
      </c>
      <c r="G1438" s="7" t="s">
        <v>241</v>
      </c>
      <c r="H1438" s="47" t="s">
        <v>784</v>
      </c>
      <c r="I1438" s="47" t="s">
        <v>785</v>
      </c>
      <c r="J1438" s="6">
        <v>62</v>
      </c>
      <c r="K1438" s="8" t="s">
        <v>74</v>
      </c>
      <c r="L1438" s="5">
        <v>4</v>
      </c>
      <c r="P1438" s="3"/>
      <c r="Q1438" s="3"/>
      <c r="R1438" s="3"/>
    </row>
    <row r="1439" spans="1:18" x14ac:dyDescent="0.2">
      <c r="A1439" s="7" t="s">
        <v>16</v>
      </c>
      <c r="B1439" s="7" t="s">
        <v>55</v>
      </c>
      <c r="C1439" s="7" t="s">
        <v>18</v>
      </c>
      <c r="D1439" s="4">
        <v>29435005006160</v>
      </c>
      <c r="E1439" s="8" t="s">
        <v>681</v>
      </c>
      <c r="F1439" s="8" t="s">
        <v>652</v>
      </c>
      <c r="G1439" s="7" t="s">
        <v>241</v>
      </c>
      <c r="H1439" s="47" t="s">
        <v>784</v>
      </c>
      <c r="I1439" s="47" t="s">
        <v>785</v>
      </c>
      <c r="J1439" s="6">
        <v>64</v>
      </c>
      <c r="K1439" s="8" t="s">
        <v>68</v>
      </c>
      <c r="L1439" s="5">
        <v>14</v>
      </c>
      <c r="P1439" s="3"/>
      <c r="Q1439" s="3"/>
      <c r="R1439" s="3"/>
    </row>
    <row r="1440" spans="1:18" x14ac:dyDescent="0.2">
      <c r="A1440" s="7" t="s">
        <v>16</v>
      </c>
      <c r="B1440" s="7" t="s">
        <v>55</v>
      </c>
      <c r="C1440" s="7" t="s">
        <v>18</v>
      </c>
      <c r="D1440" s="4">
        <v>31635857000292</v>
      </c>
      <c r="E1440" s="8" t="s">
        <v>683</v>
      </c>
      <c r="F1440" s="8" t="s">
        <v>652</v>
      </c>
      <c r="G1440" s="7" t="s">
        <v>241</v>
      </c>
      <c r="H1440" s="47" t="s">
        <v>784</v>
      </c>
      <c r="I1440" s="47" t="s">
        <v>785</v>
      </c>
      <c r="J1440" s="6">
        <v>73</v>
      </c>
      <c r="K1440" s="8" t="s">
        <v>69</v>
      </c>
      <c r="L1440" s="5">
        <v>36</v>
      </c>
      <c r="P1440" s="3"/>
      <c r="Q1440" s="3"/>
      <c r="R1440" s="3"/>
    </row>
    <row r="1441" spans="1:18" x14ac:dyDescent="0.2">
      <c r="A1441" s="7" t="s">
        <v>16</v>
      </c>
      <c r="B1441" s="7" t="s">
        <v>55</v>
      </c>
      <c r="C1441" s="7" t="s">
        <v>18</v>
      </c>
      <c r="D1441" s="4">
        <v>33419482000259</v>
      </c>
      <c r="E1441" s="8" t="s">
        <v>686</v>
      </c>
      <c r="F1441" s="8" t="s">
        <v>652</v>
      </c>
      <c r="G1441" s="7" t="s">
        <v>241</v>
      </c>
      <c r="H1441" s="47" t="s">
        <v>784</v>
      </c>
      <c r="I1441" s="47" t="s">
        <v>785</v>
      </c>
      <c r="J1441" s="6">
        <v>62</v>
      </c>
      <c r="K1441" s="8" t="s">
        <v>74</v>
      </c>
      <c r="L1441" s="5">
        <v>9</v>
      </c>
      <c r="P1441" s="3"/>
      <c r="Q1441" s="3"/>
      <c r="R1441" s="3"/>
    </row>
    <row r="1442" spans="1:18" x14ac:dyDescent="0.2">
      <c r="A1442" s="7" t="s">
        <v>16</v>
      </c>
      <c r="B1442" s="7" t="s">
        <v>55</v>
      </c>
      <c r="C1442" s="7" t="s">
        <v>18</v>
      </c>
      <c r="D1442" s="4">
        <v>33419482000259</v>
      </c>
      <c r="E1442" s="8" t="s">
        <v>686</v>
      </c>
      <c r="F1442" s="8" t="s">
        <v>652</v>
      </c>
      <c r="G1442" s="7" t="s">
        <v>241</v>
      </c>
      <c r="H1442" s="47" t="s">
        <v>784</v>
      </c>
      <c r="I1442" s="47" t="s">
        <v>785</v>
      </c>
      <c r="J1442" s="6">
        <v>64</v>
      </c>
      <c r="K1442" s="8" t="s">
        <v>68</v>
      </c>
      <c r="L1442" s="5">
        <v>2</v>
      </c>
      <c r="P1442" s="3"/>
      <c r="Q1442" s="3"/>
      <c r="R1442" s="3"/>
    </row>
    <row r="1443" spans="1:18" x14ac:dyDescent="0.2">
      <c r="A1443" s="7" t="s">
        <v>16</v>
      </c>
      <c r="B1443" s="7" t="s">
        <v>55</v>
      </c>
      <c r="C1443" s="7" t="s">
        <v>18</v>
      </c>
      <c r="D1443" s="4">
        <v>33419482000259</v>
      </c>
      <c r="E1443" s="8" t="s">
        <v>686</v>
      </c>
      <c r="F1443" s="8" t="s">
        <v>652</v>
      </c>
      <c r="G1443" s="7" t="s">
        <v>241</v>
      </c>
      <c r="H1443" s="47" t="s">
        <v>784</v>
      </c>
      <c r="I1443" s="47" t="s">
        <v>785</v>
      </c>
      <c r="J1443" s="6">
        <v>70</v>
      </c>
      <c r="K1443" s="8" t="s">
        <v>22</v>
      </c>
      <c r="L1443" s="5">
        <v>15</v>
      </c>
      <c r="P1443" s="3"/>
      <c r="Q1443" s="3"/>
      <c r="R1443" s="3"/>
    </row>
    <row r="1444" spans="1:18" x14ac:dyDescent="0.2">
      <c r="A1444" s="7" t="s">
        <v>16</v>
      </c>
      <c r="B1444" s="7" t="s">
        <v>55</v>
      </c>
      <c r="C1444" s="7" t="s">
        <v>18</v>
      </c>
      <c r="D1444" s="4">
        <v>33663683005347</v>
      </c>
      <c r="E1444" s="8" t="s">
        <v>688</v>
      </c>
      <c r="F1444" s="8" t="s">
        <v>652</v>
      </c>
      <c r="G1444" s="7" t="s">
        <v>241</v>
      </c>
      <c r="H1444" s="47" t="s">
        <v>784</v>
      </c>
      <c r="I1444" s="47" t="s">
        <v>785</v>
      </c>
      <c r="J1444" s="6">
        <v>70</v>
      </c>
      <c r="K1444" s="8" t="s">
        <v>22</v>
      </c>
      <c r="L1444" s="5">
        <v>800</v>
      </c>
      <c r="P1444" s="3"/>
      <c r="Q1444" s="3"/>
      <c r="R1444" s="3"/>
    </row>
    <row r="1445" spans="1:18" x14ac:dyDescent="0.2">
      <c r="A1445" s="7" t="s">
        <v>16</v>
      </c>
      <c r="B1445" s="7" t="s">
        <v>55</v>
      </c>
      <c r="C1445" s="7" t="s">
        <v>18</v>
      </c>
      <c r="D1445" s="4">
        <v>34058123000103</v>
      </c>
      <c r="E1445" s="8" t="s">
        <v>701</v>
      </c>
      <c r="F1445" s="8" t="s">
        <v>652</v>
      </c>
      <c r="G1445" s="7" t="s">
        <v>241</v>
      </c>
      <c r="H1445" s="47" t="s">
        <v>784</v>
      </c>
      <c r="I1445" s="47" t="s">
        <v>785</v>
      </c>
      <c r="J1445" s="6">
        <v>62</v>
      </c>
      <c r="K1445" s="8" t="s">
        <v>74</v>
      </c>
      <c r="L1445" s="5">
        <v>6</v>
      </c>
      <c r="P1445" s="3"/>
      <c r="Q1445" s="3"/>
      <c r="R1445" s="3"/>
    </row>
    <row r="1446" spans="1:18" x14ac:dyDescent="0.2">
      <c r="A1446" s="7" t="s">
        <v>16</v>
      </c>
      <c r="B1446" s="7" t="s">
        <v>55</v>
      </c>
      <c r="C1446" s="7" t="s">
        <v>18</v>
      </c>
      <c r="D1446" s="4">
        <v>34058123000103</v>
      </c>
      <c r="E1446" s="8" t="s">
        <v>701</v>
      </c>
      <c r="F1446" s="8" t="s">
        <v>652</v>
      </c>
      <c r="G1446" s="7" t="s">
        <v>241</v>
      </c>
      <c r="H1446" s="47" t="s">
        <v>784</v>
      </c>
      <c r="I1446" s="47" t="s">
        <v>785</v>
      </c>
      <c r="J1446" s="6">
        <v>64</v>
      </c>
      <c r="K1446" s="8" t="s">
        <v>68</v>
      </c>
      <c r="L1446" s="5">
        <v>16</v>
      </c>
      <c r="P1446" s="3"/>
      <c r="Q1446" s="3"/>
      <c r="R1446" s="3"/>
    </row>
    <row r="1447" spans="1:18" x14ac:dyDescent="0.2">
      <c r="A1447" s="7" t="s">
        <v>16</v>
      </c>
      <c r="B1447" s="7" t="s">
        <v>55</v>
      </c>
      <c r="C1447" s="7" t="s">
        <v>18</v>
      </c>
      <c r="D1447" s="4">
        <v>39086160000130</v>
      </c>
      <c r="E1447" s="8" t="s">
        <v>691</v>
      </c>
      <c r="F1447" s="8" t="s">
        <v>652</v>
      </c>
      <c r="G1447" s="7" t="s">
        <v>241</v>
      </c>
      <c r="H1447" s="47" t="s">
        <v>784</v>
      </c>
      <c r="I1447" s="47" t="s">
        <v>785</v>
      </c>
      <c r="J1447" s="6">
        <v>70</v>
      </c>
      <c r="K1447" s="8" t="s">
        <v>22</v>
      </c>
      <c r="L1447" s="5">
        <v>150</v>
      </c>
      <c r="P1447" s="3"/>
      <c r="Q1447" s="3"/>
      <c r="R1447" s="3"/>
    </row>
    <row r="1448" spans="1:18" x14ac:dyDescent="0.2">
      <c r="A1448" s="7" t="s">
        <v>16</v>
      </c>
      <c r="B1448" s="7" t="s">
        <v>55</v>
      </c>
      <c r="C1448" s="7" t="s">
        <v>18</v>
      </c>
      <c r="D1448" s="4">
        <v>39086160000130</v>
      </c>
      <c r="E1448" s="8" t="s">
        <v>691</v>
      </c>
      <c r="F1448" s="8" t="s">
        <v>652</v>
      </c>
      <c r="G1448" s="7" t="s">
        <v>241</v>
      </c>
      <c r="H1448" s="47" t="s">
        <v>784</v>
      </c>
      <c r="I1448" s="47" t="s">
        <v>785</v>
      </c>
      <c r="J1448" s="6">
        <v>73</v>
      </c>
      <c r="K1448" s="8" t="s">
        <v>69</v>
      </c>
      <c r="L1448" s="5">
        <v>48</v>
      </c>
      <c r="P1448" s="3"/>
      <c r="Q1448" s="3"/>
      <c r="R1448" s="3"/>
    </row>
    <row r="1449" spans="1:18" x14ac:dyDescent="0.2">
      <c r="A1449" s="7" t="s">
        <v>16</v>
      </c>
      <c r="B1449" s="7" t="s">
        <v>55</v>
      </c>
      <c r="C1449" s="7" t="s">
        <v>18</v>
      </c>
      <c r="D1449" s="4">
        <v>40320103000153</v>
      </c>
      <c r="E1449" s="8" t="s">
        <v>702</v>
      </c>
      <c r="F1449" s="8" t="s">
        <v>652</v>
      </c>
      <c r="G1449" s="7" t="s">
        <v>241</v>
      </c>
      <c r="H1449" s="47" t="s">
        <v>784</v>
      </c>
      <c r="I1449" s="47" t="s">
        <v>785</v>
      </c>
      <c r="J1449" s="6">
        <v>64</v>
      </c>
      <c r="K1449" s="8" t="s">
        <v>68</v>
      </c>
      <c r="L1449" s="5">
        <v>5</v>
      </c>
      <c r="P1449" s="3"/>
      <c r="Q1449" s="3"/>
      <c r="R1449" s="3"/>
    </row>
    <row r="1450" spans="1:18" x14ac:dyDescent="0.2">
      <c r="A1450" s="7" t="s">
        <v>16</v>
      </c>
      <c r="B1450" s="7" t="s">
        <v>55</v>
      </c>
      <c r="C1450" s="7" t="s">
        <v>18</v>
      </c>
      <c r="D1450" s="4">
        <v>42297507000107</v>
      </c>
      <c r="E1450" s="8" t="s">
        <v>703</v>
      </c>
      <c r="F1450" s="8" t="s">
        <v>652</v>
      </c>
      <c r="G1450" s="7" t="s">
        <v>241</v>
      </c>
      <c r="H1450" s="47" t="s">
        <v>784</v>
      </c>
      <c r="I1450" s="47" t="s">
        <v>785</v>
      </c>
      <c r="J1450" s="6">
        <v>62</v>
      </c>
      <c r="K1450" s="8" t="s">
        <v>74</v>
      </c>
      <c r="L1450" s="5">
        <v>4</v>
      </c>
      <c r="P1450" s="3"/>
      <c r="Q1450" s="3"/>
      <c r="R1450" s="3"/>
    </row>
    <row r="1451" spans="1:18" x14ac:dyDescent="0.2">
      <c r="A1451" s="7" t="s">
        <v>16</v>
      </c>
      <c r="B1451" s="7" t="s">
        <v>55</v>
      </c>
      <c r="C1451" s="7" t="s">
        <v>18</v>
      </c>
      <c r="D1451" s="4">
        <v>42297507000107</v>
      </c>
      <c r="E1451" s="8" t="s">
        <v>703</v>
      </c>
      <c r="F1451" s="8" t="s">
        <v>652</v>
      </c>
      <c r="G1451" s="7" t="s">
        <v>241</v>
      </c>
      <c r="H1451" s="47" t="s">
        <v>784</v>
      </c>
      <c r="I1451" s="47" t="s">
        <v>785</v>
      </c>
      <c r="J1451" s="6">
        <v>64</v>
      </c>
      <c r="K1451" s="8" t="s">
        <v>68</v>
      </c>
      <c r="L1451" s="5">
        <v>4</v>
      </c>
      <c r="P1451" s="3"/>
      <c r="Q1451" s="3"/>
      <c r="R1451" s="3"/>
    </row>
    <row r="1452" spans="1:18" x14ac:dyDescent="0.2">
      <c r="A1452" s="7" t="s">
        <v>16</v>
      </c>
      <c r="B1452" s="7" t="s">
        <v>55</v>
      </c>
      <c r="C1452" s="7" t="s">
        <v>18</v>
      </c>
      <c r="D1452" s="4">
        <v>53221255004995</v>
      </c>
      <c r="E1452" s="8" t="s">
        <v>692</v>
      </c>
      <c r="F1452" s="8" t="s">
        <v>652</v>
      </c>
      <c r="G1452" s="7" t="s">
        <v>241</v>
      </c>
      <c r="H1452" s="47" t="s">
        <v>784</v>
      </c>
      <c r="I1452" s="47" t="s">
        <v>785</v>
      </c>
      <c r="J1452" s="6">
        <v>62</v>
      </c>
      <c r="K1452" s="8" t="s">
        <v>74</v>
      </c>
      <c r="L1452" s="5">
        <v>1</v>
      </c>
      <c r="P1452" s="3"/>
      <c r="Q1452" s="3"/>
      <c r="R1452" s="3"/>
    </row>
    <row r="1453" spans="1:18" x14ac:dyDescent="0.2">
      <c r="A1453" s="7" t="s">
        <v>16</v>
      </c>
      <c r="B1453" s="7" t="s">
        <v>55</v>
      </c>
      <c r="C1453" s="7" t="s">
        <v>18</v>
      </c>
      <c r="D1453" s="4">
        <v>60884855001630</v>
      </c>
      <c r="E1453" s="8" t="s">
        <v>693</v>
      </c>
      <c r="F1453" s="8" t="s">
        <v>652</v>
      </c>
      <c r="G1453" s="7" t="s">
        <v>241</v>
      </c>
      <c r="H1453" s="47" t="s">
        <v>784</v>
      </c>
      <c r="I1453" s="47" t="s">
        <v>785</v>
      </c>
      <c r="J1453" s="6">
        <v>62</v>
      </c>
      <c r="K1453" s="8" t="s">
        <v>74</v>
      </c>
      <c r="L1453" s="5">
        <v>10</v>
      </c>
      <c r="P1453" s="3"/>
      <c r="Q1453" s="3"/>
      <c r="R1453" s="3"/>
    </row>
    <row r="1454" spans="1:18" x14ac:dyDescent="0.2">
      <c r="A1454" s="7" t="s">
        <v>16</v>
      </c>
      <c r="B1454" s="7" t="s">
        <v>55</v>
      </c>
      <c r="C1454" s="7" t="s">
        <v>18</v>
      </c>
      <c r="D1454" s="4">
        <v>60884855001630</v>
      </c>
      <c r="E1454" s="8" t="s">
        <v>693</v>
      </c>
      <c r="F1454" s="8" t="s">
        <v>652</v>
      </c>
      <c r="G1454" s="7" t="s">
        <v>241</v>
      </c>
      <c r="H1454" s="47" t="s">
        <v>784</v>
      </c>
      <c r="I1454" s="47" t="s">
        <v>785</v>
      </c>
      <c r="J1454" s="6">
        <v>64</v>
      </c>
      <c r="K1454" s="8" t="s">
        <v>68</v>
      </c>
      <c r="L1454" s="5">
        <v>25</v>
      </c>
      <c r="P1454" s="3"/>
      <c r="Q1454" s="3"/>
      <c r="R1454" s="3"/>
    </row>
    <row r="1455" spans="1:18" x14ac:dyDescent="0.2">
      <c r="A1455" s="7" t="s">
        <v>16</v>
      </c>
      <c r="B1455" s="7" t="s">
        <v>55</v>
      </c>
      <c r="C1455" s="7" t="s">
        <v>18</v>
      </c>
      <c r="D1455" s="4">
        <v>60884855001630</v>
      </c>
      <c r="E1455" s="8" t="s">
        <v>693</v>
      </c>
      <c r="F1455" s="8" t="s">
        <v>652</v>
      </c>
      <c r="G1455" s="7" t="s">
        <v>241</v>
      </c>
      <c r="H1455" s="47" t="s">
        <v>784</v>
      </c>
      <c r="I1455" s="47" t="s">
        <v>785</v>
      </c>
      <c r="J1455" s="6">
        <v>70</v>
      </c>
      <c r="K1455" s="8" t="s">
        <v>22</v>
      </c>
      <c r="L1455" s="5">
        <v>160</v>
      </c>
      <c r="P1455" s="3"/>
      <c r="Q1455" s="3"/>
      <c r="R1455" s="3"/>
    </row>
    <row r="1456" spans="1:18" x14ac:dyDescent="0.2">
      <c r="A1456" s="7" t="s">
        <v>16</v>
      </c>
      <c r="B1456" s="7" t="s">
        <v>55</v>
      </c>
      <c r="C1456" s="7" t="s">
        <v>18</v>
      </c>
      <c r="D1456" s="4">
        <v>60922168000348</v>
      </c>
      <c r="E1456" s="8" t="s">
        <v>694</v>
      </c>
      <c r="F1456" s="8" t="s">
        <v>652</v>
      </c>
      <c r="G1456" s="7" t="s">
        <v>241</v>
      </c>
      <c r="H1456" s="47" t="s">
        <v>784</v>
      </c>
      <c r="I1456" s="47" t="s">
        <v>785</v>
      </c>
      <c r="J1456" s="6">
        <v>62</v>
      </c>
      <c r="K1456" s="8" t="s">
        <v>74</v>
      </c>
      <c r="L1456" s="5">
        <v>9</v>
      </c>
      <c r="P1456" s="3"/>
      <c r="Q1456" s="3"/>
      <c r="R1456" s="3"/>
    </row>
    <row r="1457" spans="1:18" x14ac:dyDescent="0.2">
      <c r="A1457" s="7" t="s">
        <v>16</v>
      </c>
      <c r="B1457" s="7" t="s">
        <v>55</v>
      </c>
      <c r="C1457" s="7" t="s">
        <v>18</v>
      </c>
      <c r="D1457" s="4">
        <v>60922168000348</v>
      </c>
      <c r="E1457" s="8" t="s">
        <v>694</v>
      </c>
      <c r="F1457" s="8" t="s">
        <v>652</v>
      </c>
      <c r="G1457" s="7" t="s">
        <v>241</v>
      </c>
      <c r="H1457" s="47" t="s">
        <v>784</v>
      </c>
      <c r="I1457" s="47" t="s">
        <v>785</v>
      </c>
      <c r="J1457" s="6">
        <v>64</v>
      </c>
      <c r="K1457" s="8" t="s">
        <v>68</v>
      </c>
      <c r="L1457" s="5">
        <v>4</v>
      </c>
      <c r="P1457" s="3"/>
      <c r="Q1457" s="3"/>
      <c r="R1457" s="3"/>
    </row>
    <row r="1458" spans="1:18" x14ac:dyDescent="0.2">
      <c r="A1458" s="7" t="s">
        <v>16</v>
      </c>
      <c r="B1458" s="7" t="s">
        <v>55</v>
      </c>
      <c r="C1458" s="7" t="s">
        <v>18</v>
      </c>
      <c r="D1458" s="4">
        <v>60922168000348</v>
      </c>
      <c r="E1458" s="8" t="s">
        <v>694</v>
      </c>
      <c r="F1458" s="8" t="s">
        <v>652</v>
      </c>
      <c r="G1458" s="7" t="s">
        <v>241</v>
      </c>
      <c r="H1458" s="47" t="s">
        <v>784</v>
      </c>
      <c r="I1458" s="47" t="s">
        <v>785</v>
      </c>
      <c r="J1458" s="6">
        <v>70</v>
      </c>
      <c r="K1458" s="8" t="s">
        <v>22</v>
      </c>
      <c r="L1458" s="5">
        <v>210</v>
      </c>
      <c r="P1458" s="3"/>
      <c r="Q1458" s="3"/>
      <c r="R1458" s="3"/>
    </row>
    <row r="1459" spans="1:18" x14ac:dyDescent="0.2">
      <c r="A1459" s="7" t="s">
        <v>16</v>
      </c>
      <c r="B1459" s="7" t="s">
        <v>55</v>
      </c>
      <c r="C1459" s="7" t="s">
        <v>18</v>
      </c>
      <c r="D1459" s="4">
        <v>72101124000506</v>
      </c>
      <c r="E1459" s="8" t="s">
        <v>695</v>
      </c>
      <c r="F1459" s="8" t="s">
        <v>652</v>
      </c>
      <c r="G1459" s="7" t="s">
        <v>241</v>
      </c>
      <c r="H1459" s="47" t="s">
        <v>784</v>
      </c>
      <c r="I1459" s="47" t="s">
        <v>785</v>
      </c>
      <c r="J1459" s="6">
        <v>70</v>
      </c>
      <c r="K1459" s="8" t="s">
        <v>22</v>
      </c>
      <c r="L1459" s="5">
        <v>175</v>
      </c>
      <c r="P1459" s="3"/>
      <c r="Q1459" s="3"/>
      <c r="R1459" s="3"/>
    </row>
    <row r="1460" spans="1:18" x14ac:dyDescent="0.2">
      <c r="A1460" s="7" t="s">
        <v>16</v>
      </c>
      <c r="B1460" s="7" t="s">
        <v>55</v>
      </c>
      <c r="C1460" s="7" t="s">
        <v>18</v>
      </c>
      <c r="D1460" s="4">
        <v>72101124000506</v>
      </c>
      <c r="E1460" s="8" t="s">
        <v>695</v>
      </c>
      <c r="F1460" s="8" t="s">
        <v>652</v>
      </c>
      <c r="G1460" s="7" t="s">
        <v>241</v>
      </c>
      <c r="H1460" s="47" t="s">
        <v>784</v>
      </c>
      <c r="I1460" s="47" t="s">
        <v>785</v>
      </c>
      <c r="J1460" s="6">
        <v>73</v>
      </c>
      <c r="K1460" s="8" t="s">
        <v>69</v>
      </c>
      <c r="L1460" s="5">
        <v>135</v>
      </c>
      <c r="P1460" s="3"/>
      <c r="Q1460" s="3"/>
      <c r="R1460" s="3"/>
    </row>
    <row r="1461" spans="1:18" x14ac:dyDescent="0.2">
      <c r="A1461" s="7" t="s">
        <v>16</v>
      </c>
      <c r="B1461" s="7" t="s">
        <v>60</v>
      </c>
      <c r="C1461" s="7" t="s">
        <v>18</v>
      </c>
      <c r="D1461" s="4">
        <v>320465020</v>
      </c>
      <c r="E1461" s="8" t="s">
        <v>704</v>
      </c>
      <c r="F1461" s="8" t="s">
        <v>652</v>
      </c>
      <c r="G1461" s="7" t="s">
        <v>241</v>
      </c>
      <c r="H1461" s="47" t="s">
        <v>784</v>
      </c>
      <c r="I1461" s="47" t="s">
        <v>785</v>
      </c>
      <c r="J1461" s="6">
        <v>66</v>
      </c>
      <c r="K1461" s="8" t="s">
        <v>99</v>
      </c>
      <c r="L1461" s="5">
        <v>3</v>
      </c>
      <c r="P1461" s="3"/>
      <c r="Q1461" s="3"/>
      <c r="R1461" s="3"/>
    </row>
    <row r="1462" spans="1:18" x14ac:dyDescent="0.2">
      <c r="A1462" s="7" t="s">
        <v>16</v>
      </c>
      <c r="B1462" s="7" t="s">
        <v>60</v>
      </c>
      <c r="C1462" s="7" t="s">
        <v>18</v>
      </c>
      <c r="D1462" s="4">
        <v>5371944796</v>
      </c>
      <c r="E1462" s="8" t="s">
        <v>705</v>
      </c>
      <c r="F1462" s="8" t="s">
        <v>652</v>
      </c>
      <c r="G1462" s="7" t="s">
        <v>241</v>
      </c>
      <c r="H1462" s="47" t="s">
        <v>784</v>
      </c>
      <c r="I1462" s="47" t="s">
        <v>785</v>
      </c>
      <c r="J1462" s="6">
        <v>70</v>
      </c>
      <c r="K1462" s="8" t="s">
        <v>22</v>
      </c>
      <c r="L1462" s="5">
        <v>20</v>
      </c>
      <c r="P1462" s="3"/>
      <c r="Q1462" s="3"/>
      <c r="R1462" s="3"/>
    </row>
    <row r="1463" spans="1:18" x14ac:dyDescent="0.2">
      <c r="A1463" s="7" t="s">
        <v>16</v>
      </c>
      <c r="B1463" s="7" t="s">
        <v>60</v>
      </c>
      <c r="C1463" s="7" t="s">
        <v>18</v>
      </c>
      <c r="D1463" s="4">
        <v>394502014870</v>
      </c>
      <c r="E1463" s="8" t="s">
        <v>697</v>
      </c>
      <c r="F1463" s="8" t="s">
        <v>652</v>
      </c>
      <c r="G1463" s="7" t="s">
        <v>241</v>
      </c>
      <c r="H1463" s="47" t="s">
        <v>784</v>
      </c>
      <c r="I1463" s="47" t="s">
        <v>785</v>
      </c>
      <c r="J1463" s="6">
        <v>64</v>
      </c>
      <c r="K1463" s="8" t="s">
        <v>68</v>
      </c>
      <c r="L1463" s="5">
        <v>5</v>
      </c>
      <c r="P1463" s="3"/>
      <c r="Q1463" s="3"/>
      <c r="R1463" s="3"/>
    </row>
    <row r="1464" spans="1:18" x14ac:dyDescent="0.2">
      <c r="A1464" s="7" t="s">
        <v>16</v>
      </c>
      <c r="B1464" s="7" t="s">
        <v>60</v>
      </c>
      <c r="C1464" s="7" t="s">
        <v>18</v>
      </c>
      <c r="D1464" s="4">
        <v>394544017150</v>
      </c>
      <c r="E1464" s="8" t="s">
        <v>698</v>
      </c>
      <c r="F1464" s="8" t="s">
        <v>652</v>
      </c>
      <c r="G1464" s="7" t="s">
        <v>241</v>
      </c>
      <c r="H1464" s="47" t="s">
        <v>784</v>
      </c>
      <c r="I1464" s="47" t="s">
        <v>785</v>
      </c>
      <c r="J1464" s="6">
        <v>64</v>
      </c>
      <c r="K1464" s="8" t="s">
        <v>68</v>
      </c>
      <c r="L1464" s="5">
        <v>20</v>
      </c>
      <c r="P1464" s="3"/>
      <c r="Q1464" s="3"/>
      <c r="R1464" s="3"/>
    </row>
    <row r="1465" spans="1:18" x14ac:dyDescent="0.2">
      <c r="A1465" s="7" t="s">
        <v>16</v>
      </c>
      <c r="B1465" s="7" t="s">
        <v>60</v>
      </c>
      <c r="C1465" s="7" t="s">
        <v>18</v>
      </c>
      <c r="D1465" s="4">
        <v>394544020453</v>
      </c>
      <c r="E1465" s="8" t="s">
        <v>655</v>
      </c>
      <c r="F1465" s="8" t="s">
        <v>652</v>
      </c>
      <c r="G1465" s="7" t="s">
        <v>241</v>
      </c>
      <c r="H1465" s="47" t="s">
        <v>784</v>
      </c>
      <c r="I1465" s="47" t="s">
        <v>785</v>
      </c>
      <c r="J1465" s="6">
        <v>70</v>
      </c>
      <c r="K1465" s="8" t="s">
        <v>22</v>
      </c>
      <c r="L1465" s="5">
        <v>200</v>
      </c>
      <c r="P1465" s="3"/>
      <c r="Q1465" s="3"/>
      <c r="R1465" s="3"/>
    </row>
    <row r="1466" spans="1:18" x14ac:dyDescent="0.2">
      <c r="A1466" s="7" t="s">
        <v>16</v>
      </c>
      <c r="B1466" s="7" t="s">
        <v>60</v>
      </c>
      <c r="C1466" s="7" t="s">
        <v>18</v>
      </c>
      <c r="D1466" s="4">
        <v>394544021344</v>
      </c>
      <c r="E1466" s="8" t="s">
        <v>657</v>
      </c>
      <c r="F1466" s="8" t="s">
        <v>652</v>
      </c>
      <c r="G1466" s="7" t="s">
        <v>241</v>
      </c>
      <c r="H1466" s="47" t="s">
        <v>784</v>
      </c>
      <c r="I1466" s="47" t="s">
        <v>785</v>
      </c>
      <c r="J1466" s="6">
        <v>62</v>
      </c>
      <c r="K1466" s="8" t="s">
        <v>74</v>
      </c>
      <c r="L1466" s="5">
        <v>250</v>
      </c>
      <c r="P1466" s="3"/>
      <c r="Q1466" s="3"/>
      <c r="R1466" s="3"/>
    </row>
    <row r="1467" spans="1:18" x14ac:dyDescent="0.2">
      <c r="A1467" s="7" t="s">
        <v>16</v>
      </c>
      <c r="B1467" s="7" t="s">
        <v>60</v>
      </c>
      <c r="C1467" s="7" t="s">
        <v>18</v>
      </c>
      <c r="D1467" s="4">
        <v>394544021344</v>
      </c>
      <c r="E1467" s="8" t="s">
        <v>657</v>
      </c>
      <c r="F1467" s="8" t="s">
        <v>652</v>
      </c>
      <c r="G1467" s="7" t="s">
        <v>241</v>
      </c>
      <c r="H1467" s="47" t="s">
        <v>784</v>
      </c>
      <c r="I1467" s="47" t="s">
        <v>785</v>
      </c>
      <c r="J1467" s="6">
        <v>64</v>
      </c>
      <c r="K1467" s="8" t="s">
        <v>68</v>
      </c>
      <c r="L1467" s="5">
        <v>208</v>
      </c>
      <c r="P1467" s="3"/>
      <c r="Q1467" s="3"/>
      <c r="R1467" s="3"/>
    </row>
    <row r="1468" spans="1:18" x14ac:dyDescent="0.2">
      <c r="A1468" s="7" t="s">
        <v>16</v>
      </c>
      <c r="B1468" s="7" t="s">
        <v>60</v>
      </c>
      <c r="C1468" s="7" t="s">
        <v>18</v>
      </c>
      <c r="D1468" s="4">
        <v>2284062000521</v>
      </c>
      <c r="E1468" s="8" t="s">
        <v>658</v>
      </c>
      <c r="F1468" s="8" t="s">
        <v>652</v>
      </c>
      <c r="G1468" s="7" t="s">
        <v>241</v>
      </c>
      <c r="H1468" s="47" t="s">
        <v>784</v>
      </c>
      <c r="I1468" s="47" t="s">
        <v>785</v>
      </c>
      <c r="J1468" s="6">
        <v>62</v>
      </c>
      <c r="K1468" s="8" t="s">
        <v>74</v>
      </c>
      <c r="L1468" s="5">
        <v>5</v>
      </c>
      <c r="P1468" s="3"/>
      <c r="Q1468" s="3"/>
      <c r="R1468" s="3"/>
    </row>
    <row r="1469" spans="1:18" x14ac:dyDescent="0.2">
      <c r="A1469" s="7" t="s">
        <v>16</v>
      </c>
      <c r="B1469" s="7" t="s">
        <v>60</v>
      </c>
      <c r="C1469" s="7" t="s">
        <v>18</v>
      </c>
      <c r="D1469" s="4">
        <v>2284062000521</v>
      </c>
      <c r="E1469" s="8" t="s">
        <v>658</v>
      </c>
      <c r="F1469" s="8" t="s">
        <v>652</v>
      </c>
      <c r="G1469" s="7" t="s">
        <v>241</v>
      </c>
      <c r="H1469" s="47" t="s">
        <v>784</v>
      </c>
      <c r="I1469" s="47" t="s">
        <v>785</v>
      </c>
      <c r="J1469" s="6">
        <v>64</v>
      </c>
      <c r="K1469" s="8" t="s">
        <v>68</v>
      </c>
      <c r="L1469" s="5">
        <v>13</v>
      </c>
      <c r="P1469" s="3"/>
      <c r="Q1469" s="3"/>
      <c r="R1469" s="3"/>
    </row>
    <row r="1470" spans="1:18" x14ac:dyDescent="0.2">
      <c r="A1470" s="7" t="s">
        <v>16</v>
      </c>
      <c r="B1470" s="7" t="s">
        <v>60</v>
      </c>
      <c r="C1470" s="7" t="s">
        <v>18</v>
      </c>
      <c r="D1470" s="4">
        <v>2864097000106</v>
      </c>
      <c r="E1470" s="8" t="s">
        <v>659</v>
      </c>
      <c r="F1470" s="8" t="s">
        <v>652</v>
      </c>
      <c r="G1470" s="7" t="s">
        <v>241</v>
      </c>
      <c r="H1470" s="47" t="s">
        <v>784</v>
      </c>
      <c r="I1470" s="47" t="s">
        <v>785</v>
      </c>
      <c r="J1470" s="6">
        <v>70</v>
      </c>
      <c r="K1470" s="8" t="s">
        <v>22</v>
      </c>
      <c r="L1470" s="5">
        <v>40</v>
      </c>
      <c r="P1470" s="3"/>
      <c r="Q1470" s="3"/>
      <c r="R1470" s="3"/>
    </row>
    <row r="1471" spans="1:18" x14ac:dyDescent="0.2">
      <c r="A1471" s="7" t="s">
        <v>16</v>
      </c>
      <c r="B1471" s="7" t="s">
        <v>60</v>
      </c>
      <c r="C1471" s="7" t="s">
        <v>18</v>
      </c>
      <c r="D1471" s="4">
        <v>6047087000996</v>
      </c>
      <c r="E1471" s="8" t="s">
        <v>660</v>
      </c>
      <c r="F1471" s="8" t="s">
        <v>652</v>
      </c>
      <c r="G1471" s="7" t="s">
        <v>241</v>
      </c>
      <c r="H1471" s="47" t="s">
        <v>784</v>
      </c>
      <c r="I1471" s="47" t="s">
        <v>785</v>
      </c>
      <c r="J1471" s="6">
        <v>62</v>
      </c>
      <c r="K1471" s="8" t="s">
        <v>74</v>
      </c>
      <c r="L1471" s="5">
        <v>13</v>
      </c>
      <c r="P1471" s="3"/>
      <c r="Q1471" s="3"/>
      <c r="R1471" s="3"/>
    </row>
    <row r="1472" spans="1:18" x14ac:dyDescent="0.2">
      <c r="A1472" s="7" t="s">
        <v>16</v>
      </c>
      <c r="B1472" s="7" t="s">
        <v>60</v>
      </c>
      <c r="C1472" s="7" t="s">
        <v>18</v>
      </c>
      <c r="D1472" s="4">
        <v>6047087000996</v>
      </c>
      <c r="E1472" s="8" t="s">
        <v>660</v>
      </c>
      <c r="F1472" s="8" t="s">
        <v>652</v>
      </c>
      <c r="G1472" s="7" t="s">
        <v>241</v>
      </c>
      <c r="H1472" s="47" t="s">
        <v>784</v>
      </c>
      <c r="I1472" s="47" t="s">
        <v>785</v>
      </c>
      <c r="J1472" s="6">
        <v>70</v>
      </c>
      <c r="K1472" s="8" t="s">
        <v>22</v>
      </c>
      <c r="L1472" s="5">
        <v>225</v>
      </c>
      <c r="P1472" s="3"/>
      <c r="Q1472" s="3"/>
      <c r="R1472" s="3"/>
    </row>
    <row r="1473" spans="1:18" x14ac:dyDescent="0.2">
      <c r="A1473" s="7" t="s">
        <v>16</v>
      </c>
      <c r="B1473" s="7" t="s">
        <v>60</v>
      </c>
      <c r="C1473" s="7" t="s">
        <v>18</v>
      </c>
      <c r="D1473" s="4">
        <v>6047087001020</v>
      </c>
      <c r="E1473" s="8" t="s">
        <v>661</v>
      </c>
      <c r="F1473" s="8" t="s">
        <v>652</v>
      </c>
      <c r="G1473" s="7" t="s">
        <v>241</v>
      </c>
      <c r="H1473" s="47" t="s">
        <v>784</v>
      </c>
      <c r="I1473" s="47" t="s">
        <v>785</v>
      </c>
      <c r="J1473" s="6">
        <v>62</v>
      </c>
      <c r="K1473" s="8" t="s">
        <v>74</v>
      </c>
      <c r="L1473" s="5">
        <v>66</v>
      </c>
      <c r="P1473" s="3"/>
      <c r="Q1473" s="3"/>
      <c r="R1473" s="3"/>
    </row>
    <row r="1474" spans="1:18" x14ac:dyDescent="0.2">
      <c r="A1474" s="7" t="s">
        <v>16</v>
      </c>
      <c r="B1474" s="7" t="s">
        <v>60</v>
      </c>
      <c r="C1474" s="7" t="s">
        <v>18</v>
      </c>
      <c r="D1474" s="4">
        <v>6047087001020</v>
      </c>
      <c r="E1474" s="8" t="s">
        <v>661</v>
      </c>
      <c r="F1474" s="8" t="s">
        <v>652</v>
      </c>
      <c r="G1474" s="7" t="s">
        <v>241</v>
      </c>
      <c r="H1474" s="47" t="s">
        <v>784</v>
      </c>
      <c r="I1474" s="47" t="s">
        <v>785</v>
      </c>
      <c r="J1474" s="6">
        <v>64</v>
      </c>
      <c r="K1474" s="8" t="s">
        <v>68</v>
      </c>
      <c r="L1474" s="5">
        <v>33</v>
      </c>
      <c r="P1474" s="3"/>
      <c r="Q1474" s="3"/>
      <c r="R1474" s="3"/>
    </row>
    <row r="1475" spans="1:18" x14ac:dyDescent="0.2">
      <c r="A1475" s="7" t="s">
        <v>16</v>
      </c>
      <c r="B1475" s="7" t="s">
        <v>60</v>
      </c>
      <c r="C1475" s="7" t="s">
        <v>18</v>
      </c>
      <c r="D1475" s="4">
        <v>6047087002697</v>
      </c>
      <c r="E1475" s="8" t="s">
        <v>662</v>
      </c>
      <c r="F1475" s="8" t="s">
        <v>652</v>
      </c>
      <c r="G1475" s="7" t="s">
        <v>241</v>
      </c>
      <c r="H1475" s="47" t="s">
        <v>784</v>
      </c>
      <c r="I1475" s="47" t="s">
        <v>785</v>
      </c>
      <c r="J1475" s="6">
        <v>62</v>
      </c>
      <c r="K1475" s="8" t="s">
        <v>74</v>
      </c>
      <c r="L1475" s="5">
        <v>10</v>
      </c>
      <c r="P1475" s="3"/>
      <c r="Q1475" s="3"/>
      <c r="R1475" s="3"/>
    </row>
    <row r="1476" spans="1:18" x14ac:dyDescent="0.2">
      <c r="A1476" s="7" t="s">
        <v>16</v>
      </c>
      <c r="B1476" s="7" t="s">
        <v>60</v>
      </c>
      <c r="C1476" s="7" t="s">
        <v>18</v>
      </c>
      <c r="D1476" s="4">
        <v>6047087002697</v>
      </c>
      <c r="E1476" s="8" t="s">
        <v>662</v>
      </c>
      <c r="F1476" s="8" t="s">
        <v>652</v>
      </c>
      <c r="G1476" s="7" t="s">
        <v>241</v>
      </c>
      <c r="H1476" s="47" t="s">
        <v>784</v>
      </c>
      <c r="I1476" s="47" t="s">
        <v>785</v>
      </c>
      <c r="J1476" s="6">
        <v>64</v>
      </c>
      <c r="K1476" s="8" t="s">
        <v>68</v>
      </c>
      <c r="L1476" s="5">
        <v>22</v>
      </c>
      <c r="P1476" s="3"/>
      <c r="Q1476" s="3"/>
      <c r="R1476" s="3"/>
    </row>
    <row r="1477" spans="1:18" x14ac:dyDescent="0.2">
      <c r="A1477" s="7" t="s">
        <v>16</v>
      </c>
      <c r="B1477" s="7" t="s">
        <v>60</v>
      </c>
      <c r="C1477" s="7" t="s">
        <v>18</v>
      </c>
      <c r="D1477" s="4">
        <v>6047087003316</v>
      </c>
      <c r="E1477" s="8" t="s">
        <v>663</v>
      </c>
      <c r="F1477" s="8" t="s">
        <v>652</v>
      </c>
      <c r="G1477" s="7" t="s">
        <v>241</v>
      </c>
      <c r="H1477" s="47" t="s">
        <v>784</v>
      </c>
      <c r="I1477" s="47" t="s">
        <v>785</v>
      </c>
      <c r="J1477" s="6">
        <v>62</v>
      </c>
      <c r="K1477" s="8" t="s">
        <v>74</v>
      </c>
      <c r="L1477" s="5">
        <v>1</v>
      </c>
      <c r="P1477" s="3"/>
      <c r="Q1477" s="3"/>
      <c r="R1477" s="3"/>
    </row>
    <row r="1478" spans="1:18" x14ac:dyDescent="0.2">
      <c r="A1478" s="7" t="s">
        <v>16</v>
      </c>
      <c r="B1478" s="7" t="s">
        <v>60</v>
      </c>
      <c r="C1478" s="7" t="s">
        <v>18</v>
      </c>
      <c r="D1478" s="4">
        <v>7794623004896</v>
      </c>
      <c r="E1478" s="8" t="s">
        <v>664</v>
      </c>
      <c r="F1478" s="8" t="s">
        <v>652</v>
      </c>
      <c r="G1478" s="7" t="s">
        <v>241</v>
      </c>
      <c r="H1478" s="47" t="s">
        <v>784</v>
      </c>
      <c r="I1478" s="47" t="s">
        <v>785</v>
      </c>
      <c r="J1478" s="6">
        <v>70</v>
      </c>
      <c r="K1478" s="8" t="s">
        <v>22</v>
      </c>
      <c r="L1478" s="5">
        <v>1750</v>
      </c>
      <c r="P1478" s="3"/>
      <c r="Q1478" s="3"/>
      <c r="R1478" s="3"/>
    </row>
    <row r="1479" spans="1:18" x14ac:dyDescent="0.2">
      <c r="A1479" s="7" t="s">
        <v>16</v>
      </c>
      <c r="B1479" s="7" t="s">
        <v>60</v>
      </c>
      <c r="C1479" s="7" t="s">
        <v>18</v>
      </c>
      <c r="D1479" s="4">
        <v>8100676002102</v>
      </c>
      <c r="E1479" s="8" t="s">
        <v>665</v>
      </c>
      <c r="F1479" s="8" t="s">
        <v>652</v>
      </c>
      <c r="G1479" s="7" t="s">
        <v>241</v>
      </c>
      <c r="H1479" s="47" t="s">
        <v>784</v>
      </c>
      <c r="I1479" s="47" t="s">
        <v>785</v>
      </c>
      <c r="J1479" s="6">
        <v>62</v>
      </c>
      <c r="K1479" s="8" t="s">
        <v>74</v>
      </c>
      <c r="L1479" s="5">
        <v>16</v>
      </c>
      <c r="P1479" s="3"/>
      <c r="Q1479" s="3"/>
      <c r="R1479" s="3"/>
    </row>
    <row r="1480" spans="1:18" x14ac:dyDescent="0.2">
      <c r="A1480" s="7" t="s">
        <v>16</v>
      </c>
      <c r="B1480" s="7" t="s">
        <v>60</v>
      </c>
      <c r="C1480" s="7" t="s">
        <v>18</v>
      </c>
      <c r="D1480" s="4">
        <v>8100676002102</v>
      </c>
      <c r="E1480" s="8" t="s">
        <v>665</v>
      </c>
      <c r="F1480" s="8" t="s">
        <v>652</v>
      </c>
      <c r="G1480" s="7" t="s">
        <v>241</v>
      </c>
      <c r="H1480" s="47" t="s">
        <v>784</v>
      </c>
      <c r="I1480" s="47" t="s">
        <v>785</v>
      </c>
      <c r="J1480" s="6">
        <v>64</v>
      </c>
      <c r="K1480" s="8" t="s">
        <v>68</v>
      </c>
      <c r="L1480" s="5">
        <v>23</v>
      </c>
      <c r="P1480" s="3"/>
      <c r="Q1480" s="3"/>
      <c r="R1480" s="3"/>
    </row>
    <row r="1481" spans="1:18" x14ac:dyDescent="0.2">
      <c r="A1481" s="7" t="s">
        <v>16</v>
      </c>
      <c r="B1481" s="7" t="s">
        <v>60</v>
      </c>
      <c r="C1481" s="7" t="s">
        <v>18</v>
      </c>
      <c r="D1481" s="4">
        <v>9219138000401</v>
      </c>
      <c r="E1481" s="8" t="s">
        <v>706</v>
      </c>
      <c r="F1481" s="8" t="s">
        <v>652</v>
      </c>
      <c r="G1481" s="7" t="s">
        <v>241</v>
      </c>
      <c r="H1481" s="47" t="s">
        <v>784</v>
      </c>
      <c r="I1481" s="47" t="s">
        <v>785</v>
      </c>
      <c r="J1481" s="6">
        <v>70</v>
      </c>
      <c r="K1481" s="8" t="s">
        <v>22</v>
      </c>
      <c r="L1481" s="5">
        <v>285</v>
      </c>
      <c r="P1481" s="3"/>
      <c r="Q1481" s="3"/>
      <c r="R1481" s="3"/>
    </row>
    <row r="1482" spans="1:18" x14ac:dyDescent="0.2">
      <c r="A1482" s="7" t="s">
        <v>16</v>
      </c>
      <c r="B1482" s="7" t="s">
        <v>60</v>
      </c>
      <c r="C1482" s="7" t="s">
        <v>18</v>
      </c>
      <c r="D1482" s="4">
        <v>9219138000584</v>
      </c>
      <c r="E1482" s="8" t="s">
        <v>667</v>
      </c>
      <c r="F1482" s="8" t="s">
        <v>652</v>
      </c>
      <c r="G1482" s="7" t="s">
        <v>241</v>
      </c>
      <c r="H1482" s="47" t="s">
        <v>784</v>
      </c>
      <c r="I1482" s="47" t="s">
        <v>785</v>
      </c>
      <c r="J1482" s="6">
        <v>64</v>
      </c>
      <c r="K1482" s="8" t="s">
        <v>68</v>
      </c>
      <c r="L1482" s="5">
        <v>2</v>
      </c>
      <c r="P1482" s="3"/>
      <c r="Q1482" s="3"/>
      <c r="R1482" s="3"/>
    </row>
    <row r="1483" spans="1:18" x14ac:dyDescent="0.2">
      <c r="A1483" s="7" t="s">
        <v>16</v>
      </c>
      <c r="B1483" s="7" t="s">
        <v>60</v>
      </c>
      <c r="C1483" s="7" t="s">
        <v>18</v>
      </c>
      <c r="D1483" s="4">
        <v>9219138000584</v>
      </c>
      <c r="E1483" s="8" t="s">
        <v>667</v>
      </c>
      <c r="F1483" s="8" t="s">
        <v>652</v>
      </c>
      <c r="G1483" s="7" t="s">
        <v>241</v>
      </c>
      <c r="H1483" s="47" t="s">
        <v>784</v>
      </c>
      <c r="I1483" s="47" t="s">
        <v>785</v>
      </c>
      <c r="J1483" s="6">
        <v>70</v>
      </c>
      <c r="K1483" s="8" t="s">
        <v>22</v>
      </c>
      <c r="L1483" s="5">
        <v>1455</v>
      </c>
      <c r="P1483" s="3"/>
      <c r="Q1483" s="3"/>
      <c r="R1483" s="3"/>
    </row>
    <row r="1484" spans="1:18" x14ac:dyDescent="0.2">
      <c r="A1484" s="7" t="s">
        <v>16</v>
      </c>
      <c r="B1484" s="7" t="s">
        <v>60</v>
      </c>
      <c r="C1484" s="7" t="s">
        <v>18</v>
      </c>
      <c r="D1484" s="4">
        <v>9219138000584</v>
      </c>
      <c r="E1484" s="8" t="s">
        <v>667</v>
      </c>
      <c r="F1484" s="8" t="s">
        <v>652</v>
      </c>
      <c r="G1484" s="7" t="s">
        <v>241</v>
      </c>
      <c r="H1484" s="47" t="s">
        <v>784</v>
      </c>
      <c r="I1484" s="47" t="s">
        <v>785</v>
      </c>
      <c r="J1484" s="6">
        <v>73</v>
      </c>
      <c r="K1484" s="8" t="s">
        <v>69</v>
      </c>
      <c r="L1484" s="5">
        <v>140</v>
      </c>
      <c r="P1484" s="3"/>
      <c r="Q1484" s="3"/>
      <c r="R1484" s="3"/>
    </row>
    <row r="1485" spans="1:18" x14ac:dyDescent="0.2">
      <c r="A1485" s="7" t="s">
        <v>16</v>
      </c>
      <c r="B1485" s="7" t="s">
        <v>60</v>
      </c>
      <c r="C1485" s="7" t="s">
        <v>18</v>
      </c>
      <c r="D1485" s="4">
        <v>18010750000100</v>
      </c>
      <c r="E1485" s="8" t="s">
        <v>671</v>
      </c>
      <c r="F1485" s="8" t="s">
        <v>652</v>
      </c>
      <c r="G1485" s="7" t="s">
        <v>241</v>
      </c>
      <c r="H1485" s="47" t="s">
        <v>784</v>
      </c>
      <c r="I1485" s="47" t="s">
        <v>785</v>
      </c>
      <c r="J1485" s="6">
        <v>62</v>
      </c>
      <c r="K1485" s="8" t="s">
        <v>74</v>
      </c>
      <c r="L1485" s="5">
        <v>2</v>
      </c>
      <c r="P1485" s="3"/>
      <c r="Q1485" s="3"/>
      <c r="R1485" s="3"/>
    </row>
    <row r="1486" spans="1:18" x14ac:dyDescent="0.2">
      <c r="A1486" s="7" t="s">
        <v>16</v>
      </c>
      <c r="B1486" s="7" t="s">
        <v>60</v>
      </c>
      <c r="C1486" s="7" t="s">
        <v>18</v>
      </c>
      <c r="D1486" s="4">
        <v>18010750000100</v>
      </c>
      <c r="E1486" s="8" t="s">
        <v>671</v>
      </c>
      <c r="F1486" s="8" t="s">
        <v>652</v>
      </c>
      <c r="G1486" s="7" t="s">
        <v>241</v>
      </c>
      <c r="H1486" s="47" t="s">
        <v>784</v>
      </c>
      <c r="I1486" s="47" t="s">
        <v>785</v>
      </c>
      <c r="J1486" s="6">
        <v>70</v>
      </c>
      <c r="K1486" s="8" t="s">
        <v>22</v>
      </c>
      <c r="L1486" s="5">
        <v>290</v>
      </c>
      <c r="P1486" s="3"/>
      <c r="Q1486" s="3"/>
      <c r="R1486" s="3"/>
    </row>
    <row r="1487" spans="1:18" x14ac:dyDescent="0.2">
      <c r="A1487" s="7" t="s">
        <v>16</v>
      </c>
      <c r="B1487" s="7" t="s">
        <v>60</v>
      </c>
      <c r="C1487" s="7" t="s">
        <v>18</v>
      </c>
      <c r="D1487" s="4">
        <v>21109731000140</v>
      </c>
      <c r="E1487" s="8" t="s">
        <v>672</v>
      </c>
      <c r="F1487" s="8" t="s">
        <v>652</v>
      </c>
      <c r="G1487" s="7" t="s">
        <v>241</v>
      </c>
      <c r="H1487" s="47" t="s">
        <v>784</v>
      </c>
      <c r="I1487" s="47" t="s">
        <v>785</v>
      </c>
      <c r="J1487" s="6">
        <v>73</v>
      </c>
      <c r="K1487" s="8" t="s">
        <v>69</v>
      </c>
      <c r="L1487" s="5">
        <v>112</v>
      </c>
      <c r="P1487" s="3"/>
      <c r="Q1487" s="3"/>
      <c r="R1487" s="3"/>
    </row>
    <row r="1488" spans="1:18" x14ac:dyDescent="0.2">
      <c r="A1488" s="7" t="s">
        <v>16</v>
      </c>
      <c r="B1488" s="7" t="s">
        <v>60</v>
      </c>
      <c r="C1488" s="7" t="s">
        <v>18</v>
      </c>
      <c r="D1488" s="4">
        <v>21265360000195</v>
      </c>
      <c r="E1488" s="8" t="s">
        <v>673</v>
      </c>
      <c r="F1488" s="8" t="s">
        <v>652</v>
      </c>
      <c r="G1488" s="7" t="s">
        <v>241</v>
      </c>
      <c r="H1488" s="47" t="s">
        <v>784</v>
      </c>
      <c r="I1488" s="47" t="s">
        <v>785</v>
      </c>
      <c r="J1488" s="6">
        <v>73</v>
      </c>
      <c r="K1488" s="8" t="s">
        <v>69</v>
      </c>
      <c r="L1488" s="5">
        <v>16</v>
      </c>
      <c r="P1488" s="3"/>
      <c r="Q1488" s="3"/>
      <c r="R1488" s="3"/>
    </row>
    <row r="1489" spans="1:81" x14ac:dyDescent="0.2">
      <c r="A1489" s="7" t="s">
        <v>16</v>
      </c>
      <c r="B1489" s="7" t="s">
        <v>60</v>
      </c>
      <c r="C1489" s="7" t="s">
        <v>18</v>
      </c>
      <c r="D1489" s="4">
        <v>24217779000160</v>
      </c>
      <c r="E1489" s="8" t="s">
        <v>674</v>
      </c>
      <c r="F1489" s="8" t="s">
        <v>652</v>
      </c>
      <c r="G1489" s="7" t="s">
        <v>241</v>
      </c>
      <c r="H1489" s="47" t="s">
        <v>784</v>
      </c>
      <c r="I1489" s="47" t="s">
        <v>785</v>
      </c>
      <c r="J1489" s="6">
        <v>62</v>
      </c>
      <c r="K1489" s="8" t="s">
        <v>74</v>
      </c>
      <c r="L1489" s="5">
        <v>14</v>
      </c>
    </row>
    <row r="1490" spans="1:81" x14ac:dyDescent="0.2">
      <c r="A1490" s="7" t="s">
        <v>16</v>
      </c>
      <c r="B1490" s="7" t="s">
        <v>60</v>
      </c>
      <c r="C1490" s="7" t="s">
        <v>18</v>
      </c>
      <c r="D1490" s="4">
        <v>24217779000160</v>
      </c>
      <c r="E1490" s="8" t="s">
        <v>674</v>
      </c>
      <c r="F1490" s="8" t="s">
        <v>652</v>
      </c>
      <c r="G1490" s="7" t="s">
        <v>241</v>
      </c>
      <c r="H1490" s="47" t="s">
        <v>784</v>
      </c>
      <c r="I1490" s="47" t="s">
        <v>785</v>
      </c>
      <c r="J1490" s="6">
        <v>64</v>
      </c>
      <c r="K1490" s="8" t="s">
        <v>68</v>
      </c>
      <c r="L1490" s="5">
        <v>29</v>
      </c>
    </row>
    <row r="1491" spans="1:81" x14ac:dyDescent="0.2">
      <c r="A1491" s="7" t="s">
        <v>16</v>
      </c>
      <c r="B1491" s="7" t="s">
        <v>60</v>
      </c>
      <c r="C1491" s="7" t="s">
        <v>18</v>
      </c>
      <c r="D1491" s="4">
        <v>27901222000131</v>
      </c>
      <c r="E1491" s="8" t="s">
        <v>675</v>
      </c>
      <c r="F1491" s="8" t="s">
        <v>652</v>
      </c>
      <c r="G1491" s="7" t="s">
        <v>241</v>
      </c>
      <c r="H1491" s="47" t="s">
        <v>784</v>
      </c>
      <c r="I1491" s="47" t="s">
        <v>785</v>
      </c>
      <c r="J1491" s="6">
        <v>62</v>
      </c>
      <c r="K1491" s="8" t="s">
        <v>74</v>
      </c>
      <c r="L1491" s="5">
        <v>6</v>
      </c>
    </row>
    <row r="1492" spans="1:81" x14ac:dyDescent="0.2">
      <c r="A1492" s="7" t="s">
        <v>16</v>
      </c>
      <c r="B1492" s="7" t="s">
        <v>60</v>
      </c>
      <c r="C1492" s="7" t="s">
        <v>18</v>
      </c>
      <c r="D1492" s="4">
        <v>28000107000159</v>
      </c>
      <c r="E1492" s="8" t="s">
        <v>676</v>
      </c>
      <c r="F1492" s="8" t="s">
        <v>652</v>
      </c>
      <c r="G1492" s="7" t="s">
        <v>241</v>
      </c>
      <c r="H1492" s="47" t="s">
        <v>784</v>
      </c>
      <c r="I1492" s="47" t="s">
        <v>785</v>
      </c>
      <c r="J1492" s="6">
        <v>70</v>
      </c>
      <c r="K1492" s="8" t="s">
        <v>22</v>
      </c>
      <c r="L1492" s="5">
        <v>150</v>
      </c>
    </row>
    <row r="1493" spans="1:81" x14ac:dyDescent="0.2">
      <c r="A1493" s="7" t="s">
        <v>16</v>
      </c>
      <c r="B1493" s="7" t="s">
        <v>60</v>
      </c>
      <c r="C1493" s="7" t="s">
        <v>18</v>
      </c>
      <c r="D1493" s="4">
        <v>28000107000159</v>
      </c>
      <c r="E1493" s="8" t="s">
        <v>676</v>
      </c>
      <c r="F1493" s="8" t="s">
        <v>652</v>
      </c>
      <c r="G1493" s="7" t="s">
        <v>241</v>
      </c>
      <c r="H1493" s="47" t="s">
        <v>784</v>
      </c>
      <c r="I1493" s="47" t="s">
        <v>785</v>
      </c>
      <c r="J1493" s="6">
        <v>73</v>
      </c>
      <c r="K1493" s="8" t="s">
        <v>69</v>
      </c>
      <c r="L1493" s="5">
        <v>126</v>
      </c>
    </row>
    <row r="1494" spans="1:81" x14ac:dyDescent="0.2">
      <c r="A1494" s="7" t="s">
        <v>16</v>
      </c>
      <c r="B1494" s="7" t="s">
        <v>60</v>
      </c>
      <c r="C1494" s="7" t="s">
        <v>18</v>
      </c>
      <c r="D1494" s="4">
        <v>28602407000108</v>
      </c>
      <c r="E1494" s="8" t="s">
        <v>677</v>
      </c>
      <c r="F1494" s="8" t="s">
        <v>652</v>
      </c>
      <c r="G1494" s="7" t="s">
        <v>241</v>
      </c>
      <c r="H1494" s="47" t="s">
        <v>784</v>
      </c>
      <c r="I1494" s="47" t="s">
        <v>785</v>
      </c>
      <c r="J1494" s="6">
        <v>62</v>
      </c>
      <c r="K1494" s="8" t="s">
        <v>74</v>
      </c>
      <c r="L1494" s="5">
        <v>1</v>
      </c>
    </row>
    <row r="1495" spans="1:81" x14ac:dyDescent="0.2">
      <c r="A1495" s="7" t="s">
        <v>16</v>
      </c>
      <c r="B1495" s="7" t="s">
        <v>60</v>
      </c>
      <c r="C1495" s="7" t="s">
        <v>18</v>
      </c>
      <c r="D1495" s="4">
        <v>28602407000108</v>
      </c>
      <c r="E1495" s="8" t="s">
        <v>677</v>
      </c>
      <c r="F1495" s="8" t="s">
        <v>652</v>
      </c>
      <c r="G1495" s="7" t="s">
        <v>241</v>
      </c>
      <c r="H1495" s="47" t="s">
        <v>784</v>
      </c>
      <c r="I1495" s="47" t="s">
        <v>785</v>
      </c>
      <c r="J1495" s="6">
        <v>64</v>
      </c>
      <c r="K1495" s="8" t="s">
        <v>68</v>
      </c>
      <c r="L1495" s="5">
        <v>5</v>
      </c>
      <c r="M1495" s="15"/>
      <c r="N1495" s="15"/>
      <c r="O1495" s="15"/>
      <c r="P1495" s="15"/>
      <c r="Q1495" s="15"/>
      <c r="R1495" s="15"/>
    </row>
    <row r="1496" spans="1:81" x14ac:dyDescent="0.2">
      <c r="A1496" s="7" t="s">
        <v>16</v>
      </c>
      <c r="B1496" s="7" t="s">
        <v>60</v>
      </c>
      <c r="C1496" s="7" t="s">
        <v>18</v>
      </c>
      <c r="D1496" s="4">
        <v>28602407000108</v>
      </c>
      <c r="E1496" s="8" t="s">
        <v>677</v>
      </c>
      <c r="F1496" s="8" t="s">
        <v>652</v>
      </c>
      <c r="G1496" s="7" t="s">
        <v>241</v>
      </c>
      <c r="H1496" s="47" t="s">
        <v>784</v>
      </c>
      <c r="I1496" s="47" t="s">
        <v>785</v>
      </c>
      <c r="J1496" s="6">
        <v>73</v>
      </c>
      <c r="K1496" s="8" t="s">
        <v>69</v>
      </c>
      <c r="L1496" s="5">
        <v>4</v>
      </c>
      <c r="S1496" s="15"/>
      <c r="T1496" s="15"/>
      <c r="U1496" s="15"/>
      <c r="V1496" s="15"/>
      <c r="W1496" s="15"/>
      <c r="X1496" s="15"/>
      <c r="Y1496" s="15"/>
      <c r="Z1496" s="15"/>
      <c r="AA1496" s="15"/>
      <c r="AB1496" s="15"/>
      <c r="AC1496" s="15"/>
      <c r="AD1496" s="15"/>
      <c r="AE1496" s="15"/>
      <c r="AF1496" s="15"/>
      <c r="AG1496" s="15"/>
      <c r="AH1496" s="15"/>
      <c r="AI1496" s="15"/>
      <c r="AJ1496" s="15"/>
      <c r="AK1496" s="15"/>
      <c r="AL1496" s="15"/>
      <c r="AM1496" s="15"/>
      <c r="AN1496" s="15"/>
      <c r="AO1496" s="15"/>
      <c r="AP1496" s="15"/>
      <c r="AQ1496" s="15"/>
      <c r="AR1496" s="15"/>
      <c r="AS1496" s="15"/>
      <c r="AT1496" s="15"/>
      <c r="AU1496" s="15"/>
      <c r="AV1496" s="15"/>
      <c r="AW1496" s="15"/>
      <c r="AX1496" s="15"/>
      <c r="AY1496" s="15"/>
      <c r="AZ1496" s="15"/>
      <c r="BA1496" s="15"/>
      <c r="BB1496" s="15"/>
      <c r="BC1496" s="15"/>
      <c r="BD1496" s="15"/>
      <c r="BE1496" s="15"/>
      <c r="BF1496" s="15"/>
      <c r="BG1496" s="15"/>
      <c r="BH1496" s="15"/>
      <c r="BI1496" s="15"/>
      <c r="BJ1496" s="15"/>
      <c r="BK1496" s="15"/>
      <c r="BL1496" s="15"/>
      <c r="BM1496" s="15"/>
      <c r="BN1496" s="15"/>
      <c r="BO1496" s="15"/>
      <c r="BP1496" s="15"/>
      <c r="BQ1496" s="15"/>
      <c r="BR1496" s="15"/>
      <c r="BS1496" s="15"/>
      <c r="BT1496" s="15"/>
      <c r="BU1496" s="15"/>
      <c r="BV1496" s="15"/>
      <c r="BW1496" s="15"/>
      <c r="BX1496" s="15"/>
      <c r="BY1496" s="15"/>
      <c r="BZ1496" s="15"/>
      <c r="CA1496" s="15"/>
      <c r="CB1496" s="15"/>
      <c r="CC1496" s="15"/>
    </row>
    <row r="1497" spans="1:81" x14ac:dyDescent="0.2">
      <c r="A1497" s="7" t="s">
        <v>16</v>
      </c>
      <c r="B1497" s="7" t="s">
        <v>60</v>
      </c>
      <c r="C1497" s="7" t="s">
        <v>18</v>
      </c>
      <c r="D1497" s="4">
        <v>29259736000403</v>
      </c>
      <c r="E1497" s="8" t="s">
        <v>678</v>
      </c>
      <c r="F1497" s="8" t="s">
        <v>652</v>
      </c>
      <c r="G1497" s="7" t="s">
        <v>241</v>
      </c>
      <c r="H1497" s="47" t="s">
        <v>784</v>
      </c>
      <c r="I1497" s="47" t="s">
        <v>785</v>
      </c>
      <c r="J1497" s="6">
        <v>64</v>
      </c>
      <c r="K1497" s="8" t="s">
        <v>68</v>
      </c>
      <c r="L1497" s="5">
        <v>3</v>
      </c>
      <c r="P1497" s="3"/>
      <c r="Q1497" s="3"/>
      <c r="R1497" s="3"/>
    </row>
    <row r="1498" spans="1:81" x14ac:dyDescent="0.2">
      <c r="A1498" s="7" t="s">
        <v>16</v>
      </c>
      <c r="B1498" s="7" t="s">
        <v>60</v>
      </c>
      <c r="C1498" s="7" t="s">
        <v>18</v>
      </c>
      <c r="D1498" s="4">
        <v>29259736000403</v>
      </c>
      <c r="E1498" s="8" t="s">
        <v>678</v>
      </c>
      <c r="F1498" s="8" t="s">
        <v>652</v>
      </c>
      <c r="G1498" s="7" t="s">
        <v>241</v>
      </c>
      <c r="H1498" s="47" t="s">
        <v>784</v>
      </c>
      <c r="I1498" s="47" t="s">
        <v>785</v>
      </c>
      <c r="J1498" s="6">
        <v>73</v>
      </c>
      <c r="K1498" s="8" t="s">
        <v>69</v>
      </c>
      <c r="L1498" s="5">
        <v>1</v>
      </c>
      <c r="AT1498" s="4"/>
      <c r="AV1498" s="4"/>
    </row>
    <row r="1499" spans="1:81" x14ac:dyDescent="0.2">
      <c r="A1499" s="7" t="s">
        <v>16</v>
      </c>
      <c r="B1499" s="7" t="s">
        <v>60</v>
      </c>
      <c r="C1499" s="7" t="s">
        <v>18</v>
      </c>
      <c r="D1499" s="4">
        <v>29435005005198</v>
      </c>
      <c r="E1499" s="8" t="s">
        <v>679</v>
      </c>
      <c r="F1499" s="8" t="s">
        <v>652</v>
      </c>
      <c r="G1499" s="7" t="s">
        <v>241</v>
      </c>
      <c r="H1499" s="47" t="s">
        <v>784</v>
      </c>
      <c r="I1499" s="47" t="s">
        <v>785</v>
      </c>
      <c r="J1499" s="6">
        <v>62</v>
      </c>
      <c r="K1499" s="8" t="s">
        <v>74</v>
      </c>
      <c r="L1499" s="5">
        <v>14</v>
      </c>
    </row>
    <row r="1500" spans="1:81" x14ac:dyDescent="0.2">
      <c r="A1500" s="7" t="s">
        <v>16</v>
      </c>
      <c r="B1500" s="7" t="s">
        <v>60</v>
      </c>
      <c r="C1500" s="7" t="s">
        <v>18</v>
      </c>
      <c r="D1500" s="4">
        <v>29435005005198</v>
      </c>
      <c r="E1500" s="8" t="s">
        <v>679</v>
      </c>
      <c r="F1500" s="8" t="s">
        <v>652</v>
      </c>
      <c r="G1500" s="7" t="s">
        <v>241</v>
      </c>
      <c r="H1500" s="47" t="s">
        <v>784</v>
      </c>
      <c r="I1500" s="47" t="s">
        <v>785</v>
      </c>
      <c r="J1500" s="6">
        <v>64</v>
      </c>
      <c r="K1500" s="8" t="s">
        <v>68</v>
      </c>
      <c r="L1500" s="5">
        <v>15</v>
      </c>
    </row>
    <row r="1501" spans="1:81" x14ac:dyDescent="0.2">
      <c r="A1501" s="7" t="s">
        <v>16</v>
      </c>
      <c r="B1501" s="7" t="s">
        <v>60</v>
      </c>
      <c r="C1501" s="7" t="s">
        <v>18</v>
      </c>
      <c r="D1501" s="4">
        <v>29435005005783</v>
      </c>
      <c r="E1501" s="8" t="s">
        <v>680</v>
      </c>
      <c r="F1501" s="8" t="s">
        <v>652</v>
      </c>
      <c r="G1501" s="7" t="s">
        <v>241</v>
      </c>
      <c r="H1501" s="47" t="s">
        <v>784</v>
      </c>
      <c r="I1501" s="47" t="s">
        <v>785</v>
      </c>
      <c r="J1501" s="6">
        <v>64</v>
      </c>
      <c r="K1501" s="8" t="s">
        <v>68</v>
      </c>
      <c r="L1501" s="5">
        <v>1</v>
      </c>
    </row>
    <row r="1502" spans="1:81" x14ac:dyDescent="0.2">
      <c r="A1502" s="7" t="s">
        <v>16</v>
      </c>
      <c r="B1502" s="7" t="s">
        <v>60</v>
      </c>
      <c r="C1502" s="7" t="s">
        <v>18</v>
      </c>
      <c r="D1502" s="4">
        <v>29435005005783</v>
      </c>
      <c r="E1502" s="8" t="s">
        <v>680</v>
      </c>
      <c r="F1502" s="8" t="s">
        <v>652</v>
      </c>
      <c r="G1502" s="7" t="s">
        <v>241</v>
      </c>
      <c r="H1502" s="47" t="s">
        <v>784</v>
      </c>
      <c r="I1502" s="47" t="s">
        <v>785</v>
      </c>
      <c r="J1502" s="6">
        <v>70</v>
      </c>
      <c r="K1502" s="8" t="s">
        <v>22</v>
      </c>
      <c r="L1502" s="5">
        <v>250</v>
      </c>
    </row>
    <row r="1503" spans="1:81" x14ac:dyDescent="0.2">
      <c r="A1503" s="7" t="s">
        <v>16</v>
      </c>
      <c r="B1503" s="7" t="s">
        <v>60</v>
      </c>
      <c r="C1503" s="7" t="s">
        <v>18</v>
      </c>
      <c r="D1503" s="4">
        <v>29435005006160</v>
      </c>
      <c r="E1503" s="8" t="s">
        <v>681</v>
      </c>
      <c r="F1503" s="8" t="s">
        <v>652</v>
      </c>
      <c r="G1503" s="7" t="s">
        <v>241</v>
      </c>
      <c r="H1503" s="47" t="s">
        <v>784</v>
      </c>
      <c r="I1503" s="47" t="s">
        <v>785</v>
      </c>
      <c r="J1503" s="6">
        <v>64</v>
      </c>
      <c r="K1503" s="8" t="s">
        <v>68</v>
      </c>
      <c r="L1503" s="5">
        <v>10</v>
      </c>
    </row>
    <row r="1504" spans="1:81" x14ac:dyDescent="0.2">
      <c r="A1504" s="7" t="s">
        <v>16</v>
      </c>
      <c r="B1504" s="7" t="s">
        <v>60</v>
      </c>
      <c r="C1504" s="7" t="s">
        <v>18</v>
      </c>
      <c r="D1504" s="4">
        <v>29435005006160</v>
      </c>
      <c r="E1504" s="8" t="s">
        <v>681</v>
      </c>
      <c r="F1504" s="8" t="s">
        <v>652</v>
      </c>
      <c r="G1504" s="7" t="s">
        <v>241</v>
      </c>
      <c r="H1504" s="47" t="s">
        <v>784</v>
      </c>
      <c r="I1504" s="47" t="s">
        <v>785</v>
      </c>
      <c r="J1504" s="6">
        <v>70</v>
      </c>
      <c r="K1504" s="8" t="s">
        <v>22</v>
      </c>
      <c r="L1504" s="5">
        <v>80</v>
      </c>
    </row>
    <row r="1505" spans="1:12" x14ac:dyDescent="0.2">
      <c r="A1505" s="7" t="s">
        <v>16</v>
      </c>
      <c r="B1505" s="7" t="s">
        <v>60</v>
      </c>
      <c r="C1505" s="7" t="s">
        <v>18</v>
      </c>
      <c r="D1505" s="4">
        <v>31635857000292</v>
      </c>
      <c r="E1505" s="8" t="s">
        <v>683</v>
      </c>
      <c r="F1505" s="8" t="s">
        <v>652</v>
      </c>
      <c r="G1505" s="7" t="s">
        <v>241</v>
      </c>
      <c r="H1505" s="47" t="s">
        <v>784</v>
      </c>
      <c r="I1505" s="47" t="s">
        <v>785</v>
      </c>
      <c r="J1505" s="6">
        <v>73</v>
      </c>
      <c r="K1505" s="8" t="s">
        <v>69</v>
      </c>
      <c r="L1505" s="5">
        <v>16</v>
      </c>
    </row>
    <row r="1506" spans="1:12" x14ac:dyDescent="0.2">
      <c r="A1506" s="7" t="s">
        <v>16</v>
      </c>
      <c r="B1506" s="7" t="s">
        <v>60</v>
      </c>
      <c r="C1506" s="7" t="s">
        <v>18</v>
      </c>
      <c r="D1506" s="4">
        <v>33000167000101</v>
      </c>
      <c r="E1506" s="8" t="s">
        <v>685</v>
      </c>
      <c r="F1506" s="8" t="s">
        <v>652</v>
      </c>
      <c r="G1506" s="7" t="s">
        <v>241</v>
      </c>
      <c r="H1506" s="47" t="s">
        <v>784</v>
      </c>
      <c r="I1506" s="47" t="s">
        <v>785</v>
      </c>
      <c r="J1506" s="6">
        <v>70</v>
      </c>
      <c r="K1506" s="8" t="s">
        <v>22</v>
      </c>
      <c r="L1506" s="5">
        <v>120</v>
      </c>
    </row>
    <row r="1507" spans="1:12" x14ac:dyDescent="0.2">
      <c r="A1507" s="7" t="s">
        <v>16</v>
      </c>
      <c r="B1507" s="7" t="s">
        <v>60</v>
      </c>
      <c r="C1507" s="7" t="s">
        <v>18</v>
      </c>
      <c r="D1507" s="4">
        <v>33419482000259</v>
      </c>
      <c r="E1507" s="8" t="s">
        <v>686</v>
      </c>
      <c r="F1507" s="8" t="s">
        <v>652</v>
      </c>
      <c r="G1507" s="7" t="s">
        <v>241</v>
      </c>
      <c r="H1507" s="47" t="s">
        <v>784</v>
      </c>
      <c r="I1507" s="47" t="s">
        <v>785</v>
      </c>
      <c r="J1507" s="6">
        <v>62</v>
      </c>
      <c r="K1507" s="8" t="s">
        <v>74</v>
      </c>
      <c r="L1507" s="5">
        <v>7</v>
      </c>
    </row>
    <row r="1508" spans="1:12" x14ac:dyDescent="0.2">
      <c r="A1508" s="7" t="s">
        <v>16</v>
      </c>
      <c r="B1508" s="7" t="s">
        <v>60</v>
      </c>
      <c r="C1508" s="7" t="s">
        <v>18</v>
      </c>
      <c r="D1508" s="4">
        <v>33419482000259</v>
      </c>
      <c r="E1508" s="8" t="s">
        <v>686</v>
      </c>
      <c r="F1508" s="8" t="s">
        <v>652</v>
      </c>
      <c r="G1508" s="7" t="s">
        <v>241</v>
      </c>
      <c r="H1508" s="47" t="s">
        <v>784</v>
      </c>
      <c r="I1508" s="47" t="s">
        <v>785</v>
      </c>
      <c r="J1508" s="6">
        <v>64</v>
      </c>
      <c r="K1508" s="8" t="s">
        <v>68</v>
      </c>
      <c r="L1508" s="5">
        <v>3</v>
      </c>
    </row>
    <row r="1509" spans="1:12" x14ac:dyDescent="0.2">
      <c r="A1509" s="7" t="s">
        <v>16</v>
      </c>
      <c r="B1509" s="7" t="s">
        <v>60</v>
      </c>
      <c r="C1509" s="7" t="s">
        <v>18</v>
      </c>
      <c r="D1509" s="4">
        <v>33419482000259</v>
      </c>
      <c r="E1509" s="8" t="s">
        <v>686</v>
      </c>
      <c r="F1509" s="8" t="s">
        <v>652</v>
      </c>
      <c r="G1509" s="7" t="s">
        <v>241</v>
      </c>
      <c r="H1509" s="47" t="s">
        <v>784</v>
      </c>
      <c r="I1509" s="47" t="s">
        <v>785</v>
      </c>
      <c r="J1509" s="6">
        <v>70</v>
      </c>
      <c r="K1509" s="8" t="s">
        <v>22</v>
      </c>
      <c r="L1509" s="5">
        <v>20</v>
      </c>
    </row>
    <row r="1510" spans="1:12" x14ac:dyDescent="0.2">
      <c r="A1510" s="7" t="s">
        <v>16</v>
      </c>
      <c r="B1510" s="7" t="s">
        <v>60</v>
      </c>
      <c r="C1510" s="7" t="s">
        <v>18</v>
      </c>
      <c r="D1510" s="4">
        <v>33663683005347</v>
      </c>
      <c r="E1510" s="8" t="s">
        <v>688</v>
      </c>
      <c r="F1510" s="8" t="s">
        <v>652</v>
      </c>
      <c r="G1510" s="7" t="s">
        <v>241</v>
      </c>
      <c r="H1510" s="47" t="s">
        <v>784</v>
      </c>
      <c r="I1510" s="47" t="s">
        <v>785</v>
      </c>
      <c r="J1510" s="6">
        <v>62</v>
      </c>
      <c r="K1510" s="8" t="s">
        <v>74</v>
      </c>
      <c r="L1510" s="5">
        <v>24</v>
      </c>
    </row>
    <row r="1511" spans="1:12" x14ac:dyDescent="0.2">
      <c r="A1511" s="7" t="s">
        <v>16</v>
      </c>
      <c r="B1511" s="7" t="s">
        <v>60</v>
      </c>
      <c r="C1511" s="7" t="s">
        <v>18</v>
      </c>
      <c r="D1511" s="4">
        <v>33663683005347</v>
      </c>
      <c r="E1511" s="8" t="s">
        <v>688</v>
      </c>
      <c r="F1511" s="8" t="s">
        <v>652</v>
      </c>
      <c r="G1511" s="7" t="s">
        <v>241</v>
      </c>
      <c r="H1511" s="47" t="s">
        <v>784</v>
      </c>
      <c r="I1511" s="47" t="s">
        <v>785</v>
      </c>
      <c r="J1511" s="6">
        <v>64</v>
      </c>
      <c r="K1511" s="8" t="s">
        <v>68</v>
      </c>
      <c r="L1511" s="5">
        <v>24</v>
      </c>
    </row>
    <row r="1512" spans="1:12" x14ac:dyDescent="0.2">
      <c r="A1512" s="7" t="s">
        <v>16</v>
      </c>
      <c r="B1512" s="7" t="s">
        <v>60</v>
      </c>
      <c r="C1512" s="7" t="s">
        <v>18</v>
      </c>
      <c r="D1512" s="4">
        <v>33663683005347</v>
      </c>
      <c r="E1512" s="8" t="s">
        <v>688</v>
      </c>
      <c r="F1512" s="8" t="s">
        <v>652</v>
      </c>
      <c r="G1512" s="7" t="s">
        <v>241</v>
      </c>
      <c r="H1512" s="47" t="s">
        <v>784</v>
      </c>
      <c r="I1512" s="47" t="s">
        <v>785</v>
      </c>
      <c r="J1512" s="6">
        <v>70</v>
      </c>
      <c r="K1512" s="8" t="s">
        <v>22</v>
      </c>
      <c r="L1512" s="5">
        <v>2400</v>
      </c>
    </row>
    <row r="1513" spans="1:12" x14ac:dyDescent="0.2">
      <c r="A1513" s="7" t="s">
        <v>16</v>
      </c>
      <c r="B1513" s="7" t="s">
        <v>60</v>
      </c>
      <c r="C1513" s="7" t="s">
        <v>18</v>
      </c>
      <c r="D1513" s="4">
        <v>39086160000130</v>
      </c>
      <c r="E1513" s="8" t="s">
        <v>691</v>
      </c>
      <c r="F1513" s="8" t="s">
        <v>652</v>
      </c>
      <c r="G1513" s="7" t="s">
        <v>241</v>
      </c>
      <c r="H1513" s="47" t="s">
        <v>784</v>
      </c>
      <c r="I1513" s="47" t="s">
        <v>785</v>
      </c>
      <c r="J1513" s="6">
        <v>70</v>
      </c>
      <c r="K1513" s="8" t="s">
        <v>22</v>
      </c>
      <c r="L1513" s="5">
        <v>180</v>
      </c>
    </row>
    <row r="1514" spans="1:12" x14ac:dyDescent="0.2">
      <c r="A1514" s="7" t="s">
        <v>16</v>
      </c>
      <c r="B1514" s="7" t="s">
        <v>60</v>
      </c>
      <c r="C1514" s="7" t="s">
        <v>18</v>
      </c>
      <c r="D1514" s="4">
        <v>39086160000130</v>
      </c>
      <c r="E1514" s="8" t="s">
        <v>691</v>
      </c>
      <c r="F1514" s="8" t="s">
        <v>652</v>
      </c>
      <c r="G1514" s="7" t="s">
        <v>241</v>
      </c>
      <c r="H1514" s="47" t="s">
        <v>784</v>
      </c>
      <c r="I1514" s="47" t="s">
        <v>785</v>
      </c>
      <c r="J1514" s="6">
        <v>73</v>
      </c>
      <c r="K1514" s="8" t="s">
        <v>69</v>
      </c>
      <c r="L1514" s="5">
        <v>88</v>
      </c>
    </row>
    <row r="1515" spans="1:12" x14ac:dyDescent="0.2">
      <c r="A1515" s="7" t="s">
        <v>16</v>
      </c>
      <c r="B1515" s="7" t="s">
        <v>60</v>
      </c>
      <c r="C1515" s="7" t="s">
        <v>18</v>
      </c>
      <c r="D1515" s="4">
        <v>40226946000276</v>
      </c>
      <c r="E1515" s="8" t="s">
        <v>707</v>
      </c>
      <c r="F1515" s="8" t="s">
        <v>652</v>
      </c>
      <c r="G1515" s="7" t="s">
        <v>241</v>
      </c>
      <c r="H1515" s="47" t="s">
        <v>784</v>
      </c>
      <c r="I1515" s="47" t="s">
        <v>785</v>
      </c>
      <c r="J1515" s="6">
        <v>64</v>
      </c>
      <c r="K1515" s="8" t="s">
        <v>68</v>
      </c>
      <c r="L1515" s="5">
        <v>2</v>
      </c>
    </row>
    <row r="1516" spans="1:12" x14ac:dyDescent="0.2">
      <c r="A1516" s="7" t="s">
        <v>16</v>
      </c>
      <c r="B1516" s="7" t="s">
        <v>60</v>
      </c>
      <c r="C1516" s="7" t="s">
        <v>18</v>
      </c>
      <c r="D1516" s="4">
        <v>60884855001630</v>
      </c>
      <c r="E1516" s="8" t="s">
        <v>693</v>
      </c>
      <c r="F1516" s="8" t="s">
        <v>652</v>
      </c>
      <c r="G1516" s="7" t="s">
        <v>241</v>
      </c>
      <c r="H1516" s="47" t="s">
        <v>784</v>
      </c>
      <c r="I1516" s="47" t="s">
        <v>785</v>
      </c>
      <c r="J1516" s="6">
        <v>62</v>
      </c>
      <c r="K1516" s="8" t="s">
        <v>74</v>
      </c>
      <c r="L1516" s="5">
        <v>5</v>
      </c>
    </row>
    <row r="1517" spans="1:12" x14ac:dyDescent="0.2">
      <c r="A1517" s="7" t="s">
        <v>16</v>
      </c>
      <c r="B1517" s="7" t="s">
        <v>60</v>
      </c>
      <c r="C1517" s="7" t="s">
        <v>18</v>
      </c>
      <c r="D1517" s="4">
        <v>60884855001630</v>
      </c>
      <c r="E1517" s="8" t="s">
        <v>693</v>
      </c>
      <c r="F1517" s="8" t="s">
        <v>652</v>
      </c>
      <c r="G1517" s="7" t="s">
        <v>241</v>
      </c>
      <c r="H1517" s="47" t="s">
        <v>784</v>
      </c>
      <c r="I1517" s="47" t="s">
        <v>785</v>
      </c>
      <c r="J1517" s="6">
        <v>64</v>
      </c>
      <c r="K1517" s="8" t="s">
        <v>68</v>
      </c>
      <c r="L1517" s="5">
        <v>7</v>
      </c>
    </row>
    <row r="1518" spans="1:12" x14ac:dyDescent="0.2">
      <c r="A1518" s="7" t="s">
        <v>16</v>
      </c>
      <c r="B1518" s="7" t="s">
        <v>60</v>
      </c>
      <c r="C1518" s="7" t="s">
        <v>18</v>
      </c>
      <c r="D1518" s="4">
        <v>60884855001630</v>
      </c>
      <c r="E1518" s="8" t="s">
        <v>693</v>
      </c>
      <c r="F1518" s="8" t="s">
        <v>652</v>
      </c>
      <c r="G1518" s="7" t="s">
        <v>241</v>
      </c>
      <c r="H1518" s="47" t="s">
        <v>784</v>
      </c>
      <c r="I1518" s="47" t="s">
        <v>785</v>
      </c>
      <c r="J1518" s="6">
        <v>70</v>
      </c>
      <c r="K1518" s="8" t="s">
        <v>22</v>
      </c>
      <c r="L1518" s="5">
        <v>385</v>
      </c>
    </row>
    <row r="1519" spans="1:12" x14ac:dyDescent="0.2">
      <c r="A1519" s="7" t="s">
        <v>16</v>
      </c>
      <c r="B1519" s="7" t="s">
        <v>60</v>
      </c>
      <c r="C1519" s="7" t="s">
        <v>18</v>
      </c>
      <c r="D1519" s="4">
        <v>60922168000348</v>
      </c>
      <c r="E1519" s="8" t="s">
        <v>694</v>
      </c>
      <c r="F1519" s="8" t="s">
        <v>652</v>
      </c>
      <c r="G1519" s="7" t="s">
        <v>241</v>
      </c>
      <c r="H1519" s="47" t="s">
        <v>784</v>
      </c>
      <c r="I1519" s="47" t="s">
        <v>785</v>
      </c>
      <c r="J1519" s="6">
        <v>62</v>
      </c>
      <c r="K1519" s="8" t="s">
        <v>74</v>
      </c>
      <c r="L1519" s="5">
        <v>6</v>
      </c>
    </row>
    <row r="1520" spans="1:12" x14ac:dyDescent="0.2">
      <c r="A1520" s="7" t="s">
        <v>16</v>
      </c>
      <c r="B1520" s="7" t="s">
        <v>60</v>
      </c>
      <c r="C1520" s="7" t="s">
        <v>18</v>
      </c>
      <c r="D1520" s="4">
        <v>60922168000348</v>
      </c>
      <c r="E1520" s="8" t="s">
        <v>694</v>
      </c>
      <c r="F1520" s="8" t="s">
        <v>652</v>
      </c>
      <c r="G1520" s="7" t="s">
        <v>241</v>
      </c>
      <c r="H1520" s="47" t="s">
        <v>784</v>
      </c>
      <c r="I1520" s="47" t="s">
        <v>785</v>
      </c>
      <c r="J1520" s="6">
        <v>64</v>
      </c>
      <c r="K1520" s="8" t="s">
        <v>68</v>
      </c>
      <c r="L1520" s="5">
        <v>3</v>
      </c>
    </row>
    <row r="1521" spans="1:12" x14ac:dyDescent="0.2">
      <c r="A1521" s="7" t="s">
        <v>16</v>
      </c>
      <c r="B1521" s="7" t="s">
        <v>60</v>
      </c>
      <c r="C1521" s="7" t="s">
        <v>18</v>
      </c>
      <c r="D1521" s="4">
        <v>60922168000348</v>
      </c>
      <c r="E1521" s="8" t="s">
        <v>694</v>
      </c>
      <c r="F1521" s="8" t="s">
        <v>652</v>
      </c>
      <c r="G1521" s="7" t="s">
        <v>241</v>
      </c>
      <c r="H1521" s="47" t="s">
        <v>784</v>
      </c>
      <c r="I1521" s="47" t="s">
        <v>785</v>
      </c>
      <c r="J1521" s="6">
        <v>70</v>
      </c>
      <c r="K1521" s="8" t="s">
        <v>22</v>
      </c>
      <c r="L1521" s="5">
        <v>130</v>
      </c>
    </row>
    <row r="1522" spans="1:12" x14ac:dyDescent="0.2">
      <c r="A1522" s="7" t="s">
        <v>16</v>
      </c>
      <c r="B1522" s="7" t="s">
        <v>60</v>
      </c>
      <c r="C1522" s="7" t="s">
        <v>18</v>
      </c>
      <c r="D1522" s="4">
        <v>72101124000506</v>
      </c>
      <c r="E1522" s="8" t="s">
        <v>695</v>
      </c>
      <c r="F1522" s="8" t="s">
        <v>652</v>
      </c>
      <c r="G1522" s="7" t="s">
        <v>241</v>
      </c>
      <c r="H1522" s="47" t="s">
        <v>784</v>
      </c>
      <c r="I1522" s="47" t="s">
        <v>785</v>
      </c>
      <c r="J1522" s="6">
        <v>70</v>
      </c>
      <c r="K1522" s="8" t="s">
        <v>22</v>
      </c>
      <c r="L1522" s="5">
        <v>445</v>
      </c>
    </row>
    <row r="1523" spans="1:12" x14ac:dyDescent="0.2">
      <c r="A1523" s="7" t="s">
        <v>16</v>
      </c>
      <c r="B1523" s="7" t="s">
        <v>60</v>
      </c>
      <c r="C1523" s="7" t="s">
        <v>18</v>
      </c>
      <c r="D1523" s="4">
        <v>72101124000506</v>
      </c>
      <c r="E1523" s="8" t="s">
        <v>695</v>
      </c>
      <c r="F1523" s="8" t="s">
        <v>652</v>
      </c>
      <c r="G1523" s="7" t="s">
        <v>241</v>
      </c>
      <c r="H1523" s="47" t="s">
        <v>784</v>
      </c>
      <c r="I1523" s="47" t="s">
        <v>785</v>
      </c>
      <c r="J1523" s="6">
        <v>73</v>
      </c>
      <c r="K1523" s="8" t="s">
        <v>69</v>
      </c>
      <c r="L1523" s="5">
        <v>214</v>
      </c>
    </row>
    <row r="1524" spans="1:12" x14ac:dyDescent="0.2">
      <c r="A1524" s="7" t="s">
        <v>16</v>
      </c>
      <c r="B1524" s="7" t="s">
        <v>60</v>
      </c>
      <c r="C1524" s="7" t="s">
        <v>18</v>
      </c>
      <c r="D1524" s="4">
        <v>73696718000219</v>
      </c>
      <c r="E1524" s="8" t="s">
        <v>696</v>
      </c>
      <c r="F1524" s="8" t="s">
        <v>652</v>
      </c>
      <c r="G1524" s="7" t="s">
        <v>241</v>
      </c>
      <c r="H1524" s="47" t="s">
        <v>784</v>
      </c>
      <c r="I1524" s="47" t="s">
        <v>785</v>
      </c>
      <c r="J1524" s="6">
        <v>62</v>
      </c>
      <c r="K1524" s="8" t="s">
        <v>74</v>
      </c>
      <c r="L1524" s="5">
        <v>7</v>
      </c>
    </row>
    <row r="1525" spans="1:12" x14ac:dyDescent="0.2">
      <c r="A1525" s="7" t="s">
        <v>16</v>
      </c>
      <c r="B1525" s="7" t="s">
        <v>65</v>
      </c>
      <c r="C1525" s="7" t="s">
        <v>66</v>
      </c>
      <c r="D1525" s="4">
        <v>33722224000166</v>
      </c>
      <c r="E1525" s="8" t="s">
        <v>1026</v>
      </c>
      <c r="F1525" s="8" t="s">
        <v>652</v>
      </c>
      <c r="G1525" s="7" t="s">
        <v>241</v>
      </c>
      <c r="H1525" s="47"/>
      <c r="I1525" s="47"/>
      <c r="J1525" s="6">
        <v>64</v>
      </c>
      <c r="K1525" s="8" t="s">
        <v>68</v>
      </c>
      <c r="L1525" s="5">
        <v>2</v>
      </c>
    </row>
    <row r="1532" spans="1:12" x14ac:dyDescent="0.25">
      <c r="I1532" s="15"/>
      <c r="J1532" s="15"/>
      <c r="K1532" s="15"/>
      <c r="L1532" s="15"/>
    </row>
    <row r="1534" spans="1:12" x14ac:dyDescent="0.25">
      <c r="I1534" s="4"/>
      <c r="J1534" s="3"/>
    </row>
  </sheetData>
  <phoneticPr fontId="5" type="noConversion"/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959345-6E0C-4AC8-930F-D8FBAE19E210}">
  <sheetPr>
    <tabColor theme="9" tint="-0.249977111117893"/>
  </sheetPr>
  <dimension ref="A1:F529"/>
  <sheetViews>
    <sheetView showGridLines="0" workbookViewId="0">
      <pane ySplit="5" topLeftCell="A6" activePane="bottomLeft" state="frozen"/>
      <selection pane="bottomLeft" activeCell="A6" sqref="A6"/>
    </sheetView>
  </sheetViews>
  <sheetFormatPr defaultRowHeight="12.75" x14ac:dyDescent="0.25"/>
  <cols>
    <col min="1" max="1" width="15.140625" style="3" bestFit="1" customWidth="1"/>
    <col min="2" max="2" width="81.140625" style="3" bestFit="1" customWidth="1"/>
    <col min="3" max="3" width="23.5703125" style="3" bestFit="1" customWidth="1"/>
    <col min="4" max="4" width="5.28515625" style="3" bestFit="1" customWidth="1"/>
    <col min="5" max="5" width="27.140625" style="3" bestFit="1" customWidth="1"/>
    <col min="6" max="6" width="24.85546875" style="3" bestFit="1" customWidth="1"/>
    <col min="7" max="16384" width="9.140625" style="3"/>
  </cols>
  <sheetData>
    <row r="1" spans="1:6" ht="15.75" x14ac:dyDescent="0.25">
      <c r="A1" s="49" t="s">
        <v>886</v>
      </c>
    </row>
    <row r="2" spans="1:6" x14ac:dyDescent="0.25">
      <c r="A2" s="64" t="s">
        <v>889</v>
      </c>
    </row>
    <row r="3" spans="1:6" x14ac:dyDescent="0.25">
      <c r="A3" s="64" t="s">
        <v>890</v>
      </c>
    </row>
    <row r="5" spans="1:6" x14ac:dyDescent="0.25">
      <c r="A5" s="3" t="s">
        <v>796</v>
      </c>
      <c r="B5" s="3" t="s">
        <v>10</v>
      </c>
      <c r="C5" s="3" t="s">
        <v>11</v>
      </c>
      <c r="D5" s="3" t="s">
        <v>12</v>
      </c>
      <c r="E5" s="3" t="s">
        <v>782</v>
      </c>
      <c r="F5" s="3" t="s">
        <v>783</v>
      </c>
    </row>
    <row r="6" spans="1:6" x14ac:dyDescent="0.25">
      <c r="A6" s="4">
        <v>461479001992</v>
      </c>
      <c r="B6" s="8" t="s">
        <v>67</v>
      </c>
      <c r="C6" s="8" t="s">
        <v>20</v>
      </c>
      <c r="D6" s="7" t="s">
        <v>21</v>
      </c>
      <c r="E6" s="8" t="s">
        <v>786</v>
      </c>
      <c r="F6" s="8" t="s">
        <v>787</v>
      </c>
    </row>
    <row r="7" spans="1:6" x14ac:dyDescent="0.25">
      <c r="A7" s="4">
        <v>461479004584</v>
      </c>
      <c r="B7" s="8" t="s">
        <v>19</v>
      </c>
      <c r="C7" s="8" t="s">
        <v>20</v>
      </c>
      <c r="D7" s="7" t="s">
        <v>21</v>
      </c>
      <c r="E7" s="8" t="s">
        <v>786</v>
      </c>
      <c r="F7" s="8" t="s">
        <v>787</v>
      </c>
    </row>
    <row r="8" spans="1:6" x14ac:dyDescent="0.25">
      <c r="A8" s="4">
        <v>603226000187</v>
      </c>
      <c r="B8" s="8" t="s">
        <v>103</v>
      </c>
      <c r="C8" s="8" t="s">
        <v>20</v>
      </c>
      <c r="D8" s="7" t="s">
        <v>21</v>
      </c>
      <c r="E8" s="8" t="s">
        <v>786</v>
      </c>
      <c r="F8" s="8" t="s">
        <v>787</v>
      </c>
    </row>
    <row r="9" spans="1:6" x14ac:dyDescent="0.25">
      <c r="A9" s="4">
        <v>2383508000494</v>
      </c>
      <c r="B9" s="8" t="s">
        <v>56</v>
      </c>
      <c r="C9" s="8" t="s">
        <v>20</v>
      </c>
      <c r="D9" s="7" t="s">
        <v>21</v>
      </c>
      <c r="E9" s="8" t="s">
        <v>786</v>
      </c>
      <c r="F9" s="8" t="s">
        <v>787</v>
      </c>
    </row>
    <row r="10" spans="1:6" x14ac:dyDescent="0.25">
      <c r="A10" s="4">
        <v>2837922000183</v>
      </c>
      <c r="B10" s="8" t="s">
        <v>70</v>
      </c>
      <c r="C10" s="8" t="s">
        <v>20</v>
      </c>
      <c r="D10" s="7" t="s">
        <v>21</v>
      </c>
      <c r="E10" s="8" t="s">
        <v>786</v>
      </c>
      <c r="F10" s="8" t="s">
        <v>787</v>
      </c>
    </row>
    <row r="11" spans="1:6" x14ac:dyDescent="0.25">
      <c r="A11" s="4">
        <v>3872790000193</v>
      </c>
      <c r="B11" s="8" t="s">
        <v>71</v>
      </c>
      <c r="C11" s="8" t="s">
        <v>20</v>
      </c>
      <c r="D11" s="7" t="s">
        <v>21</v>
      </c>
      <c r="E11" s="8" t="s">
        <v>786</v>
      </c>
      <c r="F11" s="8" t="s">
        <v>787</v>
      </c>
    </row>
    <row r="12" spans="1:6" x14ac:dyDescent="0.25">
      <c r="A12" s="4">
        <v>4036348000190</v>
      </c>
      <c r="B12" s="8" t="s">
        <v>23</v>
      </c>
      <c r="C12" s="8" t="s">
        <v>20</v>
      </c>
      <c r="D12" s="7" t="s">
        <v>21</v>
      </c>
      <c r="E12" s="8" t="s">
        <v>786</v>
      </c>
      <c r="F12" s="8" t="s">
        <v>787</v>
      </c>
    </row>
    <row r="13" spans="1:6" x14ac:dyDescent="0.25">
      <c r="A13" s="4">
        <v>5831510000124</v>
      </c>
      <c r="B13" s="8" t="s">
        <v>24</v>
      </c>
      <c r="C13" s="8" t="s">
        <v>20</v>
      </c>
      <c r="D13" s="7" t="s">
        <v>21</v>
      </c>
      <c r="E13" s="8" t="s">
        <v>786</v>
      </c>
      <c r="F13" s="8" t="s">
        <v>787</v>
      </c>
    </row>
    <row r="14" spans="1:6" x14ac:dyDescent="0.25">
      <c r="A14" s="4">
        <v>6047087000139</v>
      </c>
      <c r="B14" s="8" t="s">
        <v>72</v>
      </c>
      <c r="C14" s="8" t="s">
        <v>20</v>
      </c>
      <c r="D14" s="7" t="s">
        <v>21</v>
      </c>
      <c r="E14" s="8" t="s">
        <v>786</v>
      </c>
      <c r="F14" s="8" t="s">
        <v>787</v>
      </c>
    </row>
    <row r="15" spans="1:6" x14ac:dyDescent="0.25">
      <c r="A15" s="4">
        <v>6047087000210</v>
      </c>
      <c r="B15" s="8" t="s">
        <v>73</v>
      </c>
      <c r="C15" s="8" t="s">
        <v>20</v>
      </c>
      <c r="D15" s="7" t="s">
        <v>21</v>
      </c>
      <c r="E15" s="8" t="s">
        <v>786</v>
      </c>
      <c r="F15" s="8" t="s">
        <v>787</v>
      </c>
    </row>
    <row r="16" spans="1:6" x14ac:dyDescent="0.25">
      <c r="A16" s="4">
        <v>6047087003820</v>
      </c>
      <c r="B16" s="8" t="s">
        <v>75</v>
      </c>
      <c r="C16" s="8" t="s">
        <v>20</v>
      </c>
      <c r="D16" s="7" t="s">
        <v>21</v>
      </c>
      <c r="E16" s="8" t="s">
        <v>786</v>
      </c>
      <c r="F16" s="8" t="s">
        <v>787</v>
      </c>
    </row>
    <row r="17" spans="1:6" x14ac:dyDescent="0.25">
      <c r="A17" s="4">
        <v>7045325000130</v>
      </c>
      <c r="B17" s="8" t="s">
        <v>57</v>
      </c>
      <c r="C17" s="8" t="s">
        <v>20</v>
      </c>
      <c r="D17" s="7" t="s">
        <v>21</v>
      </c>
      <c r="E17" s="8" t="s">
        <v>786</v>
      </c>
      <c r="F17" s="8" t="s">
        <v>787</v>
      </c>
    </row>
    <row r="18" spans="1:6" x14ac:dyDescent="0.25">
      <c r="A18" s="4">
        <v>8100676000592</v>
      </c>
      <c r="B18" s="8" t="s">
        <v>25</v>
      </c>
      <c r="C18" s="8" t="s">
        <v>20</v>
      </c>
      <c r="D18" s="7" t="s">
        <v>21</v>
      </c>
      <c r="E18" s="8" t="s">
        <v>786</v>
      </c>
      <c r="F18" s="8" t="s">
        <v>787</v>
      </c>
    </row>
    <row r="19" spans="1:6" x14ac:dyDescent="0.25">
      <c r="A19" s="4">
        <v>8100676000835</v>
      </c>
      <c r="B19" s="8" t="s">
        <v>26</v>
      </c>
      <c r="C19" s="8" t="s">
        <v>20</v>
      </c>
      <c r="D19" s="7" t="s">
        <v>21</v>
      </c>
      <c r="E19" s="8" t="s">
        <v>786</v>
      </c>
      <c r="F19" s="8" t="s">
        <v>787</v>
      </c>
    </row>
    <row r="20" spans="1:6" x14ac:dyDescent="0.25">
      <c r="A20" s="4">
        <v>8100676002455</v>
      </c>
      <c r="B20" s="8" t="s">
        <v>27</v>
      </c>
      <c r="C20" s="8" t="s">
        <v>20</v>
      </c>
      <c r="D20" s="7" t="s">
        <v>21</v>
      </c>
      <c r="E20" s="8" t="s">
        <v>786</v>
      </c>
      <c r="F20" s="8" t="s">
        <v>787</v>
      </c>
    </row>
    <row r="21" spans="1:6" x14ac:dyDescent="0.25">
      <c r="A21" s="4">
        <v>8438844000392</v>
      </c>
      <c r="B21" s="8" t="s">
        <v>76</v>
      </c>
      <c r="C21" s="8" t="s">
        <v>20</v>
      </c>
      <c r="D21" s="7" t="s">
        <v>21</v>
      </c>
      <c r="E21" s="8" t="s">
        <v>786</v>
      </c>
      <c r="F21" s="8" t="s">
        <v>787</v>
      </c>
    </row>
    <row r="22" spans="1:6" x14ac:dyDescent="0.25">
      <c r="A22" s="4">
        <v>8677327000104</v>
      </c>
      <c r="B22" s="8" t="s">
        <v>92</v>
      </c>
      <c r="C22" s="8" t="s">
        <v>20</v>
      </c>
      <c r="D22" s="7" t="s">
        <v>21</v>
      </c>
      <c r="E22" s="8" t="s">
        <v>786</v>
      </c>
      <c r="F22" s="8" t="s">
        <v>787</v>
      </c>
    </row>
    <row r="23" spans="1:6" x14ac:dyDescent="0.25">
      <c r="A23" s="4">
        <v>8871521000126</v>
      </c>
      <c r="B23" s="8" t="s">
        <v>28</v>
      </c>
      <c r="C23" s="8" t="s">
        <v>20</v>
      </c>
      <c r="D23" s="7" t="s">
        <v>21</v>
      </c>
      <c r="E23" s="8" t="s">
        <v>786</v>
      </c>
      <c r="F23" s="8" t="s">
        <v>787</v>
      </c>
    </row>
    <row r="24" spans="1:6" x14ac:dyDescent="0.25">
      <c r="A24" s="4">
        <v>10211939000230</v>
      </c>
      <c r="B24" s="8" t="s">
        <v>77</v>
      </c>
      <c r="C24" s="8" t="s">
        <v>20</v>
      </c>
      <c r="D24" s="7" t="s">
        <v>21</v>
      </c>
      <c r="E24" s="8" t="s">
        <v>786</v>
      </c>
      <c r="F24" s="8" t="s">
        <v>787</v>
      </c>
    </row>
    <row r="25" spans="1:6" x14ac:dyDescent="0.25">
      <c r="A25" s="4">
        <v>10323381000101</v>
      </c>
      <c r="B25" s="8" t="s">
        <v>78</v>
      </c>
      <c r="C25" s="8" t="s">
        <v>20</v>
      </c>
      <c r="D25" s="7" t="s">
        <v>21</v>
      </c>
      <c r="E25" s="8" t="s">
        <v>786</v>
      </c>
      <c r="F25" s="8" t="s">
        <v>787</v>
      </c>
    </row>
    <row r="26" spans="1:6" x14ac:dyDescent="0.25">
      <c r="A26" s="4">
        <v>10468341000140</v>
      </c>
      <c r="B26" s="8" t="s">
        <v>29</v>
      </c>
      <c r="C26" s="8" t="s">
        <v>20</v>
      </c>
      <c r="D26" s="7" t="s">
        <v>21</v>
      </c>
      <c r="E26" s="8" t="s">
        <v>786</v>
      </c>
      <c r="F26" s="8" t="s">
        <v>787</v>
      </c>
    </row>
    <row r="27" spans="1:6" x14ac:dyDescent="0.25">
      <c r="A27" s="4">
        <v>10468341000220</v>
      </c>
      <c r="B27" s="8" t="s">
        <v>30</v>
      </c>
      <c r="C27" s="8" t="s">
        <v>20</v>
      </c>
      <c r="D27" s="7" t="s">
        <v>21</v>
      </c>
      <c r="E27" s="8" t="s">
        <v>786</v>
      </c>
      <c r="F27" s="8" t="s">
        <v>787</v>
      </c>
    </row>
    <row r="28" spans="1:6" x14ac:dyDescent="0.25">
      <c r="A28" s="4">
        <v>10475230000160</v>
      </c>
      <c r="B28" s="8" t="s">
        <v>31</v>
      </c>
      <c r="C28" s="8" t="s">
        <v>20</v>
      </c>
      <c r="D28" s="7" t="s">
        <v>21</v>
      </c>
      <c r="E28" s="8" t="s">
        <v>786</v>
      </c>
      <c r="F28" s="8" t="s">
        <v>787</v>
      </c>
    </row>
    <row r="29" spans="1:6" x14ac:dyDescent="0.25">
      <c r="A29" s="4">
        <v>13718999000150</v>
      </c>
      <c r="B29" s="8" t="s">
        <v>79</v>
      </c>
      <c r="C29" s="8" t="s">
        <v>20</v>
      </c>
      <c r="D29" s="7" t="s">
        <v>21</v>
      </c>
      <c r="E29" s="8" t="s">
        <v>786</v>
      </c>
      <c r="F29" s="8" t="s">
        <v>787</v>
      </c>
    </row>
    <row r="30" spans="1:6" x14ac:dyDescent="0.25">
      <c r="A30" s="4">
        <v>18180008000142</v>
      </c>
      <c r="B30" s="8" t="s">
        <v>80</v>
      </c>
      <c r="C30" s="8" t="s">
        <v>20</v>
      </c>
      <c r="D30" s="7" t="s">
        <v>21</v>
      </c>
      <c r="E30" s="8" t="s">
        <v>786</v>
      </c>
      <c r="F30" s="8" t="s">
        <v>787</v>
      </c>
    </row>
    <row r="31" spans="1:6" x14ac:dyDescent="0.25">
      <c r="A31" s="4">
        <v>19056055000141</v>
      </c>
      <c r="B31" s="8" t="s">
        <v>93</v>
      </c>
      <c r="C31" s="8" t="s">
        <v>20</v>
      </c>
      <c r="D31" s="7" t="s">
        <v>21</v>
      </c>
      <c r="E31" s="8" t="s">
        <v>786</v>
      </c>
      <c r="F31" s="8" t="s">
        <v>787</v>
      </c>
    </row>
    <row r="32" spans="1:6" x14ac:dyDescent="0.25">
      <c r="A32" s="4">
        <v>19803199000114</v>
      </c>
      <c r="B32" s="8" t="s">
        <v>32</v>
      </c>
      <c r="C32" s="8" t="s">
        <v>20</v>
      </c>
      <c r="D32" s="7" t="s">
        <v>21</v>
      </c>
      <c r="E32" s="8" t="s">
        <v>786</v>
      </c>
      <c r="F32" s="8" t="s">
        <v>787</v>
      </c>
    </row>
    <row r="33" spans="1:6" x14ac:dyDescent="0.25">
      <c r="A33" s="4">
        <v>20812223000241</v>
      </c>
      <c r="B33" s="8" t="s">
        <v>81</v>
      </c>
      <c r="C33" s="8" t="s">
        <v>20</v>
      </c>
      <c r="D33" s="7" t="s">
        <v>21</v>
      </c>
      <c r="E33" s="8" t="s">
        <v>786</v>
      </c>
      <c r="F33" s="8" t="s">
        <v>787</v>
      </c>
    </row>
    <row r="34" spans="1:6" x14ac:dyDescent="0.25">
      <c r="A34" s="4">
        <v>21371777000132</v>
      </c>
      <c r="B34" s="8" t="s">
        <v>33</v>
      </c>
      <c r="C34" s="8" t="s">
        <v>20</v>
      </c>
      <c r="D34" s="7" t="s">
        <v>21</v>
      </c>
      <c r="E34" s="8" t="s">
        <v>786</v>
      </c>
      <c r="F34" s="8" t="s">
        <v>787</v>
      </c>
    </row>
    <row r="35" spans="1:6" x14ac:dyDescent="0.25">
      <c r="A35" s="4">
        <v>28290788000137</v>
      </c>
      <c r="B35" s="8" t="s">
        <v>82</v>
      </c>
      <c r="C35" s="8" t="s">
        <v>20</v>
      </c>
      <c r="D35" s="7" t="s">
        <v>21</v>
      </c>
      <c r="E35" s="8" t="s">
        <v>786</v>
      </c>
      <c r="F35" s="8" t="s">
        <v>787</v>
      </c>
    </row>
    <row r="36" spans="1:6" x14ac:dyDescent="0.25">
      <c r="A36" s="4">
        <v>28290788000307</v>
      </c>
      <c r="B36" s="8" t="s">
        <v>83</v>
      </c>
      <c r="C36" s="8" t="s">
        <v>20</v>
      </c>
      <c r="D36" s="7" t="s">
        <v>21</v>
      </c>
      <c r="E36" s="8" t="s">
        <v>786</v>
      </c>
      <c r="F36" s="8" t="s">
        <v>787</v>
      </c>
    </row>
    <row r="37" spans="1:6" x14ac:dyDescent="0.25">
      <c r="A37" s="4">
        <v>29435005002687</v>
      </c>
      <c r="B37" s="8" t="s">
        <v>34</v>
      </c>
      <c r="C37" s="8" t="s">
        <v>20</v>
      </c>
      <c r="D37" s="7" t="s">
        <v>21</v>
      </c>
      <c r="E37" s="8" t="s">
        <v>786</v>
      </c>
      <c r="F37" s="8" t="s">
        <v>787</v>
      </c>
    </row>
    <row r="38" spans="1:6" x14ac:dyDescent="0.25">
      <c r="A38" s="4">
        <v>29435005004540</v>
      </c>
      <c r="B38" s="8" t="s">
        <v>35</v>
      </c>
      <c r="C38" s="8" t="s">
        <v>20</v>
      </c>
      <c r="D38" s="7" t="s">
        <v>21</v>
      </c>
      <c r="E38" s="8" t="s">
        <v>786</v>
      </c>
      <c r="F38" s="8" t="s">
        <v>787</v>
      </c>
    </row>
    <row r="39" spans="1:6" x14ac:dyDescent="0.25">
      <c r="A39" s="4">
        <v>29435005009932</v>
      </c>
      <c r="B39" s="8" t="s">
        <v>36</v>
      </c>
      <c r="C39" s="8" t="s">
        <v>20</v>
      </c>
      <c r="D39" s="7" t="s">
        <v>21</v>
      </c>
      <c r="E39" s="8" t="s">
        <v>786</v>
      </c>
      <c r="F39" s="8" t="s">
        <v>787</v>
      </c>
    </row>
    <row r="40" spans="1:6" x14ac:dyDescent="0.25">
      <c r="A40" s="4">
        <v>43643139000409</v>
      </c>
      <c r="B40" s="8" t="s">
        <v>37</v>
      </c>
      <c r="C40" s="8" t="s">
        <v>20</v>
      </c>
      <c r="D40" s="7" t="s">
        <v>21</v>
      </c>
      <c r="E40" s="8" t="s">
        <v>786</v>
      </c>
      <c r="F40" s="8" t="s">
        <v>787</v>
      </c>
    </row>
    <row r="41" spans="1:6" x14ac:dyDescent="0.25">
      <c r="A41" s="4">
        <v>44649812005520</v>
      </c>
      <c r="B41" s="8" t="s">
        <v>38</v>
      </c>
      <c r="C41" s="8" t="s">
        <v>20</v>
      </c>
      <c r="D41" s="7" t="s">
        <v>21</v>
      </c>
      <c r="E41" s="8" t="s">
        <v>786</v>
      </c>
      <c r="F41" s="8" t="s">
        <v>787</v>
      </c>
    </row>
    <row r="42" spans="1:6" x14ac:dyDescent="0.25">
      <c r="A42" s="4">
        <v>46374500008845</v>
      </c>
      <c r="B42" s="8" t="s">
        <v>61</v>
      </c>
      <c r="C42" s="8" t="s">
        <v>20</v>
      </c>
      <c r="D42" s="7" t="s">
        <v>21</v>
      </c>
      <c r="E42" s="8" t="s">
        <v>786</v>
      </c>
      <c r="F42" s="8" t="s">
        <v>787</v>
      </c>
    </row>
    <row r="43" spans="1:6" x14ac:dyDescent="0.25">
      <c r="A43" s="4">
        <v>46374500010823</v>
      </c>
      <c r="B43" s="8" t="s">
        <v>62</v>
      </c>
      <c r="C43" s="8" t="s">
        <v>20</v>
      </c>
      <c r="D43" s="7" t="s">
        <v>21</v>
      </c>
      <c r="E43" s="8" t="s">
        <v>786</v>
      </c>
      <c r="F43" s="8" t="s">
        <v>787</v>
      </c>
    </row>
    <row r="44" spans="1:6" x14ac:dyDescent="0.25">
      <c r="A44" s="4">
        <v>46374500026231</v>
      </c>
      <c r="B44" s="8" t="s">
        <v>58</v>
      </c>
      <c r="C44" s="8" t="s">
        <v>20</v>
      </c>
      <c r="D44" s="7" t="s">
        <v>21</v>
      </c>
      <c r="E44" s="8" t="s">
        <v>786</v>
      </c>
      <c r="F44" s="8" t="s">
        <v>787</v>
      </c>
    </row>
    <row r="45" spans="1:6" x14ac:dyDescent="0.25">
      <c r="A45" s="4">
        <v>51722957000506</v>
      </c>
      <c r="B45" s="8" t="s">
        <v>59</v>
      </c>
      <c r="C45" s="8" t="s">
        <v>20</v>
      </c>
      <c r="D45" s="7" t="s">
        <v>21</v>
      </c>
      <c r="E45" s="8" t="s">
        <v>786</v>
      </c>
      <c r="F45" s="8" t="s">
        <v>787</v>
      </c>
    </row>
    <row r="46" spans="1:6" x14ac:dyDescent="0.25">
      <c r="A46" s="4">
        <v>51722957010226</v>
      </c>
      <c r="B46" s="8" t="s">
        <v>39</v>
      </c>
      <c r="C46" s="8" t="s">
        <v>20</v>
      </c>
      <c r="D46" s="7" t="s">
        <v>21</v>
      </c>
      <c r="E46" s="8" t="s">
        <v>786</v>
      </c>
      <c r="F46" s="8" t="s">
        <v>787</v>
      </c>
    </row>
    <row r="47" spans="1:6" x14ac:dyDescent="0.25">
      <c r="A47" s="4">
        <v>51722957012512</v>
      </c>
      <c r="B47" s="8" t="s">
        <v>40</v>
      </c>
      <c r="C47" s="8" t="s">
        <v>20</v>
      </c>
      <c r="D47" s="7" t="s">
        <v>21</v>
      </c>
      <c r="E47" s="8" t="s">
        <v>786</v>
      </c>
      <c r="F47" s="8" t="s">
        <v>787</v>
      </c>
    </row>
    <row r="48" spans="1:6" x14ac:dyDescent="0.25">
      <c r="A48" s="4">
        <v>56577059000100</v>
      </c>
      <c r="B48" s="8" t="s">
        <v>63</v>
      </c>
      <c r="C48" s="8" t="s">
        <v>20</v>
      </c>
      <c r="D48" s="7" t="s">
        <v>21</v>
      </c>
      <c r="E48" s="8" t="s">
        <v>786</v>
      </c>
      <c r="F48" s="8" t="s">
        <v>787</v>
      </c>
    </row>
    <row r="49" spans="1:6" x14ac:dyDescent="0.25">
      <c r="A49" s="4">
        <v>56577059000606</v>
      </c>
      <c r="B49" s="8" t="s">
        <v>84</v>
      </c>
      <c r="C49" s="8" t="s">
        <v>20</v>
      </c>
      <c r="D49" s="7" t="s">
        <v>21</v>
      </c>
      <c r="E49" s="8" t="s">
        <v>786</v>
      </c>
      <c r="F49" s="8" t="s">
        <v>787</v>
      </c>
    </row>
    <row r="50" spans="1:6" x14ac:dyDescent="0.25">
      <c r="A50" s="4">
        <v>57394710000160</v>
      </c>
      <c r="B50" s="8" t="s">
        <v>41</v>
      </c>
      <c r="C50" s="8" t="s">
        <v>20</v>
      </c>
      <c r="D50" s="7" t="s">
        <v>21</v>
      </c>
      <c r="E50" s="8" t="s">
        <v>786</v>
      </c>
      <c r="F50" s="8" t="s">
        <v>787</v>
      </c>
    </row>
    <row r="51" spans="1:6" x14ac:dyDescent="0.25">
      <c r="A51" s="4">
        <v>59481028000130</v>
      </c>
      <c r="B51" s="8" t="s">
        <v>42</v>
      </c>
      <c r="C51" s="8" t="s">
        <v>20</v>
      </c>
      <c r="D51" s="7" t="s">
        <v>21</v>
      </c>
      <c r="E51" s="8" t="s">
        <v>786</v>
      </c>
      <c r="F51" s="8" t="s">
        <v>787</v>
      </c>
    </row>
    <row r="52" spans="1:6" x14ac:dyDescent="0.25">
      <c r="A52" s="4">
        <v>60448040000122</v>
      </c>
      <c r="B52" s="8" t="s">
        <v>85</v>
      </c>
      <c r="C52" s="8" t="s">
        <v>20</v>
      </c>
      <c r="D52" s="7" t="s">
        <v>21</v>
      </c>
      <c r="E52" s="8" t="s">
        <v>786</v>
      </c>
      <c r="F52" s="8" t="s">
        <v>787</v>
      </c>
    </row>
    <row r="53" spans="1:6" x14ac:dyDescent="0.25">
      <c r="A53" s="4">
        <v>60453024000390</v>
      </c>
      <c r="B53" s="8" t="s">
        <v>86</v>
      </c>
      <c r="C53" s="8" t="s">
        <v>20</v>
      </c>
      <c r="D53" s="7" t="s">
        <v>21</v>
      </c>
      <c r="E53" s="8" t="s">
        <v>786</v>
      </c>
      <c r="F53" s="8" t="s">
        <v>787</v>
      </c>
    </row>
    <row r="54" spans="1:6" x14ac:dyDescent="0.25">
      <c r="A54" s="4">
        <v>60552098000111</v>
      </c>
      <c r="B54" s="8" t="s">
        <v>43</v>
      </c>
      <c r="C54" s="8" t="s">
        <v>20</v>
      </c>
      <c r="D54" s="7" t="s">
        <v>21</v>
      </c>
      <c r="E54" s="8" t="s">
        <v>786</v>
      </c>
      <c r="F54" s="8" t="s">
        <v>787</v>
      </c>
    </row>
    <row r="55" spans="1:6" x14ac:dyDescent="0.25">
      <c r="A55" s="4">
        <v>60678604000113</v>
      </c>
      <c r="B55" s="8" t="s">
        <v>64</v>
      </c>
      <c r="C55" s="8" t="s">
        <v>20</v>
      </c>
      <c r="D55" s="7" t="s">
        <v>21</v>
      </c>
      <c r="E55" s="8" t="s">
        <v>786</v>
      </c>
      <c r="F55" s="8" t="s">
        <v>787</v>
      </c>
    </row>
    <row r="56" spans="1:6" x14ac:dyDescent="0.25">
      <c r="A56" s="4">
        <v>60726502000126</v>
      </c>
      <c r="B56" s="8" t="s">
        <v>44</v>
      </c>
      <c r="C56" s="8" t="s">
        <v>20</v>
      </c>
      <c r="D56" s="7" t="s">
        <v>21</v>
      </c>
      <c r="E56" s="8" t="s">
        <v>786</v>
      </c>
      <c r="F56" s="8" t="s">
        <v>787</v>
      </c>
    </row>
    <row r="57" spans="1:6" x14ac:dyDescent="0.25">
      <c r="A57" s="4">
        <v>60726502000711</v>
      </c>
      <c r="B57" s="8" t="s">
        <v>87</v>
      </c>
      <c r="C57" s="8" t="s">
        <v>20</v>
      </c>
      <c r="D57" s="7" t="s">
        <v>21</v>
      </c>
      <c r="E57" s="8" t="s">
        <v>786</v>
      </c>
      <c r="F57" s="8" t="s">
        <v>787</v>
      </c>
    </row>
    <row r="58" spans="1:6" x14ac:dyDescent="0.25">
      <c r="A58" s="4">
        <v>60765823000130</v>
      </c>
      <c r="B58" s="8" t="s">
        <v>94</v>
      </c>
      <c r="C58" s="8" t="s">
        <v>20</v>
      </c>
      <c r="D58" s="7" t="s">
        <v>21</v>
      </c>
      <c r="E58" s="8" t="s">
        <v>786</v>
      </c>
      <c r="F58" s="8" t="s">
        <v>787</v>
      </c>
    </row>
    <row r="59" spans="1:6" x14ac:dyDescent="0.25">
      <c r="A59" s="4">
        <v>60777901000116</v>
      </c>
      <c r="B59" s="8" t="s">
        <v>45</v>
      </c>
      <c r="C59" s="8" t="s">
        <v>20</v>
      </c>
      <c r="D59" s="7" t="s">
        <v>21</v>
      </c>
      <c r="E59" s="8" t="s">
        <v>786</v>
      </c>
      <c r="F59" s="8" t="s">
        <v>787</v>
      </c>
    </row>
    <row r="60" spans="1:6" x14ac:dyDescent="0.25">
      <c r="A60" s="4">
        <v>60884855000316</v>
      </c>
      <c r="B60" s="8" t="s">
        <v>46</v>
      </c>
      <c r="C60" s="8" t="s">
        <v>20</v>
      </c>
      <c r="D60" s="7" t="s">
        <v>21</v>
      </c>
      <c r="E60" s="8" t="s">
        <v>786</v>
      </c>
      <c r="F60" s="8" t="s">
        <v>787</v>
      </c>
    </row>
    <row r="61" spans="1:6" x14ac:dyDescent="0.25">
      <c r="A61" s="4">
        <v>60922168000771</v>
      </c>
      <c r="B61" s="8" t="s">
        <v>47</v>
      </c>
      <c r="C61" s="8" t="s">
        <v>20</v>
      </c>
      <c r="D61" s="7" t="s">
        <v>21</v>
      </c>
      <c r="E61" s="8" t="s">
        <v>786</v>
      </c>
      <c r="F61" s="8" t="s">
        <v>787</v>
      </c>
    </row>
    <row r="62" spans="1:6" x14ac:dyDescent="0.25">
      <c r="A62" s="4">
        <v>60922168004335</v>
      </c>
      <c r="B62" s="8" t="s">
        <v>48</v>
      </c>
      <c r="C62" s="8" t="s">
        <v>20</v>
      </c>
      <c r="D62" s="7" t="s">
        <v>21</v>
      </c>
      <c r="E62" s="8" t="s">
        <v>786</v>
      </c>
      <c r="F62" s="8" t="s">
        <v>787</v>
      </c>
    </row>
    <row r="63" spans="1:6" x14ac:dyDescent="0.25">
      <c r="A63" s="4">
        <v>60961422000155</v>
      </c>
      <c r="B63" s="8" t="s">
        <v>49</v>
      </c>
      <c r="C63" s="8" t="s">
        <v>20</v>
      </c>
      <c r="D63" s="7" t="s">
        <v>21</v>
      </c>
      <c r="E63" s="8" t="s">
        <v>786</v>
      </c>
      <c r="F63" s="8" t="s">
        <v>787</v>
      </c>
    </row>
    <row r="64" spans="1:6" x14ac:dyDescent="0.25">
      <c r="A64" s="4">
        <v>60961968000106</v>
      </c>
      <c r="B64" s="8" t="s">
        <v>50</v>
      </c>
      <c r="C64" s="8" t="s">
        <v>20</v>
      </c>
      <c r="D64" s="7" t="s">
        <v>21</v>
      </c>
      <c r="E64" s="8" t="s">
        <v>786</v>
      </c>
      <c r="F64" s="8" t="s">
        <v>787</v>
      </c>
    </row>
    <row r="65" spans="1:6" x14ac:dyDescent="0.25">
      <c r="A65" s="4">
        <v>60961968000459</v>
      </c>
      <c r="B65" s="8" t="s">
        <v>95</v>
      </c>
      <c r="C65" s="8" t="s">
        <v>20</v>
      </c>
      <c r="D65" s="7" t="s">
        <v>21</v>
      </c>
      <c r="E65" s="8" t="s">
        <v>786</v>
      </c>
      <c r="F65" s="8" t="s">
        <v>787</v>
      </c>
    </row>
    <row r="66" spans="1:6" x14ac:dyDescent="0.25">
      <c r="A66" s="4">
        <v>60975174000363</v>
      </c>
      <c r="B66" s="8" t="s">
        <v>51</v>
      </c>
      <c r="C66" s="8" t="s">
        <v>20</v>
      </c>
      <c r="D66" s="7" t="s">
        <v>21</v>
      </c>
      <c r="E66" s="8" t="s">
        <v>786</v>
      </c>
      <c r="F66" s="8" t="s">
        <v>787</v>
      </c>
    </row>
    <row r="67" spans="1:6" x14ac:dyDescent="0.25">
      <c r="A67" s="4">
        <v>60975737000232</v>
      </c>
      <c r="B67" s="8" t="s">
        <v>96</v>
      </c>
      <c r="C67" s="8" t="s">
        <v>20</v>
      </c>
      <c r="D67" s="7" t="s">
        <v>21</v>
      </c>
      <c r="E67" s="8" t="s">
        <v>786</v>
      </c>
      <c r="F67" s="8" t="s">
        <v>787</v>
      </c>
    </row>
    <row r="68" spans="1:6" x14ac:dyDescent="0.25">
      <c r="A68" s="4">
        <v>60975737001204</v>
      </c>
      <c r="B68" s="8" t="s">
        <v>88</v>
      </c>
      <c r="C68" s="8" t="s">
        <v>20</v>
      </c>
      <c r="D68" s="7" t="s">
        <v>21</v>
      </c>
      <c r="E68" s="8" t="s">
        <v>786</v>
      </c>
      <c r="F68" s="8" t="s">
        <v>787</v>
      </c>
    </row>
    <row r="69" spans="1:6" x14ac:dyDescent="0.25">
      <c r="A69" s="4">
        <v>60975737005110</v>
      </c>
      <c r="B69" s="8" t="s">
        <v>97</v>
      </c>
      <c r="C69" s="8" t="s">
        <v>20</v>
      </c>
      <c r="D69" s="7" t="s">
        <v>21</v>
      </c>
      <c r="E69" s="8" t="s">
        <v>786</v>
      </c>
      <c r="F69" s="8" t="s">
        <v>787</v>
      </c>
    </row>
    <row r="70" spans="1:6" x14ac:dyDescent="0.25">
      <c r="A70" s="4">
        <v>60992427000650</v>
      </c>
      <c r="B70" s="8" t="s">
        <v>100</v>
      </c>
      <c r="C70" s="8" t="s">
        <v>20</v>
      </c>
      <c r="D70" s="7" t="s">
        <v>21</v>
      </c>
      <c r="E70" s="8" t="s">
        <v>786</v>
      </c>
      <c r="F70" s="8" t="s">
        <v>787</v>
      </c>
    </row>
    <row r="71" spans="1:6" x14ac:dyDescent="0.25">
      <c r="A71" s="4">
        <v>61062212000198</v>
      </c>
      <c r="B71" s="8" t="s">
        <v>101</v>
      </c>
      <c r="C71" s="8" t="s">
        <v>20</v>
      </c>
      <c r="D71" s="7" t="s">
        <v>21</v>
      </c>
      <c r="E71" s="8" t="s">
        <v>786</v>
      </c>
      <c r="F71" s="8" t="s">
        <v>787</v>
      </c>
    </row>
    <row r="72" spans="1:6" x14ac:dyDescent="0.25">
      <c r="A72" s="4">
        <v>61213674000240</v>
      </c>
      <c r="B72" s="8" t="s">
        <v>52</v>
      </c>
      <c r="C72" s="8" t="s">
        <v>20</v>
      </c>
      <c r="D72" s="7" t="s">
        <v>21</v>
      </c>
      <c r="E72" s="8" t="s">
        <v>786</v>
      </c>
      <c r="F72" s="8" t="s">
        <v>787</v>
      </c>
    </row>
    <row r="73" spans="1:6" x14ac:dyDescent="0.25">
      <c r="A73" s="4">
        <v>61590410000124</v>
      </c>
      <c r="B73" s="8" t="s">
        <v>53</v>
      </c>
      <c r="C73" s="8" t="s">
        <v>20</v>
      </c>
      <c r="D73" s="7" t="s">
        <v>21</v>
      </c>
      <c r="E73" s="8" t="s">
        <v>786</v>
      </c>
      <c r="F73" s="8" t="s">
        <v>787</v>
      </c>
    </row>
    <row r="74" spans="1:6" x14ac:dyDescent="0.25">
      <c r="A74" s="4">
        <v>61599908000158</v>
      </c>
      <c r="B74" s="8" t="s">
        <v>89</v>
      </c>
      <c r="C74" s="8" t="s">
        <v>20</v>
      </c>
      <c r="D74" s="7" t="s">
        <v>21</v>
      </c>
      <c r="E74" s="8" t="s">
        <v>786</v>
      </c>
      <c r="F74" s="8" t="s">
        <v>787</v>
      </c>
    </row>
    <row r="75" spans="1:6" x14ac:dyDescent="0.25">
      <c r="A75" s="4">
        <v>61849980001087</v>
      </c>
      <c r="B75" s="8" t="s">
        <v>54</v>
      </c>
      <c r="C75" s="8" t="s">
        <v>20</v>
      </c>
      <c r="D75" s="7" t="s">
        <v>21</v>
      </c>
      <c r="E75" s="8" t="s">
        <v>786</v>
      </c>
      <c r="F75" s="8" t="s">
        <v>787</v>
      </c>
    </row>
    <row r="76" spans="1:6" x14ac:dyDescent="0.25">
      <c r="A76" s="4">
        <v>62106505000192</v>
      </c>
      <c r="B76" s="8" t="s">
        <v>90</v>
      </c>
      <c r="C76" s="8" t="s">
        <v>20</v>
      </c>
      <c r="D76" s="7" t="s">
        <v>21</v>
      </c>
      <c r="E76" s="8" t="s">
        <v>786</v>
      </c>
      <c r="F76" s="8" t="s">
        <v>787</v>
      </c>
    </row>
    <row r="77" spans="1:6" x14ac:dyDescent="0.25">
      <c r="A77" s="4">
        <v>62779145000190</v>
      </c>
      <c r="B77" s="8" t="s">
        <v>91</v>
      </c>
      <c r="C77" s="8" t="s">
        <v>20</v>
      </c>
      <c r="D77" s="7" t="s">
        <v>21</v>
      </c>
      <c r="E77" s="8" t="s">
        <v>786</v>
      </c>
      <c r="F77" s="8" t="s">
        <v>787</v>
      </c>
    </row>
    <row r="78" spans="1:6" x14ac:dyDescent="0.25">
      <c r="A78" s="4">
        <v>67185694000150</v>
      </c>
      <c r="B78" s="8" t="s">
        <v>98</v>
      </c>
      <c r="C78" s="8" t="s">
        <v>20</v>
      </c>
      <c r="D78" s="7" t="s">
        <v>21</v>
      </c>
      <c r="E78" s="8" t="s">
        <v>786</v>
      </c>
      <c r="F78" s="8" t="s">
        <v>787</v>
      </c>
    </row>
    <row r="79" spans="1:6" x14ac:dyDescent="0.25">
      <c r="A79" s="4">
        <v>72775745000133</v>
      </c>
      <c r="B79" s="8" t="s">
        <v>102</v>
      </c>
      <c r="C79" s="8" t="s">
        <v>20</v>
      </c>
      <c r="D79" s="7" t="s">
        <v>21</v>
      </c>
      <c r="E79" s="8" t="s">
        <v>786</v>
      </c>
      <c r="F79" s="8" t="s">
        <v>787</v>
      </c>
    </row>
    <row r="80" spans="1:6" x14ac:dyDescent="0.25">
      <c r="A80" s="4">
        <v>23941593838</v>
      </c>
      <c r="B80" s="8" t="s">
        <v>104</v>
      </c>
      <c r="C80" s="8" t="s">
        <v>105</v>
      </c>
      <c r="D80" s="7" t="s">
        <v>21</v>
      </c>
      <c r="E80" s="8" t="s">
        <v>786</v>
      </c>
      <c r="F80" s="8" t="s">
        <v>787</v>
      </c>
    </row>
    <row r="81" spans="1:6" x14ac:dyDescent="0.25">
      <c r="A81" s="4">
        <v>840048000450</v>
      </c>
      <c r="B81" s="8" t="s">
        <v>106</v>
      </c>
      <c r="C81" s="8" t="s">
        <v>107</v>
      </c>
      <c r="D81" s="7" t="s">
        <v>21</v>
      </c>
      <c r="E81" s="8" t="s">
        <v>786</v>
      </c>
      <c r="F81" s="8" t="s">
        <v>787</v>
      </c>
    </row>
    <row r="82" spans="1:6" x14ac:dyDescent="0.25">
      <c r="A82" s="4">
        <v>1613433006892</v>
      </c>
      <c r="B82" s="8" t="s">
        <v>108</v>
      </c>
      <c r="C82" s="8" t="s">
        <v>109</v>
      </c>
      <c r="D82" s="7" t="s">
        <v>21</v>
      </c>
      <c r="E82" s="8" t="s">
        <v>786</v>
      </c>
      <c r="F82" s="8" t="s">
        <v>787</v>
      </c>
    </row>
    <row r="83" spans="1:6" x14ac:dyDescent="0.25">
      <c r="A83" s="4">
        <v>1613433008089</v>
      </c>
      <c r="B83" s="8" t="s">
        <v>192</v>
      </c>
      <c r="C83" s="8" t="s">
        <v>193</v>
      </c>
      <c r="D83" s="7" t="s">
        <v>21</v>
      </c>
      <c r="E83" s="8" t="s">
        <v>786</v>
      </c>
      <c r="F83" s="8" t="s">
        <v>787</v>
      </c>
    </row>
    <row r="84" spans="1:6" x14ac:dyDescent="0.25">
      <c r="A84" s="4">
        <v>1613433010814</v>
      </c>
      <c r="B84" s="8" t="s">
        <v>214</v>
      </c>
      <c r="C84" s="8" t="s">
        <v>202</v>
      </c>
      <c r="D84" s="7" t="s">
        <v>21</v>
      </c>
      <c r="E84" s="8" t="s">
        <v>786</v>
      </c>
      <c r="F84" s="8" t="s">
        <v>787</v>
      </c>
    </row>
    <row r="85" spans="1:6" x14ac:dyDescent="0.25">
      <c r="A85" s="4">
        <v>2643405000173</v>
      </c>
      <c r="B85" s="8" t="s">
        <v>110</v>
      </c>
      <c r="C85" s="8" t="s">
        <v>111</v>
      </c>
      <c r="D85" s="7" t="s">
        <v>21</v>
      </c>
      <c r="E85" s="8" t="s">
        <v>786</v>
      </c>
      <c r="F85" s="8" t="s">
        <v>787</v>
      </c>
    </row>
    <row r="86" spans="1:6" x14ac:dyDescent="0.25">
      <c r="A86" s="4">
        <v>4275687000129</v>
      </c>
      <c r="B86" s="8" t="s">
        <v>112</v>
      </c>
      <c r="C86" s="8" t="s">
        <v>113</v>
      </c>
      <c r="D86" s="7" t="s">
        <v>21</v>
      </c>
      <c r="E86" s="8" t="s">
        <v>786</v>
      </c>
      <c r="F86" s="8" t="s">
        <v>787</v>
      </c>
    </row>
    <row r="87" spans="1:6" x14ac:dyDescent="0.25">
      <c r="A87" s="4">
        <v>6033403000113</v>
      </c>
      <c r="B87" s="8" t="s">
        <v>114</v>
      </c>
      <c r="C87" s="8" t="s">
        <v>115</v>
      </c>
      <c r="D87" s="7" t="s">
        <v>21</v>
      </c>
      <c r="E87" s="8" t="s">
        <v>786</v>
      </c>
      <c r="F87" s="8" t="s">
        <v>787</v>
      </c>
    </row>
    <row r="88" spans="1:6" x14ac:dyDescent="0.25">
      <c r="A88" s="4">
        <v>6047087000724</v>
      </c>
      <c r="B88" s="8" t="s">
        <v>194</v>
      </c>
      <c r="C88" s="8" t="s">
        <v>115</v>
      </c>
      <c r="D88" s="7" t="s">
        <v>21</v>
      </c>
      <c r="E88" s="8" t="s">
        <v>786</v>
      </c>
      <c r="F88" s="8" t="s">
        <v>787</v>
      </c>
    </row>
    <row r="89" spans="1:6" x14ac:dyDescent="0.25">
      <c r="A89" s="4">
        <v>6047087003073</v>
      </c>
      <c r="B89" s="8" t="s">
        <v>116</v>
      </c>
      <c r="C89" s="8" t="s">
        <v>117</v>
      </c>
      <c r="D89" s="7" t="s">
        <v>21</v>
      </c>
      <c r="E89" s="8" t="s">
        <v>786</v>
      </c>
      <c r="F89" s="8" t="s">
        <v>787</v>
      </c>
    </row>
    <row r="90" spans="1:6" x14ac:dyDescent="0.25">
      <c r="A90" s="4">
        <v>6047087007656</v>
      </c>
      <c r="B90" s="8" t="s">
        <v>118</v>
      </c>
      <c r="C90" s="8" t="s">
        <v>119</v>
      </c>
      <c r="D90" s="7" t="s">
        <v>21</v>
      </c>
      <c r="E90" s="8" t="s">
        <v>786</v>
      </c>
      <c r="F90" s="8" t="s">
        <v>787</v>
      </c>
    </row>
    <row r="91" spans="1:6" x14ac:dyDescent="0.25">
      <c r="A91" s="4">
        <v>6047087007907</v>
      </c>
      <c r="B91" s="8" t="s">
        <v>177</v>
      </c>
      <c r="C91" s="8" t="s">
        <v>115</v>
      </c>
      <c r="D91" s="7" t="s">
        <v>21</v>
      </c>
      <c r="E91" s="8" t="s">
        <v>786</v>
      </c>
      <c r="F91" s="8" t="s">
        <v>787</v>
      </c>
    </row>
    <row r="92" spans="1:6" x14ac:dyDescent="0.25">
      <c r="A92" s="4">
        <v>6209132000104</v>
      </c>
      <c r="B92" s="8" t="s">
        <v>120</v>
      </c>
      <c r="C92" s="8" t="s">
        <v>121</v>
      </c>
      <c r="D92" s="7" t="s">
        <v>21</v>
      </c>
      <c r="E92" s="8" t="s">
        <v>786</v>
      </c>
      <c r="F92" s="8" t="s">
        <v>787</v>
      </c>
    </row>
    <row r="93" spans="1:6" x14ac:dyDescent="0.25">
      <c r="A93" s="4">
        <v>9528436000122</v>
      </c>
      <c r="B93" s="8" t="s">
        <v>195</v>
      </c>
      <c r="C93" s="8" t="s">
        <v>182</v>
      </c>
      <c r="D93" s="7" t="s">
        <v>21</v>
      </c>
      <c r="E93" s="8" t="s">
        <v>786</v>
      </c>
      <c r="F93" s="8" t="s">
        <v>787</v>
      </c>
    </row>
    <row r="94" spans="1:6" x14ac:dyDescent="0.25">
      <c r="A94" s="4">
        <v>10447300000177</v>
      </c>
      <c r="B94" s="8" t="s">
        <v>122</v>
      </c>
      <c r="C94" s="8" t="s">
        <v>123</v>
      </c>
      <c r="D94" s="7" t="s">
        <v>21</v>
      </c>
      <c r="E94" s="8" t="s">
        <v>786</v>
      </c>
      <c r="F94" s="8" t="s">
        <v>787</v>
      </c>
    </row>
    <row r="95" spans="1:6" x14ac:dyDescent="0.25">
      <c r="A95" s="4">
        <v>10576443000189</v>
      </c>
      <c r="B95" s="8" t="s">
        <v>178</v>
      </c>
      <c r="C95" s="8" t="s">
        <v>111</v>
      </c>
      <c r="D95" s="7" t="s">
        <v>21</v>
      </c>
      <c r="E95" s="8" t="s">
        <v>786</v>
      </c>
      <c r="F95" s="8" t="s">
        <v>787</v>
      </c>
    </row>
    <row r="96" spans="1:6" x14ac:dyDescent="0.25">
      <c r="A96" s="4">
        <v>10868295000176</v>
      </c>
      <c r="B96" s="8" t="s">
        <v>179</v>
      </c>
      <c r="C96" s="8" t="s">
        <v>129</v>
      </c>
      <c r="D96" s="7" t="s">
        <v>21</v>
      </c>
      <c r="E96" s="8" t="s">
        <v>786</v>
      </c>
      <c r="F96" s="8" t="s">
        <v>787</v>
      </c>
    </row>
    <row r="97" spans="1:6" x14ac:dyDescent="0.25">
      <c r="A97" s="4">
        <v>12474705000120</v>
      </c>
      <c r="B97" s="8" t="s">
        <v>196</v>
      </c>
      <c r="C97" s="8" t="s">
        <v>197</v>
      </c>
      <c r="D97" s="7" t="s">
        <v>21</v>
      </c>
      <c r="E97" s="8" t="s">
        <v>786</v>
      </c>
      <c r="F97" s="8" t="s">
        <v>787</v>
      </c>
    </row>
    <row r="98" spans="1:6" x14ac:dyDescent="0.25">
      <c r="A98" s="4">
        <v>13718999001041</v>
      </c>
      <c r="B98" s="8" t="s">
        <v>124</v>
      </c>
      <c r="C98" s="8" t="s">
        <v>115</v>
      </c>
      <c r="D98" s="7" t="s">
        <v>21</v>
      </c>
      <c r="E98" s="8" t="s">
        <v>786</v>
      </c>
      <c r="F98" s="8" t="s">
        <v>787</v>
      </c>
    </row>
    <row r="99" spans="1:6" x14ac:dyDescent="0.25">
      <c r="A99" s="4">
        <v>18290268000170</v>
      </c>
      <c r="B99" s="8" t="s">
        <v>180</v>
      </c>
      <c r="C99" s="8" t="s">
        <v>129</v>
      </c>
      <c r="D99" s="7" t="s">
        <v>21</v>
      </c>
      <c r="E99" s="8" t="s">
        <v>786</v>
      </c>
      <c r="F99" s="8" t="s">
        <v>787</v>
      </c>
    </row>
    <row r="100" spans="1:6" x14ac:dyDescent="0.25">
      <c r="A100" s="4">
        <v>18321477000134</v>
      </c>
      <c r="B100" s="8" t="s">
        <v>125</v>
      </c>
      <c r="C100" s="8" t="s">
        <v>117</v>
      </c>
      <c r="D100" s="7" t="s">
        <v>21</v>
      </c>
      <c r="E100" s="8" t="s">
        <v>786</v>
      </c>
      <c r="F100" s="8" t="s">
        <v>787</v>
      </c>
    </row>
    <row r="101" spans="1:6" x14ac:dyDescent="0.25">
      <c r="A101" s="4">
        <v>24082016000159</v>
      </c>
      <c r="B101" s="8" t="s">
        <v>181</v>
      </c>
      <c r="C101" s="8" t="s">
        <v>182</v>
      </c>
      <c r="D101" s="7" t="s">
        <v>21</v>
      </c>
      <c r="E101" s="8" t="s">
        <v>786</v>
      </c>
      <c r="F101" s="8" t="s">
        <v>787</v>
      </c>
    </row>
    <row r="102" spans="1:6" x14ac:dyDescent="0.25">
      <c r="A102" s="4">
        <v>25026561000190</v>
      </c>
      <c r="B102" s="8" t="s">
        <v>126</v>
      </c>
      <c r="C102" s="8" t="s">
        <v>127</v>
      </c>
      <c r="D102" s="7" t="s">
        <v>21</v>
      </c>
      <c r="E102" s="8" t="s">
        <v>786</v>
      </c>
      <c r="F102" s="8" t="s">
        <v>787</v>
      </c>
    </row>
    <row r="103" spans="1:6" x14ac:dyDescent="0.25">
      <c r="A103" s="4">
        <v>29435005008022</v>
      </c>
      <c r="B103" s="8" t="s">
        <v>128</v>
      </c>
      <c r="C103" s="8" t="s">
        <v>129</v>
      </c>
      <c r="D103" s="7" t="s">
        <v>21</v>
      </c>
      <c r="E103" s="8" t="s">
        <v>786</v>
      </c>
      <c r="F103" s="8" t="s">
        <v>787</v>
      </c>
    </row>
    <row r="104" spans="1:6" x14ac:dyDescent="0.25">
      <c r="A104" s="4">
        <v>29435005008103</v>
      </c>
      <c r="B104" s="8" t="s">
        <v>198</v>
      </c>
      <c r="C104" s="8" t="s">
        <v>199</v>
      </c>
      <c r="D104" s="7" t="s">
        <v>21</v>
      </c>
      <c r="E104" s="8" t="s">
        <v>786</v>
      </c>
      <c r="F104" s="8" t="s">
        <v>787</v>
      </c>
    </row>
    <row r="105" spans="1:6" x14ac:dyDescent="0.25">
      <c r="A105" s="4">
        <v>29435005008294</v>
      </c>
      <c r="B105" s="8" t="s">
        <v>130</v>
      </c>
      <c r="C105" s="8" t="s">
        <v>131</v>
      </c>
      <c r="D105" s="7" t="s">
        <v>21</v>
      </c>
      <c r="E105" s="8" t="s">
        <v>786</v>
      </c>
      <c r="F105" s="8" t="s">
        <v>787</v>
      </c>
    </row>
    <row r="106" spans="1:6" x14ac:dyDescent="0.25">
      <c r="A106" s="4">
        <v>29435005008456</v>
      </c>
      <c r="B106" s="8" t="s">
        <v>132</v>
      </c>
      <c r="C106" s="8" t="s">
        <v>123</v>
      </c>
      <c r="D106" s="7" t="s">
        <v>21</v>
      </c>
      <c r="E106" s="8" t="s">
        <v>786</v>
      </c>
      <c r="F106" s="8" t="s">
        <v>787</v>
      </c>
    </row>
    <row r="107" spans="1:6" x14ac:dyDescent="0.25">
      <c r="A107" s="4">
        <v>43293604002120</v>
      </c>
      <c r="B107" s="8" t="s">
        <v>133</v>
      </c>
      <c r="C107" s="8" t="s">
        <v>134</v>
      </c>
      <c r="D107" s="7" t="s">
        <v>21</v>
      </c>
      <c r="E107" s="8" t="s">
        <v>786</v>
      </c>
      <c r="F107" s="8" t="s">
        <v>787</v>
      </c>
    </row>
    <row r="108" spans="1:6" x14ac:dyDescent="0.25">
      <c r="A108" s="4">
        <v>44456036000311</v>
      </c>
      <c r="B108" s="8" t="s">
        <v>135</v>
      </c>
      <c r="C108" s="8" t="s">
        <v>136</v>
      </c>
      <c r="D108" s="7" t="s">
        <v>21</v>
      </c>
      <c r="E108" s="8" t="s">
        <v>786</v>
      </c>
      <c r="F108" s="8" t="s">
        <v>787</v>
      </c>
    </row>
    <row r="109" spans="1:6" x14ac:dyDescent="0.25">
      <c r="A109" s="4">
        <v>44531788000138</v>
      </c>
      <c r="B109" s="8" t="s">
        <v>137</v>
      </c>
      <c r="C109" s="8" t="s">
        <v>138</v>
      </c>
      <c r="D109" s="7" t="s">
        <v>21</v>
      </c>
      <c r="E109" s="8" t="s">
        <v>786</v>
      </c>
      <c r="F109" s="8" t="s">
        <v>787</v>
      </c>
    </row>
    <row r="110" spans="1:6" x14ac:dyDescent="0.25">
      <c r="A110" s="4">
        <v>44649812001614</v>
      </c>
      <c r="B110" s="8" t="s">
        <v>200</v>
      </c>
      <c r="C110" s="8" t="s">
        <v>153</v>
      </c>
      <c r="D110" s="7" t="s">
        <v>21</v>
      </c>
      <c r="E110" s="8" t="s">
        <v>786</v>
      </c>
      <c r="F110" s="8" t="s">
        <v>787</v>
      </c>
    </row>
    <row r="111" spans="1:6" x14ac:dyDescent="0.25">
      <c r="A111" s="4">
        <v>44649812019238</v>
      </c>
      <c r="B111" s="8" t="s">
        <v>139</v>
      </c>
      <c r="C111" s="8" t="s">
        <v>123</v>
      </c>
      <c r="D111" s="7" t="s">
        <v>21</v>
      </c>
      <c r="E111" s="8" t="s">
        <v>786</v>
      </c>
      <c r="F111" s="8" t="s">
        <v>787</v>
      </c>
    </row>
    <row r="112" spans="1:6" x14ac:dyDescent="0.25">
      <c r="A112" s="4">
        <v>44663631000590</v>
      </c>
      <c r="B112" s="8" t="s">
        <v>140</v>
      </c>
      <c r="C112" s="8" t="s">
        <v>141</v>
      </c>
      <c r="D112" s="7" t="s">
        <v>21</v>
      </c>
      <c r="E112" s="8" t="s">
        <v>786</v>
      </c>
      <c r="F112" s="8" t="s">
        <v>787</v>
      </c>
    </row>
    <row r="113" spans="1:6" x14ac:dyDescent="0.25">
      <c r="A113" s="4">
        <v>44803922000293</v>
      </c>
      <c r="B113" s="8" t="s">
        <v>142</v>
      </c>
      <c r="C113" s="8" t="s">
        <v>143</v>
      </c>
      <c r="D113" s="7" t="s">
        <v>21</v>
      </c>
      <c r="E113" s="8" t="s">
        <v>786</v>
      </c>
      <c r="F113" s="8" t="s">
        <v>787</v>
      </c>
    </row>
    <row r="114" spans="1:6" x14ac:dyDescent="0.25">
      <c r="A114" s="4">
        <v>45118429001279</v>
      </c>
      <c r="B114" s="8" t="s">
        <v>144</v>
      </c>
      <c r="C114" s="8" t="s">
        <v>145</v>
      </c>
      <c r="D114" s="7" t="s">
        <v>21</v>
      </c>
      <c r="E114" s="8" t="s">
        <v>786</v>
      </c>
      <c r="F114" s="8" t="s">
        <v>787</v>
      </c>
    </row>
    <row r="115" spans="1:6" x14ac:dyDescent="0.25">
      <c r="A115" s="4">
        <v>45184066000117</v>
      </c>
      <c r="B115" s="8" t="s">
        <v>146</v>
      </c>
      <c r="C115" s="8" t="s">
        <v>117</v>
      </c>
      <c r="D115" s="7" t="s">
        <v>21</v>
      </c>
      <c r="E115" s="8" t="s">
        <v>786</v>
      </c>
      <c r="F115" s="8" t="s">
        <v>787</v>
      </c>
    </row>
    <row r="116" spans="1:6" x14ac:dyDescent="0.25">
      <c r="A116" s="4">
        <v>45232246000550</v>
      </c>
      <c r="B116" s="8" t="s">
        <v>147</v>
      </c>
      <c r="C116" s="8" t="s">
        <v>109</v>
      </c>
      <c r="D116" s="7" t="s">
        <v>21</v>
      </c>
      <c r="E116" s="8" t="s">
        <v>786</v>
      </c>
      <c r="F116" s="8" t="s">
        <v>787</v>
      </c>
    </row>
    <row r="117" spans="1:6" x14ac:dyDescent="0.25">
      <c r="A117" s="4">
        <v>45359213000576</v>
      </c>
      <c r="B117" s="8" t="s">
        <v>148</v>
      </c>
      <c r="C117" s="8" t="s">
        <v>149</v>
      </c>
      <c r="D117" s="7" t="s">
        <v>21</v>
      </c>
      <c r="E117" s="8" t="s">
        <v>786</v>
      </c>
      <c r="F117" s="8" t="s">
        <v>787</v>
      </c>
    </row>
    <row r="118" spans="1:6" x14ac:dyDescent="0.25">
      <c r="A118" s="4">
        <v>45399961000230</v>
      </c>
      <c r="B118" s="8" t="s">
        <v>150</v>
      </c>
      <c r="C118" s="8" t="s">
        <v>151</v>
      </c>
      <c r="D118" s="7" t="s">
        <v>21</v>
      </c>
      <c r="E118" s="8" t="s">
        <v>786</v>
      </c>
      <c r="F118" s="8" t="s">
        <v>787</v>
      </c>
    </row>
    <row r="119" spans="1:6" x14ac:dyDescent="0.25">
      <c r="A119" s="4">
        <v>45780103000150</v>
      </c>
      <c r="B119" s="8" t="s">
        <v>152</v>
      </c>
      <c r="C119" s="8" t="s">
        <v>153</v>
      </c>
      <c r="D119" s="7" t="s">
        <v>21</v>
      </c>
      <c r="E119" s="8" t="s">
        <v>786</v>
      </c>
      <c r="F119" s="8" t="s">
        <v>787</v>
      </c>
    </row>
    <row r="120" spans="1:6" x14ac:dyDescent="0.25">
      <c r="A120" s="4">
        <v>46009718000140</v>
      </c>
      <c r="B120" s="8" t="s">
        <v>154</v>
      </c>
      <c r="C120" s="8" t="s">
        <v>123</v>
      </c>
      <c r="D120" s="7" t="s">
        <v>21</v>
      </c>
      <c r="E120" s="8" t="s">
        <v>786</v>
      </c>
      <c r="F120" s="8" t="s">
        <v>787</v>
      </c>
    </row>
    <row r="121" spans="1:6" x14ac:dyDescent="0.25">
      <c r="A121" s="4">
        <v>46020301000269</v>
      </c>
      <c r="B121" s="8" t="s">
        <v>155</v>
      </c>
      <c r="C121" s="8" t="s">
        <v>123</v>
      </c>
      <c r="D121" s="7" t="s">
        <v>21</v>
      </c>
      <c r="E121" s="8" t="s">
        <v>786</v>
      </c>
      <c r="F121" s="8" t="s">
        <v>787</v>
      </c>
    </row>
    <row r="122" spans="1:6" x14ac:dyDescent="0.25">
      <c r="A122" s="4">
        <v>46068425000133</v>
      </c>
      <c r="B122" s="8" t="s">
        <v>183</v>
      </c>
      <c r="C122" s="8" t="s">
        <v>123</v>
      </c>
      <c r="D122" s="7" t="s">
        <v>21</v>
      </c>
      <c r="E122" s="8" t="s">
        <v>786</v>
      </c>
      <c r="F122" s="8" t="s">
        <v>787</v>
      </c>
    </row>
    <row r="123" spans="1:6" x14ac:dyDescent="0.25">
      <c r="A123" s="4">
        <v>46124624000111</v>
      </c>
      <c r="B123" s="8" t="s">
        <v>156</v>
      </c>
      <c r="C123" s="8" t="s">
        <v>123</v>
      </c>
      <c r="D123" s="7" t="s">
        <v>21</v>
      </c>
      <c r="E123" s="8" t="s">
        <v>786</v>
      </c>
      <c r="F123" s="8" t="s">
        <v>787</v>
      </c>
    </row>
    <row r="124" spans="1:6" x14ac:dyDescent="0.25">
      <c r="A124" s="4">
        <v>46124624002599</v>
      </c>
      <c r="B124" s="8" t="s">
        <v>157</v>
      </c>
      <c r="C124" s="8" t="s">
        <v>158</v>
      </c>
      <c r="D124" s="7" t="s">
        <v>21</v>
      </c>
      <c r="E124" s="8" t="s">
        <v>786</v>
      </c>
      <c r="F124" s="8" t="s">
        <v>787</v>
      </c>
    </row>
    <row r="125" spans="1:6" x14ac:dyDescent="0.25">
      <c r="A125" s="4">
        <v>46374500003533</v>
      </c>
      <c r="B125" s="8" t="s">
        <v>159</v>
      </c>
      <c r="C125" s="8" t="s">
        <v>109</v>
      </c>
      <c r="D125" s="7" t="s">
        <v>21</v>
      </c>
      <c r="E125" s="8" t="s">
        <v>786</v>
      </c>
      <c r="F125" s="8" t="s">
        <v>787</v>
      </c>
    </row>
    <row r="126" spans="1:6" x14ac:dyDescent="0.25">
      <c r="A126" s="4">
        <v>46374500003886</v>
      </c>
      <c r="B126" s="8" t="s">
        <v>184</v>
      </c>
      <c r="C126" s="8" t="s">
        <v>185</v>
      </c>
      <c r="D126" s="7" t="s">
        <v>21</v>
      </c>
      <c r="E126" s="8" t="s">
        <v>786</v>
      </c>
      <c r="F126" s="8" t="s">
        <v>787</v>
      </c>
    </row>
    <row r="127" spans="1:6" x14ac:dyDescent="0.25">
      <c r="A127" s="4">
        <v>46374500009060</v>
      </c>
      <c r="B127" s="8" t="s">
        <v>186</v>
      </c>
      <c r="C127" s="8" t="s">
        <v>143</v>
      </c>
      <c r="D127" s="7" t="s">
        <v>21</v>
      </c>
      <c r="E127" s="8" t="s">
        <v>786</v>
      </c>
      <c r="F127" s="8" t="s">
        <v>787</v>
      </c>
    </row>
    <row r="128" spans="1:6" x14ac:dyDescent="0.25">
      <c r="A128" s="4">
        <v>46374500009221</v>
      </c>
      <c r="B128" s="8" t="s">
        <v>201</v>
      </c>
      <c r="C128" s="8" t="s">
        <v>202</v>
      </c>
      <c r="D128" s="7" t="s">
        <v>21</v>
      </c>
      <c r="E128" s="8" t="s">
        <v>786</v>
      </c>
      <c r="F128" s="8" t="s">
        <v>787</v>
      </c>
    </row>
    <row r="129" spans="1:6" x14ac:dyDescent="0.25">
      <c r="A129" s="4">
        <v>46643466000106</v>
      </c>
      <c r="B129" s="8" t="s">
        <v>203</v>
      </c>
      <c r="C129" s="8" t="s">
        <v>117</v>
      </c>
      <c r="D129" s="7" t="s">
        <v>21</v>
      </c>
      <c r="E129" s="8" t="s">
        <v>786</v>
      </c>
      <c r="F129" s="8" t="s">
        <v>787</v>
      </c>
    </row>
    <row r="130" spans="1:6" x14ac:dyDescent="0.25">
      <c r="A130" s="4">
        <v>47074851000819</v>
      </c>
      <c r="B130" s="8" t="s">
        <v>160</v>
      </c>
      <c r="C130" s="8" t="s">
        <v>145</v>
      </c>
      <c r="D130" s="7" t="s">
        <v>21</v>
      </c>
      <c r="E130" s="8" t="s">
        <v>786</v>
      </c>
      <c r="F130" s="8" t="s">
        <v>787</v>
      </c>
    </row>
    <row r="131" spans="1:6" x14ac:dyDescent="0.25">
      <c r="A131" s="4">
        <v>47565155000996</v>
      </c>
      <c r="B131" s="8" t="s">
        <v>204</v>
      </c>
      <c r="C131" s="8" t="s">
        <v>205</v>
      </c>
      <c r="D131" s="7" t="s">
        <v>21</v>
      </c>
      <c r="E131" s="8" t="s">
        <v>786</v>
      </c>
      <c r="F131" s="8" t="s">
        <v>787</v>
      </c>
    </row>
    <row r="132" spans="1:6" x14ac:dyDescent="0.25">
      <c r="A132" s="4">
        <v>48310098000100</v>
      </c>
      <c r="B132" s="8" t="s">
        <v>187</v>
      </c>
      <c r="C132" s="8" t="s">
        <v>111</v>
      </c>
      <c r="D132" s="7" t="s">
        <v>21</v>
      </c>
      <c r="E132" s="8" t="s">
        <v>786</v>
      </c>
      <c r="F132" s="8" t="s">
        <v>787</v>
      </c>
    </row>
    <row r="133" spans="1:6" x14ac:dyDescent="0.25">
      <c r="A133" s="4">
        <v>48468284000171</v>
      </c>
      <c r="B133" s="8" t="s">
        <v>161</v>
      </c>
      <c r="C133" s="8" t="s">
        <v>162</v>
      </c>
      <c r="D133" s="7" t="s">
        <v>21</v>
      </c>
      <c r="E133" s="8" t="s">
        <v>786</v>
      </c>
      <c r="F133" s="8" t="s">
        <v>787</v>
      </c>
    </row>
    <row r="134" spans="1:6" x14ac:dyDescent="0.25">
      <c r="A134" s="4">
        <v>50486026000160</v>
      </c>
      <c r="B134" s="8" t="s">
        <v>163</v>
      </c>
      <c r="C134" s="8" t="s">
        <v>164</v>
      </c>
      <c r="D134" s="7" t="s">
        <v>21</v>
      </c>
      <c r="E134" s="8" t="s">
        <v>786</v>
      </c>
      <c r="F134" s="8" t="s">
        <v>787</v>
      </c>
    </row>
    <row r="135" spans="1:6" x14ac:dyDescent="0.25">
      <c r="A135" s="4">
        <v>50944198000130</v>
      </c>
      <c r="B135" s="8" t="s">
        <v>206</v>
      </c>
      <c r="C135" s="8" t="s">
        <v>153</v>
      </c>
      <c r="D135" s="7" t="s">
        <v>21</v>
      </c>
      <c r="E135" s="8" t="s">
        <v>786</v>
      </c>
      <c r="F135" s="8" t="s">
        <v>787</v>
      </c>
    </row>
    <row r="136" spans="1:6" x14ac:dyDescent="0.25">
      <c r="A136" s="4">
        <v>51093193000456</v>
      </c>
      <c r="B136" s="8" t="s">
        <v>207</v>
      </c>
      <c r="C136" s="8" t="s">
        <v>185</v>
      </c>
      <c r="D136" s="7" t="s">
        <v>21</v>
      </c>
      <c r="E136" s="8" t="s">
        <v>786</v>
      </c>
      <c r="F136" s="8" t="s">
        <v>787</v>
      </c>
    </row>
    <row r="137" spans="1:6" x14ac:dyDescent="0.25">
      <c r="A137" s="4">
        <v>51722957014302</v>
      </c>
      <c r="B137" s="8" t="s">
        <v>215</v>
      </c>
      <c r="C137" s="8" t="s">
        <v>216</v>
      </c>
      <c r="D137" s="7" t="s">
        <v>21</v>
      </c>
      <c r="E137" s="8" t="s">
        <v>786</v>
      </c>
      <c r="F137" s="8" t="s">
        <v>787</v>
      </c>
    </row>
    <row r="138" spans="1:6" x14ac:dyDescent="0.25">
      <c r="A138" s="4">
        <v>51877926000109</v>
      </c>
      <c r="B138" s="8" t="s">
        <v>165</v>
      </c>
      <c r="C138" s="8" t="s">
        <v>123</v>
      </c>
      <c r="D138" s="7" t="s">
        <v>21</v>
      </c>
      <c r="E138" s="8" t="s">
        <v>786</v>
      </c>
      <c r="F138" s="8" t="s">
        <v>787</v>
      </c>
    </row>
    <row r="139" spans="1:6" x14ac:dyDescent="0.25">
      <c r="A139" s="4">
        <v>51885242000140</v>
      </c>
      <c r="B139" s="8" t="s">
        <v>166</v>
      </c>
      <c r="C139" s="8" t="s">
        <v>123</v>
      </c>
      <c r="D139" s="7" t="s">
        <v>21</v>
      </c>
      <c r="E139" s="8" t="s">
        <v>786</v>
      </c>
      <c r="F139" s="8" t="s">
        <v>787</v>
      </c>
    </row>
    <row r="140" spans="1:6" x14ac:dyDescent="0.25">
      <c r="A140" s="4">
        <v>52852100000140</v>
      </c>
      <c r="B140" s="8" t="s">
        <v>208</v>
      </c>
      <c r="C140" s="8" t="s">
        <v>209</v>
      </c>
      <c r="D140" s="7" t="s">
        <v>21</v>
      </c>
      <c r="E140" s="8" t="s">
        <v>786</v>
      </c>
      <c r="F140" s="8" t="s">
        <v>787</v>
      </c>
    </row>
    <row r="141" spans="1:6" x14ac:dyDescent="0.25">
      <c r="A141" s="4">
        <v>53311999000156</v>
      </c>
      <c r="B141" s="8" t="s">
        <v>210</v>
      </c>
      <c r="C141" s="8" t="s">
        <v>211</v>
      </c>
      <c r="D141" s="7" t="s">
        <v>21</v>
      </c>
      <c r="E141" s="8" t="s">
        <v>786</v>
      </c>
      <c r="F141" s="8" t="s">
        <v>787</v>
      </c>
    </row>
    <row r="142" spans="1:6" x14ac:dyDescent="0.25">
      <c r="A142" s="4">
        <v>54012406000385</v>
      </c>
      <c r="B142" s="8" t="s">
        <v>167</v>
      </c>
      <c r="C142" s="8" t="s">
        <v>168</v>
      </c>
      <c r="D142" s="7" t="s">
        <v>21</v>
      </c>
      <c r="E142" s="8" t="s">
        <v>786</v>
      </c>
      <c r="F142" s="8" t="s">
        <v>787</v>
      </c>
    </row>
    <row r="143" spans="1:6" x14ac:dyDescent="0.25">
      <c r="A143" s="4">
        <v>55980148000121</v>
      </c>
      <c r="B143" s="8" t="s">
        <v>169</v>
      </c>
      <c r="C143" s="8" t="s">
        <v>109</v>
      </c>
      <c r="D143" s="7" t="s">
        <v>21</v>
      </c>
      <c r="E143" s="8" t="s">
        <v>786</v>
      </c>
      <c r="F143" s="8" t="s">
        <v>787</v>
      </c>
    </row>
    <row r="144" spans="1:6" x14ac:dyDescent="0.25">
      <c r="A144" s="4">
        <v>57722118000140</v>
      </c>
      <c r="B144" s="8" t="s">
        <v>188</v>
      </c>
      <c r="C144" s="8" t="s">
        <v>109</v>
      </c>
      <c r="D144" s="7" t="s">
        <v>21</v>
      </c>
      <c r="E144" s="8" t="s">
        <v>786</v>
      </c>
      <c r="F144" s="8" t="s">
        <v>787</v>
      </c>
    </row>
    <row r="145" spans="1:6" x14ac:dyDescent="0.25">
      <c r="A145" s="4">
        <v>57722118000302</v>
      </c>
      <c r="B145" s="8" t="s">
        <v>170</v>
      </c>
      <c r="C145" s="8" t="s">
        <v>109</v>
      </c>
      <c r="D145" s="7" t="s">
        <v>21</v>
      </c>
      <c r="E145" s="8" t="s">
        <v>786</v>
      </c>
      <c r="F145" s="8" t="s">
        <v>787</v>
      </c>
    </row>
    <row r="146" spans="1:6" x14ac:dyDescent="0.25">
      <c r="A146" s="4">
        <v>57723280000183</v>
      </c>
      <c r="B146" s="8" t="s">
        <v>217</v>
      </c>
      <c r="C146" s="8" t="s">
        <v>109</v>
      </c>
      <c r="D146" s="7" t="s">
        <v>21</v>
      </c>
      <c r="E146" s="8" t="s">
        <v>786</v>
      </c>
      <c r="F146" s="8" t="s">
        <v>787</v>
      </c>
    </row>
    <row r="147" spans="1:6" x14ac:dyDescent="0.25">
      <c r="A147" s="4">
        <v>58229691001070</v>
      </c>
      <c r="B147" s="8" t="s">
        <v>171</v>
      </c>
      <c r="C147" s="8" t="s">
        <v>129</v>
      </c>
      <c r="D147" s="7" t="s">
        <v>21</v>
      </c>
      <c r="E147" s="8" t="s">
        <v>786</v>
      </c>
      <c r="F147" s="8" t="s">
        <v>787</v>
      </c>
    </row>
    <row r="148" spans="1:6" x14ac:dyDescent="0.25">
      <c r="A148" s="4">
        <v>59970947000178</v>
      </c>
      <c r="B148" s="8" t="s">
        <v>172</v>
      </c>
      <c r="C148" s="8" t="s">
        <v>111</v>
      </c>
      <c r="D148" s="7" t="s">
        <v>21</v>
      </c>
      <c r="E148" s="8" t="s">
        <v>786</v>
      </c>
      <c r="F148" s="8" t="s">
        <v>787</v>
      </c>
    </row>
    <row r="149" spans="1:6" x14ac:dyDescent="0.25">
      <c r="A149" s="4">
        <v>59972307000105</v>
      </c>
      <c r="B149" s="8" t="s">
        <v>173</v>
      </c>
      <c r="C149" s="8" t="s">
        <v>111</v>
      </c>
      <c r="D149" s="7" t="s">
        <v>21</v>
      </c>
      <c r="E149" s="8" t="s">
        <v>786</v>
      </c>
      <c r="F149" s="8" t="s">
        <v>787</v>
      </c>
    </row>
    <row r="150" spans="1:6" x14ac:dyDescent="0.25">
      <c r="A150" s="4">
        <v>60003761000129</v>
      </c>
      <c r="B150" s="8" t="s">
        <v>174</v>
      </c>
      <c r="C150" s="8" t="s">
        <v>111</v>
      </c>
      <c r="D150" s="7" t="s">
        <v>21</v>
      </c>
      <c r="E150" s="8" t="s">
        <v>786</v>
      </c>
      <c r="F150" s="8" t="s">
        <v>787</v>
      </c>
    </row>
    <row r="151" spans="1:6" x14ac:dyDescent="0.25">
      <c r="A151" s="4">
        <v>60214517000962</v>
      </c>
      <c r="B151" s="8" t="s">
        <v>175</v>
      </c>
      <c r="C151" s="8" t="s">
        <v>117</v>
      </c>
      <c r="D151" s="7" t="s">
        <v>21</v>
      </c>
      <c r="E151" s="8" t="s">
        <v>786</v>
      </c>
      <c r="F151" s="8" t="s">
        <v>787</v>
      </c>
    </row>
    <row r="152" spans="1:6" x14ac:dyDescent="0.25">
      <c r="A152" s="4">
        <v>60214517001187</v>
      </c>
      <c r="B152" s="8" t="s">
        <v>212</v>
      </c>
      <c r="C152" s="8" t="s">
        <v>213</v>
      </c>
      <c r="D152" s="7" t="s">
        <v>21</v>
      </c>
      <c r="E152" s="8" t="s">
        <v>786</v>
      </c>
      <c r="F152" s="8" t="s">
        <v>787</v>
      </c>
    </row>
    <row r="153" spans="1:6" x14ac:dyDescent="0.25">
      <c r="A153" s="4">
        <v>60214517001691</v>
      </c>
      <c r="B153" s="8" t="s">
        <v>176</v>
      </c>
      <c r="C153" s="8" t="s">
        <v>117</v>
      </c>
      <c r="D153" s="7" t="s">
        <v>21</v>
      </c>
      <c r="E153" s="8" t="s">
        <v>786</v>
      </c>
      <c r="F153" s="8" t="s">
        <v>787</v>
      </c>
    </row>
    <row r="154" spans="1:6" x14ac:dyDescent="0.25">
      <c r="A154" s="4">
        <v>63025530008270</v>
      </c>
      <c r="B154" s="8" t="s">
        <v>189</v>
      </c>
      <c r="C154" s="8" t="s">
        <v>136</v>
      </c>
      <c r="D154" s="7" t="s">
        <v>21</v>
      </c>
      <c r="E154" s="8" t="s">
        <v>786</v>
      </c>
      <c r="F154" s="8" t="s">
        <v>787</v>
      </c>
    </row>
    <row r="155" spans="1:6" x14ac:dyDescent="0.25">
      <c r="A155" s="4">
        <v>68204486000113</v>
      </c>
      <c r="B155" s="8" t="s">
        <v>190</v>
      </c>
      <c r="C155" s="8" t="s">
        <v>191</v>
      </c>
      <c r="D155" s="7" t="s">
        <v>21</v>
      </c>
      <c r="E155" s="8" t="s">
        <v>786</v>
      </c>
      <c r="F155" s="8" t="s">
        <v>787</v>
      </c>
    </row>
    <row r="156" spans="1:6" x14ac:dyDescent="0.25">
      <c r="A156" s="4">
        <v>320465020</v>
      </c>
      <c r="B156" s="8" t="s">
        <v>704</v>
      </c>
      <c r="C156" s="8" t="s">
        <v>652</v>
      </c>
      <c r="D156" s="7" t="s">
        <v>241</v>
      </c>
      <c r="E156" s="8" t="s">
        <v>784</v>
      </c>
      <c r="F156" s="8" t="s">
        <v>785</v>
      </c>
    </row>
    <row r="157" spans="1:6" x14ac:dyDescent="0.25">
      <c r="A157" s="4">
        <v>700386513</v>
      </c>
      <c r="B157" s="8" t="s">
        <v>407</v>
      </c>
      <c r="C157" s="8" t="s">
        <v>408</v>
      </c>
      <c r="D157" s="7" t="s">
        <v>318</v>
      </c>
      <c r="E157" s="8" t="s">
        <v>790</v>
      </c>
      <c r="F157" s="8" t="s">
        <v>791</v>
      </c>
    </row>
    <row r="158" spans="1:6" x14ac:dyDescent="0.25">
      <c r="A158" s="4">
        <v>5371944796</v>
      </c>
      <c r="B158" s="8" t="s">
        <v>705</v>
      </c>
      <c r="C158" s="8" t="s">
        <v>652</v>
      </c>
      <c r="D158" s="7" t="s">
        <v>241</v>
      </c>
      <c r="E158" s="8" t="s">
        <v>784</v>
      </c>
      <c r="F158" s="8" t="s">
        <v>785</v>
      </c>
    </row>
    <row r="159" spans="1:6" x14ac:dyDescent="0.25">
      <c r="A159" s="4">
        <v>9324322559</v>
      </c>
      <c r="B159" s="8" t="s">
        <v>466</v>
      </c>
      <c r="C159" s="8" t="s">
        <v>278</v>
      </c>
      <c r="D159" s="7" t="s">
        <v>276</v>
      </c>
      <c r="E159" s="8" t="s">
        <v>790</v>
      </c>
      <c r="F159" s="8" t="s">
        <v>791</v>
      </c>
    </row>
    <row r="160" spans="1:6" x14ac:dyDescent="0.25">
      <c r="A160" s="4">
        <v>11114987760</v>
      </c>
      <c r="B160" s="8" t="s">
        <v>651</v>
      </c>
      <c r="C160" s="8" t="s">
        <v>652</v>
      </c>
      <c r="D160" s="7" t="s">
        <v>241</v>
      </c>
      <c r="E160" s="8" t="s">
        <v>784</v>
      </c>
      <c r="F160" s="8" t="s">
        <v>785</v>
      </c>
    </row>
    <row r="161" spans="1:6" x14ac:dyDescent="0.25">
      <c r="A161" s="4">
        <v>12371009253</v>
      </c>
      <c r="B161" s="8" t="s">
        <v>218</v>
      </c>
      <c r="C161" s="8" t="s">
        <v>219</v>
      </c>
      <c r="D161" s="7" t="s">
        <v>220</v>
      </c>
      <c r="E161" s="8" t="s">
        <v>790</v>
      </c>
      <c r="F161" s="8" t="s">
        <v>791</v>
      </c>
    </row>
    <row r="162" spans="1:6" x14ac:dyDescent="0.25">
      <c r="A162" s="4">
        <v>17376968601</v>
      </c>
      <c r="B162" s="8" t="s">
        <v>221</v>
      </c>
      <c r="C162" s="8" t="s">
        <v>222</v>
      </c>
      <c r="D162" s="7" t="s">
        <v>223</v>
      </c>
      <c r="E162" s="8" t="s">
        <v>784</v>
      </c>
      <c r="F162" s="8" t="s">
        <v>785</v>
      </c>
    </row>
    <row r="163" spans="1:6" x14ac:dyDescent="0.25">
      <c r="A163" s="4">
        <v>25841000153</v>
      </c>
      <c r="B163" s="8" t="s">
        <v>467</v>
      </c>
      <c r="C163" s="8" t="s">
        <v>225</v>
      </c>
      <c r="D163" s="7" t="s">
        <v>226</v>
      </c>
      <c r="E163" s="8" t="s">
        <v>790</v>
      </c>
      <c r="F163" s="8" t="s">
        <v>791</v>
      </c>
    </row>
    <row r="164" spans="1:6" x14ac:dyDescent="0.25">
      <c r="A164" s="4">
        <v>44482299472</v>
      </c>
      <c r="B164" s="8" t="s">
        <v>468</v>
      </c>
      <c r="C164" s="8" t="s">
        <v>361</v>
      </c>
      <c r="D164" s="7" t="s">
        <v>362</v>
      </c>
      <c r="E164" s="8" t="s">
        <v>790</v>
      </c>
      <c r="F164" s="8" t="s">
        <v>791</v>
      </c>
    </row>
    <row r="165" spans="1:6" x14ac:dyDescent="0.25">
      <c r="A165" s="4">
        <v>48063983904</v>
      </c>
      <c r="B165" s="8" t="s">
        <v>469</v>
      </c>
      <c r="C165" s="8" t="s">
        <v>388</v>
      </c>
      <c r="D165" s="7" t="s">
        <v>259</v>
      </c>
      <c r="E165" s="8" t="s">
        <v>784</v>
      </c>
      <c r="F165" s="8" t="s">
        <v>785</v>
      </c>
    </row>
    <row r="166" spans="1:6" x14ac:dyDescent="0.25">
      <c r="A166" s="4">
        <v>49791000144</v>
      </c>
      <c r="B166" s="8" t="s">
        <v>224</v>
      </c>
      <c r="C166" s="8" t="s">
        <v>225</v>
      </c>
      <c r="D166" s="7" t="s">
        <v>226</v>
      </c>
      <c r="E166" s="8" t="s">
        <v>790</v>
      </c>
      <c r="F166" s="8" t="s">
        <v>791</v>
      </c>
    </row>
    <row r="167" spans="1:6" x14ac:dyDescent="0.25">
      <c r="A167" s="4">
        <v>53629000108</v>
      </c>
      <c r="B167" s="8" t="s">
        <v>594</v>
      </c>
      <c r="C167" s="8" t="s">
        <v>237</v>
      </c>
      <c r="D167" s="7" t="s">
        <v>238</v>
      </c>
      <c r="E167" s="8" t="s">
        <v>790</v>
      </c>
      <c r="F167" s="8" t="s">
        <v>791</v>
      </c>
    </row>
    <row r="168" spans="1:6" x14ac:dyDescent="0.25">
      <c r="A168" s="4">
        <v>70306453673</v>
      </c>
      <c r="B168" s="8" t="s">
        <v>409</v>
      </c>
      <c r="C168" s="8" t="s">
        <v>410</v>
      </c>
      <c r="D168" s="7" t="s">
        <v>223</v>
      </c>
      <c r="E168" s="8" t="s">
        <v>784</v>
      </c>
      <c r="F168" s="8" t="s">
        <v>785</v>
      </c>
    </row>
    <row r="169" spans="1:6" x14ac:dyDescent="0.25">
      <c r="A169" s="4">
        <v>82854246004</v>
      </c>
      <c r="B169" s="8" t="s">
        <v>411</v>
      </c>
      <c r="C169" s="8" t="s">
        <v>305</v>
      </c>
      <c r="D169" s="7" t="s">
        <v>253</v>
      </c>
      <c r="E169" s="8" t="s">
        <v>784</v>
      </c>
      <c r="F169" s="8" t="s">
        <v>785</v>
      </c>
    </row>
    <row r="170" spans="1:6" x14ac:dyDescent="0.25">
      <c r="A170" s="4">
        <v>83925694404</v>
      </c>
      <c r="B170" s="8" t="s">
        <v>227</v>
      </c>
      <c r="C170" s="8" t="s">
        <v>228</v>
      </c>
      <c r="D170" s="7" t="s">
        <v>229</v>
      </c>
      <c r="E170" s="8" t="s">
        <v>790</v>
      </c>
      <c r="F170" s="8" t="s">
        <v>791</v>
      </c>
    </row>
    <row r="171" spans="1:6" x14ac:dyDescent="0.25">
      <c r="A171" s="4">
        <v>85465526149</v>
      </c>
      <c r="B171" s="8" t="s">
        <v>470</v>
      </c>
      <c r="C171" s="8" t="s">
        <v>225</v>
      </c>
      <c r="D171" s="7" t="s">
        <v>226</v>
      </c>
      <c r="E171" s="8" t="s">
        <v>790</v>
      </c>
      <c r="F171" s="8" t="s">
        <v>791</v>
      </c>
    </row>
    <row r="172" spans="1:6" x14ac:dyDescent="0.25">
      <c r="A172" s="4">
        <v>91777186234</v>
      </c>
      <c r="B172" s="8" t="s">
        <v>230</v>
      </c>
      <c r="C172" s="8" t="s">
        <v>219</v>
      </c>
      <c r="D172" s="7" t="s">
        <v>220</v>
      </c>
      <c r="E172" s="8" t="s">
        <v>790</v>
      </c>
      <c r="F172" s="8" t="s">
        <v>791</v>
      </c>
    </row>
    <row r="173" spans="1:6" x14ac:dyDescent="0.25">
      <c r="A173" s="4">
        <v>93326645287</v>
      </c>
      <c r="B173" s="8" t="s">
        <v>471</v>
      </c>
      <c r="C173" s="8" t="s">
        <v>219</v>
      </c>
      <c r="D173" s="7" t="s">
        <v>220</v>
      </c>
      <c r="E173" s="8" t="s">
        <v>790</v>
      </c>
      <c r="F173" s="8" t="s">
        <v>791</v>
      </c>
    </row>
    <row r="174" spans="1:6" x14ac:dyDescent="0.25">
      <c r="A174" s="4">
        <v>132229000180</v>
      </c>
      <c r="B174" s="8" t="s">
        <v>525</v>
      </c>
      <c r="C174" s="8" t="s">
        <v>235</v>
      </c>
      <c r="D174" s="7" t="s">
        <v>223</v>
      </c>
      <c r="E174" s="8" t="s">
        <v>784</v>
      </c>
      <c r="F174" s="8" t="s">
        <v>785</v>
      </c>
    </row>
    <row r="175" spans="1:6" x14ac:dyDescent="0.25">
      <c r="A175" s="4">
        <v>304148000110</v>
      </c>
      <c r="B175" s="8" t="s">
        <v>231</v>
      </c>
      <c r="C175" s="8" t="s">
        <v>232</v>
      </c>
      <c r="D175" s="7" t="s">
        <v>233</v>
      </c>
      <c r="E175" s="8" t="s">
        <v>784</v>
      </c>
      <c r="F175" s="8" t="s">
        <v>785</v>
      </c>
    </row>
    <row r="176" spans="1:6" x14ac:dyDescent="0.25">
      <c r="A176" s="4">
        <v>382069000127</v>
      </c>
      <c r="B176" s="8" t="s">
        <v>472</v>
      </c>
      <c r="C176" s="8" t="s">
        <v>225</v>
      </c>
      <c r="D176" s="7" t="s">
        <v>226</v>
      </c>
      <c r="E176" s="8" t="s">
        <v>790</v>
      </c>
      <c r="F176" s="8" t="s">
        <v>791</v>
      </c>
    </row>
    <row r="177" spans="1:6" x14ac:dyDescent="0.25">
      <c r="A177" s="4">
        <v>394502014870</v>
      </c>
      <c r="B177" s="8" t="s">
        <v>697</v>
      </c>
      <c r="C177" s="8" t="s">
        <v>652</v>
      </c>
      <c r="D177" s="7" t="s">
        <v>241</v>
      </c>
      <c r="E177" s="8" t="s">
        <v>784</v>
      </c>
      <c r="F177" s="8" t="s">
        <v>785</v>
      </c>
    </row>
    <row r="178" spans="1:6" x14ac:dyDescent="0.25">
      <c r="A178" s="4">
        <v>394544000851</v>
      </c>
      <c r="B178" s="8" t="s">
        <v>412</v>
      </c>
      <c r="C178" s="8" t="s">
        <v>225</v>
      </c>
      <c r="D178" s="7" t="s">
        <v>226</v>
      </c>
      <c r="E178" s="8" t="s">
        <v>790</v>
      </c>
      <c r="F178" s="8" t="s">
        <v>791</v>
      </c>
    </row>
    <row r="179" spans="1:6" x14ac:dyDescent="0.25">
      <c r="A179" s="4">
        <v>394544017150</v>
      </c>
      <c r="B179" s="8" t="s">
        <v>698</v>
      </c>
      <c r="C179" s="8" t="s">
        <v>652</v>
      </c>
      <c r="D179" s="7" t="s">
        <v>241</v>
      </c>
      <c r="E179" s="8" t="s">
        <v>784</v>
      </c>
      <c r="F179" s="8" t="s">
        <v>785</v>
      </c>
    </row>
    <row r="180" spans="1:6" x14ac:dyDescent="0.25">
      <c r="A180" s="4">
        <v>394544020291</v>
      </c>
      <c r="B180" s="8" t="s">
        <v>653</v>
      </c>
      <c r="C180" s="8" t="s">
        <v>652</v>
      </c>
      <c r="D180" s="7" t="s">
        <v>241</v>
      </c>
      <c r="E180" s="8" t="s">
        <v>784</v>
      </c>
      <c r="F180" s="8" t="s">
        <v>785</v>
      </c>
    </row>
    <row r="181" spans="1:6" x14ac:dyDescent="0.25">
      <c r="A181" s="4">
        <v>394544020372</v>
      </c>
      <c r="B181" s="8" t="s">
        <v>654</v>
      </c>
      <c r="C181" s="8" t="s">
        <v>652</v>
      </c>
      <c r="D181" s="7" t="s">
        <v>241</v>
      </c>
      <c r="E181" s="8" t="s">
        <v>784</v>
      </c>
      <c r="F181" s="8" t="s">
        <v>785</v>
      </c>
    </row>
    <row r="182" spans="1:6" x14ac:dyDescent="0.25">
      <c r="A182" s="4">
        <v>394544020453</v>
      </c>
      <c r="B182" s="8" t="s">
        <v>655</v>
      </c>
      <c r="C182" s="8" t="s">
        <v>652</v>
      </c>
      <c r="D182" s="7" t="s">
        <v>241</v>
      </c>
      <c r="E182" s="8" t="s">
        <v>784</v>
      </c>
      <c r="F182" s="8" t="s">
        <v>785</v>
      </c>
    </row>
    <row r="183" spans="1:6" x14ac:dyDescent="0.25">
      <c r="A183" s="4">
        <v>394544021000</v>
      </c>
      <c r="B183" s="8" t="s">
        <v>656</v>
      </c>
      <c r="C183" s="8" t="s">
        <v>652</v>
      </c>
      <c r="D183" s="7" t="s">
        <v>241</v>
      </c>
      <c r="E183" s="8" t="s">
        <v>784</v>
      </c>
      <c r="F183" s="8" t="s">
        <v>785</v>
      </c>
    </row>
    <row r="184" spans="1:6" x14ac:dyDescent="0.25">
      <c r="A184" s="4">
        <v>394544021344</v>
      </c>
      <c r="B184" s="8" t="s">
        <v>657</v>
      </c>
      <c r="C184" s="8" t="s">
        <v>652</v>
      </c>
      <c r="D184" s="7" t="s">
        <v>241</v>
      </c>
      <c r="E184" s="8" t="s">
        <v>784</v>
      </c>
      <c r="F184" s="8" t="s">
        <v>785</v>
      </c>
    </row>
    <row r="185" spans="1:6" x14ac:dyDescent="0.25">
      <c r="A185" s="4">
        <v>410960000120</v>
      </c>
      <c r="B185" s="8" t="s">
        <v>234</v>
      </c>
      <c r="C185" s="8" t="s">
        <v>235</v>
      </c>
      <c r="D185" s="7" t="s">
        <v>223</v>
      </c>
      <c r="E185" s="8" t="s">
        <v>784</v>
      </c>
      <c r="F185" s="8" t="s">
        <v>785</v>
      </c>
    </row>
    <row r="186" spans="1:6" x14ac:dyDescent="0.25">
      <c r="A186" s="4">
        <v>418954000119</v>
      </c>
      <c r="B186" s="8" t="s">
        <v>236</v>
      </c>
      <c r="C186" s="8" t="s">
        <v>237</v>
      </c>
      <c r="D186" s="7" t="s">
        <v>238</v>
      </c>
      <c r="E186" s="8" t="s">
        <v>790</v>
      </c>
      <c r="F186" s="8" t="s">
        <v>791</v>
      </c>
    </row>
    <row r="187" spans="1:6" x14ac:dyDescent="0.25">
      <c r="A187" s="4">
        <v>418954000704</v>
      </c>
      <c r="B187" s="8" t="s">
        <v>473</v>
      </c>
      <c r="C187" s="8" t="s">
        <v>237</v>
      </c>
      <c r="D187" s="7" t="s">
        <v>238</v>
      </c>
      <c r="E187" s="8" t="s">
        <v>790</v>
      </c>
      <c r="F187" s="8" t="s">
        <v>791</v>
      </c>
    </row>
    <row r="188" spans="1:6" x14ac:dyDescent="0.25">
      <c r="A188" s="4">
        <v>437007000175</v>
      </c>
      <c r="B188" s="8" t="s">
        <v>239</v>
      </c>
      <c r="C188" s="8" t="s">
        <v>240</v>
      </c>
      <c r="D188" s="7" t="s">
        <v>241</v>
      </c>
      <c r="E188" s="8" t="s">
        <v>784</v>
      </c>
      <c r="F188" s="8" t="s">
        <v>785</v>
      </c>
    </row>
    <row r="189" spans="1:6" x14ac:dyDescent="0.25">
      <c r="A189" s="4">
        <v>511816000180</v>
      </c>
      <c r="B189" s="8" t="s">
        <v>242</v>
      </c>
      <c r="C189" s="8" t="s">
        <v>225</v>
      </c>
      <c r="D189" s="7" t="s">
        <v>226</v>
      </c>
      <c r="E189" s="8" t="s">
        <v>790</v>
      </c>
      <c r="F189" s="8" t="s">
        <v>791</v>
      </c>
    </row>
    <row r="190" spans="1:6" x14ac:dyDescent="0.25">
      <c r="A190" s="4">
        <v>520237000101</v>
      </c>
      <c r="B190" s="8" t="s">
        <v>243</v>
      </c>
      <c r="C190" s="8" t="s">
        <v>225</v>
      </c>
      <c r="D190" s="7" t="s">
        <v>226</v>
      </c>
      <c r="E190" s="8" t="s">
        <v>790</v>
      </c>
      <c r="F190" s="8" t="s">
        <v>791</v>
      </c>
    </row>
    <row r="191" spans="1:6" x14ac:dyDescent="0.25">
      <c r="A191" s="4">
        <v>521197000104</v>
      </c>
      <c r="B191" s="8" t="s">
        <v>526</v>
      </c>
      <c r="C191" s="8" t="s">
        <v>240</v>
      </c>
      <c r="D191" s="7" t="s">
        <v>241</v>
      </c>
      <c r="E191" s="8" t="s">
        <v>784</v>
      </c>
      <c r="F191" s="8" t="s">
        <v>785</v>
      </c>
    </row>
    <row r="192" spans="1:6" x14ac:dyDescent="0.25">
      <c r="A192" s="4">
        <v>610980000144</v>
      </c>
      <c r="B192" s="8" t="s">
        <v>244</v>
      </c>
      <c r="C192" s="8" t="s">
        <v>225</v>
      </c>
      <c r="D192" s="7" t="s">
        <v>226</v>
      </c>
      <c r="E192" s="8" t="s">
        <v>790</v>
      </c>
      <c r="F192" s="8" t="s">
        <v>791</v>
      </c>
    </row>
    <row r="193" spans="1:6" x14ac:dyDescent="0.25">
      <c r="A193" s="4">
        <v>820737000150</v>
      </c>
      <c r="B193" s="8" t="s">
        <v>245</v>
      </c>
      <c r="C193" s="8" t="s">
        <v>246</v>
      </c>
      <c r="D193" s="7" t="s">
        <v>247</v>
      </c>
      <c r="E193" s="8" t="s">
        <v>790</v>
      </c>
      <c r="F193" s="8" t="s">
        <v>791</v>
      </c>
    </row>
    <row r="194" spans="1:6" x14ac:dyDescent="0.25">
      <c r="A194" s="4">
        <v>860841000179</v>
      </c>
      <c r="B194" s="8" t="s">
        <v>248</v>
      </c>
      <c r="C194" s="8" t="s">
        <v>249</v>
      </c>
      <c r="D194" s="7" t="s">
        <v>250</v>
      </c>
      <c r="E194" s="8" t="s">
        <v>790</v>
      </c>
      <c r="F194" s="8" t="s">
        <v>791</v>
      </c>
    </row>
    <row r="195" spans="1:6" x14ac:dyDescent="0.25">
      <c r="A195" s="4">
        <v>942063000167</v>
      </c>
      <c r="B195" s="8" t="s">
        <v>527</v>
      </c>
      <c r="C195" s="8" t="s">
        <v>385</v>
      </c>
      <c r="D195" s="7" t="s">
        <v>233</v>
      </c>
      <c r="E195" s="8" t="s">
        <v>784</v>
      </c>
      <c r="F195" s="8" t="s">
        <v>785</v>
      </c>
    </row>
    <row r="196" spans="1:6" x14ac:dyDescent="0.25">
      <c r="A196" s="4">
        <v>1011865000116</v>
      </c>
      <c r="B196" s="8" t="s">
        <v>528</v>
      </c>
      <c r="C196" s="8" t="s">
        <v>237</v>
      </c>
      <c r="D196" s="7" t="s">
        <v>238</v>
      </c>
      <c r="E196" s="8" t="s">
        <v>790</v>
      </c>
      <c r="F196" s="8" t="s">
        <v>791</v>
      </c>
    </row>
    <row r="197" spans="1:6" x14ac:dyDescent="0.25">
      <c r="A197" s="4">
        <v>1125832000105</v>
      </c>
      <c r="B197" s="8" t="s">
        <v>529</v>
      </c>
      <c r="C197" s="8" t="s">
        <v>388</v>
      </c>
      <c r="D197" s="7" t="s">
        <v>259</v>
      </c>
      <c r="E197" s="8" t="s">
        <v>784</v>
      </c>
      <c r="F197" s="8" t="s">
        <v>785</v>
      </c>
    </row>
    <row r="198" spans="1:6" x14ac:dyDescent="0.25">
      <c r="A198" s="4">
        <v>1140803000104</v>
      </c>
      <c r="B198" s="8" t="s">
        <v>251</v>
      </c>
      <c r="C198" s="8" t="s">
        <v>252</v>
      </c>
      <c r="D198" s="7" t="s">
        <v>253</v>
      </c>
      <c r="E198" s="8" t="s">
        <v>784</v>
      </c>
      <c r="F198" s="8" t="s">
        <v>785</v>
      </c>
    </row>
    <row r="199" spans="1:6" x14ac:dyDescent="0.25">
      <c r="A199" s="4">
        <v>1277573000120</v>
      </c>
      <c r="B199" s="8" t="s">
        <v>474</v>
      </c>
      <c r="C199" s="8" t="s">
        <v>237</v>
      </c>
      <c r="D199" s="7" t="s">
        <v>238</v>
      </c>
      <c r="E199" s="8" t="s">
        <v>790</v>
      </c>
      <c r="F199" s="8" t="s">
        <v>791</v>
      </c>
    </row>
    <row r="200" spans="1:6" x14ac:dyDescent="0.25">
      <c r="A200" s="4">
        <v>1326206000179</v>
      </c>
      <c r="B200" s="8" t="s">
        <v>254</v>
      </c>
      <c r="C200" s="8" t="s">
        <v>255</v>
      </c>
      <c r="D200" s="7" t="s">
        <v>238</v>
      </c>
      <c r="E200" s="8" t="s">
        <v>790</v>
      </c>
      <c r="F200" s="8" t="s">
        <v>791</v>
      </c>
    </row>
    <row r="201" spans="1:6" x14ac:dyDescent="0.25">
      <c r="A201" s="4">
        <v>1383835000130</v>
      </c>
      <c r="B201" s="8" t="s">
        <v>530</v>
      </c>
      <c r="C201" s="8" t="s">
        <v>531</v>
      </c>
      <c r="D201" s="7" t="s">
        <v>262</v>
      </c>
      <c r="E201" s="8" t="s">
        <v>790</v>
      </c>
      <c r="F201" s="8" t="s">
        <v>791</v>
      </c>
    </row>
    <row r="202" spans="1:6" x14ac:dyDescent="0.25">
      <c r="A202" s="4">
        <v>1396804000114</v>
      </c>
      <c r="B202" s="8" t="s">
        <v>532</v>
      </c>
      <c r="C202" s="8" t="s">
        <v>417</v>
      </c>
      <c r="D202" s="7" t="s">
        <v>418</v>
      </c>
      <c r="E202" s="8" t="s">
        <v>784</v>
      </c>
      <c r="F202" s="8" t="s">
        <v>785</v>
      </c>
    </row>
    <row r="203" spans="1:6" x14ac:dyDescent="0.25">
      <c r="A203" s="4">
        <v>1444455000169</v>
      </c>
      <c r="B203" s="8" t="s">
        <v>1024</v>
      </c>
      <c r="C203" s="8" t="s">
        <v>235</v>
      </c>
      <c r="D203" s="7" t="s">
        <v>223</v>
      </c>
      <c r="E203" s="8"/>
      <c r="F203" s="8"/>
    </row>
    <row r="204" spans="1:6" x14ac:dyDescent="0.25">
      <c r="A204" s="4">
        <v>1454407000151</v>
      </c>
      <c r="B204" s="8" t="s">
        <v>533</v>
      </c>
      <c r="C204" s="8" t="s">
        <v>361</v>
      </c>
      <c r="D204" s="7" t="s">
        <v>362</v>
      </c>
      <c r="E204" s="8" t="s">
        <v>790</v>
      </c>
      <c r="F204" s="8" t="s">
        <v>791</v>
      </c>
    </row>
    <row r="205" spans="1:6" x14ac:dyDescent="0.25">
      <c r="A205" s="4">
        <v>1507901000137</v>
      </c>
      <c r="B205" s="8" t="s">
        <v>256</v>
      </c>
      <c r="C205" s="8" t="s">
        <v>246</v>
      </c>
      <c r="D205" s="7" t="s">
        <v>247</v>
      </c>
      <c r="E205" s="8" t="s">
        <v>790</v>
      </c>
      <c r="F205" s="8" t="s">
        <v>791</v>
      </c>
    </row>
    <row r="206" spans="1:6" x14ac:dyDescent="0.25">
      <c r="A206" s="4">
        <v>1517626000132</v>
      </c>
      <c r="B206" s="8" t="s">
        <v>257</v>
      </c>
      <c r="C206" s="8" t="s">
        <v>258</v>
      </c>
      <c r="D206" s="7" t="s">
        <v>259</v>
      </c>
      <c r="E206" s="8" t="s">
        <v>784</v>
      </c>
      <c r="F206" s="8" t="s">
        <v>785</v>
      </c>
    </row>
    <row r="207" spans="1:6" x14ac:dyDescent="0.25">
      <c r="A207" s="4">
        <v>1554266000149</v>
      </c>
      <c r="B207" s="8" t="s">
        <v>511</v>
      </c>
      <c r="C207" s="8" t="s">
        <v>512</v>
      </c>
      <c r="D207" s="7" t="s">
        <v>259</v>
      </c>
      <c r="E207" s="8" t="s">
        <v>784</v>
      </c>
      <c r="F207" s="8" t="s">
        <v>785</v>
      </c>
    </row>
    <row r="208" spans="1:6" x14ac:dyDescent="0.25">
      <c r="A208" s="4">
        <v>1554266000300</v>
      </c>
      <c r="B208" s="8" t="s">
        <v>534</v>
      </c>
      <c r="C208" s="8" t="s">
        <v>512</v>
      </c>
      <c r="D208" s="7" t="s">
        <v>259</v>
      </c>
      <c r="E208" s="8" t="s">
        <v>784</v>
      </c>
      <c r="F208" s="8" t="s">
        <v>785</v>
      </c>
    </row>
    <row r="209" spans="1:6" x14ac:dyDescent="0.25">
      <c r="A209" s="4">
        <v>1570589000126</v>
      </c>
      <c r="B209" s="8" t="s">
        <v>633</v>
      </c>
      <c r="C209" s="8" t="s">
        <v>237</v>
      </c>
      <c r="D209" s="7" t="s">
        <v>238</v>
      </c>
      <c r="E209" s="8" t="s">
        <v>790</v>
      </c>
      <c r="F209" s="8" t="s">
        <v>791</v>
      </c>
    </row>
    <row r="210" spans="1:6" x14ac:dyDescent="0.25">
      <c r="A210" s="4">
        <v>1602408000104</v>
      </c>
      <c r="B210" s="8" t="s">
        <v>595</v>
      </c>
      <c r="C210" s="8" t="s">
        <v>225</v>
      </c>
      <c r="D210" s="7" t="s">
        <v>226</v>
      </c>
      <c r="E210" s="8" t="s">
        <v>790</v>
      </c>
      <c r="F210" s="8" t="s">
        <v>791</v>
      </c>
    </row>
    <row r="211" spans="1:6" x14ac:dyDescent="0.25">
      <c r="A211" s="4">
        <v>1656123000148</v>
      </c>
      <c r="B211" s="8" t="s">
        <v>634</v>
      </c>
      <c r="C211" s="8" t="s">
        <v>237</v>
      </c>
      <c r="D211" s="7" t="s">
        <v>238</v>
      </c>
      <c r="E211" s="8" t="s">
        <v>790</v>
      </c>
      <c r="F211" s="8" t="s">
        <v>791</v>
      </c>
    </row>
    <row r="212" spans="1:6" x14ac:dyDescent="0.25">
      <c r="A212" s="4">
        <v>1682668000129</v>
      </c>
      <c r="B212" s="8" t="s">
        <v>535</v>
      </c>
      <c r="C212" s="8" t="s">
        <v>225</v>
      </c>
      <c r="D212" s="7" t="s">
        <v>226</v>
      </c>
      <c r="E212" s="8" t="s">
        <v>790</v>
      </c>
      <c r="F212" s="8" t="s">
        <v>791</v>
      </c>
    </row>
    <row r="213" spans="1:6" x14ac:dyDescent="0.25">
      <c r="A213" s="4">
        <v>1722424000122</v>
      </c>
      <c r="B213" s="8" t="s">
        <v>635</v>
      </c>
      <c r="C213" s="8" t="s">
        <v>361</v>
      </c>
      <c r="D213" s="7" t="s">
        <v>362</v>
      </c>
      <c r="E213" s="8" t="s">
        <v>790</v>
      </c>
      <c r="F213" s="8" t="s">
        <v>791</v>
      </c>
    </row>
    <row r="214" spans="1:6" x14ac:dyDescent="0.25">
      <c r="A214" s="4">
        <v>1757351000104</v>
      </c>
      <c r="B214" s="8" t="s">
        <v>260</v>
      </c>
      <c r="C214" s="8" t="s">
        <v>261</v>
      </c>
      <c r="D214" s="7" t="s">
        <v>262</v>
      </c>
      <c r="E214" s="8" t="s">
        <v>790</v>
      </c>
      <c r="F214" s="8" t="s">
        <v>791</v>
      </c>
    </row>
    <row r="215" spans="1:6" x14ac:dyDescent="0.25">
      <c r="A215" s="4">
        <v>1837492000137</v>
      </c>
      <c r="B215" s="8" t="s">
        <v>475</v>
      </c>
      <c r="C215" s="8" t="s">
        <v>278</v>
      </c>
      <c r="D215" s="7" t="s">
        <v>276</v>
      </c>
      <c r="E215" s="8" t="s">
        <v>790</v>
      </c>
      <c r="F215" s="8" t="s">
        <v>791</v>
      </c>
    </row>
    <row r="216" spans="1:6" x14ac:dyDescent="0.25">
      <c r="A216" s="4">
        <v>1880344000103</v>
      </c>
      <c r="B216" s="8" t="s">
        <v>513</v>
      </c>
      <c r="C216" s="8" t="s">
        <v>380</v>
      </c>
      <c r="D216" s="7" t="s">
        <v>259</v>
      </c>
      <c r="E216" s="8" t="s">
        <v>784</v>
      </c>
      <c r="F216" s="8" t="s">
        <v>785</v>
      </c>
    </row>
    <row r="217" spans="1:6" x14ac:dyDescent="0.25">
      <c r="A217" s="4">
        <v>2109397000180</v>
      </c>
      <c r="B217" s="8" t="s">
        <v>413</v>
      </c>
      <c r="C217" s="8" t="s">
        <v>246</v>
      </c>
      <c r="D217" s="7" t="s">
        <v>247</v>
      </c>
      <c r="E217" s="8" t="s">
        <v>790</v>
      </c>
      <c r="F217" s="8" t="s">
        <v>791</v>
      </c>
    </row>
    <row r="218" spans="1:6" x14ac:dyDescent="0.25">
      <c r="A218" s="4">
        <v>2284062000106</v>
      </c>
      <c r="B218" s="8" t="s">
        <v>414</v>
      </c>
      <c r="C218" s="8" t="s">
        <v>264</v>
      </c>
      <c r="D218" s="7" t="s">
        <v>265</v>
      </c>
      <c r="E218" s="8" t="s">
        <v>790</v>
      </c>
      <c r="F218" s="8" t="s">
        <v>791</v>
      </c>
    </row>
    <row r="219" spans="1:6" x14ac:dyDescent="0.25">
      <c r="A219" s="4">
        <v>2284062000440</v>
      </c>
      <c r="B219" s="8" t="s">
        <v>263</v>
      </c>
      <c r="C219" s="8" t="s">
        <v>264</v>
      </c>
      <c r="D219" s="7" t="s">
        <v>265</v>
      </c>
      <c r="E219" s="8" t="s">
        <v>790</v>
      </c>
      <c r="F219" s="8" t="s">
        <v>791</v>
      </c>
    </row>
    <row r="220" spans="1:6" x14ac:dyDescent="0.25">
      <c r="A220" s="4">
        <v>2284062000521</v>
      </c>
      <c r="B220" s="8" t="s">
        <v>658</v>
      </c>
      <c r="C220" s="8" t="s">
        <v>652</v>
      </c>
      <c r="D220" s="7" t="s">
        <v>241</v>
      </c>
      <c r="E220" s="8" t="s">
        <v>784</v>
      </c>
      <c r="F220" s="8" t="s">
        <v>785</v>
      </c>
    </row>
    <row r="221" spans="1:6" x14ac:dyDescent="0.25">
      <c r="A221" s="4">
        <v>2284062001170</v>
      </c>
      <c r="B221" s="8" t="s">
        <v>266</v>
      </c>
      <c r="C221" s="8" t="s">
        <v>267</v>
      </c>
      <c r="D221" s="7" t="s">
        <v>268</v>
      </c>
      <c r="E221" s="8" t="s">
        <v>790</v>
      </c>
      <c r="F221" s="8" t="s">
        <v>791</v>
      </c>
    </row>
    <row r="222" spans="1:6" x14ac:dyDescent="0.25">
      <c r="A222" s="4">
        <v>2476067000122</v>
      </c>
      <c r="B222" s="8" t="s">
        <v>536</v>
      </c>
      <c r="C222" s="8" t="s">
        <v>237</v>
      </c>
      <c r="D222" s="7" t="s">
        <v>238</v>
      </c>
      <c r="E222" s="8" t="s">
        <v>790</v>
      </c>
      <c r="F222" s="8" t="s">
        <v>791</v>
      </c>
    </row>
    <row r="223" spans="1:6" x14ac:dyDescent="0.25">
      <c r="A223" s="4">
        <v>2476067000203</v>
      </c>
      <c r="B223" s="8" t="s">
        <v>269</v>
      </c>
      <c r="C223" s="8" t="s">
        <v>237</v>
      </c>
      <c r="D223" s="7" t="s">
        <v>238</v>
      </c>
      <c r="E223" s="8" t="s">
        <v>790</v>
      </c>
      <c r="F223" s="8" t="s">
        <v>791</v>
      </c>
    </row>
    <row r="224" spans="1:6" x14ac:dyDescent="0.25">
      <c r="A224" s="4">
        <v>2476067000394</v>
      </c>
      <c r="B224" s="8" t="s">
        <v>537</v>
      </c>
      <c r="C224" s="8" t="s">
        <v>237</v>
      </c>
      <c r="D224" s="7" t="s">
        <v>238</v>
      </c>
      <c r="E224" s="8" t="s">
        <v>790</v>
      </c>
      <c r="F224" s="8" t="s">
        <v>791</v>
      </c>
    </row>
    <row r="225" spans="1:6" x14ac:dyDescent="0.25">
      <c r="A225" s="4">
        <v>2560878000107</v>
      </c>
      <c r="B225" s="8" t="s">
        <v>270</v>
      </c>
      <c r="C225" s="8" t="s">
        <v>225</v>
      </c>
      <c r="D225" s="7" t="s">
        <v>226</v>
      </c>
      <c r="E225" s="8" t="s">
        <v>790</v>
      </c>
      <c r="F225" s="8" t="s">
        <v>791</v>
      </c>
    </row>
    <row r="226" spans="1:6" x14ac:dyDescent="0.25">
      <c r="A226" s="4">
        <v>2623693000102</v>
      </c>
      <c r="B226" s="8" t="s">
        <v>538</v>
      </c>
      <c r="C226" s="8" t="s">
        <v>235</v>
      </c>
      <c r="D226" s="7" t="s">
        <v>223</v>
      </c>
      <c r="E226" s="8" t="s">
        <v>784</v>
      </c>
      <c r="F226" s="8" t="s">
        <v>785</v>
      </c>
    </row>
    <row r="227" spans="1:6" x14ac:dyDescent="0.25">
      <c r="A227" s="4">
        <v>2862447000286</v>
      </c>
      <c r="B227" s="8" t="s">
        <v>539</v>
      </c>
      <c r="C227" s="8" t="s">
        <v>385</v>
      </c>
      <c r="D227" s="7" t="s">
        <v>233</v>
      </c>
      <c r="E227" s="8" t="s">
        <v>784</v>
      </c>
      <c r="F227" s="8" t="s">
        <v>785</v>
      </c>
    </row>
    <row r="228" spans="1:6" x14ac:dyDescent="0.25">
      <c r="A228" s="4">
        <v>2864097000106</v>
      </c>
      <c r="B228" s="8" t="s">
        <v>659</v>
      </c>
      <c r="C228" s="8" t="s">
        <v>652</v>
      </c>
      <c r="D228" s="7" t="s">
        <v>241</v>
      </c>
      <c r="E228" s="8" t="s">
        <v>784</v>
      </c>
      <c r="F228" s="8" t="s">
        <v>785</v>
      </c>
    </row>
    <row r="229" spans="1:6" x14ac:dyDescent="0.25">
      <c r="A229" s="4">
        <v>3091003000176</v>
      </c>
      <c r="B229" s="8" t="s">
        <v>596</v>
      </c>
      <c r="C229" s="8" t="s">
        <v>317</v>
      </c>
      <c r="D229" s="7" t="s">
        <v>318</v>
      </c>
      <c r="E229" s="8" t="s">
        <v>790</v>
      </c>
      <c r="F229" s="8" t="s">
        <v>791</v>
      </c>
    </row>
    <row r="230" spans="1:6" x14ac:dyDescent="0.25">
      <c r="A230" s="4">
        <v>3210872000172</v>
      </c>
      <c r="B230" s="8" t="s">
        <v>597</v>
      </c>
      <c r="C230" s="8" t="s">
        <v>598</v>
      </c>
      <c r="D230" s="7" t="s">
        <v>268</v>
      </c>
      <c r="E230" s="8" t="s">
        <v>790</v>
      </c>
      <c r="F230" s="8" t="s">
        <v>791</v>
      </c>
    </row>
    <row r="231" spans="1:6" x14ac:dyDescent="0.25">
      <c r="A231" s="4">
        <v>3222051000156</v>
      </c>
      <c r="B231" s="8" t="s">
        <v>476</v>
      </c>
      <c r="C231" s="8" t="s">
        <v>317</v>
      </c>
      <c r="D231" s="7" t="s">
        <v>318</v>
      </c>
      <c r="E231" s="8" t="s">
        <v>790</v>
      </c>
      <c r="F231" s="8" t="s">
        <v>791</v>
      </c>
    </row>
    <row r="232" spans="1:6" x14ac:dyDescent="0.25">
      <c r="A232" s="4">
        <v>3376102000102</v>
      </c>
      <c r="B232" s="8" t="s">
        <v>415</v>
      </c>
      <c r="C232" s="8" t="s">
        <v>278</v>
      </c>
      <c r="D232" s="7" t="s">
        <v>276</v>
      </c>
      <c r="E232" s="8" t="s">
        <v>790</v>
      </c>
      <c r="F232" s="8" t="s">
        <v>791</v>
      </c>
    </row>
    <row r="233" spans="1:6" x14ac:dyDescent="0.25">
      <c r="A233" s="4">
        <v>3533726000773</v>
      </c>
      <c r="B233" s="8" t="s">
        <v>540</v>
      </c>
      <c r="C233" s="8" t="s">
        <v>261</v>
      </c>
      <c r="D233" s="7" t="s">
        <v>262</v>
      </c>
      <c r="E233" s="8" t="s">
        <v>790</v>
      </c>
      <c r="F233" s="8" t="s">
        <v>791</v>
      </c>
    </row>
    <row r="234" spans="1:6" x14ac:dyDescent="0.25">
      <c r="A234" s="4">
        <v>3533726001583</v>
      </c>
      <c r="B234" s="8" t="s">
        <v>271</v>
      </c>
      <c r="C234" s="8" t="s">
        <v>261</v>
      </c>
      <c r="D234" s="7" t="s">
        <v>262</v>
      </c>
      <c r="E234" s="8" t="s">
        <v>790</v>
      </c>
      <c r="F234" s="8" t="s">
        <v>791</v>
      </c>
    </row>
    <row r="235" spans="1:6" x14ac:dyDescent="0.25">
      <c r="A235" s="4">
        <v>3568867000136</v>
      </c>
      <c r="B235" s="8" t="s">
        <v>514</v>
      </c>
      <c r="C235" s="8" t="s">
        <v>225</v>
      </c>
      <c r="D235" s="7" t="s">
        <v>226</v>
      </c>
      <c r="E235" s="8" t="s">
        <v>790</v>
      </c>
      <c r="F235" s="8" t="s">
        <v>791</v>
      </c>
    </row>
    <row r="236" spans="1:6" x14ac:dyDescent="0.25">
      <c r="A236" s="4">
        <v>3824198000116</v>
      </c>
      <c r="B236" s="8" t="s">
        <v>541</v>
      </c>
      <c r="C236" s="8" t="s">
        <v>385</v>
      </c>
      <c r="D236" s="7" t="s">
        <v>233</v>
      </c>
      <c r="E236" s="8" t="s">
        <v>784</v>
      </c>
      <c r="F236" s="8" t="s">
        <v>785</v>
      </c>
    </row>
    <row r="237" spans="1:6" x14ac:dyDescent="0.25">
      <c r="A237" s="4">
        <v>3850913000195</v>
      </c>
      <c r="B237" s="8" t="s">
        <v>542</v>
      </c>
      <c r="C237" s="8" t="s">
        <v>385</v>
      </c>
      <c r="D237" s="7" t="s">
        <v>233</v>
      </c>
      <c r="E237" s="8" t="s">
        <v>784</v>
      </c>
      <c r="F237" s="8" t="s">
        <v>785</v>
      </c>
    </row>
    <row r="238" spans="1:6" x14ac:dyDescent="0.25">
      <c r="A238" s="4">
        <v>3858924000111</v>
      </c>
      <c r="B238" s="8" t="s">
        <v>543</v>
      </c>
      <c r="C238" s="8" t="s">
        <v>544</v>
      </c>
      <c r="D238" s="7" t="s">
        <v>265</v>
      </c>
      <c r="E238" s="8" t="s">
        <v>790</v>
      </c>
      <c r="F238" s="8" t="s">
        <v>791</v>
      </c>
    </row>
    <row r="239" spans="1:6" x14ac:dyDescent="0.25">
      <c r="A239" s="4">
        <v>3866223000124</v>
      </c>
      <c r="B239" s="8" t="s">
        <v>599</v>
      </c>
      <c r="C239" s="8" t="s">
        <v>361</v>
      </c>
      <c r="D239" s="7" t="s">
        <v>362</v>
      </c>
      <c r="E239" s="8" t="s">
        <v>790</v>
      </c>
      <c r="F239" s="8" t="s">
        <v>791</v>
      </c>
    </row>
    <row r="240" spans="1:6" x14ac:dyDescent="0.25">
      <c r="A240" s="4">
        <v>3904395000145</v>
      </c>
      <c r="B240" s="8" t="s">
        <v>477</v>
      </c>
      <c r="C240" s="8" t="s">
        <v>478</v>
      </c>
      <c r="D240" s="7" t="s">
        <v>265</v>
      </c>
      <c r="E240" s="8" t="s">
        <v>790</v>
      </c>
      <c r="F240" s="8" t="s">
        <v>791</v>
      </c>
    </row>
    <row r="241" spans="1:6" x14ac:dyDescent="0.25">
      <c r="A241" s="4">
        <v>3925419000142</v>
      </c>
      <c r="B241" s="8" t="s">
        <v>272</v>
      </c>
      <c r="C241" s="8" t="s">
        <v>261</v>
      </c>
      <c r="D241" s="7" t="s">
        <v>262</v>
      </c>
      <c r="E241" s="8" t="s">
        <v>790</v>
      </c>
      <c r="F241" s="8" t="s">
        <v>791</v>
      </c>
    </row>
    <row r="242" spans="1:6" x14ac:dyDescent="0.25">
      <c r="A242" s="4">
        <v>3989821000190</v>
      </c>
      <c r="B242" s="8" t="s">
        <v>545</v>
      </c>
      <c r="C242" s="8" t="s">
        <v>225</v>
      </c>
      <c r="D242" s="7" t="s">
        <v>226</v>
      </c>
      <c r="E242" s="8" t="s">
        <v>790</v>
      </c>
      <c r="F242" s="8" t="s">
        <v>791</v>
      </c>
    </row>
    <row r="243" spans="1:6" x14ac:dyDescent="0.25">
      <c r="A243" s="4">
        <v>4159778000107</v>
      </c>
      <c r="B243" s="8" t="s">
        <v>1012</v>
      </c>
      <c r="C243" s="8" t="s">
        <v>497</v>
      </c>
      <c r="D243" s="7" t="s">
        <v>498</v>
      </c>
      <c r="E243" s="8"/>
      <c r="F243" s="8"/>
    </row>
    <row r="244" spans="1:6" x14ac:dyDescent="0.25">
      <c r="A244" s="4">
        <v>4201372001028</v>
      </c>
      <c r="B244" s="8" t="s">
        <v>273</v>
      </c>
      <c r="C244" s="8" t="s">
        <v>219</v>
      </c>
      <c r="D244" s="7" t="s">
        <v>220</v>
      </c>
      <c r="E244" s="8" t="s">
        <v>790</v>
      </c>
      <c r="F244" s="8" t="s">
        <v>791</v>
      </c>
    </row>
    <row r="245" spans="1:6" x14ac:dyDescent="0.25">
      <c r="A245" s="4">
        <v>4602792000125</v>
      </c>
      <c r="B245" s="8" t="s">
        <v>274</v>
      </c>
      <c r="C245" s="8" t="s">
        <v>275</v>
      </c>
      <c r="D245" s="7" t="s">
        <v>276</v>
      </c>
      <c r="E245" s="8" t="s">
        <v>790</v>
      </c>
      <c r="F245" s="8" t="s">
        <v>791</v>
      </c>
    </row>
    <row r="246" spans="1:6" x14ac:dyDescent="0.25">
      <c r="A246" s="4">
        <v>4670913000176</v>
      </c>
      <c r="B246" s="8" t="s">
        <v>515</v>
      </c>
      <c r="C246" s="8" t="s">
        <v>388</v>
      </c>
      <c r="D246" s="7" t="s">
        <v>259</v>
      </c>
      <c r="E246" s="8" t="s">
        <v>784</v>
      </c>
      <c r="F246" s="8" t="s">
        <v>785</v>
      </c>
    </row>
    <row r="247" spans="1:6" x14ac:dyDescent="0.25">
      <c r="A247" s="4">
        <v>4762301000103</v>
      </c>
      <c r="B247" s="8" t="s">
        <v>600</v>
      </c>
      <c r="C247" s="8" t="s">
        <v>583</v>
      </c>
      <c r="D247" s="7" t="s">
        <v>233</v>
      </c>
      <c r="E247" s="8" t="s">
        <v>784</v>
      </c>
      <c r="F247" s="8" t="s">
        <v>785</v>
      </c>
    </row>
    <row r="248" spans="1:6" x14ac:dyDescent="0.25">
      <c r="A248" s="4">
        <v>4786490000154</v>
      </c>
      <c r="B248" s="8" t="s">
        <v>416</v>
      </c>
      <c r="C248" s="8" t="s">
        <v>417</v>
      </c>
      <c r="D248" s="7" t="s">
        <v>418</v>
      </c>
      <c r="E248" s="8" t="s">
        <v>784</v>
      </c>
      <c r="F248" s="8" t="s">
        <v>785</v>
      </c>
    </row>
    <row r="249" spans="1:6" x14ac:dyDescent="0.25">
      <c r="A249" s="4">
        <v>4966545000370</v>
      </c>
      <c r="B249" s="8" t="s">
        <v>546</v>
      </c>
      <c r="C249" s="8" t="s">
        <v>219</v>
      </c>
      <c r="D249" s="7" t="s">
        <v>220</v>
      </c>
      <c r="E249" s="8" t="s">
        <v>790</v>
      </c>
      <c r="F249" s="8" t="s">
        <v>791</v>
      </c>
    </row>
    <row r="250" spans="1:6" x14ac:dyDescent="0.25">
      <c r="A250" s="4">
        <v>5054929000117</v>
      </c>
      <c r="B250" s="8" t="s">
        <v>419</v>
      </c>
      <c r="C250" s="8" t="s">
        <v>219</v>
      </c>
      <c r="D250" s="7" t="s">
        <v>220</v>
      </c>
      <c r="E250" s="8" t="s">
        <v>790</v>
      </c>
      <c r="F250" s="8" t="s">
        <v>791</v>
      </c>
    </row>
    <row r="251" spans="1:6" x14ac:dyDescent="0.25">
      <c r="A251" s="4">
        <v>5055128000257</v>
      </c>
      <c r="B251" s="8" t="s">
        <v>636</v>
      </c>
      <c r="C251" s="8" t="s">
        <v>637</v>
      </c>
      <c r="D251" s="7" t="s">
        <v>229</v>
      </c>
      <c r="E251" s="8" t="s">
        <v>790</v>
      </c>
      <c r="F251" s="8" t="s">
        <v>791</v>
      </c>
    </row>
    <row r="252" spans="1:6" x14ac:dyDescent="0.25">
      <c r="A252" s="4">
        <v>5469172000122</v>
      </c>
      <c r="B252" s="8" t="s">
        <v>277</v>
      </c>
      <c r="C252" s="8" t="s">
        <v>278</v>
      </c>
      <c r="D252" s="7" t="s">
        <v>276</v>
      </c>
      <c r="E252" s="8" t="s">
        <v>790</v>
      </c>
      <c r="F252" s="8" t="s">
        <v>791</v>
      </c>
    </row>
    <row r="253" spans="1:6" x14ac:dyDescent="0.25">
      <c r="A253" s="4">
        <v>5612725000154</v>
      </c>
      <c r="B253" s="8" t="s">
        <v>1025</v>
      </c>
      <c r="C253" s="8" t="s">
        <v>361</v>
      </c>
      <c r="D253" s="7" t="s">
        <v>362</v>
      </c>
      <c r="E253" s="8"/>
      <c r="F253" s="8"/>
    </row>
    <row r="254" spans="1:6" x14ac:dyDescent="0.25">
      <c r="A254" s="4">
        <v>5652543000107</v>
      </c>
      <c r="B254" s="8" t="s">
        <v>420</v>
      </c>
      <c r="C254" s="8" t="s">
        <v>421</v>
      </c>
      <c r="D254" s="7" t="s">
        <v>276</v>
      </c>
      <c r="E254" s="8" t="s">
        <v>790</v>
      </c>
      <c r="F254" s="8" t="s">
        <v>791</v>
      </c>
    </row>
    <row r="255" spans="1:6" x14ac:dyDescent="0.25">
      <c r="A255" s="4">
        <v>5816630000152</v>
      </c>
      <c r="B255" s="8" t="s">
        <v>279</v>
      </c>
      <c r="C255" s="8" t="s">
        <v>278</v>
      </c>
      <c r="D255" s="7" t="s">
        <v>276</v>
      </c>
      <c r="E255" s="8" t="s">
        <v>790</v>
      </c>
      <c r="F255" s="8" t="s">
        <v>791</v>
      </c>
    </row>
    <row r="256" spans="1:6" x14ac:dyDescent="0.25">
      <c r="A256" s="4">
        <v>5867015000175</v>
      </c>
      <c r="B256" s="8" t="s">
        <v>280</v>
      </c>
      <c r="C256" s="8" t="s">
        <v>281</v>
      </c>
      <c r="D256" s="7" t="s">
        <v>282</v>
      </c>
      <c r="E256" s="8" t="s">
        <v>790</v>
      </c>
      <c r="F256" s="8" t="s">
        <v>791</v>
      </c>
    </row>
    <row r="257" spans="1:6" x14ac:dyDescent="0.25">
      <c r="A257" s="4">
        <v>5868278000280</v>
      </c>
      <c r="B257" s="8" t="s">
        <v>283</v>
      </c>
      <c r="C257" s="8" t="s">
        <v>281</v>
      </c>
      <c r="D257" s="7" t="s">
        <v>282</v>
      </c>
      <c r="E257" s="8" t="s">
        <v>790</v>
      </c>
      <c r="F257" s="8" t="s">
        <v>791</v>
      </c>
    </row>
    <row r="258" spans="1:6" x14ac:dyDescent="0.25">
      <c r="A258" s="4">
        <v>5874946000109</v>
      </c>
      <c r="B258" s="8" t="s">
        <v>284</v>
      </c>
      <c r="C258" s="8" t="s">
        <v>281</v>
      </c>
      <c r="D258" s="7" t="s">
        <v>282</v>
      </c>
      <c r="E258" s="8" t="s">
        <v>790</v>
      </c>
      <c r="F258" s="8" t="s">
        <v>791</v>
      </c>
    </row>
    <row r="259" spans="1:6" x14ac:dyDescent="0.25">
      <c r="A259" s="4">
        <v>5874946000281</v>
      </c>
      <c r="B259" s="8" t="s">
        <v>422</v>
      </c>
      <c r="C259" s="8" t="s">
        <v>281</v>
      </c>
      <c r="D259" s="7" t="s">
        <v>282</v>
      </c>
      <c r="E259" s="8" t="s">
        <v>790</v>
      </c>
      <c r="F259" s="8" t="s">
        <v>791</v>
      </c>
    </row>
    <row r="260" spans="1:6" x14ac:dyDescent="0.25">
      <c r="A260" s="4">
        <v>5919720000179</v>
      </c>
      <c r="B260" s="8" t="s">
        <v>638</v>
      </c>
      <c r="C260" s="8" t="s">
        <v>237</v>
      </c>
      <c r="D260" s="7" t="s">
        <v>238</v>
      </c>
      <c r="E260" s="8" t="s">
        <v>790</v>
      </c>
      <c r="F260" s="8" t="s">
        <v>791</v>
      </c>
    </row>
    <row r="261" spans="1:6" x14ac:dyDescent="0.25">
      <c r="A261" s="4">
        <v>6047087000996</v>
      </c>
      <c r="B261" s="8" t="s">
        <v>660</v>
      </c>
      <c r="C261" s="8" t="s">
        <v>652</v>
      </c>
      <c r="D261" s="7" t="s">
        <v>241</v>
      </c>
      <c r="E261" s="8" t="s">
        <v>784</v>
      </c>
      <c r="F261" s="8" t="s">
        <v>785</v>
      </c>
    </row>
    <row r="262" spans="1:6" x14ac:dyDescent="0.25">
      <c r="A262" s="4">
        <v>6047087001020</v>
      </c>
      <c r="B262" s="8" t="s">
        <v>661</v>
      </c>
      <c r="C262" s="8" t="s">
        <v>652</v>
      </c>
      <c r="D262" s="7" t="s">
        <v>241</v>
      </c>
      <c r="E262" s="8" t="s">
        <v>784</v>
      </c>
      <c r="F262" s="8" t="s">
        <v>785</v>
      </c>
    </row>
    <row r="263" spans="1:6" x14ac:dyDescent="0.25">
      <c r="A263" s="4">
        <v>6047087001291</v>
      </c>
      <c r="B263" s="8" t="s">
        <v>479</v>
      </c>
      <c r="C263" s="8" t="s">
        <v>480</v>
      </c>
      <c r="D263" s="7" t="s">
        <v>265</v>
      </c>
      <c r="E263" s="8" t="s">
        <v>790</v>
      </c>
      <c r="F263" s="8" t="s">
        <v>791</v>
      </c>
    </row>
    <row r="264" spans="1:6" x14ac:dyDescent="0.25">
      <c r="A264" s="4">
        <v>6047087001372</v>
      </c>
      <c r="B264" s="8" t="s">
        <v>285</v>
      </c>
      <c r="C264" s="8" t="s">
        <v>286</v>
      </c>
      <c r="D264" s="7" t="s">
        <v>241</v>
      </c>
      <c r="E264" s="8" t="s">
        <v>784</v>
      </c>
      <c r="F264" s="8" t="s">
        <v>785</v>
      </c>
    </row>
    <row r="265" spans="1:6" x14ac:dyDescent="0.25">
      <c r="A265" s="4">
        <v>6047087002697</v>
      </c>
      <c r="B265" s="8" t="s">
        <v>662</v>
      </c>
      <c r="C265" s="8" t="s">
        <v>652</v>
      </c>
      <c r="D265" s="7" t="s">
        <v>241</v>
      </c>
      <c r="E265" s="8" t="s">
        <v>784</v>
      </c>
      <c r="F265" s="8" t="s">
        <v>785</v>
      </c>
    </row>
    <row r="266" spans="1:6" x14ac:dyDescent="0.25">
      <c r="A266" s="4">
        <v>6047087003316</v>
      </c>
      <c r="B266" s="8" t="s">
        <v>663</v>
      </c>
      <c r="C266" s="8" t="s">
        <v>652</v>
      </c>
      <c r="D266" s="7" t="s">
        <v>241</v>
      </c>
      <c r="E266" s="8" t="s">
        <v>784</v>
      </c>
      <c r="F266" s="8" t="s">
        <v>785</v>
      </c>
    </row>
    <row r="267" spans="1:6" x14ac:dyDescent="0.25">
      <c r="A267" s="4">
        <v>6047087004126</v>
      </c>
      <c r="B267" s="8" t="s">
        <v>287</v>
      </c>
      <c r="C267" s="8" t="s">
        <v>225</v>
      </c>
      <c r="D267" s="7" t="s">
        <v>226</v>
      </c>
      <c r="E267" s="8" t="s">
        <v>790</v>
      </c>
      <c r="F267" s="8" t="s">
        <v>791</v>
      </c>
    </row>
    <row r="268" spans="1:6" x14ac:dyDescent="0.25">
      <c r="A268" s="4">
        <v>6047087004207</v>
      </c>
      <c r="B268" s="8" t="s">
        <v>288</v>
      </c>
      <c r="C268" s="8" t="s">
        <v>225</v>
      </c>
      <c r="D268" s="7" t="s">
        <v>226</v>
      </c>
      <c r="E268" s="8" t="s">
        <v>790</v>
      </c>
      <c r="F268" s="8" t="s">
        <v>791</v>
      </c>
    </row>
    <row r="269" spans="1:6" x14ac:dyDescent="0.25">
      <c r="A269" s="4">
        <v>6047087009276</v>
      </c>
      <c r="B269" s="8" t="s">
        <v>423</v>
      </c>
      <c r="C269" s="8" t="s">
        <v>264</v>
      </c>
      <c r="D269" s="7" t="s">
        <v>265</v>
      </c>
      <c r="E269" s="8" t="s">
        <v>790</v>
      </c>
      <c r="F269" s="8" t="s">
        <v>791</v>
      </c>
    </row>
    <row r="270" spans="1:6" x14ac:dyDescent="0.25">
      <c r="A270" s="4">
        <v>6070425000153</v>
      </c>
      <c r="B270" s="8" t="s">
        <v>289</v>
      </c>
      <c r="C270" s="8" t="s">
        <v>290</v>
      </c>
      <c r="D270" s="7" t="s">
        <v>291</v>
      </c>
      <c r="E270" s="8" t="s">
        <v>790</v>
      </c>
      <c r="F270" s="8" t="s">
        <v>791</v>
      </c>
    </row>
    <row r="271" spans="1:6" x14ac:dyDescent="0.25">
      <c r="A271" s="4">
        <v>6190522000180</v>
      </c>
      <c r="B271" s="8" t="s">
        <v>292</v>
      </c>
      <c r="C271" s="8" t="s">
        <v>293</v>
      </c>
      <c r="D271" s="7" t="s">
        <v>238</v>
      </c>
      <c r="E271" s="8" t="s">
        <v>790</v>
      </c>
      <c r="F271" s="8" t="s">
        <v>791</v>
      </c>
    </row>
    <row r="272" spans="1:6" x14ac:dyDescent="0.25">
      <c r="A272" s="4">
        <v>6337035000105</v>
      </c>
      <c r="B272" s="8" t="s">
        <v>639</v>
      </c>
      <c r="C272" s="8" t="s">
        <v>237</v>
      </c>
      <c r="D272" s="7" t="s">
        <v>238</v>
      </c>
      <c r="E272" s="8" t="s">
        <v>790</v>
      </c>
      <c r="F272" s="8" t="s">
        <v>791</v>
      </c>
    </row>
    <row r="273" spans="1:6" x14ac:dyDescent="0.25">
      <c r="A273" s="4">
        <v>6555031000276</v>
      </c>
      <c r="B273" s="8" t="s">
        <v>294</v>
      </c>
      <c r="C273" s="8" t="s">
        <v>295</v>
      </c>
      <c r="D273" s="7" t="s">
        <v>296</v>
      </c>
      <c r="E273" s="8" t="s">
        <v>790</v>
      </c>
      <c r="F273" s="8" t="s">
        <v>791</v>
      </c>
    </row>
    <row r="274" spans="1:6" x14ac:dyDescent="0.25">
      <c r="A274" s="4">
        <v>7039651000134</v>
      </c>
      <c r="B274" s="8" t="s">
        <v>547</v>
      </c>
      <c r="C274" s="8" t="s">
        <v>548</v>
      </c>
      <c r="D274" s="7" t="s">
        <v>418</v>
      </c>
      <c r="E274" s="8" t="s">
        <v>784</v>
      </c>
      <c r="F274" s="8" t="s">
        <v>785</v>
      </c>
    </row>
    <row r="275" spans="1:6" x14ac:dyDescent="0.25">
      <c r="A275" s="4">
        <v>7088017000191</v>
      </c>
      <c r="B275" s="8" t="s">
        <v>549</v>
      </c>
      <c r="C275" s="8" t="s">
        <v>550</v>
      </c>
      <c r="D275" s="7" t="s">
        <v>233</v>
      </c>
      <c r="E275" s="8" t="s">
        <v>784</v>
      </c>
      <c r="F275" s="8" t="s">
        <v>785</v>
      </c>
    </row>
    <row r="276" spans="1:6" x14ac:dyDescent="0.25">
      <c r="A276" s="4">
        <v>7245269000187</v>
      </c>
      <c r="B276" s="8" t="s">
        <v>424</v>
      </c>
      <c r="C276" s="8" t="s">
        <v>281</v>
      </c>
      <c r="D276" s="7" t="s">
        <v>282</v>
      </c>
      <c r="E276" s="8" t="s">
        <v>790</v>
      </c>
      <c r="F276" s="8" t="s">
        <v>791</v>
      </c>
    </row>
    <row r="277" spans="1:6" x14ac:dyDescent="0.25">
      <c r="A277" s="4">
        <v>7272404000183</v>
      </c>
      <c r="B277" s="8" t="s">
        <v>551</v>
      </c>
      <c r="C277" s="8" t="s">
        <v>281</v>
      </c>
      <c r="D277" s="7" t="s">
        <v>282</v>
      </c>
      <c r="E277" s="8" t="s">
        <v>790</v>
      </c>
      <c r="F277" s="8" t="s">
        <v>791</v>
      </c>
    </row>
    <row r="278" spans="1:6" x14ac:dyDescent="0.25">
      <c r="A278" s="4">
        <v>7272636000212</v>
      </c>
      <c r="B278" s="8" t="s">
        <v>297</v>
      </c>
      <c r="C278" s="8" t="s">
        <v>281</v>
      </c>
      <c r="D278" s="7" t="s">
        <v>282</v>
      </c>
      <c r="E278" s="8" t="s">
        <v>790</v>
      </c>
      <c r="F278" s="8" t="s">
        <v>791</v>
      </c>
    </row>
    <row r="279" spans="1:6" x14ac:dyDescent="0.25">
      <c r="A279" s="4">
        <v>7404052000172</v>
      </c>
      <c r="B279" s="8" t="s">
        <v>516</v>
      </c>
      <c r="C279" s="8" t="s">
        <v>385</v>
      </c>
      <c r="D279" s="7" t="s">
        <v>233</v>
      </c>
      <c r="E279" s="8" t="s">
        <v>784</v>
      </c>
      <c r="F279" s="8" t="s">
        <v>785</v>
      </c>
    </row>
    <row r="280" spans="1:6" x14ac:dyDescent="0.25">
      <c r="A280" s="4">
        <v>7734165000136</v>
      </c>
      <c r="B280" s="8" t="s">
        <v>425</v>
      </c>
      <c r="C280" s="8" t="s">
        <v>385</v>
      </c>
      <c r="D280" s="7" t="s">
        <v>233</v>
      </c>
      <c r="E280" s="8" t="s">
        <v>784</v>
      </c>
      <c r="F280" s="8" t="s">
        <v>785</v>
      </c>
    </row>
    <row r="281" spans="1:6" x14ac:dyDescent="0.25">
      <c r="A281" s="4">
        <v>7750144000104</v>
      </c>
      <c r="B281" s="8" t="s">
        <v>601</v>
      </c>
      <c r="C281" s="8" t="s">
        <v>310</v>
      </c>
      <c r="D281" s="7" t="s">
        <v>268</v>
      </c>
      <c r="E281" s="8" t="s">
        <v>790</v>
      </c>
      <c r="F281" s="8" t="s">
        <v>791</v>
      </c>
    </row>
    <row r="282" spans="1:6" x14ac:dyDescent="0.25">
      <c r="A282" s="4">
        <v>7775847000278</v>
      </c>
      <c r="B282" s="8" t="s">
        <v>602</v>
      </c>
      <c r="C282" s="8" t="s">
        <v>603</v>
      </c>
      <c r="D282" s="7" t="s">
        <v>250</v>
      </c>
      <c r="E282" s="8" t="s">
        <v>790</v>
      </c>
      <c r="F282" s="8" t="s">
        <v>791</v>
      </c>
    </row>
    <row r="283" spans="1:6" x14ac:dyDescent="0.25">
      <c r="A283" s="4">
        <v>7794623001528</v>
      </c>
      <c r="B283" s="8" t="s">
        <v>298</v>
      </c>
      <c r="C283" s="8" t="s">
        <v>299</v>
      </c>
      <c r="D283" s="7" t="s">
        <v>241</v>
      </c>
      <c r="E283" s="8" t="s">
        <v>784</v>
      </c>
      <c r="F283" s="8" t="s">
        <v>785</v>
      </c>
    </row>
    <row r="284" spans="1:6" x14ac:dyDescent="0.25">
      <c r="A284" s="4">
        <v>7794623002257</v>
      </c>
      <c r="B284" s="8" t="s">
        <v>552</v>
      </c>
      <c r="C284" s="8" t="s">
        <v>553</v>
      </c>
      <c r="D284" s="7" t="s">
        <v>233</v>
      </c>
      <c r="E284" s="8" t="s">
        <v>784</v>
      </c>
      <c r="F284" s="8" t="s">
        <v>785</v>
      </c>
    </row>
    <row r="285" spans="1:6" x14ac:dyDescent="0.25">
      <c r="A285" s="4">
        <v>7794623004896</v>
      </c>
      <c r="B285" s="8" t="s">
        <v>664</v>
      </c>
      <c r="C285" s="8" t="s">
        <v>652</v>
      </c>
      <c r="D285" s="7" t="s">
        <v>241</v>
      </c>
      <c r="E285" s="8" t="s">
        <v>784</v>
      </c>
      <c r="F285" s="8" t="s">
        <v>785</v>
      </c>
    </row>
    <row r="286" spans="1:6" x14ac:dyDescent="0.25">
      <c r="A286" s="4">
        <v>7794623005191</v>
      </c>
      <c r="B286" s="8" t="s">
        <v>554</v>
      </c>
      <c r="C286" s="8" t="s">
        <v>225</v>
      </c>
      <c r="D286" s="7" t="s">
        <v>226</v>
      </c>
      <c r="E286" s="8" t="s">
        <v>790</v>
      </c>
      <c r="F286" s="8" t="s">
        <v>791</v>
      </c>
    </row>
    <row r="287" spans="1:6" x14ac:dyDescent="0.25">
      <c r="A287" s="4">
        <v>7835044000180</v>
      </c>
      <c r="B287" s="8" t="s">
        <v>300</v>
      </c>
      <c r="C287" s="8" t="s">
        <v>281</v>
      </c>
      <c r="D287" s="7" t="s">
        <v>282</v>
      </c>
      <c r="E287" s="8" t="s">
        <v>790</v>
      </c>
      <c r="F287" s="8" t="s">
        <v>791</v>
      </c>
    </row>
    <row r="288" spans="1:6" x14ac:dyDescent="0.25">
      <c r="A288" s="4">
        <v>8100676002102</v>
      </c>
      <c r="B288" s="8" t="s">
        <v>665</v>
      </c>
      <c r="C288" s="8" t="s">
        <v>652</v>
      </c>
      <c r="D288" s="7" t="s">
        <v>241</v>
      </c>
      <c r="E288" s="8" t="s">
        <v>784</v>
      </c>
      <c r="F288" s="8" t="s">
        <v>785</v>
      </c>
    </row>
    <row r="289" spans="1:6" x14ac:dyDescent="0.25">
      <c r="A289" s="4">
        <v>8319329000121</v>
      </c>
      <c r="B289" s="8" t="s">
        <v>301</v>
      </c>
      <c r="C289" s="8" t="s">
        <v>246</v>
      </c>
      <c r="D289" s="7" t="s">
        <v>247</v>
      </c>
      <c r="E289" s="8" t="s">
        <v>790</v>
      </c>
      <c r="F289" s="8" t="s">
        <v>791</v>
      </c>
    </row>
    <row r="290" spans="1:6" x14ac:dyDescent="0.25">
      <c r="A290" s="4">
        <v>8337586000196</v>
      </c>
      <c r="B290" s="8" t="s">
        <v>302</v>
      </c>
      <c r="C290" s="8" t="s">
        <v>246</v>
      </c>
      <c r="D290" s="7" t="s">
        <v>247</v>
      </c>
      <c r="E290" s="8" t="s">
        <v>790</v>
      </c>
      <c r="F290" s="8" t="s">
        <v>791</v>
      </c>
    </row>
    <row r="291" spans="1:6" x14ac:dyDescent="0.25">
      <c r="A291" s="4">
        <v>8380701000610</v>
      </c>
      <c r="B291" s="8" t="s">
        <v>555</v>
      </c>
      <c r="C291" s="8" t="s">
        <v>246</v>
      </c>
      <c r="D291" s="7" t="s">
        <v>247</v>
      </c>
      <c r="E291" s="8" t="s">
        <v>790</v>
      </c>
      <c r="F291" s="8" t="s">
        <v>791</v>
      </c>
    </row>
    <row r="292" spans="1:6" x14ac:dyDescent="0.25">
      <c r="A292" s="4">
        <v>8380701001772</v>
      </c>
      <c r="B292" s="8" t="s">
        <v>426</v>
      </c>
      <c r="C292" s="8" t="s">
        <v>246</v>
      </c>
      <c r="D292" s="7" t="s">
        <v>247</v>
      </c>
      <c r="E292" s="8" t="s">
        <v>790</v>
      </c>
      <c r="F292" s="8" t="s">
        <v>791</v>
      </c>
    </row>
    <row r="293" spans="1:6" x14ac:dyDescent="0.25">
      <c r="A293" s="4">
        <v>8562523000133</v>
      </c>
      <c r="B293" s="8" t="s">
        <v>427</v>
      </c>
      <c r="C293" s="8" t="s">
        <v>286</v>
      </c>
      <c r="D293" s="7" t="s">
        <v>241</v>
      </c>
      <c r="E293" s="8" t="s">
        <v>784</v>
      </c>
      <c r="F293" s="8" t="s">
        <v>785</v>
      </c>
    </row>
    <row r="294" spans="1:6" x14ac:dyDescent="0.25">
      <c r="A294" s="4">
        <v>8597121000174</v>
      </c>
      <c r="B294" s="8" t="s">
        <v>428</v>
      </c>
      <c r="C294" s="8" t="s">
        <v>385</v>
      </c>
      <c r="D294" s="7" t="s">
        <v>233</v>
      </c>
      <c r="E294" s="8" t="s">
        <v>784</v>
      </c>
      <c r="F294" s="8" t="s">
        <v>785</v>
      </c>
    </row>
    <row r="295" spans="1:6" x14ac:dyDescent="0.25">
      <c r="A295" s="4">
        <v>8680639000681</v>
      </c>
      <c r="B295" s="8" t="s">
        <v>303</v>
      </c>
      <c r="C295" s="8" t="s">
        <v>228</v>
      </c>
      <c r="D295" s="7" t="s">
        <v>229</v>
      </c>
      <c r="E295" s="8" t="s">
        <v>790</v>
      </c>
      <c r="F295" s="8" t="s">
        <v>791</v>
      </c>
    </row>
    <row r="296" spans="1:6" x14ac:dyDescent="0.25">
      <c r="A296" s="4">
        <v>8850962000222</v>
      </c>
      <c r="B296" s="8" t="s">
        <v>666</v>
      </c>
      <c r="C296" s="8" t="s">
        <v>652</v>
      </c>
      <c r="D296" s="7" t="s">
        <v>241</v>
      </c>
      <c r="E296" s="8" t="s">
        <v>784</v>
      </c>
      <c r="F296" s="8" t="s">
        <v>785</v>
      </c>
    </row>
    <row r="297" spans="1:6" x14ac:dyDescent="0.25">
      <c r="A297" s="4">
        <v>9039744000275</v>
      </c>
      <c r="B297" s="8" t="s">
        <v>429</v>
      </c>
      <c r="C297" s="8" t="s">
        <v>430</v>
      </c>
      <c r="D297" s="7" t="s">
        <v>265</v>
      </c>
      <c r="E297" s="8" t="s">
        <v>790</v>
      </c>
      <c r="F297" s="8" t="s">
        <v>791</v>
      </c>
    </row>
    <row r="298" spans="1:6" x14ac:dyDescent="0.25">
      <c r="A298" s="4">
        <v>9087150000230</v>
      </c>
      <c r="B298" s="8" t="s">
        <v>304</v>
      </c>
      <c r="C298" s="8" t="s">
        <v>305</v>
      </c>
      <c r="D298" s="7" t="s">
        <v>253</v>
      </c>
      <c r="E298" s="8" t="s">
        <v>784</v>
      </c>
      <c r="F298" s="8" t="s">
        <v>785</v>
      </c>
    </row>
    <row r="299" spans="1:6" x14ac:dyDescent="0.25">
      <c r="A299" s="4">
        <v>9104513000974</v>
      </c>
      <c r="B299" s="8" t="s">
        <v>556</v>
      </c>
      <c r="C299" s="8" t="s">
        <v>225</v>
      </c>
      <c r="D299" s="7" t="s">
        <v>226</v>
      </c>
      <c r="E299" s="8" t="s">
        <v>790</v>
      </c>
      <c r="F299" s="8" t="s">
        <v>791</v>
      </c>
    </row>
    <row r="300" spans="1:6" x14ac:dyDescent="0.25">
      <c r="A300" s="4">
        <v>9192098000109</v>
      </c>
      <c r="B300" s="8" t="s">
        <v>640</v>
      </c>
      <c r="C300" s="8" t="s">
        <v>641</v>
      </c>
      <c r="D300" s="7" t="s">
        <v>268</v>
      </c>
      <c r="E300" s="8" t="s">
        <v>790</v>
      </c>
      <c r="F300" s="8" t="s">
        <v>791</v>
      </c>
    </row>
    <row r="301" spans="1:6" x14ac:dyDescent="0.25">
      <c r="A301" s="4">
        <v>9219138000401</v>
      </c>
      <c r="B301" s="8" t="s">
        <v>706</v>
      </c>
      <c r="C301" s="8" t="s">
        <v>652</v>
      </c>
      <c r="D301" s="7" t="s">
        <v>241</v>
      </c>
      <c r="E301" s="8" t="s">
        <v>784</v>
      </c>
      <c r="F301" s="8" t="s">
        <v>785</v>
      </c>
    </row>
    <row r="302" spans="1:6" x14ac:dyDescent="0.25">
      <c r="A302" s="4">
        <v>9219138000584</v>
      </c>
      <c r="B302" s="8" t="s">
        <v>667</v>
      </c>
      <c r="C302" s="8" t="s">
        <v>652</v>
      </c>
      <c r="D302" s="7" t="s">
        <v>241</v>
      </c>
      <c r="E302" s="8" t="s">
        <v>784</v>
      </c>
      <c r="F302" s="8" t="s">
        <v>785</v>
      </c>
    </row>
    <row r="303" spans="1:6" x14ac:dyDescent="0.25">
      <c r="A303" s="4">
        <v>9549061000268</v>
      </c>
      <c r="B303" s="8" t="s">
        <v>431</v>
      </c>
      <c r="C303" s="8" t="s">
        <v>432</v>
      </c>
      <c r="D303" s="7" t="s">
        <v>253</v>
      </c>
      <c r="E303" s="8" t="s">
        <v>784</v>
      </c>
      <c r="F303" s="8" t="s">
        <v>785</v>
      </c>
    </row>
    <row r="304" spans="1:6" x14ac:dyDescent="0.25">
      <c r="A304" s="4">
        <v>9572216000287</v>
      </c>
      <c r="B304" s="8" t="s">
        <v>557</v>
      </c>
      <c r="C304" s="8" t="s">
        <v>558</v>
      </c>
      <c r="D304" s="7" t="s">
        <v>253</v>
      </c>
      <c r="E304" s="8" t="s">
        <v>784</v>
      </c>
      <c r="F304" s="8" t="s">
        <v>785</v>
      </c>
    </row>
    <row r="305" spans="1:6" x14ac:dyDescent="0.25">
      <c r="A305" s="4">
        <v>9578217000158</v>
      </c>
      <c r="B305" s="8" t="s">
        <v>668</v>
      </c>
      <c r="C305" s="8" t="s">
        <v>652</v>
      </c>
      <c r="D305" s="7" t="s">
        <v>241</v>
      </c>
      <c r="E305" s="8" t="s">
        <v>784</v>
      </c>
      <c r="F305" s="8" t="s">
        <v>785</v>
      </c>
    </row>
    <row r="306" spans="1:6" x14ac:dyDescent="0.25">
      <c r="A306" s="4">
        <v>9579964000291</v>
      </c>
      <c r="B306" s="8" t="s">
        <v>604</v>
      </c>
      <c r="C306" s="8" t="s">
        <v>385</v>
      </c>
      <c r="D306" s="7" t="s">
        <v>233</v>
      </c>
      <c r="E306" s="8" t="s">
        <v>784</v>
      </c>
      <c r="F306" s="8" t="s">
        <v>785</v>
      </c>
    </row>
    <row r="307" spans="1:6" x14ac:dyDescent="0.25">
      <c r="A307" s="4">
        <v>9605231000284</v>
      </c>
      <c r="B307" s="8" t="s">
        <v>559</v>
      </c>
      <c r="C307" s="8" t="s">
        <v>331</v>
      </c>
      <c r="D307" s="7" t="s">
        <v>253</v>
      </c>
      <c r="E307" s="8" t="s">
        <v>784</v>
      </c>
      <c r="F307" s="8" t="s">
        <v>785</v>
      </c>
    </row>
    <row r="308" spans="1:6" x14ac:dyDescent="0.25">
      <c r="A308" s="4">
        <v>9609235000230</v>
      </c>
      <c r="B308" s="8" t="s">
        <v>669</v>
      </c>
      <c r="C308" s="8" t="s">
        <v>652</v>
      </c>
      <c r="D308" s="7" t="s">
        <v>241</v>
      </c>
      <c r="E308" s="8" t="s">
        <v>784</v>
      </c>
      <c r="F308" s="8" t="s">
        <v>785</v>
      </c>
    </row>
    <row r="309" spans="1:6" x14ac:dyDescent="0.25">
      <c r="A309" s="4">
        <v>10558548000105</v>
      </c>
      <c r="B309" s="8" t="s">
        <v>481</v>
      </c>
      <c r="C309" s="8" t="s">
        <v>482</v>
      </c>
      <c r="D309" s="7" t="s">
        <v>241</v>
      </c>
      <c r="E309" s="8" t="s">
        <v>784</v>
      </c>
      <c r="F309" s="8" t="s">
        <v>785</v>
      </c>
    </row>
    <row r="310" spans="1:6" x14ac:dyDescent="0.25">
      <c r="A310" s="4">
        <v>10562003000172</v>
      </c>
      <c r="B310" s="8" t="s">
        <v>642</v>
      </c>
      <c r="C310" s="8" t="s">
        <v>458</v>
      </c>
      <c r="D310" s="7" t="s">
        <v>241</v>
      </c>
      <c r="E310" s="8" t="s">
        <v>784</v>
      </c>
      <c r="F310" s="8" t="s">
        <v>785</v>
      </c>
    </row>
    <row r="311" spans="1:6" x14ac:dyDescent="0.25">
      <c r="A311" s="4">
        <v>10572048000209</v>
      </c>
      <c r="B311" s="8" t="s">
        <v>560</v>
      </c>
      <c r="C311" s="8" t="s">
        <v>264</v>
      </c>
      <c r="D311" s="7" t="s">
        <v>265</v>
      </c>
      <c r="E311" s="8" t="s">
        <v>790</v>
      </c>
      <c r="F311" s="8" t="s">
        <v>791</v>
      </c>
    </row>
    <row r="312" spans="1:6" x14ac:dyDescent="0.25">
      <c r="A312" s="4">
        <v>10586940000168</v>
      </c>
      <c r="B312" s="8" t="s">
        <v>483</v>
      </c>
      <c r="C312" s="8" t="s">
        <v>451</v>
      </c>
      <c r="D312" s="7" t="s">
        <v>418</v>
      </c>
      <c r="E312" s="8" t="s">
        <v>784</v>
      </c>
      <c r="F312" s="8" t="s">
        <v>785</v>
      </c>
    </row>
    <row r="313" spans="1:6" x14ac:dyDescent="0.25">
      <c r="A313" s="4">
        <v>10839561000132</v>
      </c>
      <c r="B313" s="8" t="s">
        <v>306</v>
      </c>
      <c r="C313" s="8" t="s">
        <v>264</v>
      </c>
      <c r="D313" s="7" t="s">
        <v>265</v>
      </c>
      <c r="E313" s="8" t="s">
        <v>790</v>
      </c>
      <c r="F313" s="8" t="s">
        <v>791</v>
      </c>
    </row>
    <row r="314" spans="1:6" x14ac:dyDescent="0.25">
      <c r="A314" s="4">
        <v>10892164000124</v>
      </c>
      <c r="B314" s="8" t="s">
        <v>307</v>
      </c>
      <c r="C314" s="8" t="s">
        <v>264</v>
      </c>
      <c r="D314" s="7" t="s">
        <v>265</v>
      </c>
      <c r="E314" s="8" t="s">
        <v>790</v>
      </c>
      <c r="F314" s="8" t="s">
        <v>791</v>
      </c>
    </row>
    <row r="315" spans="1:6" x14ac:dyDescent="0.25">
      <c r="A315" s="4">
        <v>10942995000163</v>
      </c>
      <c r="B315" s="8" t="s">
        <v>433</v>
      </c>
      <c r="C315" s="8" t="s">
        <v>225</v>
      </c>
      <c r="D315" s="7" t="s">
        <v>226</v>
      </c>
      <c r="E315" s="8" t="s">
        <v>790</v>
      </c>
      <c r="F315" s="8" t="s">
        <v>791</v>
      </c>
    </row>
    <row r="316" spans="1:6" x14ac:dyDescent="0.25">
      <c r="A316" s="4">
        <v>10988301000129</v>
      </c>
      <c r="B316" s="8" t="s">
        <v>308</v>
      </c>
      <c r="C316" s="8" t="s">
        <v>264</v>
      </c>
      <c r="D316" s="7" t="s">
        <v>265</v>
      </c>
      <c r="E316" s="8" t="s">
        <v>790</v>
      </c>
      <c r="F316" s="8" t="s">
        <v>791</v>
      </c>
    </row>
    <row r="317" spans="1:6" x14ac:dyDescent="0.25">
      <c r="A317" s="4">
        <v>11006293000130</v>
      </c>
      <c r="B317" s="8" t="s">
        <v>309</v>
      </c>
      <c r="C317" s="8" t="s">
        <v>310</v>
      </c>
      <c r="D317" s="7" t="s">
        <v>268</v>
      </c>
      <c r="E317" s="8" t="s">
        <v>790</v>
      </c>
      <c r="F317" s="8" t="s">
        <v>791</v>
      </c>
    </row>
    <row r="318" spans="1:6" x14ac:dyDescent="0.25">
      <c r="A318" s="4">
        <v>11022597001597</v>
      </c>
      <c r="B318" s="8" t="s">
        <v>434</v>
      </c>
      <c r="C318" s="8" t="s">
        <v>264</v>
      </c>
      <c r="D318" s="7" t="s">
        <v>265</v>
      </c>
      <c r="E318" s="8" t="s">
        <v>790</v>
      </c>
      <c r="F318" s="8" t="s">
        <v>791</v>
      </c>
    </row>
    <row r="319" spans="1:6" x14ac:dyDescent="0.25">
      <c r="A319" s="4">
        <v>11055682000156</v>
      </c>
      <c r="B319" s="8" t="s">
        <v>605</v>
      </c>
      <c r="C319" s="8" t="s">
        <v>606</v>
      </c>
      <c r="D319" s="7" t="s">
        <v>253</v>
      </c>
      <c r="E319" s="8" t="s">
        <v>784</v>
      </c>
      <c r="F319" s="8" t="s">
        <v>785</v>
      </c>
    </row>
    <row r="320" spans="1:6" x14ac:dyDescent="0.25">
      <c r="A320" s="4">
        <v>11214624000470</v>
      </c>
      <c r="B320" s="8" t="s">
        <v>607</v>
      </c>
      <c r="C320" s="8" t="s">
        <v>264</v>
      </c>
      <c r="D320" s="7" t="s">
        <v>265</v>
      </c>
      <c r="E320" s="8" t="s">
        <v>790</v>
      </c>
      <c r="F320" s="8" t="s">
        <v>791</v>
      </c>
    </row>
    <row r="321" spans="1:6" x14ac:dyDescent="0.25">
      <c r="A321" s="4">
        <v>11214624001957</v>
      </c>
      <c r="B321" s="8" t="s">
        <v>484</v>
      </c>
      <c r="C321" s="8" t="s">
        <v>264</v>
      </c>
      <c r="D321" s="7" t="s">
        <v>265</v>
      </c>
      <c r="E321" s="8" t="s">
        <v>790</v>
      </c>
      <c r="F321" s="8" t="s">
        <v>791</v>
      </c>
    </row>
    <row r="322" spans="1:6" x14ac:dyDescent="0.25">
      <c r="A322" s="4">
        <v>11273170000166</v>
      </c>
      <c r="B322" s="8" t="s">
        <v>608</v>
      </c>
      <c r="C322" s="8" t="s">
        <v>295</v>
      </c>
      <c r="D322" s="7" t="s">
        <v>296</v>
      </c>
      <c r="E322" s="8" t="s">
        <v>790</v>
      </c>
      <c r="F322" s="8" t="s">
        <v>791</v>
      </c>
    </row>
    <row r="323" spans="1:6" x14ac:dyDescent="0.25">
      <c r="A323" s="4">
        <v>11279865000155</v>
      </c>
      <c r="B323" s="8" t="s">
        <v>670</v>
      </c>
      <c r="C323" s="8" t="s">
        <v>652</v>
      </c>
      <c r="D323" s="7" t="s">
        <v>241</v>
      </c>
      <c r="E323" s="8" t="s">
        <v>784</v>
      </c>
      <c r="F323" s="8" t="s">
        <v>785</v>
      </c>
    </row>
    <row r="324" spans="1:6" x14ac:dyDescent="0.25">
      <c r="A324" s="4">
        <v>11452240000143</v>
      </c>
      <c r="B324" s="8" t="s">
        <v>311</v>
      </c>
      <c r="C324" s="8" t="s">
        <v>264</v>
      </c>
      <c r="D324" s="7" t="s">
        <v>265</v>
      </c>
      <c r="E324" s="8" t="s">
        <v>790</v>
      </c>
      <c r="F324" s="8" t="s">
        <v>791</v>
      </c>
    </row>
    <row r="325" spans="1:6" x14ac:dyDescent="0.25">
      <c r="A325" s="4">
        <v>11794674000121</v>
      </c>
      <c r="B325" s="8" t="s">
        <v>435</v>
      </c>
      <c r="C325" s="8" t="s">
        <v>281</v>
      </c>
      <c r="D325" s="7" t="s">
        <v>282</v>
      </c>
      <c r="E325" s="8" t="s">
        <v>790</v>
      </c>
      <c r="F325" s="8" t="s">
        <v>791</v>
      </c>
    </row>
    <row r="326" spans="1:6" x14ac:dyDescent="0.25">
      <c r="A326" s="4">
        <v>11859927000106</v>
      </c>
      <c r="B326" s="8" t="s">
        <v>312</v>
      </c>
      <c r="C326" s="8" t="s">
        <v>225</v>
      </c>
      <c r="D326" s="7" t="s">
        <v>226</v>
      </c>
      <c r="E326" s="8" t="s">
        <v>790</v>
      </c>
      <c r="F326" s="8" t="s">
        <v>791</v>
      </c>
    </row>
    <row r="327" spans="1:6" x14ac:dyDescent="0.25">
      <c r="A327" s="4">
        <v>11943553000102</v>
      </c>
      <c r="B327" s="8" t="s">
        <v>436</v>
      </c>
      <c r="C327" s="8" t="s">
        <v>278</v>
      </c>
      <c r="D327" s="7" t="s">
        <v>276</v>
      </c>
      <c r="E327" s="8" t="s">
        <v>790</v>
      </c>
      <c r="F327" s="8" t="s">
        <v>791</v>
      </c>
    </row>
    <row r="328" spans="1:6" x14ac:dyDescent="0.25">
      <c r="A328" s="4">
        <v>12361267000274</v>
      </c>
      <c r="B328" s="8" t="s">
        <v>485</v>
      </c>
      <c r="C328" s="8" t="s">
        <v>219</v>
      </c>
      <c r="D328" s="7" t="s">
        <v>220</v>
      </c>
      <c r="E328" s="8" t="s">
        <v>790</v>
      </c>
      <c r="F328" s="8" t="s">
        <v>791</v>
      </c>
    </row>
    <row r="329" spans="1:6" x14ac:dyDescent="0.25">
      <c r="A329" s="4">
        <v>12361267000517</v>
      </c>
      <c r="B329" s="8" t="s">
        <v>486</v>
      </c>
      <c r="C329" s="8" t="s">
        <v>317</v>
      </c>
      <c r="D329" s="7" t="s">
        <v>318</v>
      </c>
      <c r="E329" s="8" t="s">
        <v>790</v>
      </c>
      <c r="F329" s="8" t="s">
        <v>791</v>
      </c>
    </row>
    <row r="330" spans="1:6" x14ac:dyDescent="0.25">
      <c r="A330" s="4">
        <v>12361267000789</v>
      </c>
      <c r="B330" s="8" t="s">
        <v>487</v>
      </c>
      <c r="C330" s="8" t="s">
        <v>310</v>
      </c>
      <c r="D330" s="7" t="s">
        <v>268</v>
      </c>
      <c r="E330" s="8" t="s">
        <v>790</v>
      </c>
      <c r="F330" s="8" t="s">
        <v>791</v>
      </c>
    </row>
    <row r="331" spans="1:6" x14ac:dyDescent="0.25">
      <c r="A331" s="4">
        <v>12361267000860</v>
      </c>
      <c r="B331" s="8" t="s">
        <v>488</v>
      </c>
      <c r="C331" s="8" t="s">
        <v>361</v>
      </c>
      <c r="D331" s="7" t="s">
        <v>362</v>
      </c>
      <c r="E331" s="8" t="s">
        <v>790</v>
      </c>
      <c r="F331" s="8" t="s">
        <v>791</v>
      </c>
    </row>
    <row r="332" spans="1:6" x14ac:dyDescent="0.25">
      <c r="A332" s="4">
        <v>12361267004008</v>
      </c>
      <c r="B332" s="8" t="s">
        <v>489</v>
      </c>
      <c r="C332" s="8" t="s">
        <v>295</v>
      </c>
      <c r="D332" s="7" t="s">
        <v>296</v>
      </c>
      <c r="E332" s="8" t="s">
        <v>790</v>
      </c>
      <c r="F332" s="8" t="s">
        <v>791</v>
      </c>
    </row>
    <row r="333" spans="1:6" x14ac:dyDescent="0.25">
      <c r="A333" s="4">
        <v>12361267004261</v>
      </c>
      <c r="B333" s="8" t="s">
        <v>609</v>
      </c>
      <c r="C333" s="8" t="s">
        <v>610</v>
      </c>
      <c r="D333" s="7" t="s">
        <v>259</v>
      </c>
      <c r="E333" s="8" t="s">
        <v>784</v>
      </c>
      <c r="F333" s="8" t="s">
        <v>785</v>
      </c>
    </row>
    <row r="334" spans="1:6" x14ac:dyDescent="0.25">
      <c r="A334" s="4">
        <v>12361267007287</v>
      </c>
      <c r="B334" s="8" t="s">
        <v>490</v>
      </c>
      <c r="C334" s="8" t="s">
        <v>264</v>
      </c>
      <c r="D334" s="7" t="s">
        <v>265</v>
      </c>
      <c r="E334" s="8" t="s">
        <v>790</v>
      </c>
      <c r="F334" s="8" t="s">
        <v>791</v>
      </c>
    </row>
    <row r="335" spans="1:6" x14ac:dyDescent="0.25">
      <c r="A335" s="4">
        <v>12361267008410</v>
      </c>
      <c r="B335" s="8" t="s">
        <v>491</v>
      </c>
      <c r="C335" s="8" t="s">
        <v>492</v>
      </c>
      <c r="D335" s="7" t="s">
        <v>282</v>
      </c>
      <c r="E335" s="8" t="s">
        <v>790</v>
      </c>
      <c r="F335" s="8" t="s">
        <v>791</v>
      </c>
    </row>
    <row r="336" spans="1:6" x14ac:dyDescent="0.25">
      <c r="A336" s="4">
        <v>12361267008844</v>
      </c>
      <c r="B336" s="8" t="s">
        <v>493</v>
      </c>
      <c r="C336" s="8" t="s">
        <v>228</v>
      </c>
      <c r="D336" s="7" t="s">
        <v>229</v>
      </c>
      <c r="E336" s="8" t="s">
        <v>790</v>
      </c>
      <c r="F336" s="8" t="s">
        <v>791</v>
      </c>
    </row>
    <row r="337" spans="1:6" x14ac:dyDescent="0.25">
      <c r="A337" s="4">
        <v>12361267009140</v>
      </c>
      <c r="B337" s="8" t="s">
        <v>561</v>
      </c>
      <c r="C337" s="8" t="s">
        <v>562</v>
      </c>
      <c r="D337" s="7" t="s">
        <v>247</v>
      </c>
      <c r="E337" s="8" t="s">
        <v>790</v>
      </c>
      <c r="F337" s="8" t="s">
        <v>791</v>
      </c>
    </row>
    <row r="338" spans="1:6" x14ac:dyDescent="0.25">
      <c r="A338" s="4">
        <v>12361267009654</v>
      </c>
      <c r="B338" s="8" t="s">
        <v>494</v>
      </c>
      <c r="C338" s="8" t="s">
        <v>246</v>
      </c>
      <c r="D338" s="7" t="s">
        <v>247</v>
      </c>
      <c r="E338" s="8" t="s">
        <v>790</v>
      </c>
      <c r="F338" s="8" t="s">
        <v>791</v>
      </c>
    </row>
    <row r="339" spans="1:6" x14ac:dyDescent="0.25">
      <c r="A339" s="4">
        <v>12361267010318</v>
      </c>
      <c r="B339" s="8" t="s">
        <v>313</v>
      </c>
      <c r="C339" s="8" t="s">
        <v>278</v>
      </c>
      <c r="D339" s="7" t="s">
        <v>276</v>
      </c>
      <c r="E339" s="8" t="s">
        <v>790</v>
      </c>
      <c r="F339" s="8" t="s">
        <v>791</v>
      </c>
    </row>
    <row r="340" spans="1:6" x14ac:dyDescent="0.25">
      <c r="A340" s="4">
        <v>12361267010407</v>
      </c>
      <c r="B340" s="8" t="s">
        <v>495</v>
      </c>
      <c r="C340" s="8" t="s">
        <v>323</v>
      </c>
      <c r="D340" s="7" t="s">
        <v>276</v>
      </c>
      <c r="E340" s="8" t="s">
        <v>790</v>
      </c>
      <c r="F340" s="8" t="s">
        <v>791</v>
      </c>
    </row>
    <row r="341" spans="1:6" x14ac:dyDescent="0.25">
      <c r="A341" s="4">
        <v>12361267011632</v>
      </c>
      <c r="B341" s="8" t="s">
        <v>496</v>
      </c>
      <c r="C341" s="8" t="s">
        <v>497</v>
      </c>
      <c r="D341" s="7" t="s">
        <v>498</v>
      </c>
      <c r="E341" s="8" t="s">
        <v>790</v>
      </c>
      <c r="F341" s="8" t="s">
        <v>791</v>
      </c>
    </row>
    <row r="342" spans="1:6" x14ac:dyDescent="0.25">
      <c r="A342" s="4">
        <v>12361267011802</v>
      </c>
      <c r="B342" s="8" t="s">
        <v>314</v>
      </c>
      <c r="C342" s="8" t="s">
        <v>281</v>
      </c>
      <c r="D342" s="7" t="s">
        <v>282</v>
      </c>
      <c r="E342" s="8" t="s">
        <v>790</v>
      </c>
      <c r="F342" s="8" t="s">
        <v>791</v>
      </c>
    </row>
    <row r="343" spans="1:6" x14ac:dyDescent="0.25">
      <c r="A343" s="4">
        <v>12361267014739</v>
      </c>
      <c r="B343" s="8" t="s">
        <v>510</v>
      </c>
      <c r="C343" s="8" t="s">
        <v>278</v>
      </c>
      <c r="D343" s="7" t="s">
        <v>276</v>
      </c>
      <c r="E343" s="8" t="s">
        <v>790</v>
      </c>
      <c r="F343" s="8" t="s">
        <v>791</v>
      </c>
    </row>
    <row r="344" spans="1:6" x14ac:dyDescent="0.25">
      <c r="A344" s="4">
        <v>12442737000496</v>
      </c>
      <c r="B344" s="8" t="s">
        <v>437</v>
      </c>
      <c r="C344" s="8" t="s">
        <v>361</v>
      </c>
      <c r="D344" s="7" t="s">
        <v>362</v>
      </c>
      <c r="E344" s="8" t="s">
        <v>790</v>
      </c>
      <c r="F344" s="8" t="s">
        <v>791</v>
      </c>
    </row>
    <row r="345" spans="1:6" x14ac:dyDescent="0.25">
      <c r="A345" s="4">
        <v>12508728000108</v>
      </c>
      <c r="B345" s="8" t="s">
        <v>517</v>
      </c>
      <c r="C345" s="8" t="s">
        <v>331</v>
      </c>
      <c r="D345" s="7" t="s">
        <v>253</v>
      </c>
      <c r="E345" s="8" t="s">
        <v>784</v>
      </c>
      <c r="F345" s="8" t="s">
        <v>785</v>
      </c>
    </row>
    <row r="346" spans="1:6" x14ac:dyDescent="0.25">
      <c r="A346" s="4">
        <v>12568570000161</v>
      </c>
      <c r="B346" s="8" t="s">
        <v>563</v>
      </c>
      <c r="C346" s="8" t="s">
        <v>281</v>
      </c>
      <c r="D346" s="7" t="s">
        <v>282</v>
      </c>
      <c r="E346" s="8" t="s">
        <v>790</v>
      </c>
      <c r="F346" s="8" t="s">
        <v>791</v>
      </c>
    </row>
    <row r="347" spans="1:6" x14ac:dyDescent="0.25">
      <c r="A347" s="4">
        <v>13016092000140</v>
      </c>
      <c r="B347" s="8" t="s">
        <v>315</v>
      </c>
      <c r="C347" s="8" t="s">
        <v>278</v>
      </c>
      <c r="D347" s="7" t="s">
        <v>276</v>
      </c>
      <c r="E347" s="8" t="s">
        <v>790</v>
      </c>
      <c r="F347" s="8" t="s">
        <v>791</v>
      </c>
    </row>
    <row r="348" spans="1:6" x14ac:dyDescent="0.25">
      <c r="A348" s="4">
        <v>13016332000106</v>
      </c>
      <c r="B348" s="8" t="s">
        <v>316</v>
      </c>
      <c r="C348" s="8" t="s">
        <v>317</v>
      </c>
      <c r="D348" s="7" t="s">
        <v>318</v>
      </c>
      <c r="E348" s="8" t="s">
        <v>790</v>
      </c>
      <c r="F348" s="8" t="s">
        <v>791</v>
      </c>
    </row>
    <row r="349" spans="1:6" x14ac:dyDescent="0.25">
      <c r="A349" s="4">
        <v>13086053000119</v>
      </c>
      <c r="B349" s="8" t="s">
        <v>611</v>
      </c>
      <c r="C349" s="8" t="s">
        <v>317</v>
      </c>
      <c r="D349" s="7" t="s">
        <v>318</v>
      </c>
      <c r="E349" s="8" t="s">
        <v>790</v>
      </c>
      <c r="F349" s="8" t="s">
        <v>791</v>
      </c>
    </row>
    <row r="350" spans="1:6" x14ac:dyDescent="0.25">
      <c r="A350" s="4">
        <v>13131370000100</v>
      </c>
      <c r="B350" s="8" t="s">
        <v>319</v>
      </c>
      <c r="C350" s="8" t="s">
        <v>317</v>
      </c>
      <c r="D350" s="7" t="s">
        <v>318</v>
      </c>
      <c r="E350" s="8" t="s">
        <v>790</v>
      </c>
      <c r="F350" s="8" t="s">
        <v>791</v>
      </c>
    </row>
    <row r="351" spans="1:6" x14ac:dyDescent="0.25">
      <c r="A351" s="4">
        <v>13262578000168</v>
      </c>
      <c r="B351" s="8" t="s">
        <v>438</v>
      </c>
      <c r="C351" s="8" t="s">
        <v>246</v>
      </c>
      <c r="D351" s="7" t="s">
        <v>247</v>
      </c>
      <c r="E351" s="8" t="s">
        <v>790</v>
      </c>
      <c r="F351" s="8" t="s">
        <v>791</v>
      </c>
    </row>
    <row r="352" spans="1:6" x14ac:dyDescent="0.25">
      <c r="A352" s="4">
        <v>13284872000170</v>
      </c>
      <c r="B352" s="8" t="s">
        <v>564</v>
      </c>
      <c r="C352" s="8" t="s">
        <v>565</v>
      </c>
      <c r="D352" s="7" t="s">
        <v>276</v>
      </c>
      <c r="E352" s="8" t="s">
        <v>790</v>
      </c>
      <c r="F352" s="8" t="s">
        <v>791</v>
      </c>
    </row>
    <row r="353" spans="1:6" x14ac:dyDescent="0.25">
      <c r="A353" s="4">
        <v>13356779000124</v>
      </c>
      <c r="B353" s="8" t="s">
        <v>320</v>
      </c>
      <c r="C353" s="8" t="s">
        <v>317</v>
      </c>
      <c r="D353" s="7" t="s">
        <v>318</v>
      </c>
      <c r="E353" s="8" t="s">
        <v>790</v>
      </c>
      <c r="F353" s="8" t="s">
        <v>791</v>
      </c>
    </row>
    <row r="354" spans="1:6" x14ac:dyDescent="0.25">
      <c r="A354" s="4">
        <v>13952064000134</v>
      </c>
      <c r="B354" s="8" t="s">
        <v>321</v>
      </c>
      <c r="C354" s="8" t="s">
        <v>278</v>
      </c>
      <c r="D354" s="7" t="s">
        <v>276</v>
      </c>
      <c r="E354" s="8" t="s">
        <v>790</v>
      </c>
      <c r="F354" s="8" t="s">
        <v>791</v>
      </c>
    </row>
    <row r="355" spans="1:6" x14ac:dyDescent="0.25">
      <c r="A355" s="4">
        <v>14074546000100</v>
      </c>
      <c r="B355" s="8" t="s">
        <v>322</v>
      </c>
      <c r="C355" s="8" t="s">
        <v>323</v>
      </c>
      <c r="D355" s="7" t="s">
        <v>276</v>
      </c>
      <c r="E355" s="8" t="s">
        <v>790</v>
      </c>
      <c r="F355" s="8" t="s">
        <v>791</v>
      </c>
    </row>
    <row r="356" spans="1:6" x14ac:dyDescent="0.25">
      <c r="A356" s="4">
        <v>14112023000100</v>
      </c>
      <c r="B356" s="8" t="s">
        <v>612</v>
      </c>
      <c r="C356" s="8" t="s">
        <v>613</v>
      </c>
      <c r="D356" s="7" t="s">
        <v>220</v>
      </c>
      <c r="E356" s="8" t="s">
        <v>790</v>
      </c>
      <c r="F356" s="8" t="s">
        <v>791</v>
      </c>
    </row>
    <row r="357" spans="1:6" x14ac:dyDescent="0.25">
      <c r="A357" s="4">
        <v>14408631000159</v>
      </c>
      <c r="B357" s="8" t="s">
        <v>324</v>
      </c>
      <c r="C357" s="8" t="s">
        <v>325</v>
      </c>
      <c r="D357" s="7" t="s">
        <v>223</v>
      </c>
      <c r="E357" s="8" t="s">
        <v>784</v>
      </c>
      <c r="F357" s="8" t="s">
        <v>785</v>
      </c>
    </row>
    <row r="358" spans="1:6" x14ac:dyDescent="0.25">
      <c r="A358" s="4">
        <v>15016827000160</v>
      </c>
      <c r="B358" s="8" t="s">
        <v>326</v>
      </c>
      <c r="C358" s="8" t="s">
        <v>261</v>
      </c>
      <c r="D358" s="7" t="s">
        <v>262</v>
      </c>
      <c r="E358" s="8" t="s">
        <v>790</v>
      </c>
      <c r="F358" s="8" t="s">
        <v>791</v>
      </c>
    </row>
    <row r="359" spans="1:6" x14ac:dyDescent="0.25">
      <c r="A359" s="4">
        <v>15126437000224</v>
      </c>
      <c r="B359" s="8" t="s">
        <v>327</v>
      </c>
      <c r="C359" s="8" t="s">
        <v>295</v>
      </c>
      <c r="D359" s="7" t="s">
        <v>296</v>
      </c>
      <c r="E359" s="8" t="s">
        <v>790</v>
      </c>
      <c r="F359" s="8" t="s">
        <v>791</v>
      </c>
    </row>
    <row r="360" spans="1:6" x14ac:dyDescent="0.25">
      <c r="A360" s="4">
        <v>15126437000305</v>
      </c>
      <c r="B360" s="8" t="s">
        <v>614</v>
      </c>
      <c r="C360" s="8" t="s">
        <v>225</v>
      </c>
      <c r="D360" s="7" t="s">
        <v>226</v>
      </c>
      <c r="E360" s="8" t="s">
        <v>790</v>
      </c>
      <c r="F360" s="8" t="s">
        <v>791</v>
      </c>
    </row>
    <row r="361" spans="1:6" x14ac:dyDescent="0.25">
      <c r="A361" s="4">
        <v>15126437000496</v>
      </c>
      <c r="B361" s="8" t="s">
        <v>328</v>
      </c>
      <c r="C361" s="8" t="s">
        <v>310</v>
      </c>
      <c r="D361" s="7" t="s">
        <v>268</v>
      </c>
      <c r="E361" s="8" t="s">
        <v>790</v>
      </c>
      <c r="F361" s="8" t="s">
        <v>791</v>
      </c>
    </row>
    <row r="362" spans="1:6" x14ac:dyDescent="0.25">
      <c r="A362" s="4">
        <v>15126437000739</v>
      </c>
      <c r="B362" s="8" t="s">
        <v>329</v>
      </c>
      <c r="C362" s="8" t="s">
        <v>246</v>
      </c>
      <c r="D362" s="7" t="s">
        <v>247</v>
      </c>
      <c r="E362" s="8" t="s">
        <v>790</v>
      </c>
      <c r="F362" s="8" t="s">
        <v>791</v>
      </c>
    </row>
    <row r="363" spans="1:6" x14ac:dyDescent="0.25">
      <c r="A363" s="4">
        <v>15126437001204</v>
      </c>
      <c r="B363" s="8" t="s">
        <v>643</v>
      </c>
      <c r="C363" s="8" t="s">
        <v>261</v>
      </c>
      <c r="D363" s="7" t="s">
        <v>262</v>
      </c>
      <c r="E363" s="8" t="s">
        <v>790</v>
      </c>
      <c r="F363" s="8" t="s">
        <v>791</v>
      </c>
    </row>
    <row r="364" spans="1:6" x14ac:dyDescent="0.25">
      <c r="A364" s="4">
        <v>15126437001468</v>
      </c>
      <c r="B364" s="8" t="s">
        <v>439</v>
      </c>
      <c r="C364" s="8" t="s">
        <v>281</v>
      </c>
      <c r="D364" s="7" t="s">
        <v>282</v>
      </c>
      <c r="E364" s="8" t="s">
        <v>790</v>
      </c>
      <c r="F364" s="8" t="s">
        <v>791</v>
      </c>
    </row>
    <row r="365" spans="1:6" x14ac:dyDescent="0.25">
      <c r="A365" s="4">
        <v>15126437001972</v>
      </c>
      <c r="B365" s="8" t="s">
        <v>330</v>
      </c>
      <c r="C365" s="8" t="s">
        <v>331</v>
      </c>
      <c r="D365" s="7" t="s">
        <v>253</v>
      </c>
      <c r="E365" s="8" t="s">
        <v>784</v>
      </c>
      <c r="F365" s="8" t="s">
        <v>785</v>
      </c>
    </row>
    <row r="366" spans="1:6" x14ac:dyDescent="0.25">
      <c r="A366" s="4">
        <v>15140254000182</v>
      </c>
      <c r="B366" s="8" t="s">
        <v>440</v>
      </c>
      <c r="C366" s="8" t="s">
        <v>278</v>
      </c>
      <c r="D366" s="7" t="s">
        <v>276</v>
      </c>
      <c r="E366" s="8" t="s">
        <v>790</v>
      </c>
      <c r="F366" s="8" t="s">
        <v>791</v>
      </c>
    </row>
    <row r="367" spans="1:6" x14ac:dyDescent="0.25">
      <c r="A367" s="4">
        <v>15153745000249</v>
      </c>
      <c r="B367" s="8" t="s">
        <v>332</v>
      </c>
      <c r="C367" s="8" t="s">
        <v>278</v>
      </c>
      <c r="D367" s="7" t="s">
        <v>276</v>
      </c>
      <c r="E367" s="8" t="s">
        <v>790</v>
      </c>
      <c r="F367" s="8" t="s">
        <v>791</v>
      </c>
    </row>
    <row r="368" spans="1:6" x14ac:dyDescent="0.25">
      <c r="A368" s="4">
        <v>15153745002705</v>
      </c>
      <c r="B368" s="8" t="s">
        <v>333</v>
      </c>
      <c r="C368" s="8" t="s">
        <v>278</v>
      </c>
      <c r="D368" s="7" t="s">
        <v>276</v>
      </c>
      <c r="E368" s="8" t="s">
        <v>790</v>
      </c>
      <c r="F368" s="8" t="s">
        <v>791</v>
      </c>
    </row>
    <row r="369" spans="1:6" x14ac:dyDescent="0.25">
      <c r="A369" s="4">
        <v>15166416000151</v>
      </c>
      <c r="B369" s="8" t="s">
        <v>334</v>
      </c>
      <c r="C369" s="8" t="s">
        <v>278</v>
      </c>
      <c r="D369" s="7" t="s">
        <v>276</v>
      </c>
      <c r="E369" s="8" t="s">
        <v>790</v>
      </c>
      <c r="F369" s="8" t="s">
        <v>791</v>
      </c>
    </row>
    <row r="370" spans="1:6" x14ac:dyDescent="0.25">
      <c r="A370" s="4">
        <v>15170723000106</v>
      </c>
      <c r="B370" s="8" t="s">
        <v>335</v>
      </c>
      <c r="C370" s="8" t="s">
        <v>278</v>
      </c>
      <c r="D370" s="7" t="s">
        <v>276</v>
      </c>
      <c r="E370" s="8" t="s">
        <v>790</v>
      </c>
      <c r="F370" s="8" t="s">
        <v>791</v>
      </c>
    </row>
    <row r="371" spans="1:6" x14ac:dyDescent="0.25">
      <c r="A371" s="4">
        <v>15170723000530</v>
      </c>
      <c r="B371" s="8" t="s">
        <v>336</v>
      </c>
      <c r="C371" s="8" t="s">
        <v>323</v>
      </c>
      <c r="D371" s="7" t="s">
        <v>276</v>
      </c>
      <c r="E371" s="8" t="s">
        <v>790</v>
      </c>
      <c r="F371" s="8" t="s">
        <v>791</v>
      </c>
    </row>
    <row r="372" spans="1:6" x14ac:dyDescent="0.25">
      <c r="A372" s="4">
        <v>15180714000368</v>
      </c>
      <c r="B372" s="8" t="s">
        <v>337</v>
      </c>
      <c r="C372" s="8" t="s">
        <v>278</v>
      </c>
      <c r="D372" s="7" t="s">
        <v>276</v>
      </c>
      <c r="E372" s="8" t="s">
        <v>790</v>
      </c>
      <c r="F372" s="8" t="s">
        <v>791</v>
      </c>
    </row>
    <row r="373" spans="1:6" x14ac:dyDescent="0.25">
      <c r="A373" s="4">
        <v>15180714000520</v>
      </c>
      <c r="B373" s="8" t="s">
        <v>338</v>
      </c>
      <c r="C373" s="8" t="s">
        <v>278</v>
      </c>
      <c r="D373" s="7" t="s">
        <v>276</v>
      </c>
      <c r="E373" s="8" t="s">
        <v>790</v>
      </c>
      <c r="F373" s="8" t="s">
        <v>791</v>
      </c>
    </row>
    <row r="374" spans="1:6" x14ac:dyDescent="0.25">
      <c r="A374" s="4">
        <v>15194004000125</v>
      </c>
      <c r="B374" s="8" t="s">
        <v>339</v>
      </c>
      <c r="C374" s="8" t="s">
        <v>278</v>
      </c>
      <c r="D374" s="7" t="s">
        <v>276</v>
      </c>
      <c r="E374" s="8" t="s">
        <v>790</v>
      </c>
      <c r="F374" s="8" t="s">
        <v>791</v>
      </c>
    </row>
    <row r="375" spans="1:6" x14ac:dyDescent="0.25">
      <c r="A375" s="4">
        <v>15242761000127</v>
      </c>
      <c r="B375" s="8" t="s">
        <v>340</v>
      </c>
      <c r="C375" s="8" t="s">
        <v>278</v>
      </c>
      <c r="D375" s="7" t="s">
        <v>276</v>
      </c>
      <c r="E375" s="8" t="s">
        <v>790</v>
      </c>
      <c r="F375" s="8" t="s">
        <v>791</v>
      </c>
    </row>
    <row r="376" spans="1:6" x14ac:dyDescent="0.25">
      <c r="A376" s="4">
        <v>15592785000106</v>
      </c>
      <c r="B376" s="8" t="s">
        <v>566</v>
      </c>
      <c r="C376" s="8" t="s">
        <v>317</v>
      </c>
      <c r="D376" s="7" t="s">
        <v>318</v>
      </c>
      <c r="E376" s="8" t="s">
        <v>790</v>
      </c>
      <c r="F376" s="8" t="s">
        <v>791</v>
      </c>
    </row>
    <row r="377" spans="1:6" x14ac:dyDescent="0.25">
      <c r="A377" s="4">
        <v>16064313000577</v>
      </c>
      <c r="B377" s="8" t="s">
        <v>441</v>
      </c>
      <c r="C377" s="8" t="s">
        <v>317</v>
      </c>
      <c r="D377" s="7" t="s">
        <v>318</v>
      </c>
      <c r="E377" s="8" t="s">
        <v>790</v>
      </c>
      <c r="F377" s="8" t="s">
        <v>791</v>
      </c>
    </row>
    <row r="378" spans="1:6" x14ac:dyDescent="0.25">
      <c r="A378" s="4">
        <v>16475154000250</v>
      </c>
      <c r="B378" s="8" t="s">
        <v>442</v>
      </c>
      <c r="C378" s="8" t="s">
        <v>278</v>
      </c>
      <c r="D378" s="7" t="s">
        <v>276</v>
      </c>
      <c r="E378" s="8" t="s">
        <v>790</v>
      </c>
      <c r="F378" s="8" t="s">
        <v>791</v>
      </c>
    </row>
    <row r="379" spans="1:6" x14ac:dyDescent="0.25">
      <c r="A379" s="4">
        <v>16676520000159</v>
      </c>
      <c r="B379" s="8" t="s">
        <v>341</v>
      </c>
      <c r="C379" s="8" t="s">
        <v>235</v>
      </c>
      <c r="D379" s="7" t="s">
        <v>223</v>
      </c>
      <c r="E379" s="8" t="s">
        <v>784</v>
      </c>
      <c r="F379" s="8" t="s">
        <v>785</v>
      </c>
    </row>
    <row r="380" spans="1:6" x14ac:dyDescent="0.25">
      <c r="A380" s="4">
        <v>16739984000167</v>
      </c>
      <c r="B380" s="8" t="s">
        <v>342</v>
      </c>
      <c r="C380" s="8" t="s">
        <v>225</v>
      </c>
      <c r="D380" s="7" t="s">
        <v>226</v>
      </c>
      <c r="E380" s="8" t="s">
        <v>790</v>
      </c>
      <c r="F380" s="8" t="s">
        <v>791</v>
      </c>
    </row>
    <row r="381" spans="1:6" x14ac:dyDescent="0.25">
      <c r="A381" s="4">
        <v>17034086000176</v>
      </c>
      <c r="B381" s="8" t="s">
        <v>343</v>
      </c>
      <c r="C381" s="8" t="s">
        <v>344</v>
      </c>
      <c r="D381" s="7" t="s">
        <v>259</v>
      </c>
      <c r="E381" s="8" t="s">
        <v>784</v>
      </c>
      <c r="F381" s="8" t="s">
        <v>785</v>
      </c>
    </row>
    <row r="382" spans="1:6" x14ac:dyDescent="0.25">
      <c r="A382" s="4">
        <v>17087591000189</v>
      </c>
      <c r="B382" s="8" t="s">
        <v>345</v>
      </c>
      <c r="C382" s="8" t="s">
        <v>346</v>
      </c>
      <c r="D382" s="7" t="s">
        <v>223</v>
      </c>
      <c r="E382" s="8" t="s">
        <v>784</v>
      </c>
      <c r="F382" s="8" t="s">
        <v>785</v>
      </c>
    </row>
    <row r="383" spans="1:6" x14ac:dyDescent="0.25">
      <c r="A383" s="4">
        <v>17214149000176</v>
      </c>
      <c r="B383" s="8" t="s">
        <v>347</v>
      </c>
      <c r="C383" s="8" t="s">
        <v>235</v>
      </c>
      <c r="D383" s="7" t="s">
        <v>223</v>
      </c>
      <c r="E383" s="8" t="s">
        <v>784</v>
      </c>
      <c r="F383" s="8" t="s">
        <v>785</v>
      </c>
    </row>
    <row r="384" spans="1:6" x14ac:dyDescent="0.25">
      <c r="A384" s="4">
        <v>17689407000928</v>
      </c>
      <c r="B384" s="8" t="s">
        <v>348</v>
      </c>
      <c r="C384" s="8" t="s">
        <v>349</v>
      </c>
      <c r="D384" s="7" t="s">
        <v>223</v>
      </c>
      <c r="E384" s="8" t="s">
        <v>784</v>
      </c>
      <c r="F384" s="8" t="s">
        <v>785</v>
      </c>
    </row>
    <row r="385" spans="1:6" x14ac:dyDescent="0.25">
      <c r="A385" s="4">
        <v>17774738000613</v>
      </c>
      <c r="B385" s="8" t="s">
        <v>615</v>
      </c>
      <c r="C385" s="8" t="s">
        <v>616</v>
      </c>
      <c r="D385" s="7" t="s">
        <v>223</v>
      </c>
      <c r="E385" s="8" t="s">
        <v>784</v>
      </c>
      <c r="F385" s="8" t="s">
        <v>785</v>
      </c>
    </row>
    <row r="386" spans="1:6" x14ac:dyDescent="0.25">
      <c r="A386" s="4">
        <v>18010750000100</v>
      </c>
      <c r="B386" s="8" t="s">
        <v>671</v>
      </c>
      <c r="C386" s="8" t="s">
        <v>652</v>
      </c>
      <c r="D386" s="7" t="s">
        <v>241</v>
      </c>
      <c r="E386" s="8" t="s">
        <v>784</v>
      </c>
      <c r="F386" s="8" t="s">
        <v>785</v>
      </c>
    </row>
    <row r="387" spans="1:6" x14ac:dyDescent="0.25">
      <c r="A387" s="4">
        <v>18484378000173</v>
      </c>
      <c r="B387" s="8" t="s">
        <v>350</v>
      </c>
      <c r="C387" s="8" t="s">
        <v>346</v>
      </c>
      <c r="D387" s="7" t="s">
        <v>223</v>
      </c>
      <c r="E387" s="8" t="s">
        <v>784</v>
      </c>
      <c r="F387" s="8" t="s">
        <v>785</v>
      </c>
    </row>
    <row r="388" spans="1:6" x14ac:dyDescent="0.25">
      <c r="A388" s="4">
        <v>18836965000184</v>
      </c>
      <c r="B388" s="8" t="s">
        <v>499</v>
      </c>
      <c r="C388" s="8" t="s">
        <v>500</v>
      </c>
      <c r="D388" s="7" t="s">
        <v>223</v>
      </c>
      <c r="E388" s="8" t="s">
        <v>784</v>
      </c>
      <c r="F388" s="8" t="s">
        <v>785</v>
      </c>
    </row>
    <row r="389" spans="1:6" x14ac:dyDescent="0.25">
      <c r="A389" s="4">
        <v>19274091000181</v>
      </c>
      <c r="B389" s="8" t="s">
        <v>617</v>
      </c>
      <c r="C389" s="8" t="s">
        <v>618</v>
      </c>
      <c r="D389" s="7" t="s">
        <v>223</v>
      </c>
      <c r="E389" s="8" t="s">
        <v>784</v>
      </c>
      <c r="F389" s="8" t="s">
        <v>785</v>
      </c>
    </row>
    <row r="390" spans="1:6" x14ac:dyDescent="0.25">
      <c r="A390" s="4">
        <v>19878404000100</v>
      </c>
      <c r="B390" s="8" t="s">
        <v>351</v>
      </c>
      <c r="C390" s="8" t="s">
        <v>352</v>
      </c>
      <c r="D390" s="7" t="s">
        <v>223</v>
      </c>
      <c r="E390" s="8" t="s">
        <v>784</v>
      </c>
      <c r="F390" s="8" t="s">
        <v>785</v>
      </c>
    </row>
    <row r="391" spans="1:6" x14ac:dyDescent="0.25">
      <c r="A391" s="4">
        <v>20150900000122</v>
      </c>
      <c r="B391" s="8" t="s">
        <v>353</v>
      </c>
      <c r="C391" s="8" t="s">
        <v>346</v>
      </c>
      <c r="D391" s="7" t="s">
        <v>223</v>
      </c>
      <c r="E391" s="8" t="s">
        <v>784</v>
      </c>
      <c r="F391" s="8" t="s">
        <v>785</v>
      </c>
    </row>
    <row r="392" spans="1:6" x14ac:dyDescent="0.25">
      <c r="A392" s="4">
        <v>20207543000191</v>
      </c>
      <c r="B392" s="8" t="s">
        <v>567</v>
      </c>
      <c r="C392" s="8" t="s">
        <v>346</v>
      </c>
      <c r="D392" s="7" t="s">
        <v>223</v>
      </c>
      <c r="E392" s="8" t="s">
        <v>784</v>
      </c>
      <c r="F392" s="8" t="s">
        <v>785</v>
      </c>
    </row>
    <row r="393" spans="1:6" x14ac:dyDescent="0.25">
      <c r="A393" s="4">
        <v>20909271000171</v>
      </c>
      <c r="B393" s="8" t="s">
        <v>443</v>
      </c>
      <c r="C393" s="8" t="s">
        <v>444</v>
      </c>
      <c r="D393" s="7" t="s">
        <v>223</v>
      </c>
      <c r="E393" s="8" t="s">
        <v>784</v>
      </c>
      <c r="F393" s="8" t="s">
        <v>785</v>
      </c>
    </row>
    <row r="394" spans="1:6" x14ac:dyDescent="0.25">
      <c r="A394" s="4">
        <v>21040696000311</v>
      </c>
      <c r="B394" s="8" t="s">
        <v>354</v>
      </c>
      <c r="C394" s="8" t="s">
        <v>355</v>
      </c>
      <c r="D394" s="7" t="s">
        <v>223</v>
      </c>
      <c r="E394" s="8" t="s">
        <v>784</v>
      </c>
      <c r="F394" s="8" t="s">
        <v>785</v>
      </c>
    </row>
    <row r="395" spans="1:6" x14ac:dyDescent="0.25">
      <c r="A395" s="4">
        <v>21109731000140</v>
      </c>
      <c r="B395" s="8" t="s">
        <v>672</v>
      </c>
      <c r="C395" s="8" t="s">
        <v>652</v>
      </c>
      <c r="D395" s="7" t="s">
        <v>241</v>
      </c>
      <c r="E395" s="8" t="s">
        <v>784</v>
      </c>
      <c r="F395" s="8" t="s">
        <v>785</v>
      </c>
    </row>
    <row r="396" spans="1:6" x14ac:dyDescent="0.25">
      <c r="A396" s="4">
        <v>21155621000114</v>
      </c>
      <c r="B396" s="8" t="s">
        <v>619</v>
      </c>
      <c r="C396" s="8" t="s">
        <v>237</v>
      </c>
      <c r="D396" s="7" t="s">
        <v>238</v>
      </c>
      <c r="E396" s="8" t="s">
        <v>790</v>
      </c>
      <c r="F396" s="8" t="s">
        <v>791</v>
      </c>
    </row>
    <row r="397" spans="1:6" x14ac:dyDescent="0.25">
      <c r="A397" s="4">
        <v>21265360000195</v>
      </c>
      <c r="B397" s="8" t="s">
        <v>673</v>
      </c>
      <c r="C397" s="8" t="s">
        <v>652</v>
      </c>
      <c r="D397" s="7" t="s">
        <v>241</v>
      </c>
      <c r="E397" s="8" t="s">
        <v>784</v>
      </c>
      <c r="F397" s="8" t="s">
        <v>785</v>
      </c>
    </row>
    <row r="398" spans="1:6" x14ac:dyDescent="0.25">
      <c r="A398" s="4">
        <v>21299615000130</v>
      </c>
      <c r="B398" s="8" t="s">
        <v>445</v>
      </c>
      <c r="C398" s="8" t="s">
        <v>446</v>
      </c>
      <c r="D398" s="7" t="s">
        <v>223</v>
      </c>
      <c r="E398" s="8" t="s">
        <v>784</v>
      </c>
      <c r="F398" s="8" t="s">
        <v>785</v>
      </c>
    </row>
    <row r="399" spans="1:6" x14ac:dyDescent="0.25">
      <c r="A399" s="4">
        <v>21998635000108</v>
      </c>
      <c r="B399" s="8" t="s">
        <v>568</v>
      </c>
      <c r="C399" s="8" t="s">
        <v>508</v>
      </c>
      <c r="D399" s="7" t="s">
        <v>233</v>
      </c>
      <c r="E399" s="8" t="s">
        <v>784</v>
      </c>
      <c r="F399" s="8" t="s">
        <v>785</v>
      </c>
    </row>
    <row r="400" spans="1:6" x14ac:dyDescent="0.25">
      <c r="A400" s="4">
        <v>22400856000197</v>
      </c>
      <c r="B400" s="8" t="s">
        <v>699</v>
      </c>
      <c r="C400" s="8" t="s">
        <v>652</v>
      </c>
      <c r="D400" s="7" t="s">
        <v>241</v>
      </c>
      <c r="E400" s="8" t="s">
        <v>784</v>
      </c>
      <c r="F400" s="8" t="s">
        <v>785</v>
      </c>
    </row>
    <row r="401" spans="1:6" x14ac:dyDescent="0.25">
      <c r="A401" s="4">
        <v>23278898000160</v>
      </c>
      <c r="B401" s="8" t="s">
        <v>569</v>
      </c>
      <c r="C401" s="8" t="s">
        <v>570</v>
      </c>
      <c r="D401" s="7" t="s">
        <v>223</v>
      </c>
      <c r="E401" s="8" t="s">
        <v>784</v>
      </c>
      <c r="F401" s="8" t="s">
        <v>785</v>
      </c>
    </row>
    <row r="402" spans="1:6" x14ac:dyDescent="0.25">
      <c r="A402" s="4">
        <v>23338387000196</v>
      </c>
      <c r="B402" s="8" t="s">
        <v>356</v>
      </c>
      <c r="C402" s="8" t="s">
        <v>357</v>
      </c>
      <c r="D402" s="7" t="s">
        <v>223</v>
      </c>
      <c r="E402" s="8" t="s">
        <v>784</v>
      </c>
      <c r="F402" s="8" t="s">
        <v>785</v>
      </c>
    </row>
    <row r="403" spans="1:6" x14ac:dyDescent="0.25">
      <c r="A403" s="4">
        <v>23406564000124</v>
      </c>
      <c r="B403" s="8" t="s">
        <v>447</v>
      </c>
      <c r="C403" s="8" t="s">
        <v>448</v>
      </c>
      <c r="D403" s="7" t="s">
        <v>223</v>
      </c>
      <c r="E403" s="8" t="s">
        <v>784</v>
      </c>
      <c r="F403" s="8" t="s">
        <v>785</v>
      </c>
    </row>
    <row r="404" spans="1:6" x14ac:dyDescent="0.25">
      <c r="A404" s="4">
        <v>24217779000160</v>
      </c>
      <c r="B404" s="8" t="s">
        <v>674</v>
      </c>
      <c r="C404" s="8" t="s">
        <v>652</v>
      </c>
      <c r="D404" s="7" t="s">
        <v>241</v>
      </c>
      <c r="E404" s="8" t="s">
        <v>784</v>
      </c>
      <c r="F404" s="8" t="s">
        <v>785</v>
      </c>
    </row>
    <row r="405" spans="1:6" x14ac:dyDescent="0.25">
      <c r="A405" s="4">
        <v>24232886008303</v>
      </c>
      <c r="B405" s="8" t="s">
        <v>358</v>
      </c>
      <c r="C405" s="8" t="s">
        <v>359</v>
      </c>
      <c r="D405" s="7" t="s">
        <v>220</v>
      </c>
      <c r="E405" s="8" t="s">
        <v>790</v>
      </c>
      <c r="F405" s="8" t="s">
        <v>791</v>
      </c>
    </row>
    <row r="406" spans="1:6" x14ac:dyDescent="0.25">
      <c r="A406" s="4">
        <v>24464109000229</v>
      </c>
      <c r="B406" s="8" t="s">
        <v>360</v>
      </c>
      <c r="C406" s="8" t="s">
        <v>361</v>
      </c>
      <c r="D406" s="7" t="s">
        <v>362</v>
      </c>
      <c r="E406" s="8" t="s">
        <v>790</v>
      </c>
      <c r="F406" s="8" t="s">
        <v>791</v>
      </c>
    </row>
    <row r="407" spans="1:6" x14ac:dyDescent="0.25">
      <c r="A407" s="4">
        <v>24676884000752</v>
      </c>
      <c r="B407" s="8" t="s">
        <v>571</v>
      </c>
      <c r="C407" s="8" t="s">
        <v>572</v>
      </c>
      <c r="D407" s="7" t="s">
        <v>262</v>
      </c>
      <c r="E407" s="8" t="s">
        <v>790</v>
      </c>
      <c r="F407" s="8" t="s">
        <v>791</v>
      </c>
    </row>
    <row r="408" spans="1:6" x14ac:dyDescent="0.25">
      <c r="A408" s="4">
        <v>25308058000128</v>
      </c>
      <c r="B408" s="8" t="s">
        <v>501</v>
      </c>
      <c r="C408" s="8" t="s">
        <v>502</v>
      </c>
      <c r="D408" s="7" t="s">
        <v>241</v>
      </c>
      <c r="E408" s="8" t="s">
        <v>784</v>
      </c>
      <c r="F408" s="8" t="s">
        <v>785</v>
      </c>
    </row>
    <row r="409" spans="1:6" x14ac:dyDescent="0.25">
      <c r="A409" s="4">
        <v>25648387000207</v>
      </c>
      <c r="B409" s="8" t="s">
        <v>573</v>
      </c>
      <c r="C409" s="8" t="s">
        <v>346</v>
      </c>
      <c r="D409" s="7" t="s">
        <v>223</v>
      </c>
      <c r="E409" s="8" t="s">
        <v>784</v>
      </c>
      <c r="F409" s="8" t="s">
        <v>785</v>
      </c>
    </row>
    <row r="410" spans="1:6" x14ac:dyDescent="0.25">
      <c r="A410" s="4">
        <v>25761040000187</v>
      </c>
      <c r="B410" s="8" t="s">
        <v>449</v>
      </c>
      <c r="C410" s="8" t="s">
        <v>346</v>
      </c>
      <c r="D410" s="7" t="s">
        <v>223</v>
      </c>
      <c r="E410" s="8" t="s">
        <v>784</v>
      </c>
      <c r="F410" s="8" t="s">
        <v>785</v>
      </c>
    </row>
    <row r="411" spans="1:6" x14ac:dyDescent="0.25">
      <c r="A411" s="4">
        <v>25910449000460</v>
      </c>
      <c r="B411" s="8" t="s">
        <v>644</v>
      </c>
      <c r="C411" s="8" t="s">
        <v>645</v>
      </c>
      <c r="D411" s="7" t="s">
        <v>223</v>
      </c>
      <c r="E411" s="8" t="s">
        <v>784</v>
      </c>
      <c r="F411" s="8" t="s">
        <v>785</v>
      </c>
    </row>
    <row r="412" spans="1:6" x14ac:dyDescent="0.25">
      <c r="A412" s="4">
        <v>26947257000149</v>
      </c>
      <c r="B412" s="8" t="s">
        <v>363</v>
      </c>
      <c r="C412" s="8" t="s">
        <v>305</v>
      </c>
      <c r="D412" s="7" t="s">
        <v>253</v>
      </c>
      <c r="E412" s="8" t="s">
        <v>784</v>
      </c>
      <c r="F412" s="8" t="s">
        <v>785</v>
      </c>
    </row>
    <row r="413" spans="1:6" x14ac:dyDescent="0.25">
      <c r="A413" s="4">
        <v>27080605000358</v>
      </c>
      <c r="B413" s="8" t="s">
        <v>620</v>
      </c>
      <c r="C413" s="8" t="s">
        <v>621</v>
      </c>
      <c r="D413" s="7" t="s">
        <v>418</v>
      </c>
      <c r="E413" s="8" t="s">
        <v>784</v>
      </c>
      <c r="F413" s="8" t="s">
        <v>785</v>
      </c>
    </row>
    <row r="414" spans="1:6" x14ac:dyDescent="0.25">
      <c r="A414" s="4">
        <v>27080605001591</v>
      </c>
      <c r="B414" s="8" t="s">
        <v>574</v>
      </c>
      <c r="C414" s="8" t="s">
        <v>417</v>
      </c>
      <c r="D414" s="7" t="s">
        <v>418</v>
      </c>
      <c r="E414" s="8" t="s">
        <v>784</v>
      </c>
      <c r="F414" s="8" t="s">
        <v>785</v>
      </c>
    </row>
    <row r="415" spans="1:6" x14ac:dyDescent="0.25">
      <c r="A415" s="4">
        <v>27372066000169</v>
      </c>
      <c r="B415" s="8" t="s">
        <v>364</v>
      </c>
      <c r="C415" s="8" t="s">
        <v>278</v>
      </c>
      <c r="D415" s="7" t="s">
        <v>276</v>
      </c>
      <c r="E415" s="8" t="s">
        <v>790</v>
      </c>
      <c r="F415" s="8" t="s">
        <v>791</v>
      </c>
    </row>
    <row r="416" spans="1:6" x14ac:dyDescent="0.25">
      <c r="A416" s="4">
        <v>27578434001525</v>
      </c>
      <c r="B416" s="8" t="s">
        <v>450</v>
      </c>
      <c r="C416" s="8" t="s">
        <v>451</v>
      </c>
      <c r="D416" s="7" t="s">
        <v>418</v>
      </c>
      <c r="E416" s="8" t="s">
        <v>784</v>
      </c>
      <c r="F416" s="8" t="s">
        <v>785</v>
      </c>
    </row>
    <row r="417" spans="1:6" x14ac:dyDescent="0.25">
      <c r="A417" s="4">
        <v>27901222000131</v>
      </c>
      <c r="B417" s="8" t="s">
        <v>675</v>
      </c>
      <c r="C417" s="8" t="s">
        <v>652</v>
      </c>
      <c r="D417" s="7" t="s">
        <v>241</v>
      </c>
      <c r="E417" s="8" t="s">
        <v>784</v>
      </c>
      <c r="F417" s="8" t="s">
        <v>785</v>
      </c>
    </row>
    <row r="418" spans="1:6" x14ac:dyDescent="0.25">
      <c r="A418" s="4">
        <v>28000107000159</v>
      </c>
      <c r="B418" s="8" t="s">
        <v>676</v>
      </c>
      <c r="C418" s="8" t="s">
        <v>652</v>
      </c>
      <c r="D418" s="7" t="s">
        <v>241</v>
      </c>
      <c r="E418" s="8" t="s">
        <v>784</v>
      </c>
      <c r="F418" s="8" t="s">
        <v>785</v>
      </c>
    </row>
    <row r="419" spans="1:6" x14ac:dyDescent="0.25">
      <c r="A419" s="4">
        <v>28137925000106</v>
      </c>
      <c r="B419" s="8" t="s">
        <v>575</v>
      </c>
      <c r="C419" s="8" t="s">
        <v>451</v>
      </c>
      <c r="D419" s="7" t="s">
        <v>418</v>
      </c>
      <c r="E419" s="8" t="s">
        <v>784</v>
      </c>
      <c r="F419" s="8" t="s">
        <v>785</v>
      </c>
    </row>
    <row r="420" spans="1:6" x14ac:dyDescent="0.25">
      <c r="A420" s="4">
        <v>28481233000172</v>
      </c>
      <c r="B420" s="8" t="s">
        <v>365</v>
      </c>
      <c r="C420" s="8" t="s">
        <v>225</v>
      </c>
      <c r="D420" s="7" t="s">
        <v>226</v>
      </c>
      <c r="E420" s="8" t="s">
        <v>790</v>
      </c>
      <c r="F420" s="8" t="s">
        <v>791</v>
      </c>
    </row>
    <row r="421" spans="1:6" x14ac:dyDescent="0.25">
      <c r="A421" s="4">
        <v>28523215000378</v>
      </c>
      <c r="B421" s="8" t="s">
        <v>646</v>
      </c>
      <c r="C421" s="8" t="s">
        <v>240</v>
      </c>
      <c r="D421" s="7" t="s">
        <v>241</v>
      </c>
      <c r="E421" s="8" t="s">
        <v>784</v>
      </c>
      <c r="F421" s="8" t="s">
        <v>785</v>
      </c>
    </row>
    <row r="422" spans="1:6" x14ac:dyDescent="0.25">
      <c r="A422" s="4">
        <v>28602407000108</v>
      </c>
      <c r="B422" s="8" t="s">
        <v>677</v>
      </c>
      <c r="C422" s="8" t="s">
        <v>652</v>
      </c>
      <c r="D422" s="7" t="s">
        <v>241</v>
      </c>
      <c r="E422" s="8" t="s">
        <v>784</v>
      </c>
      <c r="F422" s="8" t="s">
        <v>785</v>
      </c>
    </row>
    <row r="423" spans="1:6" x14ac:dyDescent="0.25">
      <c r="A423" s="4">
        <v>28806545000532</v>
      </c>
      <c r="B423" s="8" t="s">
        <v>366</v>
      </c>
      <c r="C423" s="8" t="s">
        <v>367</v>
      </c>
      <c r="D423" s="7" t="s">
        <v>241</v>
      </c>
      <c r="E423" s="8" t="s">
        <v>784</v>
      </c>
      <c r="F423" s="8" t="s">
        <v>785</v>
      </c>
    </row>
    <row r="424" spans="1:6" x14ac:dyDescent="0.25">
      <c r="A424" s="4">
        <v>29072642000188</v>
      </c>
      <c r="B424" s="8" t="s">
        <v>368</v>
      </c>
      <c r="C424" s="8" t="s">
        <v>369</v>
      </c>
      <c r="D424" s="7" t="s">
        <v>241</v>
      </c>
      <c r="E424" s="8" t="s">
        <v>784</v>
      </c>
      <c r="F424" s="8" t="s">
        <v>785</v>
      </c>
    </row>
    <row r="425" spans="1:6" x14ac:dyDescent="0.25">
      <c r="A425" s="4">
        <v>29135795000208</v>
      </c>
      <c r="B425" s="8" t="s">
        <v>576</v>
      </c>
      <c r="C425" s="8" t="s">
        <v>577</v>
      </c>
      <c r="D425" s="7" t="s">
        <v>241</v>
      </c>
      <c r="E425" s="8" t="s">
        <v>784</v>
      </c>
      <c r="F425" s="8" t="s">
        <v>785</v>
      </c>
    </row>
    <row r="426" spans="1:6" x14ac:dyDescent="0.25">
      <c r="A426" s="4">
        <v>29259736000403</v>
      </c>
      <c r="B426" s="8" t="s">
        <v>678</v>
      </c>
      <c r="C426" s="8" t="s">
        <v>652</v>
      </c>
      <c r="D426" s="7" t="s">
        <v>241</v>
      </c>
      <c r="E426" s="8" t="s">
        <v>784</v>
      </c>
      <c r="F426" s="8" t="s">
        <v>785</v>
      </c>
    </row>
    <row r="427" spans="1:6" x14ac:dyDescent="0.25">
      <c r="A427" s="4">
        <v>29435005003497</v>
      </c>
      <c r="B427" s="8" t="s">
        <v>622</v>
      </c>
      <c r="C427" s="8" t="s">
        <v>286</v>
      </c>
      <c r="D427" s="7" t="s">
        <v>241</v>
      </c>
      <c r="E427" s="8" t="s">
        <v>784</v>
      </c>
      <c r="F427" s="8" t="s">
        <v>785</v>
      </c>
    </row>
    <row r="428" spans="1:6" x14ac:dyDescent="0.25">
      <c r="A428" s="4">
        <v>29435005004620</v>
      </c>
      <c r="B428" s="8" t="s">
        <v>370</v>
      </c>
      <c r="C428" s="8" t="s">
        <v>225</v>
      </c>
      <c r="D428" s="7" t="s">
        <v>226</v>
      </c>
      <c r="E428" s="8" t="s">
        <v>790</v>
      </c>
      <c r="F428" s="8" t="s">
        <v>791</v>
      </c>
    </row>
    <row r="429" spans="1:6" x14ac:dyDescent="0.25">
      <c r="A429" s="4">
        <v>29435005005198</v>
      </c>
      <c r="B429" s="8" t="s">
        <v>679</v>
      </c>
      <c r="C429" s="8" t="s">
        <v>652</v>
      </c>
      <c r="D429" s="7" t="s">
        <v>241</v>
      </c>
      <c r="E429" s="8" t="s">
        <v>784</v>
      </c>
      <c r="F429" s="8" t="s">
        <v>785</v>
      </c>
    </row>
    <row r="430" spans="1:6" x14ac:dyDescent="0.25">
      <c r="A430" s="4">
        <v>29435005005279</v>
      </c>
      <c r="B430" s="8" t="s">
        <v>700</v>
      </c>
      <c r="C430" s="8" t="s">
        <v>652</v>
      </c>
      <c r="D430" s="7" t="s">
        <v>241</v>
      </c>
      <c r="E430" s="8" t="s">
        <v>784</v>
      </c>
      <c r="F430" s="8" t="s">
        <v>785</v>
      </c>
    </row>
    <row r="431" spans="1:6" x14ac:dyDescent="0.25">
      <c r="A431" s="4">
        <v>29435005005600</v>
      </c>
      <c r="B431" s="8" t="s">
        <v>518</v>
      </c>
      <c r="C431" s="8" t="s">
        <v>385</v>
      </c>
      <c r="D431" s="7" t="s">
        <v>233</v>
      </c>
      <c r="E431" s="8" t="s">
        <v>784</v>
      </c>
      <c r="F431" s="8" t="s">
        <v>785</v>
      </c>
    </row>
    <row r="432" spans="1:6" x14ac:dyDescent="0.25">
      <c r="A432" s="4">
        <v>29435005005783</v>
      </c>
      <c r="B432" s="8" t="s">
        <v>680</v>
      </c>
      <c r="C432" s="8" t="s">
        <v>652</v>
      </c>
      <c r="D432" s="7" t="s">
        <v>241</v>
      </c>
      <c r="E432" s="8" t="s">
        <v>784</v>
      </c>
      <c r="F432" s="8" t="s">
        <v>785</v>
      </c>
    </row>
    <row r="433" spans="1:6" x14ac:dyDescent="0.25">
      <c r="A433" s="4">
        <v>29435005006160</v>
      </c>
      <c r="B433" s="8" t="s">
        <v>681</v>
      </c>
      <c r="C433" s="8" t="s">
        <v>652</v>
      </c>
      <c r="D433" s="7" t="s">
        <v>241</v>
      </c>
      <c r="E433" s="8" t="s">
        <v>784</v>
      </c>
      <c r="F433" s="8" t="s">
        <v>785</v>
      </c>
    </row>
    <row r="434" spans="1:6" x14ac:dyDescent="0.25">
      <c r="A434" s="4">
        <v>29435005007484</v>
      </c>
      <c r="B434" s="8" t="s">
        <v>371</v>
      </c>
      <c r="C434" s="8" t="s">
        <v>281</v>
      </c>
      <c r="D434" s="7" t="s">
        <v>282</v>
      </c>
      <c r="E434" s="8" t="s">
        <v>790</v>
      </c>
      <c r="F434" s="8" t="s">
        <v>791</v>
      </c>
    </row>
    <row r="435" spans="1:6" x14ac:dyDescent="0.25">
      <c r="A435" s="4">
        <v>29435005009851</v>
      </c>
      <c r="B435" s="8" t="s">
        <v>372</v>
      </c>
      <c r="C435" s="8" t="s">
        <v>246</v>
      </c>
      <c r="D435" s="7" t="s">
        <v>247</v>
      </c>
      <c r="E435" s="8" t="s">
        <v>790</v>
      </c>
      <c r="F435" s="8" t="s">
        <v>791</v>
      </c>
    </row>
    <row r="436" spans="1:6" x14ac:dyDescent="0.25">
      <c r="A436" s="4">
        <v>29640612000120</v>
      </c>
      <c r="B436" s="8" t="s">
        <v>452</v>
      </c>
      <c r="C436" s="8" t="s">
        <v>453</v>
      </c>
      <c r="D436" s="7" t="s">
        <v>241</v>
      </c>
      <c r="E436" s="8" t="s">
        <v>784</v>
      </c>
      <c r="F436" s="8" t="s">
        <v>785</v>
      </c>
    </row>
    <row r="437" spans="1:6" x14ac:dyDescent="0.25">
      <c r="A437" s="4">
        <v>29908956000178</v>
      </c>
      <c r="B437" s="8" t="s">
        <v>454</v>
      </c>
      <c r="C437" s="8" t="s">
        <v>455</v>
      </c>
      <c r="D437" s="7" t="s">
        <v>253</v>
      </c>
      <c r="E437" s="8" t="s">
        <v>784</v>
      </c>
      <c r="F437" s="8" t="s">
        <v>785</v>
      </c>
    </row>
    <row r="438" spans="1:6" x14ac:dyDescent="0.25">
      <c r="A438" s="4">
        <v>30079461000162</v>
      </c>
      <c r="B438" s="8" t="s">
        <v>456</v>
      </c>
      <c r="C438" s="8" t="s">
        <v>240</v>
      </c>
      <c r="D438" s="7" t="s">
        <v>241</v>
      </c>
      <c r="E438" s="8" t="s">
        <v>784</v>
      </c>
      <c r="F438" s="8" t="s">
        <v>785</v>
      </c>
    </row>
    <row r="439" spans="1:6" x14ac:dyDescent="0.25">
      <c r="A439" s="4">
        <v>30117769000155</v>
      </c>
      <c r="B439" s="8" t="s">
        <v>578</v>
      </c>
      <c r="C439" s="8" t="s">
        <v>385</v>
      </c>
      <c r="D439" s="7" t="s">
        <v>233</v>
      </c>
      <c r="E439" s="8" t="s">
        <v>784</v>
      </c>
      <c r="F439" s="8" t="s">
        <v>785</v>
      </c>
    </row>
    <row r="440" spans="1:6" x14ac:dyDescent="0.25">
      <c r="A440" s="4">
        <v>30135335000188</v>
      </c>
      <c r="B440" s="8" t="s">
        <v>623</v>
      </c>
      <c r="C440" s="8" t="s">
        <v>225</v>
      </c>
      <c r="D440" s="7" t="s">
        <v>226</v>
      </c>
      <c r="E440" s="8" t="s">
        <v>790</v>
      </c>
      <c r="F440" s="8" t="s">
        <v>791</v>
      </c>
    </row>
    <row r="441" spans="1:6" x14ac:dyDescent="0.25">
      <c r="A441" s="4">
        <v>30537740000122</v>
      </c>
      <c r="B441" s="8" t="s">
        <v>624</v>
      </c>
      <c r="C441" s="8" t="s">
        <v>577</v>
      </c>
      <c r="D441" s="7" t="s">
        <v>241</v>
      </c>
      <c r="E441" s="8" t="s">
        <v>784</v>
      </c>
      <c r="F441" s="8" t="s">
        <v>785</v>
      </c>
    </row>
    <row r="442" spans="1:6" x14ac:dyDescent="0.25">
      <c r="A442" s="4">
        <v>30638381000108</v>
      </c>
      <c r="B442" s="8" t="s">
        <v>647</v>
      </c>
      <c r="C442" s="8" t="s">
        <v>367</v>
      </c>
      <c r="D442" s="7" t="s">
        <v>241</v>
      </c>
      <c r="E442" s="8" t="s">
        <v>784</v>
      </c>
      <c r="F442" s="8" t="s">
        <v>785</v>
      </c>
    </row>
    <row r="443" spans="1:6" x14ac:dyDescent="0.25">
      <c r="A443" s="4">
        <v>31635857000101</v>
      </c>
      <c r="B443" s="8" t="s">
        <v>682</v>
      </c>
      <c r="C443" s="8" t="s">
        <v>652</v>
      </c>
      <c r="D443" s="7" t="s">
        <v>241</v>
      </c>
      <c r="E443" s="8" t="s">
        <v>784</v>
      </c>
      <c r="F443" s="8" t="s">
        <v>785</v>
      </c>
    </row>
    <row r="444" spans="1:6" x14ac:dyDescent="0.25">
      <c r="A444" s="4">
        <v>31635857000292</v>
      </c>
      <c r="B444" s="8" t="s">
        <v>683</v>
      </c>
      <c r="C444" s="8" t="s">
        <v>652</v>
      </c>
      <c r="D444" s="7" t="s">
        <v>241</v>
      </c>
      <c r="E444" s="8" t="s">
        <v>784</v>
      </c>
      <c r="F444" s="8" t="s">
        <v>785</v>
      </c>
    </row>
    <row r="445" spans="1:6" x14ac:dyDescent="0.25">
      <c r="A445" s="4">
        <v>32154700000127</v>
      </c>
      <c r="B445" s="8" t="s">
        <v>684</v>
      </c>
      <c r="C445" s="8" t="s">
        <v>652</v>
      </c>
      <c r="D445" s="7" t="s">
        <v>241</v>
      </c>
      <c r="E445" s="8" t="s">
        <v>784</v>
      </c>
      <c r="F445" s="8" t="s">
        <v>785</v>
      </c>
    </row>
    <row r="446" spans="1:6" x14ac:dyDescent="0.25">
      <c r="A446" s="4">
        <v>33000167000101</v>
      </c>
      <c r="B446" s="8" t="s">
        <v>685</v>
      </c>
      <c r="C446" s="8" t="s">
        <v>652</v>
      </c>
      <c r="D446" s="7" t="s">
        <v>241</v>
      </c>
      <c r="E446" s="8" t="s">
        <v>784</v>
      </c>
      <c r="F446" s="8" t="s">
        <v>785</v>
      </c>
    </row>
    <row r="447" spans="1:6" x14ac:dyDescent="0.25">
      <c r="A447" s="4">
        <v>33000167002155</v>
      </c>
      <c r="B447" s="8" t="s">
        <v>625</v>
      </c>
      <c r="C447" s="8" t="s">
        <v>626</v>
      </c>
      <c r="D447" s="7" t="s">
        <v>238</v>
      </c>
      <c r="E447" s="8" t="s">
        <v>790</v>
      </c>
      <c r="F447" s="8" t="s">
        <v>791</v>
      </c>
    </row>
    <row r="448" spans="1:6" x14ac:dyDescent="0.25">
      <c r="A448" s="4">
        <v>33419482000259</v>
      </c>
      <c r="B448" s="8" t="s">
        <v>686</v>
      </c>
      <c r="C448" s="8" t="s">
        <v>652</v>
      </c>
      <c r="D448" s="7" t="s">
        <v>241</v>
      </c>
      <c r="E448" s="8" t="s">
        <v>784</v>
      </c>
      <c r="F448" s="8" t="s">
        <v>785</v>
      </c>
    </row>
    <row r="449" spans="1:6" x14ac:dyDescent="0.25">
      <c r="A449" s="4">
        <v>33663683002674</v>
      </c>
      <c r="B449" s="8" t="s">
        <v>687</v>
      </c>
      <c r="C449" s="8" t="s">
        <v>652</v>
      </c>
      <c r="D449" s="7" t="s">
        <v>241</v>
      </c>
      <c r="E449" s="8" t="s">
        <v>784</v>
      </c>
      <c r="F449" s="8" t="s">
        <v>785</v>
      </c>
    </row>
    <row r="450" spans="1:6" x14ac:dyDescent="0.25">
      <c r="A450" s="4">
        <v>33663683005347</v>
      </c>
      <c r="B450" s="8" t="s">
        <v>688</v>
      </c>
      <c r="C450" s="8" t="s">
        <v>652</v>
      </c>
      <c r="D450" s="7" t="s">
        <v>241</v>
      </c>
      <c r="E450" s="8" t="s">
        <v>784</v>
      </c>
      <c r="F450" s="8" t="s">
        <v>785</v>
      </c>
    </row>
    <row r="451" spans="1:6" x14ac:dyDescent="0.25">
      <c r="A451" s="4">
        <v>33722224000166</v>
      </c>
      <c r="B451" s="8" t="s">
        <v>1026</v>
      </c>
      <c r="C451" s="8" t="s">
        <v>652</v>
      </c>
      <c r="D451" s="7" t="s">
        <v>241</v>
      </c>
      <c r="E451" s="8"/>
      <c r="F451" s="8"/>
    </row>
    <row r="452" spans="1:6" x14ac:dyDescent="0.25">
      <c r="A452" s="4">
        <v>33781055000216</v>
      </c>
      <c r="B452" s="8" t="s">
        <v>689</v>
      </c>
      <c r="C452" s="8" t="s">
        <v>652</v>
      </c>
      <c r="D452" s="7" t="s">
        <v>241</v>
      </c>
      <c r="E452" s="8" t="s">
        <v>784</v>
      </c>
      <c r="F452" s="8" t="s">
        <v>785</v>
      </c>
    </row>
    <row r="453" spans="1:6" x14ac:dyDescent="0.25">
      <c r="A453" s="4">
        <v>33927377000140</v>
      </c>
      <c r="B453" s="8" t="s">
        <v>690</v>
      </c>
      <c r="C453" s="8" t="s">
        <v>652</v>
      </c>
      <c r="D453" s="7" t="s">
        <v>241</v>
      </c>
      <c r="E453" s="8" t="s">
        <v>784</v>
      </c>
      <c r="F453" s="8" t="s">
        <v>785</v>
      </c>
    </row>
    <row r="454" spans="1:6" x14ac:dyDescent="0.25">
      <c r="A454" s="4">
        <v>34058123000103</v>
      </c>
      <c r="B454" s="8" t="s">
        <v>701</v>
      </c>
      <c r="C454" s="8" t="s">
        <v>652</v>
      </c>
      <c r="D454" s="7" t="s">
        <v>241</v>
      </c>
      <c r="E454" s="8" t="s">
        <v>784</v>
      </c>
      <c r="F454" s="8" t="s">
        <v>785</v>
      </c>
    </row>
    <row r="455" spans="1:6" x14ac:dyDescent="0.25">
      <c r="A455" s="4">
        <v>35830868000446</v>
      </c>
      <c r="B455" s="8" t="s">
        <v>373</v>
      </c>
      <c r="C455" s="8" t="s">
        <v>374</v>
      </c>
      <c r="D455" s="7" t="s">
        <v>241</v>
      </c>
      <c r="E455" s="8" t="s">
        <v>784</v>
      </c>
      <c r="F455" s="8" t="s">
        <v>785</v>
      </c>
    </row>
    <row r="456" spans="1:6" x14ac:dyDescent="0.25">
      <c r="A456" s="4">
        <v>35917970000726</v>
      </c>
      <c r="B456" s="8" t="s">
        <v>457</v>
      </c>
      <c r="C456" s="8" t="s">
        <v>458</v>
      </c>
      <c r="D456" s="7" t="s">
        <v>241</v>
      </c>
      <c r="E456" s="8" t="s">
        <v>784</v>
      </c>
      <c r="F456" s="8" t="s">
        <v>785</v>
      </c>
    </row>
    <row r="457" spans="1:6" x14ac:dyDescent="0.25">
      <c r="A457" s="4">
        <v>36238913000198</v>
      </c>
      <c r="B457" s="8" t="s">
        <v>503</v>
      </c>
      <c r="C457" s="8" t="s">
        <v>504</v>
      </c>
      <c r="D457" s="7" t="s">
        <v>241</v>
      </c>
      <c r="E457" s="8" t="s">
        <v>784</v>
      </c>
      <c r="F457" s="8" t="s">
        <v>785</v>
      </c>
    </row>
    <row r="458" spans="1:6" x14ac:dyDescent="0.25">
      <c r="A458" s="4">
        <v>37108388000159</v>
      </c>
      <c r="B458" s="8" t="s">
        <v>375</v>
      </c>
      <c r="C458" s="8" t="s">
        <v>225</v>
      </c>
      <c r="D458" s="7" t="s">
        <v>226</v>
      </c>
      <c r="E458" s="8" t="s">
        <v>790</v>
      </c>
      <c r="F458" s="8" t="s">
        <v>791</v>
      </c>
    </row>
    <row r="459" spans="1:6" x14ac:dyDescent="0.25">
      <c r="A459" s="4">
        <v>38000485000196</v>
      </c>
      <c r="B459" s="8" t="s">
        <v>376</v>
      </c>
      <c r="C459" s="8" t="s">
        <v>225</v>
      </c>
      <c r="D459" s="7" t="s">
        <v>226</v>
      </c>
      <c r="E459" s="8" t="s">
        <v>790</v>
      </c>
      <c r="F459" s="8" t="s">
        <v>791</v>
      </c>
    </row>
    <row r="460" spans="1:6" x14ac:dyDescent="0.25">
      <c r="A460" s="4">
        <v>39086160000130</v>
      </c>
      <c r="B460" s="8" t="s">
        <v>691</v>
      </c>
      <c r="C460" s="8" t="s">
        <v>652</v>
      </c>
      <c r="D460" s="7" t="s">
        <v>241</v>
      </c>
      <c r="E460" s="8" t="s">
        <v>784</v>
      </c>
      <c r="F460" s="8" t="s">
        <v>785</v>
      </c>
    </row>
    <row r="461" spans="1:6" x14ac:dyDescent="0.25">
      <c r="A461" s="4">
        <v>39387477000107</v>
      </c>
      <c r="B461" s="8" t="s">
        <v>579</v>
      </c>
      <c r="C461" s="8" t="s">
        <v>451</v>
      </c>
      <c r="D461" s="7" t="s">
        <v>418</v>
      </c>
      <c r="E461" s="8" t="s">
        <v>784</v>
      </c>
      <c r="F461" s="8" t="s">
        <v>785</v>
      </c>
    </row>
    <row r="462" spans="1:6" x14ac:dyDescent="0.25">
      <c r="A462" s="4">
        <v>40226946000276</v>
      </c>
      <c r="B462" s="8" t="s">
        <v>707</v>
      </c>
      <c r="C462" s="8" t="s">
        <v>652</v>
      </c>
      <c r="D462" s="7" t="s">
        <v>241</v>
      </c>
      <c r="E462" s="8" t="s">
        <v>784</v>
      </c>
      <c r="F462" s="8" t="s">
        <v>785</v>
      </c>
    </row>
    <row r="463" spans="1:6" x14ac:dyDescent="0.25">
      <c r="A463" s="4">
        <v>40320103000153</v>
      </c>
      <c r="B463" s="8" t="s">
        <v>702</v>
      </c>
      <c r="C463" s="8" t="s">
        <v>652</v>
      </c>
      <c r="D463" s="7" t="s">
        <v>241</v>
      </c>
      <c r="E463" s="8" t="s">
        <v>784</v>
      </c>
      <c r="F463" s="8" t="s">
        <v>785</v>
      </c>
    </row>
    <row r="464" spans="1:6" x14ac:dyDescent="0.25">
      <c r="A464" s="4">
        <v>41580077000165</v>
      </c>
      <c r="B464" s="8" t="s">
        <v>505</v>
      </c>
      <c r="C464" s="8" t="s">
        <v>281</v>
      </c>
      <c r="D464" s="7" t="s">
        <v>282</v>
      </c>
      <c r="E464" s="8" t="s">
        <v>790</v>
      </c>
      <c r="F464" s="8" t="s">
        <v>791</v>
      </c>
    </row>
    <row r="465" spans="1:6" x14ac:dyDescent="0.25">
      <c r="A465" s="4">
        <v>41781949000234</v>
      </c>
      <c r="B465" s="8" t="s">
        <v>519</v>
      </c>
      <c r="C465" s="8" t="s">
        <v>520</v>
      </c>
      <c r="D465" s="7" t="s">
        <v>223</v>
      </c>
      <c r="E465" s="8" t="s">
        <v>784</v>
      </c>
      <c r="F465" s="8" t="s">
        <v>785</v>
      </c>
    </row>
    <row r="466" spans="1:6" x14ac:dyDescent="0.25">
      <c r="A466" s="4">
        <v>42297507000107</v>
      </c>
      <c r="B466" s="8" t="s">
        <v>703</v>
      </c>
      <c r="C466" s="8" t="s">
        <v>652</v>
      </c>
      <c r="D466" s="7" t="s">
        <v>241</v>
      </c>
      <c r="E466" s="8" t="s">
        <v>784</v>
      </c>
      <c r="F466" s="8" t="s">
        <v>785</v>
      </c>
    </row>
    <row r="467" spans="1:6" x14ac:dyDescent="0.25">
      <c r="A467" s="4">
        <v>53221255004995</v>
      </c>
      <c r="B467" s="8" t="s">
        <v>692</v>
      </c>
      <c r="C467" s="8" t="s">
        <v>652</v>
      </c>
      <c r="D467" s="7" t="s">
        <v>241</v>
      </c>
      <c r="E467" s="8" t="s">
        <v>784</v>
      </c>
      <c r="F467" s="8" t="s">
        <v>785</v>
      </c>
    </row>
    <row r="468" spans="1:6" x14ac:dyDescent="0.25">
      <c r="A468" s="4">
        <v>60884855001207</v>
      </c>
      <c r="B468" s="8" t="s">
        <v>377</v>
      </c>
      <c r="C468" s="8" t="s">
        <v>240</v>
      </c>
      <c r="D468" s="7" t="s">
        <v>241</v>
      </c>
      <c r="E468" s="8" t="s">
        <v>784</v>
      </c>
      <c r="F468" s="8" t="s">
        <v>785</v>
      </c>
    </row>
    <row r="469" spans="1:6" x14ac:dyDescent="0.25">
      <c r="A469" s="4">
        <v>60884855001630</v>
      </c>
      <c r="B469" s="8" t="s">
        <v>693</v>
      </c>
      <c r="C469" s="8" t="s">
        <v>652</v>
      </c>
      <c r="D469" s="7" t="s">
        <v>241</v>
      </c>
      <c r="E469" s="8" t="s">
        <v>784</v>
      </c>
      <c r="F469" s="8" t="s">
        <v>785</v>
      </c>
    </row>
    <row r="470" spans="1:6" x14ac:dyDescent="0.25">
      <c r="A470" s="4">
        <v>60884855001983</v>
      </c>
      <c r="B470" s="8" t="s">
        <v>506</v>
      </c>
      <c r="C470" s="8" t="s">
        <v>225</v>
      </c>
      <c r="D470" s="7" t="s">
        <v>226</v>
      </c>
      <c r="E470" s="8" t="s">
        <v>790</v>
      </c>
      <c r="F470" s="8" t="s">
        <v>791</v>
      </c>
    </row>
    <row r="471" spans="1:6" x14ac:dyDescent="0.25">
      <c r="A471" s="4">
        <v>60884855002289</v>
      </c>
      <c r="B471" s="8" t="s">
        <v>378</v>
      </c>
      <c r="C471" s="8" t="s">
        <v>225</v>
      </c>
      <c r="D471" s="7" t="s">
        <v>226</v>
      </c>
      <c r="E471" s="8" t="s">
        <v>790</v>
      </c>
      <c r="F471" s="8" t="s">
        <v>791</v>
      </c>
    </row>
    <row r="472" spans="1:6" x14ac:dyDescent="0.25">
      <c r="A472" s="4">
        <v>60922168000348</v>
      </c>
      <c r="B472" s="8" t="s">
        <v>694</v>
      </c>
      <c r="C472" s="8" t="s">
        <v>652</v>
      </c>
      <c r="D472" s="7" t="s">
        <v>241</v>
      </c>
      <c r="E472" s="8" t="s">
        <v>784</v>
      </c>
      <c r="F472" s="8" t="s">
        <v>785</v>
      </c>
    </row>
    <row r="473" spans="1:6" x14ac:dyDescent="0.25">
      <c r="A473" s="4">
        <v>60922168005226</v>
      </c>
      <c r="B473" s="8" t="s">
        <v>379</v>
      </c>
      <c r="C473" s="8" t="s">
        <v>380</v>
      </c>
      <c r="D473" s="7" t="s">
        <v>259</v>
      </c>
      <c r="E473" s="8" t="s">
        <v>784</v>
      </c>
      <c r="F473" s="8" t="s">
        <v>785</v>
      </c>
    </row>
    <row r="474" spans="1:6" x14ac:dyDescent="0.25">
      <c r="A474" s="4">
        <v>60975737003509</v>
      </c>
      <c r="B474" s="8" t="s">
        <v>381</v>
      </c>
      <c r="C474" s="8" t="s">
        <v>281</v>
      </c>
      <c r="D474" s="7" t="s">
        <v>282</v>
      </c>
      <c r="E474" s="8" t="s">
        <v>790</v>
      </c>
      <c r="F474" s="8" t="s">
        <v>791</v>
      </c>
    </row>
    <row r="475" spans="1:6" x14ac:dyDescent="0.25">
      <c r="A475" s="4">
        <v>61590410000558</v>
      </c>
      <c r="B475" s="8" t="s">
        <v>382</v>
      </c>
      <c r="C475" s="8" t="s">
        <v>225</v>
      </c>
      <c r="D475" s="7" t="s">
        <v>226</v>
      </c>
      <c r="E475" s="8" t="s">
        <v>790</v>
      </c>
      <c r="F475" s="8" t="s">
        <v>791</v>
      </c>
    </row>
    <row r="476" spans="1:6" x14ac:dyDescent="0.25">
      <c r="A476" s="4">
        <v>61590410001287</v>
      </c>
      <c r="B476" s="8" t="s">
        <v>580</v>
      </c>
      <c r="C476" s="8" t="s">
        <v>225</v>
      </c>
      <c r="D476" s="7" t="s">
        <v>226</v>
      </c>
      <c r="E476" s="8" t="s">
        <v>790</v>
      </c>
      <c r="F476" s="8" t="s">
        <v>791</v>
      </c>
    </row>
    <row r="477" spans="1:6" x14ac:dyDescent="0.25">
      <c r="A477" s="4">
        <v>63326243000487</v>
      </c>
      <c r="B477" s="8" t="s">
        <v>581</v>
      </c>
      <c r="C477" s="8" t="s">
        <v>295</v>
      </c>
      <c r="D477" s="7" t="s">
        <v>296</v>
      </c>
      <c r="E477" s="8" t="s">
        <v>790</v>
      </c>
      <c r="F477" s="8" t="s">
        <v>791</v>
      </c>
    </row>
    <row r="478" spans="1:6" x14ac:dyDescent="0.25">
      <c r="A478" s="4">
        <v>68709211000212</v>
      </c>
      <c r="B478" s="8" t="s">
        <v>459</v>
      </c>
      <c r="C478" s="8" t="s">
        <v>369</v>
      </c>
      <c r="D478" s="7" t="s">
        <v>241</v>
      </c>
      <c r="E478" s="8" t="s">
        <v>784</v>
      </c>
      <c r="F478" s="8" t="s">
        <v>785</v>
      </c>
    </row>
    <row r="479" spans="1:6" x14ac:dyDescent="0.25">
      <c r="A479" s="4">
        <v>70524145000177</v>
      </c>
      <c r="B479" s="8" t="s">
        <v>1013</v>
      </c>
      <c r="C479" s="8" t="s">
        <v>261</v>
      </c>
      <c r="D479" s="7" t="s">
        <v>262</v>
      </c>
      <c r="E479" s="8"/>
      <c r="F479" s="8"/>
    </row>
    <row r="480" spans="1:6" x14ac:dyDescent="0.25">
      <c r="A480" s="4">
        <v>72101124000506</v>
      </c>
      <c r="B480" s="8" t="s">
        <v>695</v>
      </c>
      <c r="C480" s="8" t="s">
        <v>652</v>
      </c>
      <c r="D480" s="7" t="s">
        <v>241</v>
      </c>
      <c r="E480" s="8" t="s">
        <v>784</v>
      </c>
      <c r="F480" s="8" t="s">
        <v>785</v>
      </c>
    </row>
    <row r="481" spans="1:6" x14ac:dyDescent="0.25">
      <c r="A481" s="4">
        <v>73696718000219</v>
      </c>
      <c r="B481" s="8" t="s">
        <v>696</v>
      </c>
      <c r="C481" s="8" t="s">
        <v>652</v>
      </c>
      <c r="D481" s="7" t="s">
        <v>241</v>
      </c>
      <c r="E481" s="8" t="s">
        <v>784</v>
      </c>
      <c r="F481" s="8" t="s">
        <v>785</v>
      </c>
    </row>
    <row r="482" spans="1:6" x14ac:dyDescent="0.25">
      <c r="A482" s="4">
        <v>73863342000109</v>
      </c>
      <c r="B482" s="8" t="s">
        <v>582</v>
      </c>
      <c r="C482" s="8" t="s">
        <v>583</v>
      </c>
      <c r="D482" s="7" t="s">
        <v>233</v>
      </c>
      <c r="E482" s="8" t="s">
        <v>784</v>
      </c>
      <c r="F482" s="8" t="s">
        <v>785</v>
      </c>
    </row>
    <row r="483" spans="1:6" x14ac:dyDescent="0.25">
      <c r="A483" s="4">
        <v>74031865000151</v>
      </c>
      <c r="B483" s="8" t="s">
        <v>383</v>
      </c>
      <c r="C483" s="8" t="s">
        <v>281</v>
      </c>
      <c r="D483" s="7" t="s">
        <v>282</v>
      </c>
      <c r="E483" s="8" t="s">
        <v>790</v>
      </c>
      <c r="F483" s="8" t="s">
        <v>791</v>
      </c>
    </row>
    <row r="484" spans="1:6" x14ac:dyDescent="0.25">
      <c r="A484" s="4">
        <v>75095679000220</v>
      </c>
      <c r="B484" s="8" t="s">
        <v>792</v>
      </c>
      <c r="C484" s="8" t="s">
        <v>385</v>
      </c>
      <c r="D484" s="7" t="s">
        <v>233</v>
      </c>
      <c r="E484" s="8" t="s">
        <v>784</v>
      </c>
      <c r="F484" s="8" t="s">
        <v>785</v>
      </c>
    </row>
    <row r="485" spans="1:6" x14ac:dyDescent="0.25">
      <c r="A485" s="4">
        <v>75222224001895</v>
      </c>
      <c r="B485" s="8" t="s">
        <v>584</v>
      </c>
      <c r="C485" s="8" t="s">
        <v>583</v>
      </c>
      <c r="D485" s="7" t="s">
        <v>233</v>
      </c>
      <c r="E485" s="8" t="s">
        <v>784</v>
      </c>
      <c r="F485" s="8" t="s">
        <v>785</v>
      </c>
    </row>
    <row r="486" spans="1:6" x14ac:dyDescent="0.25">
      <c r="A486" s="4">
        <v>76498013000102</v>
      </c>
      <c r="B486" s="8" t="s">
        <v>627</v>
      </c>
      <c r="C486" s="8" t="s">
        <v>385</v>
      </c>
      <c r="D486" s="7" t="s">
        <v>233</v>
      </c>
      <c r="E486" s="8" t="s">
        <v>784</v>
      </c>
      <c r="F486" s="8" t="s">
        <v>785</v>
      </c>
    </row>
    <row r="487" spans="1:6" x14ac:dyDescent="0.25">
      <c r="A487" s="4">
        <v>76555069000143</v>
      </c>
      <c r="B487" s="8" t="s">
        <v>384</v>
      </c>
      <c r="C487" s="8" t="s">
        <v>385</v>
      </c>
      <c r="D487" s="7" t="s">
        <v>233</v>
      </c>
      <c r="E487" s="8" t="s">
        <v>784</v>
      </c>
      <c r="F487" s="8" t="s">
        <v>785</v>
      </c>
    </row>
    <row r="488" spans="1:6" x14ac:dyDescent="0.25">
      <c r="A488" s="4">
        <v>76562198000169</v>
      </c>
      <c r="B488" s="8" t="s">
        <v>585</v>
      </c>
      <c r="C488" s="8" t="s">
        <v>385</v>
      </c>
      <c r="D488" s="7" t="s">
        <v>233</v>
      </c>
      <c r="E488" s="8" t="s">
        <v>784</v>
      </c>
      <c r="F488" s="8" t="s">
        <v>785</v>
      </c>
    </row>
    <row r="489" spans="1:6" x14ac:dyDescent="0.25">
      <c r="A489" s="4">
        <v>76591569000130</v>
      </c>
      <c r="B489" s="8" t="s">
        <v>386</v>
      </c>
      <c r="C489" s="8" t="s">
        <v>385</v>
      </c>
      <c r="D489" s="7" t="s">
        <v>233</v>
      </c>
      <c r="E489" s="8" t="s">
        <v>784</v>
      </c>
      <c r="F489" s="8" t="s">
        <v>785</v>
      </c>
    </row>
    <row r="490" spans="1:6" x14ac:dyDescent="0.25">
      <c r="A490" s="4">
        <v>76659820002367</v>
      </c>
      <c r="B490" s="8" t="s">
        <v>586</v>
      </c>
      <c r="C490" s="8" t="s">
        <v>385</v>
      </c>
      <c r="D490" s="7" t="s">
        <v>233</v>
      </c>
      <c r="E490" s="8" t="s">
        <v>784</v>
      </c>
      <c r="F490" s="8" t="s">
        <v>785</v>
      </c>
    </row>
    <row r="491" spans="1:6" x14ac:dyDescent="0.25">
      <c r="A491" s="4">
        <v>77265361000194</v>
      </c>
      <c r="B491" s="8" t="s">
        <v>587</v>
      </c>
      <c r="C491" s="8" t="s">
        <v>522</v>
      </c>
      <c r="D491" s="7" t="s">
        <v>233</v>
      </c>
      <c r="E491" s="8" t="s">
        <v>784</v>
      </c>
      <c r="F491" s="8" t="s">
        <v>785</v>
      </c>
    </row>
    <row r="492" spans="1:6" x14ac:dyDescent="0.25">
      <c r="A492" s="4">
        <v>77858611001414</v>
      </c>
      <c r="B492" s="8" t="s">
        <v>460</v>
      </c>
      <c r="C492" s="8" t="s">
        <v>344</v>
      </c>
      <c r="D492" s="7" t="s">
        <v>259</v>
      </c>
      <c r="E492" s="8" t="s">
        <v>784</v>
      </c>
      <c r="F492" s="8" t="s">
        <v>785</v>
      </c>
    </row>
    <row r="493" spans="1:6" x14ac:dyDescent="0.25">
      <c r="A493" s="4">
        <v>78633088000176</v>
      </c>
      <c r="B493" s="8" t="s">
        <v>628</v>
      </c>
      <c r="C493" s="8" t="s">
        <v>583</v>
      </c>
      <c r="D493" s="7" t="s">
        <v>233</v>
      </c>
      <c r="E493" s="8" t="s">
        <v>784</v>
      </c>
      <c r="F493" s="8" t="s">
        <v>785</v>
      </c>
    </row>
    <row r="494" spans="1:6" x14ac:dyDescent="0.25">
      <c r="A494" s="4">
        <v>79115762000193</v>
      </c>
      <c r="B494" s="8" t="s">
        <v>521</v>
      </c>
      <c r="C494" s="8" t="s">
        <v>522</v>
      </c>
      <c r="D494" s="7" t="s">
        <v>233</v>
      </c>
      <c r="E494" s="8" t="s">
        <v>784</v>
      </c>
      <c r="F494" s="8" t="s">
        <v>785</v>
      </c>
    </row>
    <row r="495" spans="1:6" x14ac:dyDescent="0.25">
      <c r="A495" s="4">
        <v>80490618000116</v>
      </c>
      <c r="B495" s="8" t="s">
        <v>588</v>
      </c>
      <c r="C495" s="8" t="s">
        <v>524</v>
      </c>
      <c r="D495" s="7" t="s">
        <v>259</v>
      </c>
      <c r="E495" s="8" t="s">
        <v>784</v>
      </c>
      <c r="F495" s="8" t="s">
        <v>785</v>
      </c>
    </row>
    <row r="496" spans="1:6" x14ac:dyDescent="0.25">
      <c r="A496" s="4">
        <v>80673411000187</v>
      </c>
      <c r="B496" s="8" t="s">
        <v>387</v>
      </c>
      <c r="C496" s="8" t="s">
        <v>388</v>
      </c>
      <c r="D496" s="7" t="s">
        <v>259</v>
      </c>
      <c r="E496" s="8" t="s">
        <v>784</v>
      </c>
      <c r="F496" s="8" t="s">
        <v>785</v>
      </c>
    </row>
    <row r="497" spans="1:6" x14ac:dyDescent="0.25">
      <c r="A497" s="4">
        <v>81270548000153</v>
      </c>
      <c r="B497" s="8" t="s">
        <v>507</v>
      </c>
      <c r="C497" s="8" t="s">
        <v>508</v>
      </c>
      <c r="D497" s="7" t="s">
        <v>233</v>
      </c>
      <c r="E497" s="8" t="s">
        <v>784</v>
      </c>
      <c r="F497" s="8" t="s">
        <v>785</v>
      </c>
    </row>
    <row r="498" spans="1:6" x14ac:dyDescent="0.25">
      <c r="A498" s="4">
        <v>81715716000410</v>
      </c>
      <c r="B498" s="8" t="s">
        <v>648</v>
      </c>
      <c r="C498" s="8" t="s">
        <v>649</v>
      </c>
      <c r="D498" s="7" t="s">
        <v>233</v>
      </c>
      <c r="E498" s="8" t="s">
        <v>784</v>
      </c>
      <c r="F498" s="8" t="s">
        <v>785</v>
      </c>
    </row>
    <row r="499" spans="1:6" x14ac:dyDescent="0.25">
      <c r="A499" s="4">
        <v>82624776000651</v>
      </c>
      <c r="B499" s="8" t="s">
        <v>589</v>
      </c>
      <c r="C499" s="8" t="s">
        <v>380</v>
      </c>
      <c r="D499" s="7" t="s">
        <v>259</v>
      </c>
      <c r="E499" s="8" t="s">
        <v>784</v>
      </c>
      <c r="F499" s="8" t="s">
        <v>785</v>
      </c>
    </row>
    <row r="500" spans="1:6" x14ac:dyDescent="0.25">
      <c r="A500" s="4">
        <v>82654088000120</v>
      </c>
      <c r="B500" s="8" t="s">
        <v>650</v>
      </c>
      <c r="C500" s="8" t="s">
        <v>380</v>
      </c>
      <c r="D500" s="7" t="s">
        <v>259</v>
      </c>
      <c r="E500" s="8" t="s">
        <v>784</v>
      </c>
      <c r="F500" s="8" t="s">
        <v>785</v>
      </c>
    </row>
    <row r="501" spans="1:6" x14ac:dyDescent="0.25">
      <c r="A501" s="4">
        <v>83367342000252</v>
      </c>
      <c r="B501" s="8" t="s">
        <v>590</v>
      </c>
      <c r="C501" s="8" t="s">
        <v>219</v>
      </c>
      <c r="D501" s="7" t="s">
        <v>220</v>
      </c>
      <c r="E501" s="8" t="s">
        <v>790</v>
      </c>
      <c r="F501" s="8" t="s">
        <v>791</v>
      </c>
    </row>
    <row r="502" spans="1:6" x14ac:dyDescent="0.25">
      <c r="A502" s="4">
        <v>83884999000106</v>
      </c>
      <c r="B502" s="8" t="s">
        <v>591</v>
      </c>
      <c r="C502" s="8" t="s">
        <v>388</v>
      </c>
      <c r="D502" s="7" t="s">
        <v>259</v>
      </c>
      <c r="E502" s="8" t="s">
        <v>784</v>
      </c>
      <c r="F502" s="8" t="s">
        <v>785</v>
      </c>
    </row>
    <row r="503" spans="1:6" x14ac:dyDescent="0.25">
      <c r="A503" s="4">
        <v>83899526000425</v>
      </c>
      <c r="B503" s="8" t="s">
        <v>389</v>
      </c>
      <c r="C503" s="8" t="s">
        <v>388</v>
      </c>
      <c r="D503" s="7" t="s">
        <v>259</v>
      </c>
      <c r="E503" s="8" t="s">
        <v>784</v>
      </c>
      <c r="F503" s="8" t="s">
        <v>785</v>
      </c>
    </row>
    <row r="504" spans="1:6" x14ac:dyDescent="0.25">
      <c r="A504" s="4">
        <v>85241339000809</v>
      </c>
      <c r="B504" s="8" t="s">
        <v>523</v>
      </c>
      <c r="C504" s="8" t="s">
        <v>524</v>
      </c>
      <c r="D504" s="7" t="s">
        <v>259</v>
      </c>
      <c r="E504" s="8" t="s">
        <v>784</v>
      </c>
      <c r="F504" s="8" t="s">
        <v>785</v>
      </c>
    </row>
    <row r="505" spans="1:6" x14ac:dyDescent="0.25">
      <c r="A505" s="4">
        <v>85377174000392</v>
      </c>
      <c r="B505" s="8" t="s">
        <v>390</v>
      </c>
      <c r="C505" s="8" t="s">
        <v>258</v>
      </c>
      <c r="D505" s="7" t="s">
        <v>259</v>
      </c>
      <c r="E505" s="8" t="s">
        <v>784</v>
      </c>
      <c r="F505" s="8" t="s">
        <v>785</v>
      </c>
    </row>
    <row r="506" spans="1:6" x14ac:dyDescent="0.25">
      <c r="A506" s="4">
        <v>87020517000120</v>
      </c>
      <c r="B506" s="8" t="s">
        <v>391</v>
      </c>
      <c r="C506" s="8" t="s">
        <v>305</v>
      </c>
      <c r="D506" s="7" t="s">
        <v>253</v>
      </c>
      <c r="E506" s="8" t="s">
        <v>784</v>
      </c>
      <c r="F506" s="8" t="s">
        <v>785</v>
      </c>
    </row>
    <row r="507" spans="1:6" x14ac:dyDescent="0.25">
      <c r="A507" s="4">
        <v>87096616003101</v>
      </c>
      <c r="B507" s="8" t="s">
        <v>629</v>
      </c>
      <c r="C507" s="8" t="s">
        <v>305</v>
      </c>
      <c r="D507" s="7" t="s">
        <v>253</v>
      </c>
      <c r="E507" s="8" t="s">
        <v>784</v>
      </c>
      <c r="F507" s="8" t="s">
        <v>785</v>
      </c>
    </row>
    <row r="508" spans="1:6" x14ac:dyDescent="0.25">
      <c r="A508" s="4">
        <v>87317764001084</v>
      </c>
      <c r="B508" s="8" t="s">
        <v>461</v>
      </c>
      <c r="C508" s="8" t="s">
        <v>305</v>
      </c>
      <c r="D508" s="7" t="s">
        <v>253</v>
      </c>
      <c r="E508" s="8" t="s">
        <v>784</v>
      </c>
      <c r="F508" s="8" t="s">
        <v>785</v>
      </c>
    </row>
    <row r="509" spans="1:6" x14ac:dyDescent="0.25">
      <c r="A509" s="4">
        <v>87547444000120</v>
      </c>
      <c r="B509" s="8" t="s">
        <v>392</v>
      </c>
      <c r="C509" s="8" t="s">
        <v>393</v>
      </c>
      <c r="D509" s="7" t="s">
        <v>253</v>
      </c>
      <c r="E509" s="8" t="s">
        <v>784</v>
      </c>
      <c r="F509" s="8" t="s">
        <v>785</v>
      </c>
    </row>
    <row r="510" spans="1:6" x14ac:dyDescent="0.25">
      <c r="A510" s="4">
        <v>87607149000626</v>
      </c>
      <c r="B510" s="8" t="s">
        <v>592</v>
      </c>
      <c r="C510" s="8" t="s">
        <v>399</v>
      </c>
      <c r="D510" s="7" t="s">
        <v>253</v>
      </c>
      <c r="E510" s="8" t="s">
        <v>784</v>
      </c>
      <c r="F510" s="8" t="s">
        <v>785</v>
      </c>
    </row>
    <row r="511" spans="1:6" x14ac:dyDescent="0.25">
      <c r="A511" s="4">
        <v>87638334000505</v>
      </c>
      <c r="B511" s="8" t="s">
        <v>630</v>
      </c>
      <c r="C511" s="8" t="s">
        <v>631</v>
      </c>
      <c r="D511" s="7" t="s">
        <v>253</v>
      </c>
      <c r="E511" s="8" t="s">
        <v>784</v>
      </c>
      <c r="F511" s="8" t="s">
        <v>785</v>
      </c>
    </row>
    <row r="512" spans="1:6" x14ac:dyDescent="0.25">
      <c r="A512" s="4">
        <v>87827689002405</v>
      </c>
      <c r="B512" s="8" t="s">
        <v>394</v>
      </c>
      <c r="C512" s="8" t="s">
        <v>252</v>
      </c>
      <c r="D512" s="7" t="s">
        <v>253</v>
      </c>
      <c r="E512" s="8" t="s">
        <v>784</v>
      </c>
      <c r="F512" s="8" t="s">
        <v>785</v>
      </c>
    </row>
    <row r="513" spans="1:6" x14ac:dyDescent="0.25">
      <c r="A513" s="4">
        <v>87958625000149</v>
      </c>
      <c r="B513" s="8" t="s">
        <v>395</v>
      </c>
      <c r="C513" s="8" t="s">
        <v>305</v>
      </c>
      <c r="D513" s="7" t="s">
        <v>253</v>
      </c>
      <c r="E513" s="8" t="s">
        <v>784</v>
      </c>
      <c r="F513" s="8" t="s">
        <v>785</v>
      </c>
    </row>
    <row r="514" spans="1:6" x14ac:dyDescent="0.25">
      <c r="A514" s="4">
        <v>88625686002443</v>
      </c>
      <c r="B514" s="8" t="s">
        <v>396</v>
      </c>
      <c r="C514" s="8" t="s">
        <v>305</v>
      </c>
      <c r="D514" s="7" t="s">
        <v>253</v>
      </c>
      <c r="E514" s="8" t="s">
        <v>784</v>
      </c>
      <c r="F514" s="8" t="s">
        <v>785</v>
      </c>
    </row>
    <row r="515" spans="1:6" x14ac:dyDescent="0.25">
      <c r="A515" s="4">
        <v>88630413000796</v>
      </c>
      <c r="B515" s="8" t="s">
        <v>397</v>
      </c>
      <c r="C515" s="8" t="s">
        <v>305</v>
      </c>
      <c r="D515" s="7" t="s">
        <v>253</v>
      </c>
      <c r="E515" s="8" t="s">
        <v>784</v>
      </c>
      <c r="F515" s="8" t="s">
        <v>785</v>
      </c>
    </row>
    <row r="516" spans="1:6" x14ac:dyDescent="0.25">
      <c r="A516" s="4">
        <v>88645403001372</v>
      </c>
      <c r="B516" s="8" t="s">
        <v>462</v>
      </c>
      <c r="C516" s="8" t="s">
        <v>252</v>
      </c>
      <c r="D516" s="7" t="s">
        <v>253</v>
      </c>
      <c r="E516" s="8" t="s">
        <v>784</v>
      </c>
      <c r="F516" s="8" t="s">
        <v>785</v>
      </c>
    </row>
    <row r="517" spans="1:6" x14ac:dyDescent="0.25">
      <c r="A517" s="4">
        <v>88830609000139</v>
      </c>
      <c r="B517" s="8" t="s">
        <v>632</v>
      </c>
      <c r="C517" s="8" t="s">
        <v>252</v>
      </c>
      <c r="D517" s="7" t="s">
        <v>253</v>
      </c>
      <c r="E517" s="8" t="s">
        <v>784</v>
      </c>
      <c r="F517" s="8" t="s">
        <v>785</v>
      </c>
    </row>
    <row r="518" spans="1:6" x14ac:dyDescent="0.25">
      <c r="A518" s="4">
        <v>92021062000360</v>
      </c>
      <c r="B518" s="8" t="s">
        <v>398</v>
      </c>
      <c r="C518" s="8" t="s">
        <v>399</v>
      </c>
      <c r="D518" s="7" t="s">
        <v>253</v>
      </c>
      <c r="E518" s="8" t="s">
        <v>784</v>
      </c>
      <c r="F518" s="8" t="s">
        <v>785</v>
      </c>
    </row>
    <row r="519" spans="1:6" x14ac:dyDescent="0.25">
      <c r="A519" s="4">
        <v>92404789000164</v>
      </c>
      <c r="B519" s="8" t="s">
        <v>463</v>
      </c>
      <c r="C519" s="8" t="s">
        <v>464</v>
      </c>
      <c r="D519" s="7" t="s">
        <v>253</v>
      </c>
      <c r="E519" s="8" t="s">
        <v>784</v>
      </c>
      <c r="F519" s="8" t="s">
        <v>785</v>
      </c>
    </row>
    <row r="520" spans="1:6" x14ac:dyDescent="0.25">
      <c r="A520" s="4">
        <v>92685833000151</v>
      </c>
      <c r="B520" s="8" t="s">
        <v>400</v>
      </c>
      <c r="C520" s="8" t="s">
        <v>305</v>
      </c>
      <c r="D520" s="7" t="s">
        <v>253</v>
      </c>
      <c r="E520" s="8" t="s">
        <v>784</v>
      </c>
      <c r="F520" s="8" t="s">
        <v>785</v>
      </c>
    </row>
    <row r="521" spans="1:6" x14ac:dyDescent="0.25">
      <c r="A521" s="4">
        <v>92741016000254</v>
      </c>
      <c r="B521" s="8" t="s">
        <v>401</v>
      </c>
      <c r="C521" s="8" t="s">
        <v>305</v>
      </c>
      <c r="D521" s="7" t="s">
        <v>253</v>
      </c>
      <c r="E521" s="8" t="s">
        <v>784</v>
      </c>
      <c r="F521" s="8" t="s">
        <v>785</v>
      </c>
    </row>
    <row r="522" spans="1:6" x14ac:dyDescent="0.25">
      <c r="A522" s="4">
        <v>92787118000391</v>
      </c>
      <c r="B522" s="8" t="s">
        <v>402</v>
      </c>
      <c r="C522" s="8" t="s">
        <v>305</v>
      </c>
      <c r="D522" s="7" t="s">
        <v>253</v>
      </c>
      <c r="E522" s="8" t="s">
        <v>784</v>
      </c>
      <c r="F522" s="8" t="s">
        <v>785</v>
      </c>
    </row>
    <row r="523" spans="1:6" x14ac:dyDescent="0.25">
      <c r="A523" s="4">
        <v>92815000000168</v>
      </c>
      <c r="B523" s="8" t="s">
        <v>403</v>
      </c>
      <c r="C523" s="8" t="s">
        <v>305</v>
      </c>
      <c r="D523" s="7" t="s">
        <v>253</v>
      </c>
      <c r="E523" s="8" t="s">
        <v>784</v>
      </c>
      <c r="F523" s="8" t="s">
        <v>785</v>
      </c>
    </row>
    <row r="524" spans="1:6" x14ac:dyDescent="0.25">
      <c r="A524" s="4">
        <v>92898550000198</v>
      </c>
      <c r="B524" s="8" t="s">
        <v>404</v>
      </c>
      <c r="C524" s="8" t="s">
        <v>305</v>
      </c>
      <c r="D524" s="7" t="s">
        <v>253</v>
      </c>
      <c r="E524" s="8" t="s">
        <v>784</v>
      </c>
      <c r="F524" s="8" t="s">
        <v>785</v>
      </c>
    </row>
    <row r="525" spans="1:6" x14ac:dyDescent="0.25">
      <c r="A525" s="4">
        <v>92898550000600</v>
      </c>
      <c r="B525" s="8" t="s">
        <v>405</v>
      </c>
      <c r="C525" s="8" t="s">
        <v>225</v>
      </c>
      <c r="D525" s="7" t="s">
        <v>226</v>
      </c>
      <c r="E525" s="8" t="s">
        <v>790</v>
      </c>
      <c r="F525" s="8" t="s">
        <v>791</v>
      </c>
    </row>
    <row r="526" spans="1:6" x14ac:dyDescent="0.25">
      <c r="A526" s="4">
        <v>92963560000160</v>
      </c>
      <c r="B526" s="8" t="s">
        <v>465</v>
      </c>
      <c r="C526" s="8" t="s">
        <v>305</v>
      </c>
      <c r="D526" s="7" t="s">
        <v>253</v>
      </c>
      <c r="E526" s="8" t="s">
        <v>784</v>
      </c>
      <c r="F526" s="8" t="s">
        <v>785</v>
      </c>
    </row>
    <row r="527" spans="1:6" x14ac:dyDescent="0.25">
      <c r="A527" s="4">
        <v>94831294000147</v>
      </c>
      <c r="B527" s="8" t="s">
        <v>593</v>
      </c>
      <c r="C527" s="8" t="s">
        <v>305</v>
      </c>
      <c r="D527" s="7" t="s">
        <v>253</v>
      </c>
      <c r="E527" s="8" t="s">
        <v>784</v>
      </c>
      <c r="F527" s="8" t="s">
        <v>785</v>
      </c>
    </row>
    <row r="528" spans="1:6" x14ac:dyDescent="0.25">
      <c r="A528" s="4">
        <v>95610887000146</v>
      </c>
      <c r="B528" s="8" t="s">
        <v>406</v>
      </c>
      <c r="C528" s="8" t="s">
        <v>331</v>
      </c>
      <c r="D528" s="7" t="s">
        <v>253</v>
      </c>
      <c r="E528" s="8" t="s">
        <v>784</v>
      </c>
      <c r="F528" s="8" t="s">
        <v>785</v>
      </c>
    </row>
    <row r="529" spans="1:6" x14ac:dyDescent="0.25">
      <c r="A529" s="4">
        <v>97397848000138</v>
      </c>
      <c r="B529" s="8" t="s">
        <v>509</v>
      </c>
      <c r="C529" s="8" t="s">
        <v>278</v>
      </c>
      <c r="D529" s="7" t="s">
        <v>276</v>
      </c>
      <c r="E529" s="8" t="s">
        <v>790</v>
      </c>
      <c r="F529" s="8" t="s">
        <v>791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77ECD8-E454-4FF6-AD77-333B212E63B1}">
  <sheetPr codeName="Planilha9">
    <tabColor theme="9" tint="-0.249977111117893"/>
  </sheetPr>
  <dimension ref="A1:S2171"/>
  <sheetViews>
    <sheetView showGridLines="0" workbookViewId="0">
      <pane ySplit="5" topLeftCell="A6" activePane="bottomLeft" state="frozen"/>
      <selection pane="bottomLeft" activeCell="A6" sqref="A6"/>
    </sheetView>
  </sheetViews>
  <sheetFormatPr defaultRowHeight="12.75" x14ac:dyDescent="0.25"/>
  <cols>
    <col min="1" max="1" width="11" style="3" bestFit="1" customWidth="1"/>
    <col min="2" max="2" width="11.140625" style="3" bestFit="1" customWidth="1"/>
    <col min="3" max="3" width="9.85546875" style="3" bestFit="1" customWidth="1"/>
    <col min="4" max="4" width="12" style="3" bestFit="1" customWidth="1"/>
    <col min="5" max="5" width="81.140625" style="3" bestFit="1" customWidth="1"/>
    <col min="6" max="6" width="23.5703125" style="3" bestFit="1" customWidth="1"/>
    <col min="7" max="7" width="5.28515625" style="3" bestFit="1" customWidth="1"/>
    <col min="8" max="9" width="10.85546875" style="3" bestFit="1" customWidth="1"/>
    <col min="10" max="10" width="32.42578125" style="3" bestFit="1" customWidth="1"/>
    <col min="11" max="11" width="46.85546875" style="3" bestFit="1" customWidth="1"/>
    <col min="12" max="12" width="12" style="3" bestFit="1" customWidth="1"/>
    <col min="13" max="13" width="30.7109375" style="3" bestFit="1" customWidth="1"/>
    <col min="14" max="14" width="24.85546875" style="3" bestFit="1" customWidth="1"/>
    <col min="15" max="15" width="18.5703125" style="3" bestFit="1" customWidth="1"/>
    <col min="16" max="16" width="18.28515625" style="3" bestFit="1" customWidth="1"/>
    <col min="17" max="17" width="17.28515625" style="3" bestFit="1" customWidth="1"/>
    <col min="18" max="18" width="18.85546875" style="3" bestFit="1" customWidth="1"/>
    <col min="19" max="19" width="18.5703125" style="3" customWidth="1"/>
    <col min="20" max="20" width="10.85546875" style="3" bestFit="1" customWidth="1"/>
    <col min="21" max="21" width="8.5703125" style="3" bestFit="1" customWidth="1"/>
    <col min="22" max="22" width="32.42578125" style="3" bestFit="1" customWidth="1"/>
    <col min="23" max="23" width="46.85546875" style="3" bestFit="1" customWidth="1"/>
    <col min="24" max="24" width="12.140625" style="3" bestFit="1" customWidth="1"/>
    <col min="25" max="25" width="13.28515625" style="3" bestFit="1" customWidth="1"/>
    <col min="26" max="26" width="12" style="3" bestFit="1" customWidth="1"/>
    <col min="27" max="27" width="27.140625" style="3" bestFit="1" customWidth="1"/>
    <col min="28" max="28" width="24.85546875" style="3" bestFit="1" customWidth="1"/>
    <col min="29" max="29" width="10.5703125" style="3" bestFit="1" customWidth="1"/>
    <col min="30" max="30" width="10.28515625" style="3" bestFit="1" customWidth="1"/>
    <col min="31" max="31" width="9.5703125" style="3" bestFit="1" customWidth="1"/>
    <col min="32" max="32" width="10.85546875" style="3" bestFit="1" customWidth="1"/>
    <col min="33" max="33" width="10.5703125" style="3" bestFit="1" customWidth="1"/>
    <col min="34" max="34" width="8.7109375" style="3" bestFit="1" customWidth="1"/>
    <col min="35" max="35" width="17.42578125" style="3" bestFit="1" customWidth="1"/>
    <col min="36" max="36" width="6.42578125" style="3" bestFit="1" customWidth="1"/>
    <col min="37" max="37" width="8.28515625" style="3" bestFit="1" customWidth="1"/>
    <col min="38" max="38" width="8" style="3" bestFit="1" customWidth="1"/>
    <col min="39" max="39" width="7" style="3" bestFit="1" customWidth="1"/>
    <col min="40" max="40" width="8.5703125" style="3" bestFit="1" customWidth="1"/>
    <col min="41" max="41" width="8.28515625" style="3" bestFit="1" customWidth="1"/>
    <col min="42" max="16384" width="9.140625" style="3"/>
  </cols>
  <sheetData>
    <row r="1" spans="1:19" ht="18.75" x14ac:dyDescent="0.25">
      <c r="A1" s="48" t="s">
        <v>895</v>
      </c>
    </row>
    <row r="5" spans="1:19" ht="15" x14ac:dyDescent="0.25">
      <c r="A5" s="3" t="s">
        <v>2</v>
      </c>
      <c r="B5" s="3" t="s">
        <v>3</v>
      </c>
      <c r="C5" s="3" t="s">
        <v>4</v>
      </c>
      <c r="D5" s="3" t="s">
        <v>796</v>
      </c>
      <c r="E5" s="3" t="s">
        <v>10</v>
      </c>
      <c r="F5" s="3" t="s">
        <v>11</v>
      </c>
      <c r="G5" s="3" t="s">
        <v>12</v>
      </c>
      <c r="H5" s="3" t="s">
        <v>793</v>
      </c>
      <c r="I5" s="3" t="s">
        <v>794</v>
      </c>
      <c r="J5" s="3" t="s">
        <v>797</v>
      </c>
      <c r="K5" s="3" t="s">
        <v>722</v>
      </c>
      <c r="L5" s="3" t="s">
        <v>712</v>
      </c>
      <c r="M5" t="s">
        <v>782</v>
      </c>
      <c r="N5" s="3" t="s">
        <v>783</v>
      </c>
      <c r="O5" s="3" t="s">
        <v>852</v>
      </c>
      <c r="P5" s="3" t="s">
        <v>853</v>
      </c>
      <c r="Q5" s="3" t="s">
        <v>854</v>
      </c>
      <c r="R5" s="3" t="s">
        <v>855</v>
      </c>
      <c r="S5" s="3" t="s">
        <v>856</v>
      </c>
    </row>
    <row r="6" spans="1:19" ht="15" x14ac:dyDescent="0.25">
      <c r="A6" s="7" t="s">
        <v>16</v>
      </c>
      <c r="B6" s="7" t="s">
        <v>17</v>
      </c>
      <c r="C6" s="7" t="s">
        <v>18</v>
      </c>
      <c r="D6" s="3">
        <v>1454407000151</v>
      </c>
      <c r="E6" s="8" t="s">
        <v>533</v>
      </c>
      <c r="F6" s="8" t="s">
        <v>361</v>
      </c>
      <c r="G6" s="8" t="s">
        <v>362</v>
      </c>
      <c r="H6" s="8" t="s">
        <v>795</v>
      </c>
      <c r="I6" s="3">
        <v>2</v>
      </c>
      <c r="J6" s="8" t="s">
        <v>778</v>
      </c>
      <c r="K6" s="8" t="s">
        <v>779</v>
      </c>
      <c r="L6" s="8" t="s">
        <v>730</v>
      </c>
      <c r="M6" s="1" t="s">
        <v>790</v>
      </c>
      <c r="N6" s="8" t="s">
        <v>791</v>
      </c>
      <c r="O6" s="6">
        <v>0</v>
      </c>
      <c r="P6" s="6">
        <v>0</v>
      </c>
      <c r="Q6" s="6">
        <v>0</v>
      </c>
      <c r="R6" s="6">
        <v>0</v>
      </c>
      <c r="S6" s="6">
        <v>480</v>
      </c>
    </row>
    <row r="7" spans="1:19" ht="15" x14ac:dyDescent="0.25">
      <c r="A7" s="7" t="s">
        <v>16</v>
      </c>
      <c r="B7" s="7" t="s">
        <v>17</v>
      </c>
      <c r="C7" s="7" t="s">
        <v>18</v>
      </c>
      <c r="D7" s="3">
        <v>1454407000151</v>
      </c>
      <c r="E7" s="8" t="s">
        <v>533</v>
      </c>
      <c r="F7" s="8" t="s">
        <v>361</v>
      </c>
      <c r="G7" s="8" t="s">
        <v>362</v>
      </c>
      <c r="H7" s="8" t="s">
        <v>795</v>
      </c>
      <c r="I7" s="3">
        <v>2</v>
      </c>
      <c r="J7" s="8" t="s">
        <v>746</v>
      </c>
      <c r="K7" s="8" t="s">
        <v>747</v>
      </c>
      <c r="L7" s="8" t="s">
        <v>723</v>
      </c>
      <c r="M7" s="1" t="s">
        <v>790</v>
      </c>
      <c r="N7" s="8" t="s">
        <v>791</v>
      </c>
      <c r="O7" s="6">
        <v>0</v>
      </c>
      <c r="P7" s="6">
        <v>0</v>
      </c>
      <c r="Q7" s="6">
        <v>0</v>
      </c>
      <c r="R7" s="6">
        <v>0</v>
      </c>
      <c r="S7" s="6">
        <v>480</v>
      </c>
    </row>
    <row r="8" spans="1:19" ht="15" x14ac:dyDescent="0.25">
      <c r="A8" s="7" t="s">
        <v>16</v>
      </c>
      <c r="B8" s="7" t="s">
        <v>17</v>
      </c>
      <c r="C8" s="7" t="s">
        <v>18</v>
      </c>
      <c r="D8" s="3">
        <v>12442737000496</v>
      </c>
      <c r="E8" s="8" t="s">
        <v>437</v>
      </c>
      <c r="F8" s="8" t="s">
        <v>361</v>
      </c>
      <c r="G8" s="8" t="s">
        <v>362</v>
      </c>
      <c r="H8" s="8" t="s">
        <v>795</v>
      </c>
      <c r="I8" s="3">
        <v>2</v>
      </c>
      <c r="J8" s="8" t="s">
        <v>778</v>
      </c>
      <c r="K8" s="8" t="s">
        <v>779</v>
      </c>
      <c r="L8" s="8" t="s">
        <v>730</v>
      </c>
      <c r="M8" s="1" t="s">
        <v>790</v>
      </c>
      <c r="N8" s="8" t="s">
        <v>791</v>
      </c>
      <c r="O8" s="6">
        <v>0</v>
      </c>
      <c r="P8" s="6">
        <v>0</v>
      </c>
      <c r="Q8" s="6">
        <v>0</v>
      </c>
      <c r="R8" s="6">
        <v>0</v>
      </c>
      <c r="S8" s="6">
        <v>400</v>
      </c>
    </row>
    <row r="9" spans="1:19" ht="15" x14ac:dyDescent="0.25">
      <c r="A9" s="7" t="s">
        <v>16</v>
      </c>
      <c r="B9" s="7" t="s">
        <v>17</v>
      </c>
      <c r="C9" s="7" t="s">
        <v>18</v>
      </c>
      <c r="D9" s="3">
        <v>12442737000496</v>
      </c>
      <c r="E9" s="8" t="s">
        <v>437</v>
      </c>
      <c r="F9" s="8" t="s">
        <v>361</v>
      </c>
      <c r="G9" s="8" t="s">
        <v>362</v>
      </c>
      <c r="H9" s="8" t="s">
        <v>795</v>
      </c>
      <c r="I9" s="3">
        <v>2</v>
      </c>
      <c r="J9" s="8" t="s">
        <v>746</v>
      </c>
      <c r="K9" s="8" t="s">
        <v>747</v>
      </c>
      <c r="L9" s="8" t="s">
        <v>723</v>
      </c>
      <c r="M9" s="1" t="s">
        <v>790</v>
      </c>
      <c r="N9" s="8" t="s">
        <v>791</v>
      </c>
      <c r="O9" s="6">
        <v>0</v>
      </c>
      <c r="P9" s="6">
        <v>0</v>
      </c>
      <c r="Q9" s="6">
        <v>0</v>
      </c>
      <c r="R9" s="6">
        <v>0</v>
      </c>
      <c r="S9" s="6">
        <v>400</v>
      </c>
    </row>
    <row r="10" spans="1:19" ht="15" x14ac:dyDescent="0.25">
      <c r="A10" s="7" t="s">
        <v>16</v>
      </c>
      <c r="B10" s="7" t="s">
        <v>17</v>
      </c>
      <c r="C10" s="7" t="s">
        <v>18</v>
      </c>
      <c r="D10" s="3">
        <v>24464109000229</v>
      </c>
      <c r="E10" s="8" t="s">
        <v>360</v>
      </c>
      <c r="F10" s="8" t="s">
        <v>361</v>
      </c>
      <c r="G10" s="8" t="s">
        <v>362</v>
      </c>
      <c r="H10" s="8" t="s">
        <v>795</v>
      </c>
      <c r="I10" s="3">
        <v>2</v>
      </c>
      <c r="J10" s="8" t="s">
        <v>778</v>
      </c>
      <c r="K10" s="8" t="s">
        <v>779</v>
      </c>
      <c r="L10" s="8" t="s">
        <v>730</v>
      </c>
      <c r="M10" s="1" t="s">
        <v>790</v>
      </c>
      <c r="N10" s="8" t="s">
        <v>791</v>
      </c>
      <c r="O10" s="6">
        <v>50</v>
      </c>
      <c r="P10" s="6">
        <v>0</v>
      </c>
      <c r="Q10" s="6">
        <v>0</v>
      </c>
      <c r="R10" s="6">
        <v>0</v>
      </c>
      <c r="S10" s="6">
        <v>0</v>
      </c>
    </row>
    <row r="11" spans="1:19" ht="15" x14ac:dyDescent="0.25">
      <c r="A11" s="7" t="s">
        <v>16</v>
      </c>
      <c r="B11" s="7" t="s">
        <v>17</v>
      </c>
      <c r="C11" s="7" t="s">
        <v>18</v>
      </c>
      <c r="D11" s="3">
        <v>24464109000229</v>
      </c>
      <c r="E11" s="8" t="s">
        <v>360</v>
      </c>
      <c r="F11" s="8" t="s">
        <v>361</v>
      </c>
      <c r="G11" s="8" t="s">
        <v>362</v>
      </c>
      <c r="H11" s="8" t="s">
        <v>795</v>
      </c>
      <c r="I11" s="3">
        <v>2</v>
      </c>
      <c r="J11" s="8" t="s">
        <v>746</v>
      </c>
      <c r="K11" s="8" t="s">
        <v>747</v>
      </c>
      <c r="L11" s="8" t="s">
        <v>723</v>
      </c>
      <c r="M11" s="1" t="s">
        <v>790</v>
      </c>
      <c r="N11" s="8" t="s">
        <v>791</v>
      </c>
      <c r="O11" s="6">
        <v>0</v>
      </c>
      <c r="P11" s="6">
        <v>0</v>
      </c>
      <c r="Q11" s="6">
        <v>0</v>
      </c>
      <c r="R11" s="6">
        <v>0</v>
      </c>
      <c r="S11" s="6">
        <v>0</v>
      </c>
    </row>
    <row r="12" spans="1:19" ht="15" x14ac:dyDescent="0.25">
      <c r="A12" s="7" t="s">
        <v>16</v>
      </c>
      <c r="B12" s="7" t="s">
        <v>17</v>
      </c>
      <c r="C12" s="7" t="s">
        <v>18</v>
      </c>
      <c r="D12" s="3">
        <v>12361267011632</v>
      </c>
      <c r="E12" s="8" t="s">
        <v>496</v>
      </c>
      <c r="F12" s="8" t="s">
        <v>497</v>
      </c>
      <c r="G12" s="8" t="s">
        <v>498</v>
      </c>
      <c r="H12" s="8" t="s">
        <v>795</v>
      </c>
      <c r="I12" s="3">
        <v>1</v>
      </c>
      <c r="J12" s="8" t="s">
        <v>780</v>
      </c>
      <c r="K12" s="8" t="s">
        <v>781</v>
      </c>
      <c r="L12" s="8" t="s">
        <v>739</v>
      </c>
      <c r="M12" s="1" t="s">
        <v>790</v>
      </c>
      <c r="N12" s="8" t="s">
        <v>791</v>
      </c>
      <c r="O12" s="6">
        <v>0</v>
      </c>
      <c r="P12" s="6">
        <v>0</v>
      </c>
      <c r="Q12" s="6">
        <v>0</v>
      </c>
      <c r="R12" s="6">
        <v>0</v>
      </c>
      <c r="S12" s="6">
        <v>125</v>
      </c>
    </row>
    <row r="13" spans="1:19" ht="15" x14ac:dyDescent="0.25">
      <c r="A13" s="7" t="s">
        <v>16</v>
      </c>
      <c r="B13" s="7" t="s">
        <v>17</v>
      </c>
      <c r="C13" s="7" t="s">
        <v>18</v>
      </c>
      <c r="D13" s="3">
        <v>6070425000153</v>
      </c>
      <c r="E13" s="8" t="s">
        <v>289</v>
      </c>
      <c r="F13" s="8" t="s">
        <v>290</v>
      </c>
      <c r="G13" s="8" t="s">
        <v>291</v>
      </c>
      <c r="H13" s="8" t="s">
        <v>795</v>
      </c>
      <c r="I13" s="3">
        <v>1</v>
      </c>
      <c r="J13" s="8" t="s">
        <v>780</v>
      </c>
      <c r="K13" s="8" t="s">
        <v>781</v>
      </c>
      <c r="L13" s="8" t="s">
        <v>739</v>
      </c>
      <c r="M13" s="1" t="s">
        <v>790</v>
      </c>
      <c r="N13" s="8" t="s">
        <v>791</v>
      </c>
      <c r="O13" s="6">
        <v>0</v>
      </c>
      <c r="P13" s="6">
        <v>0</v>
      </c>
      <c r="Q13" s="6">
        <v>0</v>
      </c>
      <c r="R13" s="6">
        <v>12</v>
      </c>
      <c r="S13" s="6">
        <v>0</v>
      </c>
    </row>
    <row r="14" spans="1:19" ht="15" x14ac:dyDescent="0.25">
      <c r="A14" s="7" t="s">
        <v>16</v>
      </c>
      <c r="B14" s="7" t="s">
        <v>17</v>
      </c>
      <c r="C14" s="7" t="s">
        <v>18</v>
      </c>
      <c r="D14" s="3">
        <v>14074546000100</v>
      </c>
      <c r="E14" s="8" t="s">
        <v>322</v>
      </c>
      <c r="F14" s="8" t="s">
        <v>323</v>
      </c>
      <c r="G14" s="8" t="s">
        <v>276</v>
      </c>
      <c r="H14" s="8" t="s">
        <v>795</v>
      </c>
      <c r="I14" s="3">
        <v>2</v>
      </c>
      <c r="J14" s="8" t="s">
        <v>778</v>
      </c>
      <c r="K14" s="8" t="s">
        <v>779</v>
      </c>
      <c r="L14" s="8" t="s">
        <v>730</v>
      </c>
      <c r="M14" s="1" t="s">
        <v>790</v>
      </c>
      <c r="N14" s="8" t="s">
        <v>791</v>
      </c>
      <c r="O14" s="6">
        <v>0</v>
      </c>
      <c r="P14" s="6">
        <v>0</v>
      </c>
      <c r="Q14" s="6">
        <v>0</v>
      </c>
      <c r="R14" s="6">
        <v>0</v>
      </c>
      <c r="S14" s="6">
        <v>0</v>
      </c>
    </row>
    <row r="15" spans="1:19" ht="15" x14ac:dyDescent="0.25">
      <c r="A15" s="7" t="s">
        <v>16</v>
      </c>
      <c r="B15" s="7" t="s">
        <v>17</v>
      </c>
      <c r="C15" s="7" t="s">
        <v>18</v>
      </c>
      <c r="D15" s="3">
        <v>14074546000100</v>
      </c>
      <c r="E15" s="8" t="s">
        <v>322</v>
      </c>
      <c r="F15" s="8" t="s">
        <v>323</v>
      </c>
      <c r="G15" s="8" t="s">
        <v>276</v>
      </c>
      <c r="H15" s="8" t="s">
        <v>795</v>
      </c>
      <c r="I15" s="3">
        <v>2</v>
      </c>
      <c r="J15" s="8" t="s">
        <v>746</v>
      </c>
      <c r="K15" s="8" t="s">
        <v>747</v>
      </c>
      <c r="L15" s="8" t="s">
        <v>723</v>
      </c>
      <c r="M15" s="1" t="s">
        <v>790</v>
      </c>
      <c r="N15" s="8" t="s">
        <v>791</v>
      </c>
      <c r="O15" s="6">
        <v>0</v>
      </c>
      <c r="P15" s="6">
        <v>1</v>
      </c>
      <c r="Q15" s="6">
        <v>0</v>
      </c>
      <c r="R15" s="6">
        <v>0</v>
      </c>
      <c r="S15" s="6">
        <v>0</v>
      </c>
    </row>
    <row r="16" spans="1:19" ht="15" x14ac:dyDescent="0.25">
      <c r="A16" s="7" t="s">
        <v>16</v>
      </c>
      <c r="B16" s="7" t="s">
        <v>17</v>
      </c>
      <c r="C16" s="7" t="s">
        <v>18</v>
      </c>
      <c r="D16" s="3">
        <v>15170723000530</v>
      </c>
      <c r="E16" s="8" t="s">
        <v>336</v>
      </c>
      <c r="F16" s="8" t="s">
        <v>323</v>
      </c>
      <c r="G16" s="8" t="s">
        <v>276</v>
      </c>
      <c r="H16" s="8" t="s">
        <v>795</v>
      </c>
      <c r="I16" s="3">
        <v>2</v>
      </c>
      <c r="J16" s="8" t="s">
        <v>778</v>
      </c>
      <c r="K16" s="8" t="s">
        <v>779</v>
      </c>
      <c r="L16" s="8" t="s">
        <v>730</v>
      </c>
      <c r="M16" s="1" t="s">
        <v>790</v>
      </c>
      <c r="N16" s="8" t="s">
        <v>791</v>
      </c>
      <c r="O16" s="6">
        <v>0</v>
      </c>
      <c r="P16" s="6">
        <v>0</v>
      </c>
      <c r="Q16" s="6">
        <v>0</v>
      </c>
      <c r="R16" s="6">
        <v>0</v>
      </c>
      <c r="S16" s="6">
        <v>0</v>
      </c>
    </row>
    <row r="17" spans="1:19" ht="15" x14ac:dyDescent="0.25">
      <c r="A17" s="7" t="s">
        <v>16</v>
      </c>
      <c r="B17" s="7" t="s">
        <v>17</v>
      </c>
      <c r="C17" s="7" t="s">
        <v>18</v>
      </c>
      <c r="D17" s="3">
        <v>15170723000530</v>
      </c>
      <c r="E17" s="8" t="s">
        <v>336</v>
      </c>
      <c r="F17" s="8" t="s">
        <v>323</v>
      </c>
      <c r="G17" s="8" t="s">
        <v>276</v>
      </c>
      <c r="H17" s="8" t="s">
        <v>795</v>
      </c>
      <c r="I17" s="3">
        <v>2</v>
      </c>
      <c r="J17" s="8" t="s">
        <v>746</v>
      </c>
      <c r="K17" s="8" t="s">
        <v>747</v>
      </c>
      <c r="L17" s="8" t="s">
        <v>723</v>
      </c>
      <c r="M17" s="1" t="s">
        <v>790</v>
      </c>
      <c r="N17" s="8" t="s">
        <v>791</v>
      </c>
      <c r="O17" s="6">
        <v>0</v>
      </c>
      <c r="P17" s="6">
        <v>1</v>
      </c>
      <c r="Q17" s="6">
        <v>0</v>
      </c>
      <c r="R17" s="6">
        <v>0</v>
      </c>
      <c r="S17" s="6">
        <v>0</v>
      </c>
    </row>
    <row r="18" spans="1:19" ht="15" x14ac:dyDescent="0.25">
      <c r="A18" s="7" t="s">
        <v>16</v>
      </c>
      <c r="B18" s="7" t="s">
        <v>17</v>
      </c>
      <c r="C18" s="7" t="s">
        <v>18</v>
      </c>
      <c r="D18" s="3">
        <v>4602792000125</v>
      </c>
      <c r="E18" s="8" t="s">
        <v>274</v>
      </c>
      <c r="F18" s="8" t="s">
        <v>275</v>
      </c>
      <c r="G18" s="8" t="s">
        <v>276</v>
      </c>
      <c r="H18" s="8" t="s">
        <v>795</v>
      </c>
      <c r="I18" s="3">
        <v>2</v>
      </c>
      <c r="J18" s="8" t="s">
        <v>778</v>
      </c>
      <c r="K18" s="8" t="s">
        <v>779</v>
      </c>
      <c r="L18" s="8" t="s">
        <v>730</v>
      </c>
      <c r="M18" s="1" t="s">
        <v>790</v>
      </c>
      <c r="N18" s="8" t="s">
        <v>791</v>
      </c>
      <c r="O18" s="6">
        <v>0</v>
      </c>
      <c r="P18" s="6">
        <v>0</v>
      </c>
      <c r="Q18" s="6">
        <v>0</v>
      </c>
      <c r="R18" s="6">
        <v>0</v>
      </c>
      <c r="S18" s="6">
        <v>0</v>
      </c>
    </row>
    <row r="19" spans="1:19" ht="15" x14ac:dyDescent="0.25">
      <c r="A19" s="7" t="s">
        <v>16</v>
      </c>
      <c r="B19" s="7" t="s">
        <v>17</v>
      </c>
      <c r="C19" s="7" t="s">
        <v>18</v>
      </c>
      <c r="D19" s="3">
        <v>4602792000125</v>
      </c>
      <c r="E19" s="8" t="s">
        <v>274</v>
      </c>
      <c r="F19" s="8" t="s">
        <v>275</v>
      </c>
      <c r="G19" s="8" t="s">
        <v>276</v>
      </c>
      <c r="H19" s="8" t="s">
        <v>795</v>
      </c>
      <c r="I19" s="3">
        <v>2</v>
      </c>
      <c r="J19" s="8" t="s">
        <v>746</v>
      </c>
      <c r="K19" s="8" t="s">
        <v>747</v>
      </c>
      <c r="L19" s="8" t="s">
        <v>723</v>
      </c>
      <c r="M19" s="1" t="s">
        <v>790</v>
      </c>
      <c r="N19" s="8" t="s">
        <v>791</v>
      </c>
      <c r="O19" s="6">
        <v>0</v>
      </c>
      <c r="P19" s="6">
        <v>2</v>
      </c>
      <c r="Q19" s="6">
        <v>0</v>
      </c>
      <c r="R19" s="6">
        <v>0</v>
      </c>
      <c r="S19" s="6">
        <v>0</v>
      </c>
    </row>
    <row r="20" spans="1:19" ht="15" x14ac:dyDescent="0.25">
      <c r="A20" s="7" t="s">
        <v>16</v>
      </c>
      <c r="B20" s="7" t="s">
        <v>17</v>
      </c>
      <c r="C20" s="7" t="s">
        <v>18</v>
      </c>
      <c r="D20" s="3">
        <v>13952064000134</v>
      </c>
      <c r="E20" s="8" t="s">
        <v>321</v>
      </c>
      <c r="F20" s="8" t="s">
        <v>278</v>
      </c>
      <c r="G20" s="8" t="s">
        <v>276</v>
      </c>
      <c r="H20" s="8" t="s">
        <v>795</v>
      </c>
      <c r="I20" s="3">
        <v>2</v>
      </c>
      <c r="J20" s="8" t="s">
        <v>778</v>
      </c>
      <c r="K20" s="8" t="s">
        <v>779</v>
      </c>
      <c r="L20" s="8" t="s">
        <v>730</v>
      </c>
      <c r="M20" s="1" t="s">
        <v>790</v>
      </c>
      <c r="N20" s="8" t="s">
        <v>791</v>
      </c>
      <c r="O20" s="6">
        <v>0</v>
      </c>
      <c r="P20" s="6">
        <v>0</v>
      </c>
      <c r="Q20" s="6">
        <v>0</v>
      </c>
      <c r="R20" s="6">
        <v>0</v>
      </c>
      <c r="S20" s="6">
        <v>0</v>
      </c>
    </row>
    <row r="21" spans="1:19" ht="15" x14ac:dyDescent="0.25">
      <c r="A21" s="7" t="s">
        <v>16</v>
      </c>
      <c r="B21" s="7" t="s">
        <v>17</v>
      </c>
      <c r="C21" s="7" t="s">
        <v>18</v>
      </c>
      <c r="D21" s="3">
        <v>13952064000134</v>
      </c>
      <c r="E21" s="8" t="s">
        <v>321</v>
      </c>
      <c r="F21" s="8" t="s">
        <v>278</v>
      </c>
      <c r="G21" s="8" t="s">
        <v>276</v>
      </c>
      <c r="H21" s="8" t="s">
        <v>795</v>
      </c>
      <c r="I21" s="3">
        <v>2</v>
      </c>
      <c r="J21" s="8" t="s">
        <v>746</v>
      </c>
      <c r="K21" s="8" t="s">
        <v>747</v>
      </c>
      <c r="L21" s="8" t="s">
        <v>723</v>
      </c>
      <c r="M21" s="1" t="s">
        <v>790</v>
      </c>
      <c r="N21" s="8" t="s">
        <v>791</v>
      </c>
      <c r="O21" s="6">
        <v>0</v>
      </c>
      <c r="P21" s="6">
        <v>0</v>
      </c>
      <c r="Q21" s="6">
        <v>3</v>
      </c>
      <c r="R21" s="6">
        <v>0</v>
      </c>
      <c r="S21" s="6">
        <v>0</v>
      </c>
    </row>
    <row r="22" spans="1:19" ht="15" x14ac:dyDescent="0.25">
      <c r="A22" s="7" t="s">
        <v>16</v>
      </c>
      <c r="B22" s="7" t="s">
        <v>17</v>
      </c>
      <c r="C22" s="7" t="s">
        <v>18</v>
      </c>
      <c r="D22" s="3">
        <v>5816630000152</v>
      </c>
      <c r="E22" s="8" t="s">
        <v>279</v>
      </c>
      <c r="F22" s="8" t="s">
        <v>278</v>
      </c>
      <c r="G22" s="8" t="s">
        <v>276</v>
      </c>
      <c r="H22" s="8" t="s">
        <v>795</v>
      </c>
      <c r="I22" s="3">
        <v>2</v>
      </c>
      <c r="J22" s="8" t="s">
        <v>778</v>
      </c>
      <c r="K22" s="8" t="s">
        <v>779</v>
      </c>
      <c r="L22" s="8" t="s">
        <v>730</v>
      </c>
      <c r="M22" s="1" t="s">
        <v>790</v>
      </c>
      <c r="N22" s="8" t="s">
        <v>791</v>
      </c>
      <c r="O22" s="6">
        <v>0</v>
      </c>
      <c r="P22" s="6">
        <v>0</v>
      </c>
      <c r="Q22" s="6">
        <v>0</v>
      </c>
      <c r="R22" s="6">
        <v>0</v>
      </c>
      <c r="S22" s="6">
        <v>150</v>
      </c>
    </row>
    <row r="23" spans="1:19" ht="15" x14ac:dyDescent="0.25">
      <c r="A23" s="7" t="s">
        <v>16</v>
      </c>
      <c r="B23" s="7" t="s">
        <v>17</v>
      </c>
      <c r="C23" s="7" t="s">
        <v>18</v>
      </c>
      <c r="D23" s="3">
        <v>5816630000152</v>
      </c>
      <c r="E23" s="8" t="s">
        <v>279</v>
      </c>
      <c r="F23" s="8" t="s">
        <v>278</v>
      </c>
      <c r="G23" s="8" t="s">
        <v>276</v>
      </c>
      <c r="H23" s="8" t="s">
        <v>795</v>
      </c>
      <c r="I23" s="3">
        <v>2</v>
      </c>
      <c r="J23" s="8" t="s">
        <v>746</v>
      </c>
      <c r="K23" s="8" t="s">
        <v>747</v>
      </c>
      <c r="L23" s="8" t="s">
        <v>723</v>
      </c>
      <c r="M23" s="1" t="s">
        <v>790</v>
      </c>
      <c r="N23" s="8" t="s">
        <v>791</v>
      </c>
      <c r="O23" s="6">
        <v>0</v>
      </c>
      <c r="P23" s="6">
        <v>18</v>
      </c>
      <c r="Q23" s="6">
        <v>0</v>
      </c>
      <c r="R23" s="6">
        <v>0</v>
      </c>
      <c r="S23" s="6">
        <v>150</v>
      </c>
    </row>
    <row r="24" spans="1:19" ht="15" x14ac:dyDescent="0.25">
      <c r="A24" s="7" t="s">
        <v>16</v>
      </c>
      <c r="B24" s="7" t="s">
        <v>17</v>
      </c>
      <c r="C24" s="7" t="s">
        <v>18</v>
      </c>
      <c r="D24" s="3">
        <v>15194004000125</v>
      </c>
      <c r="E24" s="8" t="s">
        <v>339</v>
      </c>
      <c r="F24" s="8" t="s">
        <v>278</v>
      </c>
      <c r="G24" s="8" t="s">
        <v>276</v>
      </c>
      <c r="H24" s="8" t="s">
        <v>795</v>
      </c>
      <c r="I24" s="3">
        <v>2</v>
      </c>
      <c r="J24" s="8" t="s">
        <v>778</v>
      </c>
      <c r="K24" s="8" t="s">
        <v>779</v>
      </c>
      <c r="L24" s="8" t="s">
        <v>730</v>
      </c>
      <c r="M24" s="1" t="s">
        <v>790</v>
      </c>
      <c r="N24" s="8" t="s">
        <v>791</v>
      </c>
      <c r="O24" s="6">
        <v>0</v>
      </c>
      <c r="P24" s="6">
        <v>0</v>
      </c>
      <c r="Q24" s="6">
        <v>0</v>
      </c>
      <c r="R24" s="6">
        <v>0</v>
      </c>
      <c r="S24" s="6">
        <v>0</v>
      </c>
    </row>
    <row r="25" spans="1:19" ht="15" x14ac:dyDescent="0.25">
      <c r="A25" s="7" t="s">
        <v>16</v>
      </c>
      <c r="B25" s="7" t="s">
        <v>17</v>
      </c>
      <c r="C25" s="7" t="s">
        <v>18</v>
      </c>
      <c r="D25" s="3">
        <v>15194004000125</v>
      </c>
      <c r="E25" s="8" t="s">
        <v>339</v>
      </c>
      <c r="F25" s="8" t="s">
        <v>278</v>
      </c>
      <c r="G25" s="8" t="s">
        <v>276</v>
      </c>
      <c r="H25" s="8" t="s">
        <v>795</v>
      </c>
      <c r="I25" s="3">
        <v>2</v>
      </c>
      <c r="J25" s="8" t="s">
        <v>746</v>
      </c>
      <c r="K25" s="8" t="s">
        <v>747</v>
      </c>
      <c r="L25" s="8" t="s">
        <v>723</v>
      </c>
      <c r="M25" s="1" t="s">
        <v>790</v>
      </c>
      <c r="N25" s="8" t="s">
        <v>791</v>
      </c>
      <c r="O25" s="6">
        <v>0</v>
      </c>
      <c r="P25" s="6">
        <v>2</v>
      </c>
      <c r="Q25" s="6">
        <v>0</v>
      </c>
      <c r="R25" s="6">
        <v>0</v>
      </c>
      <c r="S25" s="6">
        <v>0</v>
      </c>
    </row>
    <row r="26" spans="1:19" ht="15" x14ac:dyDescent="0.25">
      <c r="A26" s="7" t="s">
        <v>16</v>
      </c>
      <c r="B26" s="7" t="s">
        <v>17</v>
      </c>
      <c r="C26" s="7" t="s">
        <v>18</v>
      </c>
      <c r="D26" s="3">
        <v>5469172000122</v>
      </c>
      <c r="E26" s="8" t="s">
        <v>277</v>
      </c>
      <c r="F26" s="8" t="s">
        <v>278</v>
      </c>
      <c r="G26" s="8" t="s">
        <v>276</v>
      </c>
      <c r="H26" s="8" t="s">
        <v>795</v>
      </c>
      <c r="I26" s="3">
        <v>2</v>
      </c>
      <c r="J26" s="8" t="s">
        <v>778</v>
      </c>
      <c r="K26" s="8" t="s">
        <v>779</v>
      </c>
      <c r="L26" s="8" t="s">
        <v>730</v>
      </c>
      <c r="M26" s="1" t="s">
        <v>790</v>
      </c>
      <c r="N26" s="8" t="s">
        <v>791</v>
      </c>
      <c r="O26" s="6">
        <v>0</v>
      </c>
      <c r="P26" s="6">
        <v>0</v>
      </c>
      <c r="Q26" s="6">
        <v>0</v>
      </c>
      <c r="R26" s="6">
        <v>0</v>
      </c>
      <c r="S26" s="6">
        <v>0</v>
      </c>
    </row>
    <row r="27" spans="1:19" ht="15" x14ac:dyDescent="0.25">
      <c r="A27" s="7" t="s">
        <v>16</v>
      </c>
      <c r="B27" s="7" t="s">
        <v>17</v>
      </c>
      <c r="C27" s="7" t="s">
        <v>18</v>
      </c>
      <c r="D27" s="3">
        <v>5469172000122</v>
      </c>
      <c r="E27" s="8" t="s">
        <v>277</v>
      </c>
      <c r="F27" s="8" t="s">
        <v>278</v>
      </c>
      <c r="G27" s="8" t="s">
        <v>276</v>
      </c>
      <c r="H27" s="8" t="s">
        <v>795</v>
      </c>
      <c r="I27" s="3">
        <v>2</v>
      </c>
      <c r="J27" s="8" t="s">
        <v>746</v>
      </c>
      <c r="K27" s="8" t="s">
        <v>747</v>
      </c>
      <c r="L27" s="8" t="s">
        <v>723</v>
      </c>
      <c r="M27" s="1" t="s">
        <v>790</v>
      </c>
      <c r="N27" s="8" t="s">
        <v>791</v>
      </c>
      <c r="O27" s="6">
        <v>0</v>
      </c>
      <c r="P27" s="6">
        <v>6</v>
      </c>
      <c r="Q27" s="6">
        <v>0</v>
      </c>
      <c r="R27" s="6">
        <v>0</v>
      </c>
      <c r="S27" s="6">
        <v>0</v>
      </c>
    </row>
    <row r="28" spans="1:19" ht="15" x14ac:dyDescent="0.25">
      <c r="A28" s="7" t="s">
        <v>16</v>
      </c>
      <c r="B28" s="7" t="s">
        <v>17</v>
      </c>
      <c r="C28" s="7" t="s">
        <v>18</v>
      </c>
      <c r="D28" s="3">
        <v>13016092000140</v>
      </c>
      <c r="E28" s="8" t="s">
        <v>315</v>
      </c>
      <c r="F28" s="8" t="s">
        <v>278</v>
      </c>
      <c r="G28" s="8" t="s">
        <v>276</v>
      </c>
      <c r="H28" s="8" t="s">
        <v>795</v>
      </c>
      <c r="I28" s="3">
        <v>2</v>
      </c>
      <c r="J28" s="8" t="s">
        <v>778</v>
      </c>
      <c r="K28" s="8" t="s">
        <v>779</v>
      </c>
      <c r="L28" s="8" t="s">
        <v>730</v>
      </c>
      <c r="M28" s="1" t="s">
        <v>790</v>
      </c>
      <c r="N28" s="8" t="s">
        <v>791</v>
      </c>
      <c r="O28" s="6">
        <v>0</v>
      </c>
      <c r="P28" s="6">
        <v>0</v>
      </c>
      <c r="Q28" s="6">
        <v>0</v>
      </c>
      <c r="R28" s="6">
        <v>0</v>
      </c>
      <c r="S28" s="6">
        <v>0</v>
      </c>
    </row>
    <row r="29" spans="1:19" ht="15" x14ac:dyDescent="0.25">
      <c r="A29" s="7" t="s">
        <v>16</v>
      </c>
      <c r="B29" s="7" t="s">
        <v>17</v>
      </c>
      <c r="C29" s="7" t="s">
        <v>18</v>
      </c>
      <c r="D29" s="3">
        <v>13016092000140</v>
      </c>
      <c r="E29" s="8" t="s">
        <v>315</v>
      </c>
      <c r="F29" s="8" t="s">
        <v>278</v>
      </c>
      <c r="G29" s="8" t="s">
        <v>276</v>
      </c>
      <c r="H29" s="8" t="s">
        <v>795</v>
      </c>
      <c r="I29" s="3">
        <v>2</v>
      </c>
      <c r="J29" s="8" t="s">
        <v>746</v>
      </c>
      <c r="K29" s="8" t="s">
        <v>747</v>
      </c>
      <c r="L29" s="8" t="s">
        <v>723</v>
      </c>
      <c r="M29" s="1" t="s">
        <v>790</v>
      </c>
      <c r="N29" s="8" t="s">
        <v>791</v>
      </c>
      <c r="O29" s="6">
        <v>0</v>
      </c>
      <c r="P29" s="6">
        <v>10</v>
      </c>
      <c r="Q29" s="6">
        <v>0</v>
      </c>
      <c r="R29" s="6">
        <v>0</v>
      </c>
      <c r="S29" s="6">
        <v>0</v>
      </c>
    </row>
    <row r="30" spans="1:19" ht="15" x14ac:dyDescent="0.25">
      <c r="A30" s="7" t="s">
        <v>16</v>
      </c>
      <c r="B30" s="7" t="s">
        <v>17</v>
      </c>
      <c r="C30" s="7" t="s">
        <v>18</v>
      </c>
      <c r="D30" s="3">
        <v>15153745002705</v>
      </c>
      <c r="E30" s="8" t="s">
        <v>333</v>
      </c>
      <c r="F30" s="8" t="s">
        <v>278</v>
      </c>
      <c r="G30" s="8" t="s">
        <v>276</v>
      </c>
      <c r="H30" s="8" t="s">
        <v>795</v>
      </c>
      <c r="I30" s="3">
        <v>2</v>
      </c>
      <c r="J30" s="8" t="s">
        <v>778</v>
      </c>
      <c r="K30" s="8" t="s">
        <v>779</v>
      </c>
      <c r="L30" s="8" t="s">
        <v>730</v>
      </c>
      <c r="M30" s="1" t="s">
        <v>790</v>
      </c>
      <c r="N30" s="8" t="s">
        <v>791</v>
      </c>
      <c r="O30" s="6">
        <v>0</v>
      </c>
      <c r="P30" s="6">
        <v>0</v>
      </c>
      <c r="Q30" s="6">
        <v>0</v>
      </c>
      <c r="R30" s="6">
        <v>0</v>
      </c>
      <c r="S30" s="6">
        <v>0</v>
      </c>
    </row>
    <row r="31" spans="1:19" ht="15" x14ac:dyDescent="0.25">
      <c r="A31" s="7" t="s">
        <v>16</v>
      </c>
      <c r="B31" s="7" t="s">
        <v>17</v>
      </c>
      <c r="C31" s="7" t="s">
        <v>18</v>
      </c>
      <c r="D31" s="3">
        <v>15153745002705</v>
      </c>
      <c r="E31" s="8" t="s">
        <v>333</v>
      </c>
      <c r="F31" s="8" t="s">
        <v>278</v>
      </c>
      <c r="G31" s="8" t="s">
        <v>276</v>
      </c>
      <c r="H31" s="8" t="s">
        <v>795</v>
      </c>
      <c r="I31" s="3">
        <v>2</v>
      </c>
      <c r="J31" s="8" t="s">
        <v>746</v>
      </c>
      <c r="K31" s="8" t="s">
        <v>747</v>
      </c>
      <c r="L31" s="8" t="s">
        <v>723</v>
      </c>
      <c r="M31" s="1" t="s">
        <v>790</v>
      </c>
      <c r="N31" s="8" t="s">
        <v>791</v>
      </c>
      <c r="O31" s="6">
        <v>0</v>
      </c>
      <c r="P31" s="6">
        <v>11</v>
      </c>
      <c r="Q31" s="6">
        <v>0</v>
      </c>
      <c r="R31" s="6">
        <v>0</v>
      </c>
      <c r="S31" s="6">
        <v>0</v>
      </c>
    </row>
    <row r="32" spans="1:19" ht="15" x14ac:dyDescent="0.25">
      <c r="A32" s="7" t="s">
        <v>16</v>
      </c>
      <c r="B32" s="7" t="s">
        <v>17</v>
      </c>
      <c r="C32" s="7" t="s">
        <v>18</v>
      </c>
      <c r="D32" s="3">
        <v>15166416000151</v>
      </c>
      <c r="E32" s="8" t="s">
        <v>334</v>
      </c>
      <c r="F32" s="8" t="s">
        <v>278</v>
      </c>
      <c r="G32" s="8" t="s">
        <v>276</v>
      </c>
      <c r="H32" s="8" t="s">
        <v>795</v>
      </c>
      <c r="I32" s="3">
        <v>2</v>
      </c>
      <c r="J32" s="8" t="s">
        <v>778</v>
      </c>
      <c r="K32" s="8" t="s">
        <v>779</v>
      </c>
      <c r="L32" s="8" t="s">
        <v>730</v>
      </c>
      <c r="M32" s="1" t="s">
        <v>790</v>
      </c>
      <c r="N32" s="8" t="s">
        <v>791</v>
      </c>
      <c r="O32" s="6">
        <v>0</v>
      </c>
      <c r="P32" s="6">
        <v>0</v>
      </c>
      <c r="Q32" s="6">
        <v>0</v>
      </c>
      <c r="R32" s="6">
        <v>0</v>
      </c>
      <c r="S32" s="6">
        <v>0</v>
      </c>
    </row>
    <row r="33" spans="1:19" ht="15" x14ac:dyDescent="0.25">
      <c r="A33" s="7" t="s">
        <v>16</v>
      </c>
      <c r="B33" s="7" t="s">
        <v>17</v>
      </c>
      <c r="C33" s="7" t="s">
        <v>18</v>
      </c>
      <c r="D33" s="3">
        <v>15166416000151</v>
      </c>
      <c r="E33" s="8" t="s">
        <v>334</v>
      </c>
      <c r="F33" s="8" t="s">
        <v>278</v>
      </c>
      <c r="G33" s="8" t="s">
        <v>276</v>
      </c>
      <c r="H33" s="8" t="s">
        <v>795</v>
      </c>
      <c r="I33" s="3">
        <v>2</v>
      </c>
      <c r="J33" s="8" t="s">
        <v>746</v>
      </c>
      <c r="K33" s="8" t="s">
        <v>747</v>
      </c>
      <c r="L33" s="8" t="s">
        <v>723</v>
      </c>
      <c r="M33" s="1" t="s">
        <v>790</v>
      </c>
      <c r="N33" s="8" t="s">
        <v>791</v>
      </c>
      <c r="O33" s="6">
        <v>0</v>
      </c>
      <c r="P33" s="6">
        <v>17</v>
      </c>
      <c r="Q33" s="6">
        <v>11</v>
      </c>
      <c r="R33" s="6">
        <v>0</v>
      </c>
      <c r="S33" s="6">
        <v>0</v>
      </c>
    </row>
    <row r="34" spans="1:19" ht="15" x14ac:dyDescent="0.25">
      <c r="A34" s="7" t="s">
        <v>16</v>
      </c>
      <c r="B34" s="7" t="s">
        <v>17</v>
      </c>
      <c r="C34" s="7" t="s">
        <v>18</v>
      </c>
      <c r="D34" s="3">
        <v>15153745000249</v>
      </c>
      <c r="E34" s="8" t="s">
        <v>332</v>
      </c>
      <c r="F34" s="8" t="s">
        <v>278</v>
      </c>
      <c r="G34" s="8" t="s">
        <v>276</v>
      </c>
      <c r="H34" s="8" t="s">
        <v>795</v>
      </c>
      <c r="I34" s="3">
        <v>2</v>
      </c>
      <c r="J34" s="8" t="s">
        <v>778</v>
      </c>
      <c r="K34" s="8" t="s">
        <v>779</v>
      </c>
      <c r="L34" s="8" t="s">
        <v>730</v>
      </c>
      <c r="M34" s="1" t="s">
        <v>790</v>
      </c>
      <c r="N34" s="8" t="s">
        <v>791</v>
      </c>
      <c r="O34" s="6">
        <v>0</v>
      </c>
      <c r="P34" s="6">
        <v>0</v>
      </c>
      <c r="Q34" s="6">
        <v>0</v>
      </c>
      <c r="R34" s="6">
        <v>0</v>
      </c>
      <c r="S34" s="6">
        <v>0</v>
      </c>
    </row>
    <row r="35" spans="1:19" ht="15" x14ac:dyDescent="0.25">
      <c r="A35" s="7" t="s">
        <v>16</v>
      </c>
      <c r="B35" s="7" t="s">
        <v>17</v>
      </c>
      <c r="C35" s="7" t="s">
        <v>18</v>
      </c>
      <c r="D35" s="3">
        <v>15153745000249</v>
      </c>
      <c r="E35" s="8" t="s">
        <v>332</v>
      </c>
      <c r="F35" s="8" t="s">
        <v>278</v>
      </c>
      <c r="G35" s="8" t="s">
        <v>276</v>
      </c>
      <c r="H35" s="8" t="s">
        <v>795</v>
      </c>
      <c r="I35" s="3">
        <v>2</v>
      </c>
      <c r="J35" s="8" t="s">
        <v>746</v>
      </c>
      <c r="K35" s="8" t="s">
        <v>747</v>
      </c>
      <c r="L35" s="8" t="s">
        <v>723</v>
      </c>
      <c r="M35" s="1" t="s">
        <v>790</v>
      </c>
      <c r="N35" s="8" t="s">
        <v>791</v>
      </c>
      <c r="O35" s="6">
        <v>0</v>
      </c>
      <c r="P35" s="6">
        <v>0</v>
      </c>
      <c r="Q35" s="6">
        <v>2</v>
      </c>
      <c r="R35" s="6">
        <v>0</v>
      </c>
      <c r="S35" s="6">
        <v>0</v>
      </c>
    </row>
    <row r="36" spans="1:19" ht="15" x14ac:dyDescent="0.25">
      <c r="A36" s="7" t="s">
        <v>16</v>
      </c>
      <c r="B36" s="7" t="s">
        <v>17</v>
      </c>
      <c r="C36" s="7" t="s">
        <v>18</v>
      </c>
      <c r="D36" s="3">
        <v>27372066000169</v>
      </c>
      <c r="E36" s="8" t="s">
        <v>364</v>
      </c>
      <c r="F36" s="8" t="s">
        <v>278</v>
      </c>
      <c r="G36" s="8" t="s">
        <v>276</v>
      </c>
      <c r="H36" s="8" t="s">
        <v>795</v>
      </c>
      <c r="I36" s="3">
        <v>2</v>
      </c>
      <c r="J36" s="8" t="s">
        <v>778</v>
      </c>
      <c r="K36" s="8" t="s">
        <v>779</v>
      </c>
      <c r="L36" s="8" t="s">
        <v>730</v>
      </c>
      <c r="M36" s="1" t="s">
        <v>790</v>
      </c>
      <c r="N36" s="8" t="s">
        <v>791</v>
      </c>
      <c r="O36" s="6">
        <v>0</v>
      </c>
      <c r="P36" s="6">
        <v>0</v>
      </c>
      <c r="Q36" s="6">
        <v>0</v>
      </c>
      <c r="R36" s="6">
        <v>0</v>
      </c>
      <c r="S36" s="6">
        <v>0</v>
      </c>
    </row>
    <row r="37" spans="1:19" ht="15" x14ac:dyDescent="0.25">
      <c r="A37" s="7" t="s">
        <v>16</v>
      </c>
      <c r="B37" s="7" t="s">
        <v>17</v>
      </c>
      <c r="C37" s="7" t="s">
        <v>18</v>
      </c>
      <c r="D37" s="3">
        <v>27372066000169</v>
      </c>
      <c r="E37" s="8" t="s">
        <v>364</v>
      </c>
      <c r="F37" s="8" t="s">
        <v>278</v>
      </c>
      <c r="G37" s="8" t="s">
        <v>276</v>
      </c>
      <c r="H37" s="8" t="s">
        <v>795</v>
      </c>
      <c r="I37" s="3">
        <v>2</v>
      </c>
      <c r="J37" s="8" t="s">
        <v>746</v>
      </c>
      <c r="K37" s="8" t="s">
        <v>747</v>
      </c>
      <c r="L37" s="8" t="s">
        <v>723</v>
      </c>
      <c r="M37" s="1" t="s">
        <v>790</v>
      </c>
      <c r="N37" s="8" t="s">
        <v>791</v>
      </c>
      <c r="O37" s="6">
        <v>0</v>
      </c>
      <c r="P37" s="6">
        <v>17</v>
      </c>
      <c r="Q37" s="6">
        <v>0</v>
      </c>
      <c r="R37" s="6">
        <v>0</v>
      </c>
      <c r="S37" s="6">
        <v>0</v>
      </c>
    </row>
    <row r="38" spans="1:19" ht="15" x14ac:dyDescent="0.25">
      <c r="A38" s="7" t="s">
        <v>16</v>
      </c>
      <c r="B38" s="7" t="s">
        <v>17</v>
      </c>
      <c r="C38" s="7" t="s">
        <v>18</v>
      </c>
      <c r="D38" s="3">
        <v>12361267010318</v>
      </c>
      <c r="E38" s="8" t="s">
        <v>313</v>
      </c>
      <c r="F38" s="8" t="s">
        <v>278</v>
      </c>
      <c r="G38" s="8" t="s">
        <v>276</v>
      </c>
      <c r="H38" s="8" t="s">
        <v>795</v>
      </c>
      <c r="I38" s="3">
        <v>2</v>
      </c>
      <c r="J38" s="8" t="s">
        <v>778</v>
      </c>
      <c r="K38" s="8" t="s">
        <v>779</v>
      </c>
      <c r="L38" s="8" t="s">
        <v>730</v>
      </c>
      <c r="M38" s="1" t="s">
        <v>790</v>
      </c>
      <c r="N38" s="8" t="s">
        <v>791</v>
      </c>
      <c r="O38" s="6">
        <v>0</v>
      </c>
      <c r="P38" s="6">
        <v>0</v>
      </c>
      <c r="Q38" s="6">
        <v>0</v>
      </c>
      <c r="R38" s="6">
        <v>0</v>
      </c>
      <c r="S38" s="6">
        <v>290</v>
      </c>
    </row>
    <row r="39" spans="1:19" ht="15" x14ac:dyDescent="0.25">
      <c r="A39" s="7" t="s">
        <v>16</v>
      </c>
      <c r="B39" s="7" t="s">
        <v>17</v>
      </c>
      <c r="C39" s="7" t="s">
        <v>18</v>
      </c>
      <c r="D39" s="3">
        <v>12361267010318</v>
      </c>
      <c r="E39" s="8" t="s">
        <v>313</v>
      </c>
      <c r="F39" s="8" t="s">
        <v>278</v>
      </c>
      <c r="G39" s="8" t="s">
        <v>276</v>
      </c>
      <c r="H39" s="8" t="s">
        <v>795</v>
      </c>
      <c r="I39" s="3">
        <v>2</v>
      </c>
      <c r="J39" s="8" t="s">
        <v>746</v>
      </c>
      <c r="K39" s="8" t="s">
        <v>747</v>
      </c>
      <c r="L39" s="8" t="s">
        <v>723</v>
      </c>
      <c r="M39" s="1" t="s">
        <v>790</v>
      </c>
      <c r="N39" s="8" t="s">
        <v>791</v>
      </c>
      <c r="O39" s="6">
        <v>0</v>
      </c>
      <c r="P39" s="6">
        <v>7</v>
      </c>
      <c r="Q39" s="6">
        <v>0</v>
      </c>
      <c r="R39" s="6">
        <v>0</v>
      </c>
      <c r="S39" s="6">
        <v>290</v>
      </c>
    </row>
    <row r="40" spans="1:19" ht="15" x14ac:dyDescent="0.25">
      <c r="A40" s="7" t="s">
        <v>16</v>
      </c>
      <c r="B40" s="7" t="s">
        <v>17</v>
      </c>
      <c r="C40" s="7" t="s">
        <v>18</v>
      </c>
      <c r="D40" s="3">
        <v>15170723000106</v>
      </c>
      <c r="E40" s="8" t="s">
        <v>335</v>
      </c>
      <c r="F40" s="8" t="s">
        <v>278</v>
      </c>
      <c r="G40" s="8" t="s">
        <v>276</v>
      </c>
      <c r="H40" s="8" t="s">
        <v>795</v>
      </c>
      <c r="I40" s="3">
        <v>2</v>
      </c>
      <c r="J40" s="8" t="s">
        <v>778</v>
      </c>
      <c r="K40" s="8" t="s">
        <v>779</v>
      </c>
      <c r="L40" s="8" t="s">
        <v>730</v>
      </c>
      <c r="M40" s="1" t="s">
        <v>790</v>
      </c>
      <c r="N40" s="8" t="s">
        <v>791</v>
      </c>
      <c r="O40" s="6">
        <v>0</v>
      </c>
      <c r="P40" s="6">
        <v>0</v>
      </c>
      <c r="Q40" s="6">
        <v>0</v>
      </c>
      <c r="R40" s="6">
        <v>0</v>
      </c>
      <c r="S40" s="6">
        <v>300</v>
      </c>
    </row>
    <row r="41" spans="1:19" ht="15" x14ac:dyDescent="0.25">
      <c r="A41" s="7" t="s">
        <v>16</v>
      </c>
      <c r="B41" s="7" t="s">
        <v>17</v>
      </c>
      <c r="C41" s="7" t="s">
        <v>18</v>
      </c>
      <c r="D41" s="3">
        <v>15170723000106</v>
      </c>
      <c r="E41" s="8" t="s">
        <v>335</v>
      </c>
      <c r="F41" s="8" t="s">
        <v>278</v>
      </c>
      <c r="G41" s="8" t="s">
        <v>276</v>
      </c>
      <c r="H41" s="8" t="s">
        <v>795</v>
      </c>
      <c r="I41" s="3">
        <v>2</v>
      </c>
      <c r="J41" s="8" t="s">
        <v>746</v>
      </c>
      <c r="K41" s="8" t="s">
        <v>747</v>
      </c>
      <c r="L41" s="8" t="s">
        <v>723</v>
      </c>
      <c r="M41" s="1" t="s">
        <v>790</v>
      </c>
      <c r="N41" s="8" t="s">
        <v>791</v>
      </c>
      <c r="O41" s="6">
        <v>0</v>
      </c>
      <c r="P41" s="6">
        <v>11</v>
      </c>
      <c r="Q41" s="6">
        <v>1</v>
      </c>
      <c r="R41" s="6">
        <v>0</v>
      </c>
      <c r="S41" s="6">
        <v>300</v>
      </c>
    </row>
    <row r="42" spans="1:19" ht="15" x14ac:dyDescent="0.25">
      <c r="A42" s="7" t="s">
        <v>16</v>
      </c>
      <c r="B42" s="7" t="s">
        <v>17</v>
      </c>
      <c r="C42" s="7" t="s">
        <v>18</v>
      </c>
      <c r="D42" s="3">
        <v>15180714000368</v>
      </c>
      <c r="E42" s="8" t="s">
        <v>337</v>
      </c>
      <c r="F42" s="8" t="s">
        <v>278</v>
      </c>
      <c r="G42" s="8" t="s">
        <v>276</v>
      </c>
      <c r="H42" s="8" t="s">
        <v>795</v>
      </c>
      <c r="I42" s="3">
        <v>2</v>
      </c>
      <c r="J42" s="8" t="s">
        <v>778</v>
      </c>
      <c r="K42" s="8" t="s">
        <v>779</v>
      </c>
      <c r="L42" s="8" t="s">
        <v>730</v>
      </c>
      <c r="M42" s="1" t="s">
        <v>790</v>
      </c>
      <c r="N42" s="8" t="s">
        <v>791</v>
      </c>
      <c r="O42" s="6">
        <v>0</v>
      </c>
      <c r="P42" s="6">
        <v>0</v>
      </c>
      <c r="Q42" s="6">
        <v>0</v>
      </c>
      <c r="R42" s="6">
        <v>0</v>
      </c>
      <c r="S42" s="6">
        <v>0</v>
      </c>
    </row>
    <row r="43" spans="1:19" ht="15" x14ac:dyDescent="0.25">
      <c r="A43" s="7" t="s">
        <v>16</v>
      </c>
      <c r="B43" s="7" t="s">
        <v>17</v>
      </c>
      <c r="C43" s="7" t="s">
        <v>18</v>
      </c>
      <c r="D43" s="3">
        <v>15180714000368</v>
      </c>
      <c r="E43" s="8" t="s">
        <v>337</v>
      </c>
      <c r="F43" s="8" t="s">
        <v>278</v>
      </c>
      <c r="G43" s="8" t="s">
        <v>276</v>
      </c>
      <c r="H43" s="8" t="s">
        <v>795</v>
      </c>
      <c r="I43" s="3">
        <v>2</v>
      </c>
      <c r="J43" s="8" t="s">
        <v>746</v>
      </c>
      <c r="K43" s="8" t="s">
        <v>747</v>
      </c>
      <c r="L43" s="8" t="s">
        <v>723</v>
      </c>
      <c r="M43" s="1" t="s">
        <v>790</v>
      </c>
      <c r="N43" s="8" t="s">
        <v>791</v>
      </c>
      <c r="O43" s="6">
        <v>0</v>
      </c>
      <c r="P43" s="6">
        <v>12</v>
      </c>
      <c r="Q43" s="6">
        <v>0</v>
      </c>
      <c r="R43" s="6">
        <v>0</v>
      </c>
      <c r="S43" s="6">
        <v>0</v>
      </c>
    </row>
    <row r="44" spans="1:19" ht="15" x14ac:dyDescent="0.25">
      <c r="A44" s="7" t="s">
        <v>16</v>
      </c>
      <c r="B44" s="7" t="s">
        <v>17</v>
      </c>
      <c r="C44" s="7" t="s">
        <v>18</v>
      </c>
      <c r="D44" s="3">
        <v>15242761000127</v>
      </c>
      <c r="E44" s="8" t="s">
        <v>340</v>
      </c>
      <c r="F44" s="8" t="s">
        <v>278</v>
      </c>
      <c r="G44" s="8" t="s">
        <v>276</v>
      </c>
      <c r="H44" s="8" t="s">
        <v>795</v>
      </c>
      <c r="I44" s="3">
        <v>2</v>
      </c>
      <c r="J44" s="8" t="s">
        <v>778</v>
      </c>
      <c r="K44" s="8" t="s">
        <v>779</v>
      </c>
      <c r="L44" s="8" t="s">
        <v>730</v>
      </c>
      <c r="M44" s="1" t="s">
        <v>790</v>
      </c>
      <c r="N44" s="8" t="s">
        <v>791</v>
      </c>
      <c r="O44" s="6">
        <v>0</v>
      </c>
      <c r="P44" s="6">
        <v>0</v>
      </c>
      <c r="Q44" s="6">
        <v>0</v>
      </c>
      <c r="R44" s="6">
        <v>114</v>
      </c>
      <c r="S44" s="6">
        <v>100</v>
      </c>
    </row>
    <row r="45" spans="1:19" ht="15" x14ac:dyDescent="0.25">
      <c r="A45" s="7" t="s">
        <v>16</v>
      </c>
      <c r="B45" s="7" t="s">
        <v>17</v>
      </c>
      <c r="C45" s="7" t="s">
        <v>18</v>
      </c>
      <c r="D45" s="3">
        <v>15242761000127</v>
      </c>
      <c r="E45" s="8" t="s">
        <v>340</v>
      </c>
      <c r="F45" s="8" t="s">
        <v>278</v>
      </c>
      <c r="G45" s="8" t="s">
        <v>276</v>
      </c>
      <c r="H45" s="8" t="s">
        <v>795</v>
      </c>
      <c r="I45" s="3">
        <v>2</v>
      </c>
      <c r="J45" s="8" t="s">
        <v>746</v>
      </c>
      <c r="K45" s="8" t="s">
        <v>747</v>
      </c>
      <c r="L45" s="8" t="s">
        <v>723</v>
      </c>
      <c r="M45" s="1" t="s">
        <v>790</v>
      </c>
      <c r="N45" s="8" t="s">
        <v>791</v>
      </c>
      <c r="O45" s="6">
        <v>0</v>
      </c>
      <c r="P45" s="6">
        <v>0</v>
      </c>
      <c r="Q45" s="6">
        <v>0</v>
      </c>
      <c r="R45" s="6">
        <v>0</v>
      </c>
      <c r="S45" s="6">
        <v>100</v>
      </c>
    </row>
    <row r="46" spans="1:19" ht="15" x14ac:dyDescent="0.25">
      <c r="A46" s="7" t="s">
        <v>16</v>
      </c>
      <c r="B46" s="7" t="s">
        <v>17</v>
      </c>
      <c r="C46" s="7" t="s">
        <v>18</v>
      </c>
      <c r="D46" s="3">
        <v>15180714000520</v>
      </c>
      <c r="E46" s="8" t="s">
        <v>338</v>
      </c>
      <c r="F46" s="8" t="s">
        <v>278</v>
      </c>
      <c r="G46" s="8" t="s">
        <v>276</v>
      </c>
      <c r="H46" s="8" t="s">
        <v>795</v>
      </c>
      <c r="I46" s="3">
        <v>2</v>
      </c>
      <c r="J46" s="8" t="s">
        <v>778</v>
      </c>
      <c r="K46" s="8" t="s">
        <v>779</v>
      </c>
      <c r="L46" s="8" t="s">
        <v>730</v>
      </c>
      <c r="M46" s="1" t="s">
        <v>790</v>
      </c>
      <c r="N46" s="8" t="s">
        <v>791</v>
      </c>
      <c r="O46" s="6">
        <v>0</v>
      </c>
      <c r="P46" s="6">
        <v>0</v>
      </c>
      <c r="Q46" s="6">
        <v>0</v>
      </c>
      <c r="R46" s="6">
        <v>0</v>
      </c>
      <c r="S46" s="6">
        <v>0</v>
      </c>
    </row>
    <row r="47" spans="1:19" ht="15" x14ac:dyDescent="0.25">
      <c r="A47" s="7" t="s">
        <v>16</v>
      </c>
      <c r="B47" s="7" t="s">
        <v>17</v>
      </c>
      <c r="C47" s="7" t="s">
        <v>18</v>
      </c>
      <c r="D47" s="3">
        <v>15180714000520</v>
      </c>
      <c r="E47" s="8" t="s">
        <v>338</v>
      </c>
      <c r="F47" s="8" t="s">
        <v>278</v>
      </c>
      <c r="G47" s="8" t="s">
        <v>276</v>
      </c>
      <c r="H47" s="8" t="s">
        <v>795</v>
      </c>
      <c r="I47" s="3">
        <v>2</v>
      </c>
      <c r="J47" s="8" t="s">
        <v>746</v>
      </c>
      <c r="K47" s="8" t="s">
        <v>747</v>
      </c>
      <c r="L47" s="8" t="s">
        <v>723</v>
      </c>
      <c r="M47" s="1" t="s">
        <v>790</v>
      </c>
      <c r="N47" s="8" t="s">
        <v>791</v>
      </c>
      <c r="O47" s="6">
        <v>0</v>
      </c>
      <c r="P47" s="6">
        <v>0</v>
      </c>
      <c r="Q47" s="6">
        <v>5</v>
      </c>
      <c r="R47" s="6">
        <v>0</v>
      </c>
      <c r="S47" s="6">
        <v>0</v>
      </c>
    </row>
    <row r="48" spans="1:19" ht="15" x14ac:dyDescent="0.25">
      <c r="A48" s="7" t="s">
        <v>16</v>
      </c>
      <c r="B48" s="7" t="s">
        <v>17</v>
      </c>
      <c r="C48" s="7" t="s">
        <v>18</v>
      </c>
      <c r="D48" s="3">
        <v>13284872000170</v>
      </c>
      <c r="E48" s="8" t="s">
        <v>564</v>
      </c>
      <c r="F48" s="8" t="s">
        <v>565</v>
      </c>
      <c r="G48" s="8" t="s">
        <v>276</v>
      </c>
      <c r="H48" s="8" t="s">
        <v>795</v>
      </c>
      <c r="I48" s="3">
        <v>2</v>
      </c>
      <c r="J48" s="8" t="s">
        <v>778</v>
      </c>
      <c r="K48" s="8" t="s">
        <v>779</v>
      </c>
      <c r="L48" s="8" t="s">
        <v>730</v>
      </c>
      <c r="M48" s="1" t="s">
        <v>790</v>
      </c>
      <c r="N48" s="8" t="s">
        <v>791</v>
      </c>
      <c r="O48" s="6">
        <v>0</v>
      </c>
      <c r="P48" s="6">
        <v>0</v>
      </c>
      <c r="Q48" s="6">
        <v>0</v>
      </c>
      <c r="R48" s="6">
        <v>0</v>
      </c>
      <c r="S48" s="6">
        <v>5</v>
      </c>
    </row>
    <row r="49" spans="1:19" ht="15" x14ac:dyDescent="0.25">
      <c r="A49" s="7" t="s">
        <v>16</v>
      </c>
      <c r="B49" s="7" t="s">
        <v>17</v>
      </c>
      <c r="C49" s="7" t="s">
        <v>18</v>
      </c>
      <c r="D49" s="3">
        <v>13284872000170</v>
      </c>
      <c r="E49" s="8" t="s">
        <v>564</v>
      </c>
      <c r="F49" s="8" t="s">
        <v>565</v>
      </c>
      <c r="G49" s="8" t="s">
        <v>276</v>
      </c>
      <c r="H49" s="8" t="s">
        <v>795</v>
      </c>
      <c r="I49" s="3">
        <v>2</v>
      </c>
      <c r="J49" s="8" t="s">
        <v>746</v>
      </c>
      <c r="K49" s="8" t="s">
        <v>747</v>
      </c>
      <c r="L49" s="8" t="s">
        <v>723</v>
      </c>
      <c r="M49" s="1" t="s">
        <v>790</v>
      </c>
      <c r="N49" s="8" t="s">
        <v>791</v>
      </c>
      <c r="O49" s="6">
        <v>0</v>
      </c>
      <c r="P49" s="6">
        <v>0</v>
      </c>
      <c r="Q49" s="6">
        <v>0</v>
      </c>
      <c r="R49" s="6">
        <v>0</v>
      </c>
      <c r="S49" s="6">
        <v>5</v>
      </c>
    </row>
    <row r="50" spans="1:19" ht="15" x14ac:dyDescent="0.25">
      <c r="A50" s="7" t="s">
        <v>16</v>
      </c>
      <c r="B50" s="7" t="s">
        <v>17</v>
      </c>
      <c r="C50" s="7" t="s">
        <v>18</v>
      </c>
      <c r="D50" s="3">
        <v>12361267011802</v>
      </c>
      <c r="E50" s="8" t="s">
        <v>314</v>
      </c>
      <c r="F50" s="8" t="s">
        <v>281</v>
      </c>
      <c r="G50" s="8" t="s">
        <v>282</v>
      </c>
      <c r="H50" s="8" t="s">
        <v>795</v>
      </c>
      <c r="I50" s="3">
        <v>2</v>
      </c>
      <c r="J50" s="8" t="s">
        <v>778</v>
      </c>
      <c r="K50" s="8" t="s">
        <v>779</v>
      </c>
      <c r="L50" s="8" t="s">
        <v>730</v>
      </c>
      <c r="M50" s="1" t="s">
        <v>790</v>
      </c>
      <c r="N50" s="8" t="s">
        <v>791</v>
      </c>
      <c r="O50" s="6">
        <v>0</v>
      </c>
      <c r="P50" s="6">
        <v>0</v>
      </c>
      <c r="Q50" s="6">
        <v>0</v>
      </c>
      <c r="R50" s="6">
        <v>0</v>
      </c>
      <c r="S50" s="6">
        <v>0</v>
      </c>
    </row>
    <row r="51" spans="1:19" ht="15" x14ac:dyDescent="0.25">
      <c r="A51" s="7" t="s">
        <v>16</v>
      </c>
      <c r="B51" s="7" t="s">
        <v>17</v>
      </c>
      <c r="C51" s="7" t="s">
        <v>18</v>
      </c>
      <c r="D51" s="3">
        <v>12361267011802</v>
      </c>
      <c r="E51" s="8" t="s">
        <v>314</v>
      </c>
      <c r="F51" s="8" t="s">
        <v>281</v>
      </c>
      <c r="G51" s="8" t="s">
        <v>282</v>
      </c>
      <c r="H51" s="8" t="s">
        <v>795</v>
      </c>
      <c r="I51" s="3">
        <v>2</v>
      </c>
      <c r="J51" s="8" t="s">
        <v>744</v>
      </c>
      <c r="K51" s="8" t="s">
        <v>745</v>
      </c>
      <c r="L51" s="8" t="s">
        <v>723</v>
      </c>
      <c r="M51" s="1" t="s">
        <v>790</v>
      </c>
      <c r="N51" s="8" t="s">
        <v>791</v>
      </c>
      <c r="O51" s="6">
        <v>0</v>
      </c>
      <c r="P51" s="6">
        <v>4</v>
      </c>
      <c r="Q51" s="6">
        <v>6</v>
      </c>
      <c r="R51" s="6">
        <v>0</v>
      </c>
      <c r="S51" s="6">
        <v>0</v>
      </c>
    </row>
    <row r="52" spans="1:19" ht="15" x14ac:dyDescent="0.25">
      <c r="A52" s="7" t="s">
        <v>16</v>
      </c>
      <c r="B52" s="7" t="s">
        <v>17</v>
      </c>
      <c r="C52" s="7" t="s">
        <v>18</v>
      </c>
      <c r="D52" s="3">
        <v>74031865000151</v>
      </c>
      <c r="E52" s="8" t="s">
        <v>383</v>
      </c>
      <c r="F52" s="8" t="s">
        <v>281</v>
      </c>
      <c r="G52" s="8" t="s">
        <v>282</v>
      </c>
      <c r="H52" s="8" t="s">
        <v>795</v>
      </c>
      <c r="I52" s="3">
        <v>2</v>
      </c>
      <c r="J52" s="8" t="s">
        <v>778</v>
      </c>
      <c r="K52" s="8" t="s">
        <v>779</v>
      </c>
      <c r="L52" s="8" t="s">
        <v>730</v>
      </c>
      <c r="M52" s="1" t="s">
        <v>790</v>
      </c>
      <c r="N52" s="8" t="s">
        <v>791</v>
      </c>
      <c r="O52" s="6">
        <v>0</v>
      </c>
      <c r="P52" s="6">
        <v>0</v>
      </c>
      <c r="Q52" s="6">
        <v>0</v>
      </c>
      <c r="R52" s="6">
        <v>0</v>
      </c>
      <c r="S52" s="6">
        <v>0</v>
      </c>
    </row>
    <row r="53" spans="1:19" ht="15" x14ac:dyDescent="0.25">
      <c r="A53" s="7" t="s">
        <v>16</v>
      </c>
      <c r="B53" s="7" t="s">
        <v>17</v>
      </c>
      <c r="C53" s="7" t="s">
        <v>18</v>
      </c>
      <c r="D53" s="3">
        <v>74031865000151</v>
      </c>
      <c r="E53" s="8" t="s">
        <v>383</v>
      </c>
      <c r="F53" s="8" t="s">
        <v>281</v>
      </c>
      <c r="G53" s="8" t="s">
        <v>282</v>
      </c>
      <c r="H53" s="8" t="s">
        <v>795</v>
      </c>
      <c r="I53" s="3">
        <v>2</v>
      </c>
      <c r="J53" s="8" t="s">
        <v>744</v>
      </c>
      <c r="K53" s="8" t="s">
        <v>745</v>
      </c>
      <c r="L53" s="8" t="s">
        <v>723</v>
      </c>
      <c r="M53" s="1" t="s">
        <v>790</v>
      </c>
      <c r="N53" s="8" t="s">
        <v>791</v>
      </c>
      <c r="O53" s="6">
        <v>0</v>
      </c>
      <c r="P53" s="6">
        <v>100</v>
      </c>
      <c r="Q53" s="6">
        <v>420</v>
      </c>
      <c r="R53" s="6">
        <v>0</v>
      </c>
      <c r="S53" s="6">
        <v>0</v>
      </c>
    </row>
    <row r="54" spans="1:19" ht="15" x14ac:dyDescent="0.25">
      <c r="A54" s="7" t="s">
        <v>16</v>
      </c>
      <c r="B54" s="7" t="s">
        <v>17</v>
      </c>
      <c r="C54" s="7" t="s">
        <v>18</v>
      </c>
      <c r="D54" s="3">
        <v>7272404000183</v>
      </c>
      <c r="E54" s="8" t="s">
        <v>551</v>
      </c>
      <c r="F54" s="8" t="s">
        <v>281</v>
      </c>
      <c r="G54" s="8" t="s">
        <v>282</v>
      </c>
      <c r="H54" s="8" t="s">
        <v>795</v>
      </c>
      <c r="I54" s="3">
        <v>2</v>
      </c>
      <c r="J54" s="8" t="s">
        <v>778</v>
      </c>
      <c r="K54" s="8" t="s">
        <v>779</v>
      </c>
      <c r="L54" s="8" t="s">
        <v>730</v>
      </c>
      <c r="M54" s="1" t="s">
        <v>790</v>
      </c>
      <c r="N54" s="8" t="s">
        <v>791</v>
      </c>
      <c r="O54" s="6">
        <v>0</v>
      </c>
      <c r="P54" s="6">
        <v>0</v>
      </c>
      <c r="Q54" s="6">
        <v>0</v>
      </c>
      <c r="R54" s="6">
        <v>0</v>
      </c>
      <c r="S54" s="6">
        <v>120</v>
      </c>
    </row>
    <row r="55" spans="1:19" ht="15" x14ac:dyDescent="0.25">
      <c r="A55" s="7" t="s">
        <v>16</v>
      </c>
      <c r="B55" s="7" t="s">
        <v>17</v>
      </c>
      <c r="C55" s="7" t="s">
        <v>18</v>
      </c>
      <c r="D55" s="3">
        <v>7272404000183</v>
      </c>
      <c r="E55" s="8" t="s">
        <v>551</v>
      </c>
      <c r="F55" s="8" t="s">
        <v>281</v>
      </c>
      <c r="G55" s="8" t="s">
        <v>282</v>
      </c>
      <c r="H55" s="8" t="s">
        <v>795</v>
      </c>
      <c r="I55" s="3">
        <v>2</v>
      </c>
      <c r="J55" s="8" t="s">
        <v>744</v>
      </c>
      <c r="K55" s="8" t="s">
        <v>745</v>
      </c>
      <c r="L55" s="8" t="s">
        <v>723</v>
      </c>
      <c r="M55" s="1" t="s">
        <v>790</v>
      </c>
      <c r="N55" s="8" t="s">
        <v>791</v>
      </c>
      <c r="O55" s="6">
        <v>0</v>
      </c>
      <c r="P55" s="6">
        <v>0</v>
      </c>
      <c r="Q55" s="6">
        <v>0</v>
      </c>
      <c r="R55" s="6">
        <v>0</v>
      </c>
      <c r="S55" s="6">
        <v>120</v>
      </c>
    </row>
    <row r="56" spans="1:19" ht="15" x14ac:dyDescent="0.25">
      <c r="A56" s="7" t="s">
        <v>16</v>
      </c>
      <c r="B56" s="7" t="s">
        <v>17</v>
      </c>
      <c r="C56" s="7" t="s">
        <v>18</v>
      </c>
      <c r="D56" s="3">
        <v>5874946000109</v>
      </c>
      <c r="E56" s="8" t="s">
        <v>284</v>
      </c>
      <c r="F56" s="8" t="s">
        <v>281</v>
      </c>
      <c r="G56" s="8" t="s">
        <v>282</v>
      </c>
      <c r="H56" s="8" t="s">
        <v>795</v>
      </c>
      <c r="I56" s="3">
        <v>2</v>
      </c>
      <c r="J56" s="8" t="s">
        <v>778</v>
      </c>
      <c r="K56" s="8" t="s">
        <v>779</v>
      </c>
      <c r="L56" s="8" t="s">
        <v>730</v>
      </c>
      <c r="M56" s="1" t="s">
        <v>790</v>
      </c>
      <c r="N56" s="8" t="s">
        <v>791</v>
      </c>
      <c r="O56" s="6">
        <v>0</v>
      </c>
      <c r="P56" s="6">
        <v>0</v>
      </c>
      <c r="Q56" s="6">
        <v>0</v>
      </c>
      <c r="R56" s="6">
        <v>0</v>
      </c>
      <c r="S56" s="6">
        <v>0</v>
      </c>
    </row>
    <row r="57" spans="1:19" ht="15" x14ac:dyDescent="0.25">
      <c r="A57" s="7" t="s">
        <v>16</v>
      </c>
      <c r="B57" s="7" t="s">
        <v>17</v>
      </c>
      <c r="C57" s="7" t="s">
        <v>18</v>
      </c>
      <c r="D57" s="3">
        <v>5874946000109</v>
      </c>
      <c r="E57" s="8" t="s">
        <v>284</v>
      </c>
      <c r="F57" s="8" t="s">
        <v>281</v>
      </c>
      <c r="G57" s="8" t="s">
        <v>282</v>
      </c>
      <c r="H57" s="8" t="s">
        <v>795</v>
      </c>
      <c r="I57" s="3">
        <v>2</v>
      </c>
      <c r="J57" s="8" t="s">
        <v>744</v>
      </c>
      <c r="K57" s="8" t="s">
        <v>745</v>
      </c>
      <c r="L57" s="8" t="s">
        <v>723</v>
      </c>
      <c r="M57" s="1" t="s">
        <v>790</v>
      </c>
      <c r="N57" s="8" t="s">
        <v>791</v>
      </c>
      <c r="O57" s="6">
        <v>0</v>
      </c>
      <c r="P57" s="6">
        <v>2</v>
      </c>
      <c r="Q57" s="6">
        <v>6</v>
      </c>
      <c r="R57" s="6">
        <v>0</v>
      </c>
      <c r="S57" s="6">
        <v>0</v>
      </c>
    </row>
    <row r="58" spans="1:19" ht="15" x14ac:dyDescent="0.25">
      <c r="A58" s="7" t="s">
        <v>16</v>
      </c>
      <c r="B58" s="7" t="s">
        <v>17</v>
      </c>
      <c r="C58" s="7" t="s">
        <v>18</v>
      </c>
      <c r="D58" s="3">
        <v>60975737003509</v>
      </c>
      <c r="E58" s="8" t="s">
        <v>381</v>
      </c>
      <c r="F58" s="8" t="s">
        <v>281</v>
      </c>
      <c r="G58" s="8" t="s">
        <v>282</v>
      </c>
      <c r="H58" s="8" t="s">
        <v>795</v>
      </c>
      <c r="I58" s="3">
        <v>2</v>
      </c>
      <c r="J58" s="8" t="s">
        <v>778</v>
      </c>
      <c r="K58" s="8" t="s">
        <v>779</v>
      </c>
      <c r="L58" s="8" t="s">
        <v>730</v>
      </c>
      <c r="M58" s="1" t="s">
        <v>790</v>
      </c>
      <c r="N58" s="8" t="s">
        <v>791</v>
      </c>
      <c r="O58" s="6">
        <v>0</v>
      </c>
      <c r="P58" s="6">
        <v>0</v>
      </c>
      <c r="Q58" s="6">
        <v>0</v>
      </c>
      <c r="R58" s="6">
        <v>0</v>
      </c>
      <c r="S58" s="6">
        <v>0</v>
      </c>
    </row>
    <row r="59" spans="1:19" ht="15" x14ac:dyDescent="0.25">
      <c r="A59" s="7" t="s">
        <v>16</v>
      </c>
      <c r="B59" s="7" t="s">
        <v>17</v>
      </c>
      <c r="C59" s="7" t="s">
        <v>18</v>
      </c>
      <c r="D59" s="3">
        <v>60975737003509</v>
      </c>
      <c r="E59" s="8" t="s">
        <v>381</v>
      </c>
      <c r="F59" s="8" t="s">
        <v>281</v>
      </c>
      <c r="G59" s="8" t="s">
        <v>282</v>
      </c>
      <c r="H59" s="8" t="s">
        <v>795</v>
      </c>
      <c r="I59" s="3">
        <v>2</v>
      </c>
      <c r="J59" s="8" t="s">
        <v>744</v>
      </c>
      <c r="K59" s="8" t="s">
        <v>745</v>
      </c>
      <c r="L59" s="8" t="s">
        <v>723</v>
      </c>
      <c r="M59" s="1" t="s">
        <v>790</v>
      </c>
      <c r="N59" s="8" t="s">
        <v>791</v>
      </c>
      <c r="O59" s="6">
        <v>0</v>
      </c>
      <c r="P59" s="6">
        <v>4</v>
      </c>
      <c r="Q59" s="6">
        <v>12</v>
      </c>
      <c r="R59" s="6">
        <v>0</v>
      </c>
      <c r="S59" s="6">
        <v>0</v>
      </c>
    </row>
    <row r="60" spans="1:19" ht="15" x14ac:dyDescent="0.25">
      <c r="A60" s="7" t="s">
        <v>16</v>
      </c>
      <c r="B60" s="7" t="s">
        <v>17</v>
      </c>
      <c r="C60" s="7" t="s">
        <v>18</v>
      </c>
      <c r="D60" s="3">
        <v>5868278000280</v>
      </c>
      <c r="E60" s="8" t="s">
        <v>283</v>
      </c>
      <c r="F60" s="8" t="s">
        <v>281</v>
      </c>
      <c r="G60" s="8" t="s">
        <v>282</v>
      </c>
      <c r="H60" s="8" t="s">
        <v>795</v>
      </c>
      <c r="I60" s="3">
        <v>2</v>
      </c>
      <c r="J60" s="8" t="s">
        <v>778</v>
      </c>
      <c r="K60" s="8" t="s">
        <v>779</v>
      </c>
      <c r="L60" s="8" t="s">
        <v>730</v>
      </c>
      <c r="M60" s="1" t="s">
        <v>790</v>
      </c>
      <c r="N60" s="8" t="s">
        <v>791</v>
      </c>
      <c r="O60" s="6">
        <v>0</v>
      </c>
      <c r="P60" s="6">
        <v>0</v>
      </c>
      <c r="Q60" s="6">
        <v>0</v>
      </c>
      <c r="R60" s="6">
        <v>16</v>
      </c>
      <c r="S60" s="6">
        <v>80</v>
      </c>
    </row>
    <row r="61" spans="1:19" ht="15" x14ac:dyDescent="0.25">
      <c r="A61" s="7" t="s">
        <v>16</v>
      </c>
      <c r="B61" s="7" t="s">
        <v>17</v>
      </c>
      <c r="C61" s="7" t="s">
        <v>18</v>
      </c>
      <c r="D61" s="3">
        <v>5868278000280</v>
      </c>
      <c r="E61" s="8" t="s">
        <v>283</v>
      </c>
      <c r="F61" s="8" t="s">
        <v>281</v>
      </c>
      <c r="G61" s="8" t="s">
        <v>282</v>
      </c>
      <c r="H61" s="8" t="s">
        <v>795</v>
      </c>
      <c r="I61" s="3">
        <v>2</v>
      </c>
      <c r="J61" s="8" t="s">
        <v>744</v>
      </c>
      <c r="K61" s="8" t="s">
        <v>745</v>
      </c>
      <c r="L61" s="8" t="s">
        <v>723</v>
      </c>
      <c r="M61" s="1" t="s">
        <v>790</v>
      </c>
      <c r="N61" s="8" t="s">
        <v>791</v>
      </c>
      <c r="O61" s="6">
        <v>0</v>
      </c>
      <c r="P61" s="6">
        <v>20</v>
      </c>
      <c r="Q61" s="6">
        <v>0</v>
      </c>
      <c r="R61" s="6">
        <v>0</v>
      </c>
      <c r="S61" s="6">
        <v>80</v>
      </c>
    </row>
    <row r="62" spans="1:19" ht="15" x14ac:dyDescent="0.25">
      <c r="A62" s="7" t="s">
        <v>16</v>
      </c>
      <c r="B62" s="7" t="s">
        <v>17</v>
      </c>
      <c r="C62" s="7" t="s">
        <v>18</v>
      </c>
      <c r="D62" s="3">
        <v>7272636000212</v>
      </c>
      <c r="E62" s="8" t="s">
        <v>297</v>
      </c>
      <c r="F62" s="8" t="s">
        <v>281</v>
      </c>
      <c r="G62" s="8" t="s">
        <v>282</v>
      </c>
      <c r="H62" s="8" t="s">
        <v>795</v>
      </c>
      <c r="I62" s="3">
        <v>2</v>
      </c>
      <c r="J62" s="8" t="s">
        <v>778</v>
      </c>
      <c r="K62" s="8" t="s">
        <v>779</v>
      </c>
      <c r="L62" s="8" t="s">
        <v>730</v>
      </c>
      <c r="M62" s="1" t="s">
        <v>790</v>
      </c>
      <c r="N62" s="8" t="s">
        <v>791</v>
      </c>
      <c r="O62" s="6">
        <v>0</v>
      </c>
      <c r="P62" s="6">
        <v>0</v>
      </c>
      <c r="Q62" s="6">
        <v>0</v>
      </c>
      <c r="R62" s="6">
        <v>0</v>
      </c>
      <c r="S62" s="6">
        <v>0</v>
      </c>
    </row>
    <row r="63" spans="1:19" ht="15" x14ac:dyDescent="0.25">
      <c r="A63" s="7" t="s">
        <v>16</v>
      </c>
      <c r="B63" s="7" t="s">
        <v>17</v>
      </c>
      <c r="C63" s="7" t="s">
        <v>18</v>
      </c>
      <c r="D63" s="3">
        <v>7272636000212</v>
      </c>
      <c r="E63" s="8" t="s">
        <v>297</v>
      </c>
      <c r="F63" s="8" t="s">
        <v>281</v>
      </c>
      <c r="G63" s="8" t="s">
        <v>282</v>
      </c>
      <c r="H63" s="8" t="s">
        <v>795</v>
      </c>
      <c r="I63" s="3">
        <v>2</v>
      </c>
      <c r="J63" s="8" t="s">
        <v>744</v>
      </c>
      <c r="K63" s="8" t="s">
        <v>745</v>
      </c>
      <c r="L63" s="8" t="s">
        <v>723</v>
      </c>
      <c r="M63" s="1" t="s">
        <v>790</v>
      </c>
      <c r="N63" s="8" t="s">
        <v>791</v>
      </c>
      <c r="O63" s="6">
        <v>0</v>
      </c>
      <c r="P63" s="6">
        <v>0</v>
      </c>
      <c r="Q63" s="6">
        <v>30</v>
      </c>
      <c r="R63" s="6">
        <v>0</v>
      </c>
      <c r="S63" s="6">
        <v>0</v>
      </c>
    </row>
    <row r="64" spans="1:19" ht="15" x14ac:dyDescent="0.25">
      <c r="A64" s="7" t="s">
        <v>16</v>
      </c>
      <c r="B64" s="7" t="s">
        <v>17</v>
      </c>
      <c r="C64" s="7" t="s">
        <v>18</v>
      </c>
      <c r="D64" s="3">
        <v>7835044000180</v>
      </c>
      <c r="E64" s="8" t="s">
        <v>300</v>
      </c>
      <c r="F64" s="8" t="s">
        <v>281</v>
      </c>
      <c r="G64" s="8" t="s">
        <v>282</v>
      </c>
      <c r="H64" s="8" t="s">
        <v>795</v>
      </c>
      <c r="I64" s="3">
        <v>2</v>
      </c>
      <c r="J64" s="8" t="s">
        <v>778</v>
      </c>
      <c r="K64" s="8" t="s">
        <v>779</v>
      </c>
      <c r="L64" s="8" t="s">
        <v>730</v>
      </c>
      <c r="M64" s="1" t="s">
        <v>790</v>
      </c>
      <c r="N64" s="8" t="s">
        <v>791</v>
      </c>
      <c r="O64" s="6">
        <v>0</v>
      </c>
      <c r="P64" s="6">
        <v>0</v>
      </c>
      <c r="Q64" s="6">
        <v>0</v>
      </c>
      <c r="R64" s="6">
        <v>0</v>
      </c>
      <c r="S64" s="6">
        <v>0</v>
      </c>
    </row>
    <row r="65" spans="1:19" ht="15" x14ac:dyDescent="0.25">
      <c r="A65" s="7" t="s">
        <v>16</v>
      </c>
      <c r="B65" s="7" t="s">
        <v>17</v>
      </c>
      <c r="C65" s="7" t="s">
        <v>18</v>
      </c>
      <c r="D65" s="3">
        <v>7835044000180</v>
      </c>
      <c r="E65" s="8" t="s">
        <v>300</v>
      </c>
      <c r="F65" s="8" t="s">
        <v>281</v>
      </c>
      <c r="G65" s="8" t="s">
        <v>282</v>
      </c>
      <c r="H65" s="8" t="s">
        <v>795</v>
      </c>
      <c r="I65" s="3">
        <v>2</v>
      </c>
      <c r="J65" s="8" t="s">
        <v>744</v>
      </c>
      <c r="K65" s="8" t="s">
        <v>745</v>
      </c>
      <c r="L65" s="8" t="s">
        <v>723</v>
      </c>
      <c r="M65" s="1" t="s">
        <v>790</v>
      </c>
      <c r="N65" s="8" t="s">
        <v>791</v>
      </c>
      <c r="O65" s="6">
        <v>0</v>
      </c>
      <c r="P65" s="6">
        <v>0</v>
      </c>
      <c r="Q65" s="6">
        <v>10</v>
      </c>
      <c r="R65" s="6">
        <v>0</v>
      </c>
      <c r="S65" s="6">
        <v>0</v>
      </c>
    </row>
    <row r="66" spans="1:19" ht="15" x14ac:dyDescent="0.25">
      <c r="A66" s="7" t="s">
        <v>16</v>
      </c>
      <c r="B66" s="7" t="s">
        <v>17</v>
      </c>
      <c r="C66" s="7" t="s">
        <v>18</v>
      </c>
      <c r="D66" s="3">
        <v>12568570000161</v>
      </c>
      <c r="E66" s="8" t="s">
        <v>563</v>
      </c>
      <c r="F66" s="8" t="s">
        <v>281</v>
      </c>
      <c r="G66" s="8" t="s">
        <v>282</v>
      </c>
      <c r="H66" s="8" t="s">
        <v>795</v>
      </c>
      <c r="I66" s="3">
        <v>2</v>
      </c>
      <c r="J66" s="8" t="s">
        <v>778</v>
      </c>
      <c r="K66" s="8" t="s">
        <v>779</v>
      </c>
      <c r="L66" s="8" t="s">
        <v>730</v>
      </c>
      <c r="M66" s="1" t="s">
        <v>790</v>
      </c>
      <c r="N66" s="8" t="s">
        <v>791</v>
      </c>
      <c r="O66" s="6">
        <v>0</v>
      </c>
      <c r="P66" s="6">
        <v>0</v>
      </c>
      <c r="Q66" s="6">
        <v>0</v>
      </c>
      <c r="R66" s="6">
        <v>0</v>
      </c>
      <c r="S66" s="6">
        <v>130</v>
      </c>
    </row>
    <row r="67" spans="1:19" ht="15" x14ac:dyDescent="0.25">
      <c r="A67" s="7" t="s">
        <v>16</v>
      </c>
      <c r="B67" s="7" t="s">
        <v>17</v>
      </c>
      <c r="C67" s="7" t="s">
        <v>18</v>
      </c>
      <c r="D67" s="3">
        <v>12568570000161</v>
      </c>
      <c r="E67" s="8" t="s">
        <v>563</v>
      </c>
      <c r="F67" s="8" t="s">
        <v>281</v>
      </c>
      <c r="G67" s="8" t="s">
        <v>282</v>
      </c>
      <c r="H67" s="8" t="s">
        <v>795</v>
      </c>
      <c r="I67" s="3">
        <v>2</v>
      </c>
      <c r="J67" s="8" t="s">
        <v>744</v>
      </c>
      <c r="K67" s="8" t="s">
        <v>745</v>
      </c>
      <c r="L67" s="8" t="s">
        <v>723</v>
      </c>
      <c r="M67" s="1" t="s">
        <v>790</v>
      </c>
      <c r="N67" s="8" t="s">
        <v>791</v>
      </c>
      <c r="O67" s="6">
        <v>0</v>
      </c>
      <c r="P67" s="6">
        <v>0</v>
      </c>
      <c r="Q67" s="6">
        <v>0</v>
      </c>
      <c r="R67" s="6">
        <v>0</v>
      </c>
      <c r="S67" s="6">
        <v>130</v>
      </c>
    </row>
    <row r="68" spans="1:19" ht="15" x14ac:dyDescent="0.25">
      <c r="A68" s="7" t="s">
        <v>16</v>
      </c>
      <c r="B68" s="7" t="s">
        <v>17</v>
      </c>
      <c r="C68" s="7" t="s">
        <v>18</v>
      </c>
      <c r="D68" s="3">
        <v>5867015000175</v>
      </c>
      <c r="E68" s="8" t="s">
        <v>280</v>
      </c>
      <c r="F68" s="8" t="s">
        <v>281</v>
      </c>
      <c r="G68" s="8" t="s">
        <v>282</v>
      </c>
      <c r="H68" s="8" t="s">
        <v>795</v>
      </c>
      <c r="I68" s="3">
        <v>2</v>
      </c>
      <c r="J68" s="8" t="s">
        <v>778</v>
      </c>
      <c r="K68" s="8" t="s">
        <v>779</v>
      </c>
      <c r="L68" s="8" t="s">
        <v>730</v>
      </c>
      <c r="M68" s="1" t="s">
        <v>790</v>
      </c>
      <c r="N68" s="8" t="s">
        <v>791</v>
      </c>
      <c r="O68" s="6">
        <v>0</v>
      </c>
      <c r="P68" s="6">
        <v>0</v>
      </c>
      <c r="Q68" s="6">
        <v>0</v>
      </c>
      <c r="R68" s="6">
        <v>8</v>
      </c>
      <c r="S68" s="6">
        <v>0</v>
      </c>
    </row>
    <row r="69" spans="1:19" ht="15" x14ac:dyDescent="0.25">
      <c r="A69" s="7" t="s">
        <v>16</v>
      </c>
      <c r="B69" s="7" t="s">
        <v>17</v>
      </c>
      <c r="C69" s="7" t="s">
        <v>18</v>
      </c>
      <c r="D69" s="3">
        <v>5867015000175</v>
      </c>
      <c r="E69" s="8" t="s">
        <v>280</v>
      </c>
      <c r="F69" s="8" t="s">
        <v>281</v>
      </c>
      <c r="G69" s="8" t="s">
        <v>282</v>
      </c>
      <c r="H69" s="8" t="s">
        <v>795</v>
      </c>
      <c r="I69" s="3">
        <v>2</v>
      </c>
      <c r="J69" s="8" t="s">
        <v>744</v>
      </c>
      <c r="K69" s="8" t="s">
        <v>745</v>
      </c>
      <c r="L69" s="8" t="s">
        <v>723</v>
      </c>
      <c r="M69" s="1" t="s">
        <v>790</v>
      </c>
      <c r="N69" s="8" t="s">
        <v>791</v>
      </c>
      <c r="O69" s="6">
        <v>0</v>
      </c>
      <c r="P69" s="6">
        <v>0</v>
      </c>
      <c r="Q69" s="6">
        <v>0</v>
      </c>
      <c r="R69" s="6">
        <v>0</v>
      </c>
      <c r="S69" s="6">
        <v>0</v>
      </c>
    </row>
    <row r="70" spans="1:19" ht="15" x14ac:dyDescent="0.25">
      <c r="A70" s="7" t="s">
        <v>16</v>
      </c>
      <c r="B70" s="7" t="s">
        <v>17</v>
      </c>
      <c r="C70" s="7" t="s">
        <v>18</v>
      </c>
      <c r="D70" s="3">
        <v>29435005007484</v>
      </c>
      <c r="E70" s="8" t="s">
        <v>371</v>
      </c>
      <c r="F70" s="8" t="s">
        <v>806</v>
      </c>
      <c r="G70" s="8" t="s">
        <v>282</v>
      </c>
      <c r="H70" s="8" t="s">
        <v>795</v>
      </c>
      <c r="I70" s="3">
        <v>2</v>
      </c>
      <c r="J70" s="8" t="s">
        <v>778</v>
      </c>
      <c r="K70" s="8" t="s">
        <v>779</v>
      </c>
      <c r="L70" s="8" t="s">
        <v>730</v>
      </c>
      <c r="M70" s="1" t="s">
        <v>790</v>
      </c>
      <c r="N70" s="8" t="s">
        <v>791</v>
      </c>
      <c r="O70" s="6">
        <v>0</v>
      </c>
      <c r="P70" s="6">
        <v>0</v>
      </c>
      <c r="Q70" s="6">
        <v>0</v>
      </c>
      <c r="R70" s="6">
        <v>0</v>
      </c>
      <c r="S70" s="6">
        <v>15</v>
      </c>
    </row>
    <row r="71" spans="1:19" ht="15" x14ac:dyDescent="0.25">
      <c r="A71" s="7" t="s">
        <v>16</v>
      </c>
      <c r="B71" s="7" t="s">
        <v>17</v>
      </c>
      <c r="C71" s="7" t="s">
        <v>18</v>
      </c>
      <c r="D71" s="3">
        <v>29435005007484</v>
      </c>
      <c r="E71" s="8" t="s">
        <v>371</v>
      </c>
      <c r="F71" s="8" t="s">
        <v>806</v>
      </c>
      <c r="G71" s="8" t="s">
        <v>282</v>
      </c>
      <c r="H71" s="8" t="s">
        <v>795</v>
      </c>
      <c r="I71" s="3">
        <v>2</v>
      </c>
      <c r="J71" s="8" t="s">
        <v>744</v>
      </c>
      <c r="K71" s="8" t="s">
        <v>745</v>
      </c>
      <c r="L71" s="8" t="s">
        <v>723</v>
      </c>
      <c r="M71" s="1" t="s">
        <v>790</v>
      </c>
      <c r="N71" s="8" t="s">
        <v>791</v>
      </c>
      <c r="O71" s="6">
        <v>0</v>
      </c>
      <c r="P71" s="6">
        <v>36</v>
      </c>
      <c r="Q71" s="6">
        <v>7</v>
      </c>
      <c r="R71" s="6">
        <v>0</v>
      </c>
      <c r="S71" s="6">
        <v>15</v>
      </c>
    </row>
    <row r="72" spans="1:19" ht="15" x14ac:dyDescent="0.25">
      <c r="A72" s="7" t="s">
        <v>16</v>
      </c>
      <c r="B72" s="7" t="s">
        <v>17</v>
      </c>
      <c r="C72" s="7" t="s">
        <v>18</v>
      </c>
      <c r="D72" s="3">
        <v>9104513000974</v>
      </c>
      <c r="E72" s="8" t="s">
        <v>556</v>
      </c>
      <c r="F72" s="8" t="s">
        <v>225</v>
      </c>
      <c r="G72" s="8" t="s">
        <v>226</v>
      </c>
      <c r="H72" s="8" t="s">
        <v>795</v>
      </c>
      <c r="I72" s="3">
        <v>2</v>
      </c>
      <c r="J72" s="8" t="s">
        <v>780</v>
      </c>
      <c r="K72" s="8" t="s">
        <v>781</v>
      </c>
      <c r="L72" s="8" t="s">
        <v>739</v>
      </c>
      <c r="M72" s="1" t="s">
        <v>790</v>
      </c>
      <c r="N72" s="8" t="s">
        <v>791</v>
      </c>
      <c r="O72" s="6">
        <v>0</v>
      </c>
      <c r="P72" s="6">
        <v>0</v>
      </c>
      <c r="Q72" s="6">
        <v>0</v>
      </c>
      <c r="R72" s="6">
        <v>0</v>
      </c>
      <c r="S72" s="6">
        <v>505</v>
      </c>
    </row>
    <row r="73" spans="1:19" ht="15" x14ac:dyDescent="0.25">
      <c r="A73" s="7" t="s">
        <v>16</v>
      </c>
      <c r="B73" s="7" t="s">
        <v>17</v>
      </c>
      <c r="C73" s="7" t="s">
        <v>18</v>
      </c>
      <c r="D73" s="3">
        <v>9104513000974</v>
      </c>
      <c r="E73" s="8" t="s">
        <v>556</v>
      </c>
      <c r="F73" s="8" t="s">
        <v>225</v>
      </c>
      <c r="G73" s="8" t="s">
        <v>226</v>
      </c>
      <c r="H73" s="8" t="s">
        <v>795</v>
      </c>
      <c r="I73" s="3">
        <v>2</v>
      </c>
      <c r="J73" s="8" t="s">
        <v>742</v>
      </c>
      <c r="K73" s="8" t="s">
        <v>743</v>
      </c>
      <c r="L73" s="8" t="s">
        <v>723</v>
      </c>
      <c r="M73" s="1" t="s">
        <v>790</v>
      </c>
      <c r="N73" s="8" t="s">
        <v>791</v>
      </c>
      <c r="O73" s="6">
        <v>0</v>
      </c>
      <c r="P73" s="6">
        <v>0</v>
      </c>
      <c r="Q73" s="6">
        <v>0</v>
      </c>
      <c r="R73" s="6">
        <v>0</v>
      </c>
      <c r="S73" s="6">
        <v>505</v>
      </c>
    </row>
    <row r="74" spans="1:19" ht="15" x14ac:dyDescent="0.25">
      <c r="A74" s="7" t="s">
        <v>16</v>
      </c>
      <c r="B74" s="7" t="s">
        <v>17</v>
      </c>
      <c r="C74" s="7" t="s">
        <v>18</v>
      </c>
      <c r="D74" s="3">
        <v>7794623005191</v>
      </c>
      <c r="E74" s="8" t="s">
        <v>554</v>
      </c>
      <c r="F74" s="8" t="s">
        <v>225</v>
      </c>
      <c r="G74" s="8" t="s">
        <v>226</v>
      </c>
      <c r="H74" s="8" t="s">
        <v>795</v>
      </c>
      <c r="I74" s="3">
        <v>2</v>
      </c>
      <c r="J74" s="8" t="s">
        <v>780</v>
      </c>
      <c r="K74" s="8" t="s">
        <v>781</v>
      </c>
      <c r="L74" s="8" t="s">
        <v>739</v>
      </c>
      <c r="M74" s="1" t="s">
        <v>790</v>
      </c>
      <c r="N74" s="8" t="s">
        <v>791</v>
      </c>
      <c r="O74" s="6">
        <v>0</v>
      </c>
      <c r="P74" s="6">
        <v>0</v>
      </c>
      <c r="Q74" s="6">
        <v>0</v>
      </c>
      <c r="R74" s="6">
        <v>0</v>
      </c>
      <c r="S74" s="6">
        <v>25</v>
      </c>
    </row>
    <row r="75" spans="1:19" ht="15" x14ac:dyDescent="0.25">
      <c r="A75" s="7" t="s">
        <v>16</v>
      </c>
      <c r="B75" s="7" t="s">
        <v>17</v>
      </c>
      <c r="C75" s="7" t="s">
        <v>18</v>
      </c>
      <c r="D75" s="3">
        <v>7794623005191</v>
      </c>
      <c r="E75" s="8" t="s">
        <v>554</v>
      </c>
      <c r="F75" s="8" t="s">
        <v>225</v>
      </c>
      <c r="G75" s="8" t="s">
        <v>226</v>
      </c>
      <c r="H75" s="8" t="s">
        <v>795</v>
      </c>
      <c r="I75" s="3">
        <v>2</v>
      </c>
      <c r="J75" s="8" t="s">
        <v>742</v>
      </c>
      <c r="K75" s="8" t="s">
        <v>743</v>
      </c>
      <c r="L75" s="8" t="s">
        <v>723</v>
      </c>
      <c r="M75" s="1" t="s">
        <v>790</v>
      </c>
      <c r="N75" s="8" t="s">
        <v>791</v>
      </c>
      <c r="O75" s="6">
        <v>0</v>
      </c>
      <c r="P75" s="6">
        <v>0</v>
      </c>
      <c r="Q75" s="6">
        <v>0</v>
      </c>
      <c r="R75" s="6">
        <v>0</v>
      </c>
      <c r="S75" s="6">
        <v>25</v>
      </c>
    </row>
    <row r="76" spans="1:19" ht="15" x14ac:dyDescent="0.25">
      <c r="A76" s="7" t="s">
        <v>16</v>
      </c>
      <c r="B76" s="7" t="s">
        <v>17</v>
      </c>
      <c r="C76" s="7" t="s">
        <v>18</v>
      </c>
      <c r="D76" s="3">
        <v>520237000101</v>
      </c>
      <c r="E76" s="8" t="s">
        <v>243</v>
      </c>
      <c r="F76" s="8" t="s">
        <v>225</v>
      </c>
      <c r="G76" s="8" t="s">
        <v>226</v>
      </c>
      <c r="H76" s="8" t="s">
        <v>795</v>
      </c>
      <c r="I76" s="3">
        <v>2</v>
      </c>
      <c r="J76" s="8" t="s">
        <v>780</v>
      </c>
      <c r="K76" s="8" t="s">
        <v>781</v>
      </c>
      <c r="L76" s="8" t="s">
        <v>739</v>
      </c>
      <c r="M76" s="1" t="s">
        <v>790</v>
      </c>
      <c r="N76" s="8" t="s">
        <v>791</v>
      </c>
      <c r="O76" s="6">
        <v>0</v>
      </c>
      <c r="P76" s="6">
        <v>0</v>
      </c>
      <c r="Q76" s="6">
        <v>0</v>
      </c>
      <c r="R76" s="6">
        <v>102</v>
      </c>
      <c r="S76" s="6">
        <v>35</v>
      </c>
    </row>
    <row r="77" spans="1:19" ht="15" x14ac:dyDescent="0.25">
      <c r="A77" s="7" t="s">
        <v>16</v>
      </c>
      <c r="B77" s="7" t="s">
        <v>17</v>
      </c>
      <c r="C77" s="7" t="s">
        <v>18</v>
      </c>
      <c r="D77" s="3">
        <v>520237000101</v>
      </c>
      <c r="E77" s="8" t="s">
        <v>243</v>
      </c>
      <c r="F77" s="8" t="s">
        <v>225</v>
      </c>
      <c r="G77" s="8" t="s">
        <v>226</v>
      </c>
      <c r="H77" s="8" t="s">
        <v>795</v>
      </c>
      <c r="I77" s="3">
        <v>2</v>
      </c>
      <c r="J77" s="8" t="s">
        <v>742</v>
      </c>
      <c r="K77" s="8" t="s">
        <v>743</v>
      </c>
      <c r="L77" s="8" t="s">
        <v>723</v>
      </c>
      <c r="M77" s="1" t="s">
        <v>790</v>
      </c>
      <c r="N77" s="8" t="s">
        <v>791</v>
      </c>
      <c r="O77" s="6">
        <v>0</v>
      </c>
      <c r="P77" s="6">
        <v>0</v>
      </c>
      <c r="Q77" s="6">
        <v>0</v>
      </c>
      <c r="R77" s="6">
        <v>0</v>
      </c>
      <c r="S77" s="6">
        <v>35</v>
      </c>
    </row>
    <row r="78" spans="1:19" ht="15" x14ac:dyDescent="0.25">
      <c r="A78" s="7" t="s">
        <v>16</v>
      </c>
      <c r="B78" s="7" t="s">
        <v>17</v>
      </c>
      <c r="C78" s="7" t="s">
        <v>18</v>
      </c>
      <c r="D78" s="3">
        <v>3989821000190</v>
      </c>
      <c r="E78" s="8" t="s">
        <v>545</v>
      </c>
      <c r="F78" s="8" t="s">
        <v>225</v>
      </c>
      <c r="G78" s="8" t="s">
        <v>226</v>
      </c>
      <c r="H78" s="8" t="s">
        <v>795</v>
      </c>
      <c r="I78" s="3">
        <v>2</v>
      </c>
      <c r="J78" s="8" t="s">
        <v>780</v>
      </c>
      <c r="K78" s="8" t="s">
        <v>781</v>
      </c>
      <c r="L78" s="8" t="s">
        <v>739</v>
      </c>
      <c r="M78" s="1" t="s">
        <v>790</v>
      </c>
      <c r="N78" s="8" t="s">
        <v>791</v>
      </c>
      <c r="O78" s="6">
        <v>0</v>
      </c>
      <c r="P78" s="6">
        <v>0</v>
      </c>
      <c r="Q78" s="6">
        <v>0</v>
      </c>
      <c r="R78" s="6">
        <v>0</v>
      </c>
      <c r="S78" s="6">
        <v>245</v>
      </c>
    </row>
    <row r="79" spans="1:19" ht="15" x14ac:dyDescent="0.25">
      <c r="A79" s="7" t="s">
        <v>16</v>
      </c>
      <c r="B79" s="7" t="s">
        <v>17</v>
      </c>
      <c r="C79" s="7" t="s">
        <v>18</v>
      </c>
      <c r="D79" s="3">
        <v>3989821000190</v>
      </c>
      <c r="E79" s="8" t="s">
        <v>545</v>
      </c>
      <c r="F79" s="8" t="s">
        <v>225</v>
      </c>
      <c r="G79" s="8" t="s">
        <v>226</v>
      </c>
      <c r="H79" s="8" t="s">
        <v>795</v>
      </c>
      <c r="I79" s="3">
        <v>2</v>
      </c>
      <c r="J79" s="8" t="s">
        <v>742</v>
      </c>
      <c r="K79" s="8" t="s">
        <v>743</v>
      </c>
      <c r="L79" s="8" t="s">
        <v>723</v>
      </c>
      <c r="M79" s="1" t="s">
        <v>790</v>
      </c>
      <c r="N79" s="8" t="s">
        <v>791</v>
      </c>
      <c r="O79" s="6">
        <v>0</v>
      </c>
      <c r="P79" s="6">
        <v>0</v>
      </c>
      <c r="Q79" s="6">
        <v>0</v>
      </c>
      <c r="R79" s="6">
        <v>0</v>
      </c>
      <c r="S79" s="6">
        <v>245</v>
      </c>
    </row>
    <row r="80" spans="1:19" ht="15" x14ac:dyDescent="0.25">
      <c r="A80" s="7" t="s">
        <v>16</v>
      </c>
      <c r="B80" s="7" t="s">
        <v>17</v>
      </c>
      <c r="C80" s="7" t="s">
        <v>18</v>
      </c>
      <c r="D80" s="3">
        <v>37108388000159</v>
      </c>
      <c r="E80" s="8" t="s">
        <v>375</v>
      </c>
      <c r="F80" s="8" t="s">
        <v>225</v>
      </c>
      <c r="G80" s="8" t="s">
        <v>226</v>
      </c>
      <c r="H80" s="8" t="s">
        <v>795</v>
      </c>
      <c r="I80" s="3">
        <v>2</v>
      </c>
      <c r="J80" s="8" t="s">
        <v>780</v>
      </c>
      <c r="K80" s="8" t="s">
        <v>781</v>
      </c>
      <c r="L80" s="8" t="s">
        <v>739</v>
      </c>
      <c r="M80" s="1" t="s">
        <v>790</v>
      </c>
      <c r="N80" s="8" t="s">
        <v>791</v>
      </c>
      <c r="O80" s="6">
        <v>0</v>
      </c>
      <c r="P80" s="6">
        <v>0</v>
      </c>
      <c r="Q80" s="6">
        <v>0</v>
      </c>
      <c r="R80" s="6">
        <v>0</v>
      </c>
      <c r="S80" s="6">
        <v>0</v>
      </c>
    </row>
    <row r="81" spans="1:19" ht="15" x14ac:dyDescent="0.25">
      <c r="A81" s="7" t="s">
        <v>16</v>
      </c>
      <c r="B81" s="7" t="s">
        <v>17</v>
      </c>
      <c r="C81" s="7" t="s">
        <v>18</v>
      </c>
      <c r="D81" s="3">
        <v>37108388000159</v>
      </c>
      <c r="E81" s="8" t="s">
        <v>375</v>
      </c>
      <c r="F81" s="8" t="s">
        <v>225</v>
      </c>
      <c r="G81" s="8" t="s">
        <v>226</v>
      </c>
      <c r="H81" s="8" t="s">
        <v>795</v>
      </c>
      <c r="I81" s="3">
        <v>2</v>
      </c>
      <c r="J81" s="8" t="s">
        <v>742</v>
      </c>
      <c r="K81" s="8" t="s">
        <v>743</v>
      </c>
      <c r="L81" s="8" t="s">
        <v>723</v>
      </c>
      <c r="M81" s="1" t="s">
        <v>790</v>
      </c>
      <c r="N81" s="8" t="s">
        <v>791</v>
      </c>
      <c r="O81" s="6">
        <v>0</v>
      </c>
      <c r="P81" s="6">
        <v>37</v>
      </c>
      <c r="Q81" s="6">
        <v>15</v>
      </c>
      <c r="R81" s="6">
        <v>0</v>
      </c>
      <c r="S81" s="6">
        <v>0</v>
      </c>
    </row>
    <row r="82" spans="1:19" ht="15" x14ac:dyDescent="0.25">
      <c r="A82" s="7" t="s">
        <v>16</v>
      </c>
      <c r="B82" s="7" t="s">
        <v>17</v>
      </c>
      <c r="C82" s="7" t="s">
        <v>18</v>
      </c>
      <c r="D82" s="3">
        <v>29435005004620</v>
      </c>
      <c r="E82" s="8" t="s">
        <v>370</v>
      </c>
      <c r="F82" s="8" t="s">
        <v>225</v>
      </c>
      <c r="G82" s="8" t="s">
        <v>226</v>
      </c>
      <c r="H82" s="8" t="s">
        <v>795</v>
      </c>
      <c r="I82" s="3">
        <v>2</v>
      </c>
      <c r="J82" s="8" t="s">
        <v>780</v>
      </c>
      <c r="K82" s="8" t="s">
        <v>781</v>
      </c>
      <c r="L82" s="8" t="s">
        <v>739</v>
      </c>
      <c r="M82" s="1" t="s">
        <v>790</v>
      </c>
      <c r="N82" s="8" t="s">
        <v>791</v>
      </c>
      <c r="O82" s="6">
        <v>0</v>
      </c>
      <c r="P82" s="6">
        <v>0</v>
      </c>
      <c r="Q82" s="6">
        <v>0</v>
      </c>
      <c r="R82" s="6">
        <v>0</v>
      </c>
      <c r="S82" s="6">
        <v>0</v>
      </c>
    </row>
    <row r="83" spans="1:19" ht="15" x14ac:dyDescent="0.25">
      <c r="A83" s="7" t="s">
        <v>16</v>
      </c>
      <c r="B83" s="7" t="s">
        <v>17</v>
      </c>
      <c r="C83" s="7" t="s">
        <v>18</v>
      </c>
      <c r="D83" s="3">
        <v>29435005004620</v>
      </c>
      <c r="E83" s="8" t="s">
        <v>370</v>
      </c>
      <c r="F83" s="8" t="s">
        <v>225</v>
      </c>
      <c r="G83" s="8" t="s">
        <v>226</v>
      </c>
      <c r="H83" s="8" t="s">
        <v>795</v>
      </c>
      <c r="I83" s="3">
        <v>2</v>
      </c>
      <c r="J83" s="8" t="s">
        <v>742</v>
      </c>
      <c r="K83" s="8" t="s">
        <v>743</v>
      </c>
      <c r="L83" s="8" t="s">
        <v>723</v>
      </c>
      <c r="M83" s="1" t="s">
        <v>790</v>
      </c>
      <c r="N83" s="8" t="s">
        <v>791</v>
      </c>
      <c r="O83" s="6">
        <v>0</v>
      </c>
      <c r="P83" s="6">
        <v>10</v>
      </c>
      <c r="Q83" s="6">
        <v>5</v>
      </c>
      <c r="R83" s="6">
        <v>0</v>
      </c>
      <c r="S83" s="6">
        <v>0</v>
      </c>
    </row>
    <row r="84" spans="1:19" ht="15" x14ac:dyDescent="0.25">
      <c r="A84" s="7" t="s">
        <v>16</v>
      </c>
      <c r="B84" s="7" t="s">
        <v>17</v>
      </c>
      <c r="C84" s="7" t="s">
        <v>18</v>
      </c>
      <c r="D84" s="3">
        <v>2560878000107</v>
      </c>
      <c r="E84" s="8" t="s">
        <v>270</v>
      </c>
      <c r="F84" s="8" t="s">
        <v>225</v>
      </c>
      <c r="G84" s="8" t="s">
        <v>226</v>
      </c>
      <c r="H84" s="8" t="s">
        <v>795</v>
      </c>
      <c r="I84" s="3">
        <v>2</v>
      </c>
      <c r="J84" s="8" t="s">
        <v>780</v>
      </c>
      <c r="K84" s="8" t="s">
        <v>781</v>
      </c>
      <c r="L84" s="8" t="s">
        <v>739</v>
      </c>
      <c r="M84" s="1" t="s">
        <v>790</v>
      </c>
      <c r="N84" s="8" t="s">
        <v>791</v>
      </c>
      <c r="O84" s="6">
        <v>0</v>
      </c>
      <c r="P84" s="6">
        <v>0</v>
      </c>
      <c r="Q84" s="6">
        <v>0</v>
      </c>
      <c r="R84" s="6">
        <v>0</v>
      </c>
      <c r="S84" s="6">
        <v>275</v>
      </c>
    </row>
    <row r="85" spans="1:19" ht="15" x14ac:dyDescent="0.25">
      <c r="A85" s="7" t="s">
        <v>16</v>
      </c>
      <c r="B85" s="7" t="s">
        <v>17</v>
      </c>
      <c r="C85" s="7" t="s">
        <v>18</v>
      </c>
      <c r="D85" s="3">
        <v>2560878000107</v>
      </c>
      <c r="E85" s="8" t="s">
        <v>270</v>
      </c>
      <c r="F85" s="8" t="s">
        <v>225</v>
      </c>
      <c r="G85" s="8" t="s">
        <v>226</v>
      </c>
      <c r="H85" s="8" t="s">
        <v>795</v>
      </c>
      <c r="I85" s="3">
        <v>2</v>
      </c>
      <c r="J85" s="8" t="s">
        <v>742</v>
      </c>
      <c r="K85" s="8" t="s">
        <v>743</v>
      </c>
      <c r="L85" s="8" t="s">
        <v>723</v>
      </c>
      <c r="M85" s="1" t="s">
        <v>790</v>
      </c>
      <c r="N85" s="8" t="s">
        <v>791</v>
      </c>
      <c r="O85" s="6">
        <v>0</v>
      </c>
      <c r="P85" s="6">
        <v>7</v>
      </c>
      <c r="Q85" s="6">
        <v>1</v>
      </c>
      <c r="R85" s="6">
        <v>0</v>
      </c>
      <c r="S85" s="6">
        <v>275</v>
      </c>
    </row>
    <row r="86" spans="1:19" ht="15" x14ac:dyDescent="0.25">
      <c r="A86" s="7" t="s">
        <v>16</v>
      </c>
      <c r="B86" s="7" t="s">
        <v>17</v>
      </c>
      <c r="C86" s="7" t="s">
        <v>18</v>
      </c>
      <c r="D86" s="3">
        <v>60884855002289</v>
      </c>
      <c r="E86" s="8" t="s">
        <v>378</v>
      </c>
      <c r="F86" s="8" t="s">
        <v>225</v>
      </c>
      <c r="G86" s="8" t="s">
        <v>226</v>
      </c>
      <c r="H86" s="8" t="s">
        <v>795</v>
      </c>
      <c r="I86" s="3">
        <v>2</v>
      </c>
      <c r="J86" s="8" t="s">
        <v>780</v>
      </c>
      <c r="K86" s="8" t="s">
        <v>781</v>
      </c>
      <c r="L86" s="8" t="s">
        <v>739</v>
      </c>
      <c r="M86" s="1" t="s">
        <v>790</v>
      </c>
      <c r="N86" s="8" t="s">
        <v>791</v>
      </c>
      <c r="O86" s="6">
        <v>0</v>
      </c>
      <c r="P86" s="6">
        <v>0</v>
      </c>
      <c r="Q86" s="6">
        <v>0</v>
      </c>
      <c r="R86" s="6">
        <v>0</v>
      </c>
      <c r="S86" s="6">
        <v>370</v>
      </c>
    </row>
    <row r="87" spans="1:19" ht="15" x14ac:dyDescent="0.25">
      <c r="A87" s="7" t="s">
        <v>16</v>
      </c>
      <c r="B87" s="7" t="s">
        <v>17</v>
      </c>
      <c r="C87" s="7" t="s">
        <v>18</v>
      </c>
      <c r="D87" s="3">
        <v>60884855002289</v>
      </c>
      <c r="E87" s="8" t="s">
        <v>378</v>
      </c>
      <c r="F87" s="8" t="s">
        <v>225</v>
      </c>
      <c r="G87" s="8" t="s">
        <v>226</v>
      </c>
      <c r="H87" s="8" t="s">
        <v>795</v>
      </c>
      <c r="I87" s="3">
        <v>2</v>
      </c>
      <c r="J87" s="8" t="s">
        <v>742</v>
      </c>
      <c r="K87" s="8" t="s">
        <v>743</v>
      </c>
      <c r="L87" s="8" t="s">
        <v>723</v>
      </c>
      <c r="M87" s="1" t="s">
        <v>790</v>
      </c>
      <c r="N87" s="8" t="s">
        <v>791</v>
      </c>
      <c r="O87" s="6">
        <v>0</v>
      </c>
      <c r="P87" s="6">
        <v>90</v>
      </c>
      <c r="Q87" s="6">
        <v>11</v>
      </c>
      <c r="R87" s="6">
        <v>0</v>
      </c>
      <c r="S87" s="6">
        <v>370</v>
      </c>
    </row>
    <row r="88" spans="1:19" ht="15" x14ac:dyDescent="0.25">
      <c r="A88" s="7" t="s">
        <v>16</v>
      </c>
      <c r="B88" s="7" t="s">
        <v>17</v>
      </c>
      <c r="C88" s="7" t="s">
        <v>18</v>
      </c>
      <c r="D88" s="3">
        <v>6047087004207</v>
      </c>
      <c r="E88" s="8" t="s">
        <v>288</v>
      </c>
      <c r="F88" s="8" t="s">
        <v>225</v>
      </c>
      <c r="G88" s="8" t="s">
        <v>226</v>
      </c>
      <c r="H88" s="8" t="s">
        <v>795</v>
      </c>
      <c r="I88" s="3">
        <v>2</v>
      </c>
      <c r="J88" s="8" t="s">
        <v>780</v>
      </c>
      <c r="K88" s="8" t="s">
        <v>781</v>
      </c>
      <c r="L88" s="8" t="s">
        <v>739</v>
      </c>
      <c r="M88" s="1" t="s">
        <v>790</v>
      </c>
      <c r="N88" s="8" t="s">
        <v>791</v>
      </c>
      <c r="O88" s="6">
        <v>0</v>
      </c>
      <c r="P88" s="6">
        <v>0</v>
      </c>
      <c r="Q88" s="6">
        <v>0</v>
      </c>
      <c r="R88" s="6">
        <v>0</v>
      </c>
      <c r="S88" s="6">
        <v>0</v>
      </c>
    </row>
    <row r="89" spans="1:19" ht="15" x14ac:dyDescent="0.25">
      <c r="A89" s="7" t="s">
        <v>16</v>
      </c>
      <c r="B89" s="7" t="s">
        <v>17</v>
      </c>
      <c r="C89" s="7" t="s">
        <v>18</v>
      </c>
      <c r="D89" s="3">
        <v>6047087004207</v>
      </c>
      <c r="E89" s="8" t="s">
        <v>288</v>
      </c>
      <c r="F89" s="8" t="s">
        <v>225</v>
      </c>
      <c r="G89" s="8" t="s">
        <v>226</v>
      </c>
      <c r="H89" s="8" t="s">
        <v>795</v>
      </c>
      <c r="I89" s="3">
        <v>2</v>
      </c>
      <c r="J89" s="8" t="s">
        <v>742</v>
      </c>
      <c r="K89" s="8" t="s">
        <v>743</v>
      </c>
      <c r="L89" s="8" t="s">
        <v>723</v>
      </c>
      <c r="M89" s="1" t="s">
        <v>790</v>
      </c>
      <c r="N89" s="8" t="s">
        <v>791</v>
      </c>
      <c r="O89" s="6">
        <v>0</v>
      </c>
      <c r="P89" s="6">
        <v>45</v>
      </c>
      <c r="Q89" s="6">
        <v>0</v>
      </c>
      <c r="R89" s="6">
        <v>0</v>
      </c>
      <c r="S89" s="6">
        <v>0</v>
      </c>
    </row>
    <row r="90" spans="1:19" ht="15" x14ac:dyDescent="0.25">
      <c r="A90" s="7" t="s">
        <v>16</v>
      </c>
      <c r="B90" s="7" t="s">
        <v>17</v>
      </c>
      <c r="C90" s="7" t="s">
        <v>18</v>
      </c>
      <c r="D90" s="3">
        <v>38000485000196</v>
      </c>
      <c r="E90" s="8" t="s">
        <v>376</v>
      </c>
      <c r="F90" s="8" t="s">
        <v>225</v>
      </c>
      <c r="G90" s="8" t="s">
        <v>226</v>
      </c>
      <c r="H90" s="8" t="s">
        <v>795</v>
      </c>
      <c r="I90" s="3">
        <v>2</v>
      </c>
      <c r="J90" s="8" t="s">
        <v>780</v>
      </c>
      <c r="K90" s="8" t="s">
        <v>781</v>
      </c>
      <c r="L90" s="8" t="s">
        <v>739</v>
      </c>
      <c r="M90" s="1" t="s">
        <v>790</v>
      </c>
      <c r="N90" s="8" t="s">
        <v>791</v>
      </c>
      <c r="O90" s="6">
        <v>0</v>
      </c>
      <c r="P90" s="6">
        <v>0</v>
      </c>
      <c r="Q90" s="6">
        <v>0</v>
      </c>
      <c r="R90" s="6">
        <v>0</v>
      </c>
      <c r="S90" s="6">
        <v>0</v>
      </c>
    </row>
    <row r="91" spans="1:19" ht="15" x14ac:dyDescent="0.25">
      <c r="A91" s="7" t="s">
        <v>16</v>
      </c>
      <c r="B91" s="7" t="s">
        <v>17</v>
      </c>
      <c r="C91" s="7" t="s">
        <v>18</v>
      </c>
      <c r="D91" s="3">
        <v>38000485000196</v>
      </c>
      <c r="E91" s="8" t="s">
        <v>376</v>
      </c>
      <c r="F91" s="8" t="s">
        <v>225</v>
      </c>
      <c r="G91" s="8" t="s">
        <v>226</v>
      </c>
      <c r="H91" s="8" t="s">
        <v>795</v>
      </c>
      <c r="I91" s="3">
        <v>2</v>
      </c>
      <c r="J91" s="8" t="s">
        <v>742</v>
      </c>
      <c r="K91" s="8" t="s">
        <v>743</v>
      </c>
      <c r="L91" s="8" t="s">
        <v>723</v>
      </c>
      <c r="M91" s="1" t="s">
        <v>790</v>
      </c>
      <c r="N91" s="8" t="s">
        <v>791</v>
      </c>
      <c r="O91" s="6">
        <v>0</v>
      </c>
      <c r="P91" s="6">
        <v>3</v>
      </c>
      <c r="Q91" s="6">
        <v>0</v>
      </c>
      <c r="R91" s="6">
        <v>0</v>
      </c>
      <c r="S91" s="6">
        <v>0</v>
      </c>
    </row>
    <row r="92" spans="1:19" ht="15" x14ac:dyDescent="0.25">
      <c r="A92" s="7" t="s">
        <v>16</v>
      </c>
      <c r="B92" s="7" t="s">
        <v>17</v>
      </c>
      <c r="C92" s="7" t="s">
        <v>18</v>
      </c>
      <c r="D92" s="3">
        <v>6047087004126</v>
      </c>
      <c r="E92" s="8" t="s">
        <v>287</v>
      </c>
      <c r="F92" s="8" t="s">
        <v>225</v>
      </c>
      <c r="G92" s="8" t="s">
        <v>226</v>
      </c>
      <c r="H92" s="8" t="s">
        <v>795</v>
      </c>
      <c r="I92" s="3">
        <v>2</v>
      </c>
      <c r="J92" s="8" t="s">
        <v>780</v>
      </c>
      <c r="K92" s="8" t="s">
        <v>781</v>
      </c>
      <c r="L92" s="8" t="s">
        <v>739</v>
      </c>
      <c r="M92" s="1" t="s">
        <v>790</v>
      </c>
      <c r="N92" s="8" t="s">
        <v>791</v>
      </c>
      <c r="O92" s="6">
        <v>0</v>
      </c>
      <c r="P92" s="6">
        <v>0</v>
      </c>
      <c r="Q92" s="6">
        <v>0</v>
      </c>
      <c r="R92" s="6">
        <v>0</v>
      </c>
      <c r="S92" s="6">
        <v>0</v>
      </c>
    </row>
    <row r="93" spans="1:19" ht="15" x14ac:dyDescent="0.25">
      <c r="A93" s="7" t="s">
        <v>16</v>
      </c>
      <c r="B93" s="7" t="s">
        <v>17</v>
      </c>
      <c r="C93" s="7" t="s">
        <v>18</v>
      </c>
      <c r="D93" s="3">
        <v>6047087004126</v>
      </c>
      <c r="E93" s="8" t="s">
        <v>287</v>
      </c>
      <c r="F93" s="8" t="s">
        <v>225</v>
      </c>
      <c r="G93" s="8" t="s">
        <v>226</v>
      </c>
      <c r="H93" s="8" t="s">
        <v>795</v>
      </c>
      <c r="I93" s="3">
        <v>2</v>
      </c>
      <c r="J93" s="8" t="s">
        <v>742</v>
      </c>
      <c r="K93" s="8" t="s">
        <v>743</v>
      </c>
      <c r="L93" s="8" t="s">
        <v>723</v>
      </c>
      <c r="M93" s="1" t="s">
        <v>790</v>
      </c>
      <c r="N93" s="8" t="s">
        <v>791</v>
      </c>
      <c r="O93" s="6">
        <v>0</v>
      </c>
      <c r="P93" s="6">
        <v>3</v>
      </c>
      <c r="Q93" s="6">
        <v>0</v>
      </c>
      <c r="R93" s="6">
        <v>0</v>
      </c>
      <c r="S93" s="6">
        <v>0</v>
      </c>
    </row>
    <row r="94" spans="1:19" ht="15" x14ac:dyDescent="0.25">
      <c r="A94" s="7" t="s">
        <v>16</v>
      </c>
      <c r="B94" s="7" t="s">
        <v>17</v>
      </c>
      <c r="C94" s="7" t="s">
        <v>18</v>
      </c>
      <c r="D94" s="3">
        <v>610980000144</v>
      </c>
      <c r="E94" s="8" t="s">
        <v>244</v>
      </c>
      <c r="F94" s="8" t="s">
        <v>225</v>
      </c>
      <c r="G94" s="8" t="s">
        <v>226</v>
      </c>
      <c r="H94" s="8" t="s">
        <v>795</v>
      </c>
      <c r="I94" s="3">
        <v>2</v>
      </c>
      <c r="J94" s="8" t="s">
        <v>780</v>
      </c>
      <c r="K94" s="8" t="s">
        <v>781</v>
      </c>
      <c r="L94" s="8" t="s">
        <v>739</v>
      </c>
      <c r="M94" s="1" t="s">
        <v>790</v>
      </c>
      <c r="N94" s="8" t="s">
        <v>791</v>
      </c>
      <c r="O94" s="6">
        <v>0</v>
      </c>
      <c r="P94" s="6">
        <v>0</v>
      </c>
      <c r="Q94" s="6">
        <v>0</v>
      </c>
      <c r="R94" s="6">
        <v>0</v>
      </c>
      <c r="S94" s="6">
        <v>0</v>
      </c>
    </row>
    <row r="95" spans="1:19" ht="15" x14ac:dyDescent="0.25">
      <c r="A95" s="7" t="s">
        <v>16</v>
      </c>
      <c r="B95" s="7" t="s">
        <v>17</v>
      </c>
      <c r="C95" s="7" t="s">
        <v>18</v>
      </c>
      <c r="D95" s="3">
        <v>610980000144</v>
      </c>
      <c r="E95" s="8" t="s">
        <v>244</v>
      </c>
      <c r="F95" s="8" t="s">
        <v>225</v>
      </c>
      <c r="G95" s="8" t="s">
        <v>226</v>
      </c>
      <c r="H95" s="8" t="s">
        <v>795</v>
      </c>
      <c r="I95" s="3">
        <v>2</v>
      </c>
      <c r="J95" s="8" t="s">
        <v>742</v>
      </c>
      <c r="K95" s="8" t="s">
        <v>743</v>
      </c>
      <c r="L95" s="8" t="s">
        <v>723</v>
      </c>
      <c r="M95" s="1" t="s">
        <v>790</v>
      </c>
      <c r="N95" s="8" t="s">
        <v>791</v>
      </c>
      <c r="O95" s="6">
        <v>0</v>
      </c>
      <c r="P95" s="6">
        <v>24</v>
      </c>
      <c r="Q95" s="6">
        <v>0</v>
      </c>
      <c r="R95" s="6">
        <v>0</v>
      </c>
      <c r="S95" s="6">
        <v>0</v>
      </c>
    </row>
    <row r="96" spans="1:19" ht="15" x14ac:dyDescent="0.25">
      <c r="A96" s="7" t="s">
        <v>16</v>
      </c>
      <c r="B96" s="7" t="s">
        <v>17</v>
      </c>
      <c r="C96" s="7" t="s">
        <v>18</v>
      </c>
      <c r="D96" s="3">
        <v>61590410000558</v>
      </c>
      <c r="E96" s="8" t="s">
        <v>382</v>
      </c>
      <c r="F96" s="8" t="s">
        <v>225</v>
      </c>
      <c r="G96" s="8" t="s">
        <v>226</v>
      </c>
      <c r="H96" s="8" t="s">
        <v>795</v>
      </c>
      <c r="I96" s="3">
        <v>2</v>
      </c>
      <c r="J96" s="8" t="s">
        <v>780</v>
      </c>
      <c r="K96" s="8" t="s">
        <v>781</v>
      </c>
      <c r="L96" s="8" t="s">
        <v>739</v>
      </c>
      <c r="M96" s="1" t="s">
        <v>790</v>
      </c>
      <c r="N96" s="8" t="s">
        <v>791</v>
      </c>
      <c r="O96" s="6">
        <v>0</v>
      </c>
      <c r="P96" s="6">
        <v>0</v>
      </c>
      <c r="Q96" s="6">
        <v>0</v>
      </c>
      <c r="R96" s="6">
        <v>16</v>
      </c>
      <c r="S96" s="6">
        <v>0</v>
      </c>
    </row>
    <row r="97" spans="1:19" ht="15" x14ac:dyDescent="0.25">
      <c r="A97" s="7" t="s">
        <v>16</v>
      </c>
      <c r="B97" s="7" t="s">
        <v>17</v>
      </c>
      <c r="C97" s="7" t="s">
        <v>18</v>
      </c>
      <c r="D97" s="3">
        <v>61590410000558</v>
      </c>
      <c r="E97" s="8" t="s">
        <v>382</v>
      </c>
      <c r="F97" s="8" t="s">
        <v>225</v>
      </c>
      <c r="G97" s="8" t="s">
        <v>226</v>
      </c>
      <c r="H97" s="8" t="s">
        <v>795</v>
      </c>
      <c r="I97" s="3">
        <v>2</v>
      </c>
      <c r="J97" s="8" t="s">
        <v>742</v>
      </c>
      <c r="K97" s="8" t="s">
        <v>743</v>
      </c>
      <c r="L97" s="8" t="s">
        <v>723</v>
      </c>
      <c r="M97" s="1" t="s">
        <v>790</v>
      </c>
      <c r="N97" s="8" t="s">
        <v>791</v>
      </c>
      <c r="O97" s="6">
        <v>0</v>
      </c>
      <c r="P97" s="6">
        <v>0</v>
      </c>
      <c r="Q97" s="6">
        <v>0</v>
      </c>
      <c r="R97" s="6">
        <v>0</v>
      </c>
      <c r="S97" s="6">
        <v>0</v>
      </c>
    </row>
    <row r="98" spans="1:19" ht="15" x14ac:dyDescent="0.25">
      <c r="A98" s="7" t="s">
        <v>16</v>
      </c>
      <c r="B98" s="7" t="s">
        <v>17</v>
      </c>
      <c r="C98" s="7" t="s">
        <v>18</v>
      </c>
      <c r="D98" s="3">
        <v>28481233000172</v>
      </c>
      <c r="E98" s="8" t="s">
        <v>365</v>
      </c>
      <c r="F98" s="8" t="s">
        <v>225</v>
      </c>
      <c r="G98" s="8" t="s">
        <v>226</v>
      </c>
      <c r="H98" s="8" t="s">
        <v>795</v>
      </c>
      <c r="I98" s="3">
        <v>2</v>
      </c>
      <c r="J98" s="8" t="s">
        <v>780</v>
      </c>
      <c r="K98" s="8" t="s">
        <v>781</v>
      </c>
      <c r="L98" s="8" t="s">
        <v>739</v>
      </c>
      <c r="M98" s="1" t="s">
        <v>790</v>
      </c>
      <c r="N98" s="8" t="s">
        <v>791</v>
      </c>
      <c r="O98" s="6">
        <v>0</v>
      </c>
      <c r="P98" s="6">
        <v>0</v>
      </c>
      <c r="Q98" s="6">
        <v>0</v>
      </c>
      <c r="R98" s="6">
        <v>0</v>
      </c>
      <c r="S98" s="6">
        <v>0</v>
      </c>
    </row>
    <row r="99" spans="1:19" ht="15" x14ac:dyDescent="0.25">
      <c r="A99" s="7" t="s">
        <v>16</v>
      </c>
      <c r="B99" s="7" t="s">
        <v>17</v>
      </c>
      <c r="C99" s="7" t="s">
        <v>18</v>
      </c>
      <c r="D99" s="3">
        <v>28481233000172</v>
      </c>
      <c r="E99" s="8" t="s">
        <v>365</v>
      </c>
      <c r="F99" s="8" t="s">
        <v>225</v>
      </c>
      <c r="G99" s="8" t="s">
        <v>226</v>
      </c>
      <c r="H99" s="8" t="s">
        <v>795</v>
      </c>
      <c r="I99" s="3">
        <v>2</v>
      </c>
      <c r="J99" s="8" t="s">
        <v>742</v>
      </c>
      <c r="K99" s="8" t="s">
        <v>743</v>
      </c>
      <c r="L99" s="8" t="s">
        <v>723</v>
      </c>
      <c r="M99" s="1" t="s">
        <v>790</v>
      </c>
      <c r="N99" s="8" t="s">
        <v>791</v>
      </c>
      <c r="O99" s="6">
        <v>0</v>
      </c>
      <c r="P99" s="6">
        <v>130</v>
      </c>
      <c r="Q99" s="6">
        <v>0</v>
      </c>
      <c r="R99" s="6">
        <v>0</v>
      </c>
      <c r="S99" s="6">
        <v>0</v>
      </c>
    </row>
    <row r="100" spans="1:19" ht="15" x14ac:dyDescent="0.25">
      <c r="A100" s="7" t="s">
        <v>16</v>
      </c>
      <c r="B100" s="7" t="s">
        <v>17</v>
      </c>
      <c r="C100" s="7" t="s">
        <v>18</v>
      </c>
      <c r="D100" s="3">
        <v>11859927000106</v>
      </c>
      <c r="E100" s="8" t="s">
        <v>312</v>
      </c>
      <c r="F100" s="8" t="s">
        <v>225</v>
      </c>
      <c r="G100" s="8" t="s">
        <v>226</v>
      </c>
      <c r="H100" s="8" t="s">
        <v>795</v>
      </c>
      <c r="I100" s="3">
        <v>2</v>
      </c>
      <c r="J100" s="8" t="s">
        <v>780</v>
      </c>
      <c r="K100" s="8" t="s">
        <v>781</v>
      </c>
      <c r="L100" s="8" t="s">
        <v>739</v>
      </c>
      <c r="M100" s="1" t="s">
        <v>790</v>
      </c>
      <c r="N100" s="8" t="s">
        <v>791</v>
      </c>
      <c r="O100" s="6">
        <v>0</v>
      </c>
      <c r="P100" s="6">
        <v>0</v>
      </c>
      <c r="Q100" s="6">
        <v>0</v>
      </c>
      <c r="R100" s="6">
        <v>44</v>
      </c>
      <c r="S100" s="6">
        <v>0</v>
      </c>
    </row>
    <row r="101" spans="1:19" ht="15" x14ac:dyDescent="0.25">
      <c r="A101" s="7" t="s">
        <v>16</v>
      </c>
      <c r="B101" s="7" t="s">
        <v>17</v>
      </c>
      <c r="C101" s="7" t="s">
        <v>18</v>
      </c>
      <c r="D101" s="3">
        <v>11859927000106</v>
      </c>
      <c r="E101" s="8" t="s">
        <v>312</v>
      </c>
      <c r="F101" s="8" t="s">
        <v>225</v>
      </c>
      <c r="G101" s="8" t="s">
        <v>226</v>
      </c>
      <c r="H101" s="8" t="s">
        <v>795</v>
      </c>
      <c r="I101" s="3">
        <v>2</v>
      </c>
      <c r="J101" s="8" t="s">
        <v>742</v>
      </c>
      <c r="K101" s="8" t="s">
        <v>743</v>
      </c>
      <c r="L101" s="8" t="s">
        <v>723</v>
      </c>
      <c r="M101" s="1" t="s">
        <v>790</v>
      </c>
      <c r="N101" s="8" t="s">
        <v>791</v>
      </c>
      <c r="O101" s="6">
        <v>0</v>
      </c>
      <c r="P101" s="6">
        <v>0</v>
      </c>
      <c r="Q101" s="6">
        <v>0</v>
      </c>
      <c r="R101" s="6">
        <v>0</v>
      </c>
      <c r="S101" s="6">
        <v>0</v>
      </c>
    </row>
    <row r="102" spans="1:19" ht="15" x14ac:dyDescent="0.25">
      <c r="A102" s="7" t="s">
        <v>16</v>
      </c>
      <c r="B102" s="7" t="s">
        <v>17</v>
      </c>
      <c r="C102" s="7" t="s">
        <v>18</v>
      </c>
      <c r="D102" s="3">
        <v>92898550000600</v>
      </c>
      <c r="E102" s="8" t="s">
        <v>405</v>
      </c>
      <c r="F102" s="8" t="s">
        <v>225</v>
      </c>
      <c r="G102" s="8" t="s">
        <v>226</v>
      </c>
      <c r="H102" s="8" t="s">
        <v>795</v>
      </c>
      <c r="I102" s="3">
        <v>2</v>
      </c>
      <c r="J102" s="8" t="s">
        <v>780</v>
      </c>
      <c r="K102" s="8" t="s">
        <v>781</v>
      </c>
      <c r="L102" s="8" t="s">
        <v>739</v>
      </c>
      <c r="M102" s="1" t="s">
        <v>790</v>
      </c>
      <c r="N102" s="8" t="s">
        <v>791</v>
      </c>
      <c r="O102" s="6">
        <v>0</v>
      </c>
      <c r="P102" s="6">
        <v>0</v>
      </c>
      <c r="Q102" s="6">
        <v>0</v>
      </c>
      <c r="R102" s="6">
        <v>0</v>
      </c>
      <c r="S102" s="6">
        <v>0</v>
      </c>
    </row>
    <row r="103" spans="1:19" ht="15" x14ac:dyDescent="0.25">
      <c r="A103" s="7" t="s">
        <v>16</v>
      </c>
      <c r="B103" s="7" t="s">
        <v>17</v>
      </c>
      <c r="C103" s="7" t="s">
        <v>18</v>
      </c>
      <c r="D103" s="3">
        <v>92898550000600</v>
      </c>
      <c r="E103" s="8" t="s">
        <v>405</v>
      </c>
      <c r="F103" s="8" t="s">
        <v>225</v>
      </c>
      <c r="G103" s="8" t="s">
        <v>226</v>
      </c>
      <c r="H103" s="8" t="s">
        <v>795</v>
      </c>
      <c r="I103" s="3">
        <v>2</v>
      </c>
      <c r="J103" s="8" t="s">
        <v>742</v>
      </c>
      <c r="K103" s="8" t="s">
        <v>743</v>
      </c>
      <c r="L103" s="8" t="s">
        <v>723</v>
      </c>
      <c r="M103" s="1" t="s">
        <v>790</v>
      </c>
      <c r="N103" s="8" t="s">
        <v>791</v>
      </c>
      <c r="O103" s="6">
        <v>0</v>
      </c>
      <c r="P103" s="6">
        <v>4</v>
      </c>
      <c r="Q103" s="6">
        <v>0</v>
      </c>
      <c r="R103" s="6">
        <v>0</v>
      </c>
      <c r="S103" s="6">
        <v>0</v>
      </c>
    </row>
    <row r="104" spans="1:19" ht="15" x14ac:dyDescent="0.25">
      <c r="A104" s="7" t="s">
        <v>16</v>
      </c>
      <c r="B104" s="7" t="s">
        <v>17</v>
      </c>
      <c r="C104" s="7" t="s">
        <v>18</v>
      </c>
      <c r="D104" s="3">
        <v>1682668000129</v>
      </c>
      <c r="E104" s="8" t="s">
        <v>535</v>
      </c>
      <c r="F104" s="8" t="s">
        <v>225</v>
      </c>
      <c r="G104" s="8" t="s">
        <v>226</v>
      </c>
      <c r="H104" s="8" t="s">
        <v>795</v>
      </c>
      <c r="I104" s="3">
        <v>2</v>
      </c>
      <c r="J104" s="8" t="s">
        <v>780</v>
      </c>
      <c r="K104" s="8" t="s">
        <v>781</v>
      </c>
      <c r="L104" s="8" t="s">
        <v>739</v>
      </c>
      <c r="M104" s="1" t="s">
        <v>790</v>
      </c>
      <c r="N104" s="8" t="s">
        <v>791</v>
      </c>
      <c r="O104" s="6">
        <v>0</v>
      </c>
      <c r="P104" s="6">
        <v>0</v>
      </c>
      <c r="Q104" s="6">
        <v>0</v>
      </c>
      <c r="R104" s="6">
        <v>0</v>
      </c>
      <c r="S104" s="6">
        <v>50</v>
      </c>
    </row>
    <row r="105" spans="1:19" ht="15" x14ac:dyDescent="0.25">
      <c r="A105" s="7" t="s">
        <v>16</v>
      </c>
      <c r="B105" s="7" t="s">
        <v>17</v>
      </c>
      <c r="C105" s="7" t="s">
        <v>18</v>
      </c>
      <c r="D105" s="3">
        <v>1682668000129</v>
      </c>
      <c r="E105" s="8" t="s">
        <v>535</v>
      </c>
      <c r="F105" s="8" t="s">
        <v>225</v>
      </c>
      <c r="G105" s="8" t="s">
        <v>226</v>
      </c>
      <c r="H105" s="8" t="s">
        <v>795</v>
      </c>
      <c r="I105" s="3">
        <v>2</v>
      </c>
      <c r="J105" s="8" t="s">
        <v>742</v>
      </c>
      <c r="K105" s="8" t="s">
        <v>743</v>
      </c>
      <c r="L105" s="8" t="s">
        <v>723</v>
      </c>
      <c r="M105" s="1" t="s">
        <v>790</v>
      </c>
      <c r="N105" s="8" t="s">
        <v>791</v>
      </c>
      <c r="O105" s="6">
        <v>0</v>
      </c>
      <c r="P105" s="6">
        <v>0</v>
      </c>
      <c r="Q105" s="6">
        <v>0</v>
      </c>
      <c r="R105" s="6">
        <v>0</v>
      </c>
      <c r="S105" s="6">
        <v>50</v>
      </c>
    </row>
    <row r="106" spans="1:19" ht="15" x14ac:dyDescent="0.25">
      <c r="A106" s="7" t="s">
        <v>16</v>
      </c>
      <c r="B106" s="7" t="s">
        <v>17</v>
      </c>
      <c r="C106" s="7" t="s">
        <v>18</v>
      </c>
      <c r="D106" s="3">
        <v>16739984000167</v>
      </c>
      <c r="E106" s="8" t="s">
        <v>342</v>
      </c>
      <c r="F106" s="8" t="s">
        <v>225</v>
      </c>
      <c r="G106" s="8" t="s">
        <v>226</v>
      </c>
      <c r="H106" s="8" t="s">
        <v>795</v>
      </c>
      <c r="I106" s="3">
        <v>2</v>
      </c>
      <c r="J106" s="8" t="s">
        <v>780</v>
      </c>
      <c r="K106" s="8" t="s">
        <v>781</v>
      </c>
      <c r="L106" s="8" t="s">
        <v>739</v>
      </c>
      <c r="M106" s="1" t="s">
        <v>790</v>
      </c>
      <c r="N106" s="8" t="s">
        <v>791</v>
      </c>
      <c r="O106" s="6">
        <v>0</v>
      </c>
      <c r="P106" s="6">
        <v>0</v>
      </c>
      <c r="Q106" s="6">
        <v>0</v>
      </c>
      <c r="R106" s="6">
        <v>41</v>
      </c>
      <c r="S106" s="6">
        <v>0</v>
      </c>
    </row>
    <row r="107" spans="1:19" ht="15" x14ac:dyDescent="0.25">
      <c r="A107" s="7" t="s">
        <v>16</v>
      </c>
      <c r="B107" s="7" t="s">
        <v>17</v>
      </c>
      <c r="C107" s="7" t="s">
        <v>18</v>
      </c>
      <c r="D107" s="3">
        <v>16739984000167</v>
      </c>
      <c r="E107" s="8" t="s">
        <v>342</v>
      </c>
      <c r="F107" s="8" t="s">
        <v>225</v>
      </c>
      <c r="G107" s="8" t="s">
        <v>226</v>
      </c>
      <c r="H107" s="8" t="s">
        <v>795</v>
      </c>
      <c r="I107" s="3">
        <v>2</v>
      </c>
      <c r="J107" s="8" t="s">
        <v>742</v>
      </c>
      <c r="K107" s="8" t="s">
        <v>743</v>
      </c>
      <c r="L107" s="8" t="s">
        <v>723</v>
      </c>
      <c r="M107" s="1" t="s">
        <v>790</v>
      </c>
      <c r="N107" s="8" t="s">
        <v>791</v>
      </c>
      <c r="O107" s="6">
        <v>0</v>
      </c>
      <c r="P107" s="6">
        <v>0</v>
      </c>
      <c r="Q107" s="6">
        <v>0</v>
      </c>
      <c r="R107" s="6">
        <v>0</v>
      </c>
      <c r="S107" s="6">
        <v>0</v>
      </c>
    </row>
    <row r="108" spans="1:19" ht="15" x14ac:dyDescent="0.25">
      <c r="A108" s="7" t="s">
        <v>16</v>
      </c>
      <c r="B108" s="7" t="s">
        <v>17</v>
      </c>
      <c r="C108" s="7" t="s">
        <v>18</v>
      </c>
      <c r="D108" s="3">
        <v>511816000180</v>
      </c>
      <c r="E108" s="8" t="s">
        <v>242</v>
      </c>
      <c r="F108" s="8" t="s">
        <v>225</v>
      </c>
      <c r="G108" s="8" t="s">
        <v>226</v>
      </c>
      <c r="H108" s="8" t="s">
        <v>795</v>
      </c>
      <c r="I108" s="3">
        <v>2</v>
      </c>
      <c r="J108" s="8" t="s">
        <v>780</v>
      </c>
      <c r="K108" s="8" t="s">
        <v>781</v>
      </c>
      <c r="L108" s="8" t="s">
        <v>739</v>
      </c>
      <c r="M108" s="1" t="s">
        <v>790</v>
      </c>
      <c r="N108" s="8" t="s">
        <v>791</v>
      </c>
      <c r="O108" s="6">
        <v>0</v>
      </c>
      <c r="P108" s="6">
        <v>0</v>
      </c>
      <c r="Q108" s="6">
        <v>0</v>
      </c>
      <c r="R108" s="6">
        <v>0</v>
      </c>
      <c r="S108" s="6">
        <v>0</v>
      </c>
    </row>
    <row r="109" spans="1:19" ht="15" x14ac:dyDescent="0.25">
      <c r="A109" s="7" t="s">
        <v>16</v>
      </c>
      <c r="B109" s="7" t="s">
        <v>17</v>
      </c>
      <c r="C109" s="7" t="s">
        <v>18</v>
      </c>
      <c r="D109" s="3">
        <v>511816000180</v>
      </c>
      <c r="E109" s="8" t="s">
        <v>242</v>
      </c>
      <c r="F109" s="8" t="s">
        <v>225</v>
      </c>
      <c r="G109" s="8" t="s">
        <v>226</v>
      </c>
      <c r="H109" s="8" t="s">
        <v>795</v>
      </c>
      <c r="I109" s="3">
        <v>2</v>
      </c>
      <c r="J109" s="8" t="s">
        <v>742</v>
      </c>
      <c r="K109" s="8" t="s">
        <v>743</v>
      </c>
      <c r="L109" s="8" t="s">
        <v>723</v>
      </c>
      <c r="M109" s="1" t="s">
        <v>790</v>
      </c>
      <c r="N109" s="8" t="s">
        <v>791</v>
      </c>
      <c r="O109" s="6">
        <v>0</v>
      </c>
      <c r="P109" s="6">
        <v>8</v>
      </c>
      <c r="Q109" s="6">
        <v>0</v>
      </c>
      <c r="R109" s="6">
        <v>0</v>
      </c>
      <c r="S109" s="6">
        <v>0</v>
      </c>
    </row>
    <row r="110" spans="1:19" ht="15" x14ac:dyDescent="0.25">
      <c r="A110" s="7" t="s">
        <v>16</v>
      </c>
      <c r="B110" s="7" t="s">
        <v>17</v>
      </c>
      <c r="C110" s="7" t="s">
        <v>18</v>
      </c>
      <c r="D110" s="3">
        <v>49791000144</v>
      </c>
      <c r="E110" s="8" t="s">
        <v>224</v>
      </c>
      <c r="F110" s="8" t="s">
        <v>225</v>
      </c>
      <c r="G110" s="8" t="s">
        <v>226</v>
      </c>
      <c r="H110" s="8" t="s">
        <v>795</v>
      </c>
      <c r="I110" s="3">
        <v>2</v>
      </c>
      <c r="J110" s="8" t="s">
        <v>780</v>
      </c>
      <c r="K110" s="8" t="s">
        <v>781</v>
      </c>
      <c r="L110" s="8" t="s">
        <v>739</v>
      </c>
      <c r="M110" s="1" t="s">
        <v>790</v>
      </c>
      <c r="N110" s="8" t="s">
        <v>791</v>
      </c>
      <c r="O110" s="6">
        <v>0</v>
      </c>
      <c r="P110" s="6">
        <v>0</v>
      </c>
      <c r="Q110" s="6">
        <v>0</v>
      </c>
      <c r="R110" s="6">
        <v>0</v>
      </c>
      <c r="S110" s="6">
        <v>0</v>
      </c>
    </row>
    <row r="111" spans="1:19" ht="15" x14ac:dyDescent="0.25">
      <c r="A111" s="7" t="s">
        <v>16</v>
      </c>
      <c r="B111" s="7" t="s">
        <v>17</v>
      </c>
      <c r="C111" s="7" t="s">
        <v>18</v>
      </c>
      <c r="D111" s="3">
        <v>49791000144</v>
      </c>
      <c r="E111" s="8" t="s">
        <v>224</v>
      </c>
      <c r="F111" s="8" t="s">
        <v>225</v>
      </c>
      <c r="G111" s="8" t="s">
        <v>226</v>
      </c>
      <c r="H111" s="8" t="s">
        <v>795</v>
      </c>
      <c r="I111" s="3">
        <v>2</v>
      </c>
      <c r="J111" s="8" t="s">
        <v>742</v>
      </c>
      <c r="K111" s="8" t="s">
        <v>743</v>
      </c>
      <c r="L111" s="8" t="s">
        <v>723</v>
      </c>
      <c r="M111" s="1" t="s">
        <v>790</v>
      </c>
      <c r="N111" s="8" t="s">
        <v>791</v>
      </c>
      <c r="O111" s="6">
        <v>0</v>
      </c>
      <c r="P111" s="6">
        <v>13</v>
      </c>
      <c r="Q111" s="6">
        <v>4</v>
      </c>
      <c r="R111" s="6">
        <v>0</v>
      </c>
      <c r="S111" s="6">
        <v>0</v>
      </c>
    </row>
    <row r="112" spans="1:19" ht="15" x14ac:dyDescent="0.25">
      <c r="A112" s="7" t="s">
        <v>16</v>
      </c>
      <c r="B112" s="7" t="s">
        <v>17</v>
      </c>
      <c r="C112" s="7" t="s">
        <v>18</v>
      </c>
      <c r="D112" s="3">
        <v>61590410001287</v>
      </c>
      <c r="E112" s="8" t="s">
        <v>580</v>
      </c>
      <c r="F112" s="8" t="s">
        <v>225</v>
      </c>
      <c r="G112" s="8" t="s">
        <v>226</v>
      </c>
      <c r="H112" s="8" t="s">
        <v>795</v>
      </c>
      <c r="I112" s="3">
        <v>2</v>
      </c>
      <c r="J112" s="8" t="s">
        <v>780</v>
      </c>
      <c r="K112" s="8" t="s">
        <v>781</v>
      </c>
      <c r="L112" s="8" t="s">
        <v>739</v>
      </c>
      <c r="M112" s="1" t="s">
        <v>790</v>
      </c>
      <c r="N112" s="8" t="s">
        <v>791</v>
      </c>
      <c r="O112" s="6">
        <v>0</v>
      </c>
      <c r="P112" s="6">
        <v>0</v>
      </c>
      <c r="Q112" s="6">
        <v>0</v>
      </c>
      <c r="R112" s="6">
        <v>0</v>
      </c>
      <c r="S112" s="6">
        <v>610</v>
      </c>
    </row>
    <row r="113" spans="1:19" ht="15" x14ac:dyDescent="0.25">
      <c r="A113" s="7" t="s">
        <v>16</v>
      </c>
      <c r="B113" s="7" t="s">
        <v>17</v>
      </c>
      <c r="C113" s="7" t="s">
        <v>18</v>
      </c>
      <c r="D113" s="3">
        <v>61590410001287</v>
      </c>
      <c r="E113" s="8" t="s">
        <v>580</v>
      </c>
      <c r="F113" s="8" t="s">
        <v>225</v>
      </c>
      <c r="G113" s="8" t="s">
        <v>226</v>
      </c>
      <c r="H113" s="8" t="s">
        <v>795</v>
      </c>
      <c r="I113" s="3">
        <v>2</v>
      </c>
      <c r="J113" s="8" t="s">
        <v>742</v>
      </c>
      <c r="K113" s="8" t="s">
        <v>743</v>
      </c>
      <c r="L113" s="8" t="s">
        <v>723</v>
      </c>
      <c r="M113" s="1" t="s">
        <v>790</v>
      </c>
      <c r="N113" s="8" t="s">
        <v>791</v>
      </c>
      <c r="O113" s="6">
        <v>0</v>
      </c>
      <c r="P113" s="6">
        <v>0</v>
      </c>
      <c r="Q113" s="6">
        <v>0</v>
      </c>
      <c r="R113" s="6">
        <v>0</v>
      </c>
      <c r="S113" s="6">
        <v>610</v>
      </c>
    </row>
    <row r="114" spans="1:19" ht="15" x14ac:dyDescent="0.25">
      <c r="A114" s="7" t="s">
        <v>16</v>
      </c>
      <c r="B114" s="7" t="s">
        <v>17</v>
      </c>
      <c r="C114" s="7" t="s">
        <v>18</v>
      </c>
      <c r="D114" s="3">
        <v>7039651000134</v>
      </c>
      <c r="E114" s="8" t="s">
        <v>547</v>
      </c>
      <c r="F114" s="8" t="s">
        <v>548</v>
      </c>
      <c r="G114" s="8" t="s">
        <v>418</v>
      </c>
      <c r="H114" s="8" t="s">
        <v>795</v>
      </c>
      <c r="I114" s="3">
        <v>1</v>
      </c>
      <c r="J114" s="8" t="s">
        <v>737</v>
      </c>
      <c r="K114" s="8" t="s">
        <v>738</v>
      </c>
      <c r="L114" s="8" t="s">
        <v>739</v>
      </c>
      <c r="M114" s="1" t="s">
        <v>784</v>
      </c>
      <c r="N114" s="8" t="s">
        <v>785</v>
      </c>
      <c r="O114" s="6">
        <v>0</v>
      </c>
      <c r="P114" s="6">
        <v>0</v>
      </c>
      <c r="Q114" s="6">
        <v>0</v>
      </c>
      <c r="R114" s="6">
        <v>0</v>
      </c>
      <c r="S114" s="6">
        <v>15</v>
      </c>
    </row>
    <row r="115" spans="1:19" ht="15" x14ac:dyDescent="0.25">
      <c r="A115" s="7" t="s">
        <v>16</v>
      </c>
      <c r="B115" s="7" t="s">
        <v>17</v>
      </c>
      <c r="C115" s="7" t="s">
        <v>18</v>
      </c>
      <c r="D115" s="3">
        <v>1396804000114</v>
      </c>
      <c r="E115" s="8" t="s">
        <v>532</v>
      </c>
      <c r="F115" s="8" t="s">
        <v>417</v>
      </c>
      <c r="G115" s="8" t="s">
        <v>418</v>
      </c>
      <c r="H115" s="8" t="s">
        <v>795</v>
      </c>
      <c r="I115" s="3">
        <v>1</v>
      </c>
      <c r="J115" s="8" t="s">
        <v>737</v>
      </c>
      <c r="K115" s="8" t="s">
        <v>738</v>
      </c>
      <c r="L115" s="8" t="s">
        <v>739</v>
      </c>
      <c r="M115" s="1" t="s">
        <v>784</v>
      </c>
      <c r="N115" s="8" t="s">
        <v>785</v>
      </c>
      <c r="O115" s="6">
        <v>0</v>
      </c>
      <c r="P115" s="6">
        <v>0</v>
      </c>
      <c r="Q115" s="6">
        <v>0</v>
      </c>
      <c r="R115" s="6">
        <v>0</v>
      </c>
      <c r="S115" s="6">
        <v>40</v>
      </c>
    </row>
    <row r="116" spans="1:19" ht="15" x14ac:dyDescent="0.25">
      <c r="A116" s="7" t="s">
        <v>16</v>
      </c>
      <c r="B116" s="7" t="s">
        <v>17</v>
      </c>
      <c r="C116" s="7" t="s">
        <v>18</v>
      </c>
      <c r="D116" s="3">
        <v>27080605001591</v>
      </c>
      <c r="E116" s="8" t="s">
        <v>574</v>
      </c>
      <c r="F116" s="8" t="s">
        <v>417</v>
      </c>
      <c r="G116" s="8" t="s">
        <v>418</v>
      </c>
      <c r="H116" s="8" t="s">
        <v>795</v>
      </c>
      <c r="I116" s="3">
        <v>1</v>
      </c>
      <c r="J116" s="8" t="s">
        <v>737</v>
      </c>
      <c r="K116" s="8" t="s">
        <v>738</v>
      </c>
      <c r="L116" s="8" t="s">
        <v>739</v>
      </c>
      <c r="M116" s="1" t="s">
        <v>784</v>
      </c>
      <c r="N116" s="8" t="s">
        <v>785</v>
      </c>
      <c r="O116" s="6">
        <v>0</v>
      </c>
      <c r="P116" s="6">
        <v>0</v>
      </c>
      <c r="Q116" s="6">
        <v>0</v>
      </c>
      <c r="R116" s="6">
        <v>0</v>
      </c>
      <c r="S116" s="6">
        <v>1000</v>
      </c>
    </row>
    <row r="117" spans="1:19" ht="15" x14ac:dyDescent="0.25">
      <c r="A117" s="7" t="s">
        <v>16</v>
      </c>
      <c r="B117" s="7" t="s">
        <v>17</v>
      </c>
      <c r="C117" s="7" t="s">
        <v>18</v>
      </c>
      <c r="D117" s="3">
        <v>28137925000106</v>
      </c>
      <c r="E117" s="8" t="s">
        <v>575</v>
      </c>
      <c r="F117" s="8" t="s">
        <v>451</v>
      </c>
      <c r="G117" s="8" t="s">
        <v>418</v>
      </c>
      <c r="H117" s="8" t="s">
        <v>795</v>
      </c>
      <c r="I117" s="3">
        <v>1</v>
      </c>
      <c r="J117" s="8" t="s">
        <v>737</v>
      </c>
      <c r="K117" s="8" t="s">
        <v>738</v>
      </c>
      <c r="L117" s="8" t="s">
        <v>739</v>
      </c>
      <c r="M117" s="1" t="s">
        <v>784</v>
      </c>
      <c r="N117" s="8" t="s">
        <v>785</v>
      </c>
      <c r="O117" s="6">
        <v>0</v>
      </c>
      <c r="P117" s="6">
        <v>0</v>
      </c>
      <c r="Q117" s="6">
        <v>0</v>
      </c>
      <c r="R117" s="6">
        <v>0</v>
      </c>
      <c r="S117" s="6">
        <v>100</v>
      </c>
    </row>
    <row r="118" spans="1:19" ht="15" x14ac:dyDescent="0.25">
      <c r="A118" s="7" t="s">
        <v>16</v>
      </c>
      <c r="B118" s="7" t="s">
        <v>17</v>
      </c>
      <c r="C118" s="7" t="s">
        <v>18</v>
      </c>
      <c r="D118" s="3">
        <v>39387477000107</v>
      </c>
      <c r="E118" s="8" t="s">
        <v>579</v>
      </c>
      <c r="F118" s="8" t="s">
        <v>451</v>
      </c>
      <c r="G118" s="8" t="s">
        <v>418</v>
      </c>
      <c r="H118" s="8" t="s">
        <v>795</v>
      </c>
      <c r="I118" s="3">
        <v>1</v>
      </c>
      <c r="J118" s="8" t="s">
        <v>737</v>
      </c>
      <c r="K118" s="8" t="s">
        <v>738</v>
      </c>
      <c r="L118" s="8" t="s">
        <v>739</v>
      </c>
      <c r="M118" s="1" t="s">
        <v>784</v>
      </c>
      <c r="N118" s="8" t="s">
        <v>785</v>
      </c>
      <c r="O118" s="6">
        <v>0</v>
      </c>
      <c r="P118" s="6">
        <v>0</v>
      </c>
      <c r="Q118" s="6">
        <v>0</v>
      </c>
      <c r="R118" s="6">
        <v>0</v>
      </c>
      <c r="S118" s="6">
        <v>180</v>
      </c>
    </row>
    <row r="119" spans="1:19" ht="15" x14ac:dyDescent="0.25">
      <c r="A119" s="7" t="s">
        <v>16</v>
      </c>
      <c r="B119" s="7" t="s">
        <v>17</v>
      </c>
      <c r="C119" s="7" t="s">
        <v>18</v>
      </c>
      <c r="D119" s="3">
        <v>1326206000179</v>
      </c>
      <c r="E119" s="8" t="s">
        <v>254</v>
      </c>
      <c r="F119" s="8" t="s">
        <v>255</v>
      </c>
      <c r="G119" s="8" t="s">
        <v>238</v>
      </c>
      <c r="H119" s="8" t="s">
        <v>795</v>
      </c>
      <c r="I119" s="3">
        <v>2</v>
      </c>
      <c r="J119" s="8" t="s">
        <v>766</v>
      </c>
      <c r="K119" s="8" t="s">
        <v>767</v>
      </c>
      <c r="L119" s="8" t="s">
        <v>730</v>
      </c>
      <c r="M119" s="1" t="s">
        <v>790</v>
      </c>
      <c r="N119" s="8" t="s">
        <v>791</v>
      </c>
      <c r="O119" s="6">
        <v>0</v>
      </c>
      <c r="P119" s="6">
        <v>0</v>
      </c>
      <c r="Q119" s="6">
        <v>0</v>
      </c>
      <c r="R119" s="6">
        <v>10</v>
      </c>
      <c r="S119" s="6">
        <v>0</v>
      </c>
    </row>
    <row r="120" spans="1:19" ht="15" x14ac:dyDescent="0.25">
      <c r="A120" s="7" t="s">
        <v>16</v>
      </c>
      <c r="B120" s="7" t="s">
        <v>17</v>
      </c>
      <c r="C120" s="7" t="s">
        <v>18</v>
      </c>
      <c r="D120" s="3">
        <v>1326206000179</v>
      </c>
      <c r="E120" s="8" t="s">
        <v>254</v>
      </c>
      <c r="F120" s="8" t="s">
        <v>255</v>
      </c>
      <c r="G120" s="8" t="s">
        <v>238</v>
      </c>
      <c r="H120" s="8" t="s">
        <v>795</v>
      </c>
      <c r="I120" s="3">
        <v>2</v>
      </c>
      <c r="J120" s="8" t="s">
        <v>742</v>
      </c>
      <c r="K120" s="8" t="s">
        <v>743</v>
      </c>
      <c r="L120" s="8" t="s">
        <v>723</v>
      </c>
      <c r="M120" s="1" t="s">
        <v>790</v>
      </c>
      <c r="N120" s="8" t="s">
        <v>791</v>
      </c>
      <c r="O120" s="6">
        <v>0</v>
      </c>
      <c r="P120" s="6">
        <v>0</v>
      </c>
      <c r="Q120" s="6">
        <v>0</v>
      </c>
      <c r="R120" s="6">
        <v>0</v>
      </c>
      <c r="S120" s="6">
        <v>0</v>
      </c>
    </row>
    <row r="121" spans="1:19" ht="15" x14ac:dyDescent="0.25">
      <c r="A121" s="7" t="s">
        <v>16</v>
      </c>
      <c r="B121" s="7" t="s">
        <v>17</v>
      </c>
      <c r="C121" s="7" t="s">
        <v>18</v>
      </c>
      <c r="D121" s="3">
        <v>2476067000394</v>
      </c>
      <c r="E121" s="8" t="s">
        <v>537</v>
      </c>
      <c r="F121" s="8" t="s">
        <v>237</v>
      </c>
      <c r="G121" s="8" t="s">
        <v>238</v>
      </c>
      <c r="H121" s="8" t="s">
        <v>795</v>
      </c>
      <c r="I121" s="3">
        <v>2</v>
      </c>
      <c r="J121" s="8" t="s">
        <v>766</v>
      </c>
      <c r="K121" s="8" t="s">
        <v>767</v>
      </c>
      <c r="L121" s="8" t="s">
        <v>730</v>
      </c>
      <c r="M121" s="1" t="s">
        <v>790</v>
      </c>
      <c r="N121" s="8" t="s">
        <v>791</v>
      </c>
      <c r="O121" s="6">
        <v>0</v>
      </c>
      <c r="P121" s="6">
        <v>0</v>
      </c>
      <c r="Q121" s="6">
        <v>0</v>
      </c>
      <c r="R121" s="6">
        <v>0</v>
      </c>
      <c r="S121" s="6">
        <v>118</v>
      </c>
    </row>
    <row r="122" spans="1:19" ht="15" x14ac:dyDescent="0.25">
      <c r="A122" s="7" t="s">
        <v>16</v>
      </c>
      <c r="B122" s="7" t="s">
        <v>17</v>
      </c>
      <c r="C122" s="7" t="s">
        <v>18</v>
      </c>
      <c r="D122" s="3">
        <v>2476067000394</v>
      </c>
      <c r="E122" s="8" t="s">
        <v>537</v>
      </c>
      <c r="F122" s="8" t="s">
        <v>237</v>
      </c>
      <c r="G122" s="8" t="s">
        <v>238</v>
      </c>
      <c r="H122" s="8" t="s">
        <v>795</v>
      </c>
      <c r="I122" s="3">
        <v>2</v>
      </c>
      <c r="J122" s="8" t="s">
        <v>742</v>
      </c>
      <c r="K122" s="8" t="s">
        <v>743</v>
      </c>
      <c r="L122" s="8" t="s">
        <v>723</v>
      </c>
      <c r="M122" s="1" t="s">
        <v>790</v>
      </c>
      <c r="N122" s="8" t="s">
        <v>791</v>
      </c>
      <c r="O122" s="6">
        <v>0</v>
      </c>
      <c r="P122" s="6">
        <v>0</v>
      </c>
      <c r="Q122" s="6">
        <v>0</v>
      </c>
      <c r="R122" s="6">
        <v>0</v>
      </c>
      <c r="S122" s="6">
        <v>118</v>
      </c>
    </row>
    <row r="123" spans="1:19" ht="15" x14ac:dyDescent="0.25">
      <c r="A123" s="7" t="s">
        <v>16</v>
      </c>
      <c r="B123" s="7" t="s">
        <v>17</v>
      </c>
      <c r="C123" s="7" t="s">
        <v>18</v>
      </c>
      <c r="D123" s="3">
        <v>418954000119</v>
      </c>
      <c r="E123" s="8" t="s">
        <v>236</v>
      </c>
      <c r="F123" s="8" t="s">
        <v>237</v>
      </c>
      <c r="G123" s="8" t="s">
        <v>238</v>
      </c>
      <c r="H123" s="8" t="s">
        <v>795</v>
      </c>
      <c r="I123" s="3">
        <v>2</v>
      </c>
      <c r="J123" s="8" t="s">
        <v>766</v>
      </c>
      <c r="K123" s="8" t="s">
        <v>767</v>
      </c>
      <c r="L123" s="8" t="s">
        <v>730</v>
      </c>
      <c r="M123" s="1" t="s">
        <v>790</v>
      </c>
      <c r="N123" s="8" t="s">
        <v>791</v>
      </c>
      <c r="O123" s="6">
        <v>0</v>
      </c>
      <c r="P123" s="6">
        <v>0</v>
      </c>
      <c r="Q123" s="6">
        <v>0</v>
      </c>
      <c r="R123" s="6">
        <v>0</v>
      </c>
      <c r="S123" s="6">
        <v>0</v>
      </c>
    </row>
    <row r="124" spans="1:19" ht="15" x14ac:dyDescent="0.25">
      <c r="A124" s="7" t="s">
        <v>16</v>
      </c>
      <c r="B124" s="7" t="s">
        <v>17</v>
      </c>
      <c r="C124" s="7" t="s">
        <v>18</v>
      </c>
      <c r="D124" s="3">
        <v>418954000119</v>
      </c>
      <c r="E124" s="8" t="s">
        <v>236</v>
      </c>
      <c r="F124" s="8" t="s">
        <v>237</v>
      </c>
      <c r="G124" s="8" t="s">
        <v>238</v>
      </c>
      <c r="H124" s="8" t="s">
        <v>795</v>
      </c>
      <c r="I124" s="3">
        <v>2</v>
      </c>
      <c r="J124" s="8" t="s">
        <v>742</v>
      </c>
      <c r="K124" s="8" t="s">
        <v>743</v>
      </c>
      <c r="L124" s="8" t="s">
        <v>723</v>
      </c>
      <c r="M124" s="1" t="s">
        <v>790</v>
      </c>
      <c r="N124" s="8" t="s">
        <v>791</v>
      </c>
      <c r="O124" s="6">
        <v>0</v>
      </c>
      <c r="P124" s="6">
        <v>10</v>
      </c>
      <c r="Q124" s="6">
        <v>0</v>
      </c>
      <c r="R124" s="6">
        <v>0</v>
      </c>
      <c r="S124" s="6">
        <v>0</v>
      </c>
    </row>
    <row r="125" spans="1:19" ht="15" x14ac:dyDescent="0.25">
      <c r="A125" s="7" t="s">
        <v>16</v>
      </c>
      <c r="B125" s="7" t="s">
        <v>17</v>
      </c>
      <c r="C125" s="7" t="s">
        <v>18</v>
      </c>
      <c r="D125" s="3">
        <v>1011865000116</v>
      </c>
      <c r="E125" s="8" t="s">
        <v>528</v>
      </c>
      <c r="F125" s="8" t="s">
        <v>237</v>
      </c>
      <c r="G125" s="8" t="s">
        <v>238</v>
      </c>
      <c r="H125" s="8" t="s">
        <v>795</v>
      </c>
      <c r="I125" s="3">
        <v>2</v>
      </c>
      <c r="J125" s="8" t="s">
        <v>766</v>
      </c>
      <c r="K125" s="8" t="s">
        <v>767</v>
      </c>
      <c r="L125" s="8" t="s">
        <v>730</v>
      </c>
      <c r="M125" s="1" t="s">
        <v>790</v>
      </c>
      <c r="N125" s="8" t="s">
        <v>791</v>
      </c>
      <c r="O125" s="6">
        <v>0</v>
      </c>
      <c r="P125" s="6">
        <v>0</v>
      </c>
      <c r="Q125" s="6">
        <v>0</v>
      </c>
      <c r="R125" s="6">
        <v>0</v>
      </c>
      <c r="S125" s="6">
        <v>350</v>
      </c>
    </row>
    <row r="126" spans="1:19" ht="15" x14ac:dyDescent="0.25">
      <c r="A126" s="7" t="s">
        <v>16</v>
      </c>
      <c r="B126" s="7" t="s">
        <v>17</v>
      </c>
      <c r="C126" s="7" t="s">
        <v>18</v>
      </c>
      <c r="D126" s="3">
        <v>1011865000116</v>
      </c>
      <c r="E126" s="8" t="s">
        <v>528</v>
      </c>
      <c r="F126" s="8" t="s">
        <v>237</v>
      </c>
      <c r="G126" s="8" t="s">
        <v>238</v>
      </c>
      <c r="H126" s="8" t="s">
        <v>795</v>
      </c>
      <c r="I126" s="3">
        <v>2</v>
      </c>
      <c r="J126" s="8" t="s">
        <v>742</v>
      </c>
      <c r="K126" s="8" t="s">
        <v>743</v>
      </c>
      <c r="L126" s="8" t="s">
        <v>723</v>
      </c>
      <c r="M126" s="1" t="s">
        <v>790</v>
      </c>
      <c r="N126" s="8" t="s">
        <v>791</v>
      </c>
      <c r="O126" s="6">
        <v>0</v>
      </c>
      <c r="P126" s="6">
        <v>0</v>
      </c>
      <c r="Q126" s="6">
        <v>0</v>
      </c>
      <c r="R126" s="6">
        <v>0</v>
      </c>
      <c r="S126" s="6">
        <v>350</v>
      </c>
    </row>
    <row r="127" spans="1:19" ht="15" x14ac:dyDescent="0.25">
      <c r="A127" s="7" t="s">
        <v>16</v>
      </c>
      <c r="B127" s="7" t="s">
        <v>17</v>
      </c>
      <c r="C127" s="7" t="s">
        <v>18</v>
      </c>
      <c r="D127" s="3">
        <v>2476067000203</v>
      </c>
      <c r="E127" s="8" t="s">
        <v>269</v>
      </c>
      <c r="F127" s="8" t="s">
        <v>237</v>
      </c>
      <c r="G127" s="8" t="s">
        <v>238</v>
      </c>
      <c r="H127" s="8" t="s">
        <v>795</v>
      </c>
      <c r="I127" s="3">
        <v>2</v>
      </c>
      <c r="J127" s="8" t="s">
        <v>766</v>
      </c>
      <c r="K127" s="8" t="s">
        <v>767</v>
      </c>
      <c r="L127" s="8" t="s">
        <v>730</v>
      </c>
      <c r="M127" s="1" t="s">
        <v>790</v>
      </c>
      <c r="N127" s="8" t="s">
        <v>791</v>
      </c>
      <c r="O127" s="6">
        <v>0</v>
      </c>
      <c r="P127" s="6">
        <v>0</v>
      </c>
      <c r="Q127" s="6">
        <v>0</v>
      </c>
      <c r="R127" s="6">
        <v>20</v>
      </c>
      <c r="S127" s="6">
        <v>0</v>
      </c>
    </row>
    <row r="128" spans="1:19" ht="15" x14ac:dyDescent="0.25">
      <c r="A128" s="7" t="s">
        <v>16</v>
      </c>
      <c r="B128" s="7" t="s">
        <v>17</v>
      </c>
      <c r="C128" s="7" t="s">
        <v>18</v>
      </c>
      <c r="D128" s="3">
        <v>2476067000203</v>
      </c>
      <c r="E128" s="8" t="s">
        <v>269</v>
      </c>
      <c r="F128" s="8" t="s">
        <v>237</v>
      </c>
      <c r="G128" s="8" t="s">
        <v>238</v>
      </c>
      <c r="H128" s="8" t="s">
        <v>795</v>
      </c>
      <c r="I128" s="3">
        <v>2</v>
      </c>
      <c r="J128" s="8" t="s">
        <v>742</v>
      </c>
      <c r="K128" s="8" t="s">
        <v>743</v>
      </c>
      <c r="L128" s="8" t="s">
        <v>723</v>
      </c>
      <c r="M128" s="1" t="s">
        <v>790</v>
      </c>
      <c r="N128" s="8" t="s">
        <v>791</v>
      </c>
      <c r="O128" s="6">
        <v>0</v>
      </c>
      <c r="P128" s="6">
        <v>0</v>
      </c>
      <c r="Q128" s="6">
        <v>0</v>
      </c>
      <c r="R128" s="6">
        <v>0</v>
      </c>
      <c r="S128" s="6">
        <v>0</v>
      </c>
    </row>
    <row r="129" spans="1:19" ht="15" x14ac:dyDescent="0.25">
      <c r="A129" s="7" t="s">
        <v>16</v>
      </c>
      <c r="B129" s="7" t="s">
        <v>17</v>
      </c>
      <c r="C129" s="7" t="s">
        <v>18</v>
      </c>
      <c r="D129" s="3">
        <v>2476067000122</v>
      </c>
      <c r="E129" s="8" t="s">
        <v>536</v>
      </c>
      <c r="F129" s="8" t="s">
        <v>237</v>
      </c>
      <c r="G129" s="8" t="s">
        <v>238</v>
      </c>
      <c r="H129" s="8" t="s">
        <v>795</v>
      </c>
      <c r="I129" s="3">
        <v>2</v>
      </c>
      <c r="J129" s="8" t="s">
        <v>766</v>
      </c>
      <c r="K129" s="8" t="s">
        <v>767</v>
      </c>
      <c r="L129" s="8" t="s">
        <v>730</v>
      </c>
      <c r="M129" s="1" t="s">
        <v>790</v>
      </c>
      <c r="N129" s="8" t="s">
        <v>791</v>
      </c>
      <c r="O129" s="6">
        <v>0</v>
      </c>
      <c r="P129" s="6">
        <v>0</v>
      </c>
      <c r="Q129" s="6">
        <v>0</v>
      </c>
      <c r="R129" s="6">
        <v>0</v>
      </c>
      <c r="S129" s="6">
        <v>15</v>
      </c>
    </row>
    <row r="130" spans="1:19" ht="15" x14ac:dyDescent="0.25">
      <c r="A130" s="7" t="s">
        <v>16</v>
      </c>
      <c r="B130" s="7" t="s">
        <v>17</v>
      </c>
      <c r="C130" s="7" t="s">
        <v>18</v>
      </c>
      <c r="D130" s="3">
        <v>2476067000122</v>
      </c>
      <c r="E130" s="8" t="s">
        <v>536</v>
      </c>
      <c r="F130" s="8" t="s">
        <v>237</v>
      </c>
      <c r="G130" s="8" t="s">
        <v>238</v>
      </c>
      <c r="H130" s="8" t="s">
        <v>795</v>
      </c>
      <c r="I130" s="3">
        <v>2</v>
      </c>
      <c r="J130" s="8" t="s">
        <v>742</v>
      </c>
      <c r="K130" s="8" t="s">
        <v>743</v>
      </c>
      <c r="L130" s="8" t="s">
        <v>723</v>
      </c>
      <c r="M130" s="1" t="s">
        <v>790</v>
      </c>
      <c r="N130" s="8" t="s">
        <v>791</v>
      </c>
      <c r="O130" s="6">
        <v>0</v>
      </c>
      <c r="P130" s="6">
        <v>0</v>
      </c>
      <c r="Q130" s="6">
        <v>0</v>
      </c>
      <c r="R130" s="6">
        <v>0</v>
      </c>
      <c r="S130" s="6">
        <v>15</v>
      </c>
    </row>
    <row r="131" spans="1:19" ht="15" x14ac:dyDescent="0.25">
      <c r="A131" s="7" t="s">
        <v>16</v>
      </c>
      <c r="B131" s="7" t="s">
        <v>17</v>
      </c>
      <c r="C131" s="7" t="s">
        <v>18</v>
      </c>
      <c r="D131" s="3">
        <v>6190522000180</v>
      </c>
      <c r="E131" s="8" t="s">
        <v>292</v>
      </c>
      <c r="F131" s="8" t="s">
        <v>293</v>
      </c>
      <c r="G131" s="8" t="s">
        <v>238</v>
      </c>
      <c r="H131" s="8" t="s">
        <v>795</v>
      </c>
      <c r="I131" s="3">
        <v>2</v>
      </c>
      <c r="J131" s="8" t="s">
        <v>766</v>
      </c>
      <c r="K131" s="8" t="s">
        <v>767</v>
      </c>
      <c r="L131" s="8" t="s">
        <v>730</v>
      </c>
      <c r="M131" s="1" t="s">
        <v>790</v>
      </c>
      <c r="N131" s="8" t="s">
        <v>791</v>
      </c>
      <c r="O131" s="6">
        <v>24</v>
      </c>
      <c r="P131" s="6">
        <v>0</v>
      </c>
      <c r="Q131" s="6">
        <v>0</v>
      </c>
      <c r="R131" s="6">
        <v>0</v>
      </c>
      <c r="S131" s="6">
        <v>0</v>
      </c>
    </row>
    <row r="132" spans="1:19" ht="15" x14ac:dyDescent="0.25">
      <c r="A132" s="7" t="s">
        <v>16</v>
      </c>
      <c r="B132" s="7" t="s">
        <v>17</v>
      </c>
      <c r="C132" s="7" t="s">
        <v>18</v>
      </c>
      <c r="D132" s="3">
        <v>6190522000180</v>
      </c>
      <c r="E132" s="8" t="s">
        <v>292</v>
      </c>
      <c r="F132" s="8" t="s">
        <v>293</v>
      </c>
      <c r="G132" s="8" t="s">
        <v>238</v>
      </c>
      <c r="H132" s="8" t="s">
        <v>795</v>
      </c>
      <c r="I132" s="3">
        <v>2</v>
      </c>
      <c r="J132" s="8" t="s">
        <v>742</v>
      </c>
      <c r="K132" s="8" t="s">
        <v>743</v>
      </c>
      <c r="L132" s="8" t="s">
        <v>723</v>
      </c>
      <c r="M132" s="1" t="s">
        <v>790</v>
      </c>
      <c r="N132" s="8" t="s">
        <v>791</v>
      </c>
      <c r="O132" s="6">
        <v>0</v>
      </c>
      <c r="P132" s="6">
        <v>0</v>
      </c>
      <c r="Q132" s="6">
        <v>0</v>
      </c>
      <c r="R132" s="6">
        <v>0</v>
      </c>
      <c r="S132" s="6">
        <v>0</v>
      </c>
    </row>
    <row r="133" spans="1:19" ht="15" x14ac:dyDescent="0.25">
      <c r="A133" s="7" t="s">
        <v>16</v>
      </c>
      <c r="B133" s="7" t="s">
        <v>17</v>
      </c>
      <c r="C133" s="7" t="s">
        <v>18</v>
      </c>
      <c r="D133" s="3">
        <v>2284062001170</v>
      </c>
      <c r="E133" s="8" t="s">
        <v>266</v>
      </c>
      <c r="F133" s="8" t="s">
        <v>267</v>
      </c>
      <c r="G133" s="8" t="s">
        <v>268</v>
      </c>
      <c r="H133" s="8" t="s">
        <v>795</v>
      </c>
      <c r="I133" s="3">
        <v>2</v>
      </c>
      <c r="J133" s="8" t="s">
        <v>778</v>
      </c>
      <c r="K133" s="8" t="s">
        <v>779</v>
      </c>
      <c r="L133" s="8" t="s">
        <v>730</v>
      </c>
      <c r="M133" s="1" t="s">
        <v>790</v>
      </c>
      <c r="N133" s="8" t="s">
        <v>791</v>
      </c>
      <c r="O133" s="6">
        <v>0</v>
      </c>
      <c r="P133" s="6">
        <v>0</v>
      </c>
      <c r="Q133" s="6">
        <v>0</v>
      </c>
      <c r="R133" s="6">
        <v>0</v>
      </c>
      <c r="S133" s="6">
        <v>0</v>
      </c>
    </row>
    <row r="134" spans="1:19" ht="15" x14ac:dyDescent="0.25">
      <c r="A134" s="7" t="s">
        <v>16</v>
      </c>
      <c r="B134" s="7" t="s">
        <v>17</v>
      </c>
      <c r="C134" s="7" t="s">
        <v>18</v>
      </c>
      <c r="D134" s="3">
        <v>2284062001170</v>
      </c>
      <c r="E134" s="8" t="s">
        <v>266</v>
      </c>
      <c r="F134" s="8" t="s">
        <v>267</v>
      </c>
      <c r="G134" s="8" t="s">
        <v>268</v>
      </c>
      <c r="H134" s="8" t="s">
        <v>795</v>
      </c>
      <c r="I134" s="3">
        <v>2</v>
      </c>
      <c r="J134" s="8" t="s">
        <v>744</v>
      </c>
      <c r="K134" s="8" t="s">
        <v>745</v>
      </c>
      <c r="L134" s="8" t="s">
        <v>723</v>
      </c>
      <c r="M134" s="1" t="s">
        <v>790</v>
      </c>
      <c r="N134" s="8" t="s">
        <v>791</v>
      </c>
      <c r="O134" s="6">
        <v>0</v>
      </c>
      <c r="P134" s="6">
        <v>0</v>
      </c>
      <c r="Q134" s="6">
        <v>5</v>
      </c>
      <c r="R134" s="6">
        <v>0</v>
      </c>
      <c r="S134" s="6">
        <v>0</v>
      </c>
    </row>
    <row r="135" spans="1:19" ht="15" x14ac:dyDescent="0.25">
      <c r="A135" s="7" t="s">
        <v>16</v>
      </c>
      <c r="B135" s="7" t="s">
        <v>17</v>
      </c>
      <c r="C135" s="7" t="s">
        <v>18</v>
      </c>
      <c r="D135" s="3">
        <v>15126437000496</v>
      </c>
      <c r="E135" s="8" t="s">
        <v>328</v>
      </c>
      <c r="F135" s="8" t="s">
        <v>310</v>
      </c>
      <c r="G135" s="8" t="s">
        <v>268</v>
      </c>
      <c r="H135" s="8" t="s">
        <v>795</v>
      </c>
      <c r="I135" s="3">
        <v>2</v>
      </c>
      <c r="J135" s="8" t="s">
        <v>778</v>
      </c>
      <c r="K135" s="8" t="s">
        <v>779</v>
      </c>
      <c r="L135" s="8" t="s">
        <v>730</v>
      </c>
      <c r="M135" s="1" t="s">
        <v>790</v>
      </c>
      <c r="N135" s="8" t="s">
        <v>791</v>
      </c>
      <c r="O135" s="6">
        <v>0</v>
      </c>
      <c r="P135" s="6">
        <v>0</v>
      </c>
      <c r="Q135" s="6">
        <v>0</v>
      </c>
      <c r="R135" s="6">
        <v>0</v>
      </c>
      <c r="S135" s="6">
        <v>0</v>
      </c>
    </row>
    <row r="136" spans="1:19" ht="15" x14ac:dyDescent="0.25">
      <c r="A136" s="7" t="s">
        <v>16</v>
      </c>
      <c r="B136" s="7" t="s">
        <v>17</v>
      </c>
      <c r="C136" s="7" t="s">
        <v>18</v>
      </c>
      <c r="D136" s="3">
        <v>15126437000496</v>
      </c>
      <c r="E136" s="8" t="s">
        <v>328</v>
      </c>
      <c r="F136" s="8" t="s">
        <v>310</v>
      </c>
      <c r="G136" s="8" t="s">
        <v>268</v>
      </c>
      <c r="H136" s="8" t="s">
        <v>795</v>
      </c>
      <c r="I136" s="3">
        <v>2</v>
      </c>
      <c r="J136" s="8" t="s">
        <v>744</v>
      </c>
      <c r="K136" s="8" t="s">
        <v>745</v>
      </c>
      <c r="L136" s="8" t="s">
        <v>723</v>
      </c>
      <c r="M136" s="1" t="s">
        <v>790</v>
      </c>
      <c r="N136" s="8" t="s">
        <v>791</v>
      </c>
      <c r="O136" s="6">
        <v>0</v>
      </c>
      <c r="P136" s="6">
        <v>0</v>
      </c>
      <c r="Q136" s="6">
        <v>1</v>
      </c>
      <c r="R136" s="6">
        <v>0</v>
      </c>
      <c r="S136" s="6">
        <v>0</v>
      </c>
    </row>
    <row r="137" spans="1:19" ht="15" x14ac:dyDescent="0.25">
      <c r="A137" s="7" t="s">
        <v>16</v>
      </c>
      <c r="B137" s="7" t="s">
        <v>17</v>
      </c>
      <c r="C137" s="7" t="s">
        <v>18</v>
      </c>
      <c r="D137" s="3">
        <v>11006293000130</v>
      </c>
      <c r="E137" s="8" t="s">
        <v>309</v>
      </c>
      <c r="F137" s="8" t="s">
        <v>310</v>
      </c>
      <c r="G137" s="8" t="s">
        <v>268</v>
      </c>
      <c r="H137" s="8" t="s">
        <v>795</v>
      </c>
      <c r="I137" s="3">
        <v>2</v>
      </c>
      <c r="J137" s="8" t="s">
        <v>778</v>
      </c>
      <c r="K137" s="8" t="s">
        <v>779</v>
      </c>
      <c r="L137" s="8" t="s">
        <v>730</v>
      </c>
      <c r="M137" s="1" t="s">
        <v>790</v>
      </c>
      <c r="N137" s="8" t="s">
        <v>791</v>
      </c>
      <c r="O137" s="6">
        <v>0</v>
      </c>
      <c r="P137" s="6">
        <v>0</v>
      </c>
      <c r="Q137" s="6">
        <v>0</v>
      </c>
      <c r="R137" s="6">
        <v>40</v>
      </c>
      <c r="S137" s="6">
        <v>500</v>
      </c>
    </row>
    <row r="138" spans="1:19" ht="15" x14ac:dyDescent="0.25">
      <c r="A138" s="7" t="s">
        <v>16</v>
      </c>
      <c r="B138" s="7" t="s">
        <v>17</v>
      </c>
      <c r="C138" s="7" t="s">
        <v>18</v>
      </c>
      <c r="D138" s="3">
        <v>11006293000130</v>
      </c>
      <c r="E138" s="8" t="s">
        <v>309</v>
      </c>
      <c r="F138" s="8" t="s">
        <v>310</v>
      </c>
      <c r="G138" s="8" t="s">
        <v>268</v>
      </c>
      <c r="H138" s="8" t="s">
        <v>795</v>
      </c>
      <c r="I138" s="3">
        <v>2</v>
      </c>
      <c r="J138" s="8" t="s">
        <v>744</v>
      </c>
      <c r="K138" s="8" t="s">
        <v>745</v>
      </c>
      <c r="L138" s="8" t="s">
        <v>723</v>
      </c>
      <c r="M138" s="1" t="s">
        <v>790</v>
      </c>
      <c r="N138" s="8" t="s">
        <v>791</v>
      </c>
      <c r="O138" s="6">
        <v>0</v>
      </c>
      <c r="P138" s="6">
        <v>0</v>
      </c>
      <c r="Q138" s="6">
        <v>0</v>
      </c>
      <c r="R138" s="6">
        <v>0</v>
      </c>
      <c r="S138" s="6">
        <v>500</v>
      </c>
    </row>
    <row r="139" spans="1:19" ht="15" x14ac:dyDescent="0.25">
      <c r="A139" s="7" t="s">
        <v>16</v>
      </c>
      <c r="B139" s="7" t="s">
        <v>17</v>
      </c>
      <c r="C139" s="7" t="s">
        <v>18</v>
      </c>
      <c r="D139" s="3">
        <v>17214149000176</v>
      </c>
      <c r="E139" s="8" t="s">
        <v>347</v>
      </c>
      <c r="F139" s="8" t="s">
        <v>235</v>
      </c>
      <c r="G139" s="8" t="s">
        <v>223</v>
      </c>
      <c r="H139" s="8" t="s">
        <v>795</v>
      </c>
      <c r="I139" s="3">
        <v>1</v>
      </c>
      <c r="J139" s="8" t="s">
        <v>737</v>
      </c>
      <c r="K139" s="8" t="s">
        <v>738</v>
      </c>
      <c r="L139" s="8" t="s">
        <v>739</v>
      </c>
      <c r="M139" s="1" t="s">
        <v>784</v>
      </c>
      <c r="N139" s="8" t="s">
        <v>785</v>
      </c>
      <c r="O139" s="6">
        <v>0</v>
      </c>
      <c r="P139" s="6">
        <v>0</v>
      </c>
      <c r="Q139" s="6">
        <v>10</v>
      </c>
      <c r="R139" s="6">
        <v>0</v>
      </c>
      <c r="S139" s="6">
        <v>0</v>
      </c>
    </row>
    <row r="140" spans="1:19" ht="15" x14ac:dyDescent="0.25">
      <c r="A140" s="7" t="s">
        <v>16</v>
      </c>
      <c r="B140" s="7" t="s">
        <v>17</v>
      </c>
      <c r="C140" s="7" t="s">
        <v>18</v>
      </c>
      <c r="D140" s="3">
        <v>410960000120</v>
      </c>
      <c r="E140" s="8" t="s">
        <v>234</v>
      </c>
      <c r="F140" s="8" t="s">
        <v>235</v>
      </c>
      <c r="G140" s="8" t="s">
        <v>223</v>
      </c>
      <c r="H140" s="8" t="s">
        <v>795</v>
      </c>
      <c r="I140" s="3">
        <v>1</v>
      </c>
      <c r="J140" s="8" t="s">
        <v>737</v>
      </c>
      <c r="K140" s="8" t="s">
        <v>738</v>
      </c>
      <c r="L140" s="8" t="s">
        <v>739</v>
      </c>
      <c r="M140" s="1" t="s">
        <v>784</v>
      </c>
      <c r="N140" s="8" t="s">
        <v>785</v>
      </c>
      <c r="O140" s="6">
        <v>0</v>
      </c>
      <c r="P140" s="6">
        <v>0</v>
      </c>
      <c r="Q140" s="6">
        <v>0</v>
      </c>
      <c r="R140" s="6">
        <v>36</v>
      </c>
      <c r="S140" s="6">
        <v>882</v>
      </c>
    </row>
    <row r="141" spans="1:19" ht="15" x14ac:dyDescent="0.25">
      <c r="A141" s="7" t="s">
        <v>16</v>
      </c>
      <c r="B141" s="7" t="s">
        <v>17</v>
      </c>
      <c r="C141" s="7" t="s">
        <v>18</v>
      </c>
      <c r="D141" s="3">
        <v>16676520000159</v>
      </c>
      <c r="E141" s="8" t="s">
        <v>341</v>
      </c>
      <c r="F141" s="8" t="s">
        <v>235</v>
      </c>
      <c r="G141" s="8" t="s">
        <v>223</v>
      </c>
      <c r="H141" s="8" t="s">
        <v>795</v>
      </c>
      <c r="I141" s="3">
        <v>1</v>
      </c>
      <c r="J141" s="8" t="s">
        <v>737</v>
      </c>
      <c r="K141" s="8" t="s">
        <v>738</v>
      </c>
      <c r="L141" s="8" t="s">
        <v>739</v>
      </c>
      <c r="M141" s="1" t="s">
        <v>784</v>
      </c>
      <c r="N141" s="8" t="s">
        <v>785</v>
      </c>
      <c r="O141" s="6">
        <v>2</v>
      </c>
      <c r="P141" s="6">
        <v>0</v>
      </c>
      <c r="Q141" s="6">
        <v>0</v>
      </c>
      <c r="R141" s="6">
        <v>0</v>
      </c>
      <c r="S141" s="6">
        <v>0</v>
      </c>
    </row>
    <row r="142" spans="1:19" ht="15" x14ac:dyDescent="0.25">
      <c r="A142" s="7" t="s">
        <v>16</v>
      </c>
      <c r="B142" s="7" t="s">
        <v>17</v>
      </c>
      <c r="C142" s="7" t="s">
        <v>18</v>
      </c>
      <c r="D142" s="3">
        <v>2623693000102</v>
      </c>
      <c r="E142" s="8" t="s">
        <v>538</v>
      </c>
      <c r="F142" s="8" t="s">
        <v>235</v>
      </c>
      <c r="G142" s="8" t="s">
        <v>223</v>
      </c>
      <c r="H142" s="8" t="s">
        <v>795</v>
      </c>
      <c r="I142" s="3">
        <v>1</v>
      </c>
      <c r="J142" s="8" t="s">
        <v>737</v>
      </c>
      <c r="K142" s="8" t="s">
        <v>738</v>
      </c>
      <c r="L142" s="8" t="s">
        <v>739</v>
      </c>
      <c r="M142" s="1" t="s">
        <v>784</v>
      </c>
      <c r="N142" s="8" t="s">
        <v>785</v>
      </c>
      <c r="O142" s="6">
        <v>0</v>
      </c>
      <c r="P142" s="6">
        <v>0</v>
      </c>
      <c r="Q142" s="6">
        <v>0</v>
      </c>
      <c r="R142" s="6">
        <v>0</v>
      </c>
      <c r="S142" s="6">
        <v>20</v>
      </c>
    </row>
    <row r="143" spans="1:19" ht="15" x14ac:dyDescent="0.25">
      <c r="A143" s="7" t="s">
        <v>16</v>
      </c>
      <c r="B143" s="7" t="s">
        <v>17</v>
      </c>
      <c r="C143" s="7" t="s">
        <v>18</v>
      </c>
      <c r="D143" s="3">
        <v>132229000180</v>
      </c>
      <c r="E143" s="8" t="s">
        <v>525</v>
      </c>
      <c r="F143" s="8" t="s">
        <v>235</v>
      </c>
      <c r="G143" s="8" t="s">
        <v>223</v>
      </c>
      <c r="H143" s="8" t="s">
        <v>795</v>
      </c>
      <c r="I143" s="3">
        <v>1</v>
      </c>
      <c r="J143" s="8" t="s">
        <v>737</v>
      </c>
      <c r="K143" s="8" t="s">
        <v>738</v>
      </c>
      <c r="L143" s="8" t="s">
        <v>739</v>
      </c>
      <c r="M143" s="1" t="s">
        <v>784</v>
      </c>
      <c r="N143" s="8" t="s">
        <v>785</v>
      </c>
      <c r="O143" s="6">
        <v>0</v>
      </c>
      <c r="P143" s="6">
        <v>0</v>
      </c>
      <c r="Q143" s="6">
        <v>0</v>
      </c>
      <c r="R143" s="6">
        <v>0</v>
      </c>
      <c r="S143" s="6">
        <v>120</v>
      </c>
    </row>
    <row r="144" spans="1:19" ht="15" x14ac:dyDescent="0.25">
      <c r="A144" s="7" t="s">
        <v>16</v>
      </c>
      <c r="B144" s="7" t="s">
        <v>17</v>
      </c>
      <c r="C144" s="7" t="s">
        <v>18</v>
      </c>
      <c r="D144" s="3">
        <v>17376968601</v>
      </c>
      <c r="E144" s="8" t="s">
        <v>221</v>
      </c>
      <c r="F144" s="8" t="s">
        <v>222</v>
      </c>
      <c r="G144" s="8" t="s">
        <v>223</v>
      </c>
      <c r="H144" s="8" t="s">
        <v>795</v>
      </c>
      <c r="I144" s="3">
        <v>1</v>
      </c>
      <c r="J144" s="8" t="s">
        <v>737</v>
      </c>
      <c r="K144" s="8" t="s">
        <v>738</v>
      </c>
      <c r="L144" s="8" t="s">
        <v>739</v>
      </c>
      <c r="M144" s="1" t="s">
        <v>784</v>
      </c>
      <c r="N144" s="8" t="s">
        <v>785</v>
      </c>
      <c r="O144" s="6">
        <v>24</v>
      </c>
      <c r="P144" s="6">
        <v>0</v>
      </c>
      <c r="Q144" s="6">
        <v>0</v>
      </c>
      <c r="R144" s="6">
        <v>0</v>
      </c>
      <c r="S144" s="6">
        <v>0</v>
      </c>
    </row>
    <row r="145" spans="1:19" ht="15" x14ac:dyDescent="0.25">
      <c r="A145" s="7" t="s">
        <v>16</v>
      </c>
      <c r="B145" s="7" t="s">
        <v>17</v>
      </c>
      <c r="C145" s="7" t="s">
        <v>18</v>
      </c>
      <c r="D145" s="3">
        <v>19878404000100</v>
      </c>
      <c r="E145" s="8" t="s">
        <v>351</v>
      </c>
      <c r="F145" s="8" t="s">
        <v>352</v>
      </c>
      <c r="G145" s="8" t="s">
        <v>223</v>
      </c>
      <c r="H145" s="8" t="s">
        <v>795</v>
      </c>
      <c r="I145" s="3">
        <v>1</v>
      </c>
      <c r="J145" s="8" t="s">
        <v>737</v>
      </c>
      <c r="K145" s="8" t="s">
        <v>738</v>
      </c>
      <c r="L145" s="8" t="s">
        <v>739</v>
      </c>
      <c r="M145" s="1" t="s">
        <v>784</v>
      </c>
      <c r="N145" s="8" t="s">
        <v>785</v>
      </c>
      <c r="O145" s="6">
        <v>0</v>
      </c>
      <c r="P145" s="6">
        <v>0</v>
      </c>
      <c r="Q145" s="6">
        <v>0</v>
      </c>
      <c r="R145" s="6">
        <v>120</v>
      </c>
      <c r="S145" s="6">
        <v>0</v>
      </c>
    </row>
    <row r="146" spans="1:19" ht="15" x14ac:dyDescent="0.25">
      <c r="A146" s="7" t="s">
        <v>16</v>
      </c>
      <c r="B146" s="7" t="s">
        <v>17</v>
      </c>
      <c r="C146" s="7" t="s">
        <v>18</v>
      </c>
      <c r="D146" s="3">
        <v>21040696000311</v>
      </c>
      <c r="E146" s="8" t="s">
        <v>354</v>
      </c>
      <c r="F146" s="8" t="s">
        <v>355</v>
      </c>
      <c r="G146" s="8" t="s">
        <v>223</v>
      </c>
      <c r="H146" s="8" t="s">
        <v>795</v>
      </c>
      <c r="I146" s="3">
        <v>1</v>
      </c>
      <c r="J146" s="8" t="s">
        <v>737</v>
      </c>
      <c r="K146" s="8" t="s">
        <v>738</v>
      </c>
      <c r="L146" s="8" t="s">
        <v>739</v>
      </c>
      <c r="M146" s="1" t="s">
        <v>784</v>
      </c>
      <c r="N146" s="8" t="s">
        <v>785</v>
      </c>
      <c r="O146" s="6">
        <v>0</v>
      </c>
      <c r="P146" s="6">
        <v>0</v>
      </c>
      <c r="Q146" s="6">
        <v>2</v>
      </c>
      <c r="R146" s="6">
        <v>0</v>
      </c>
      <c r="S146" s="6">
        <v>0</v>
      </c>
    </row>
    <row r="147" spans="1:19" ht="15" x14ac:dyDescent="0.25">
      <c r="A147" s="7" t="s">
        <v>16</v>
      </c>
      <c r="B147" s="7" t="s">
        <v>17</v>
      </c>
      <c r="C147" s="7" t="s">
        <v>18</v>
      </c>
      <c r="D147" s="3">
        <v>17689407000928</v>
      </c>
      <c r="E147" s="8" t="s">
        <v>348</v>
      </c>
      <c r="F147" s="8" t="s">
        <v>349</v>
      </c>
      <c r="G147" s="8" t="s">
        <v>223</v>
      </c>
      <c r="H147" s="8" t="s">
        <v>795</v>
      </c>
      <c r="I147" s="3">
        <v>1</v>
      </c>
      <c r="J147" s="8" t="s">
        <v>737</v>
      </c>
      <c r="K147" s="8" t="s">
        <v>738</v>
      </c>
      <c r="L147" s="8" t="s">
        <v>739</v>
      </c>
      <c r="M147" s="1" t="s">
        <v>784</v>
      </c>
      <c r="N147" s="8" t="s">
        <v>785</v>
      </c>
      <c r="O147" s="6">
        <v>0</v>
      </c>
      <c r="P147" s="6">
        <v>0</v>
      </c>
      <c r="Q147" s="6">
        <v>0</v>
      </c>
      <c r="R147" s="6">
        <v>4</v>
      </c>
      <c r="S147" s="6">
        <v>0</v>
      </c>
    </row>
    <row r="148" spans="1:19" ht="15" x14ac:dyDescent="0.25">
      <c r="A148" s="7" t="s">
        <v>16</v>
      </c>
      <c r="B148" s="7" t="s">
        <v>17</v>
      </c>
      <c r="C148" s="7" t="s">
        <v>18</v>
      </c>
      <c r="D148" s="3">
        <v>23278898000160</v>
      </c>
      <c r="E148" s="8" t="s">
        <v>569</v>
      </c>
      <c r="F148" s="8" t="s">
        <v>570</v>
      </c>
      <c r="G148" s="8" t="s">
        <v>223</v>
      </c>
      <c r="H148" s="8" t="s">
        <v>795</v>
      </c>
      <c r="I148" s="3">
        <v>1</v>
      </c>
      <c r="J148" s="8" t="s">
        <v>737</v>
      </c>
      <c r="K148" s="8" t="s">
        <v>738</v>
      </c>
      <c r="L148" s="8" t="s">
        <v>739</v>
      </c>
      <c r="M148" s="1" t="s">
        <v>784</v>
      </c>
      <c r="N148" s="8" t="s">
        <v>785</v>
      </c>
      <c r="O148" s="6">
        <v>0</v>
      </c>
      <c r="P148" s="6">
        <v>0</v>
      </c>
      <c r="Q148" s="6">
        <v>0</v>
      </c>
      <c r="R148" s="6">
        <v>0</v>
      </c>
      <c r="S148" s="6">
        <v>120</v>
      </c>
    </row>
    <row r="149" spans="1:19" ht="15" x14ac:dyDescent="0.25">
      <c r="A149" s="7" t="s">
        <v>16</v>
      </c>
      <c r="B149" s="7" t="s">
        <v>17</v>
      </c>
      <c r="C149" s="7" t="s">
        <v>18</v>
      </c>
      <c r="D149" s="3">
        <v>23338387000196</v>
      </c>
      <c r="E149" s="8" t="s">
        <v>356</v>
      </c>
      <c r="F149" s="8" t="s">
        <v>357</v>
      </c>
      <c r="G149" s="8" t="s">
        <v>223</v>
      </c>
      <c r="H149" s="8" t="s">
        <v>795</v>
      </c>
      <c r="I149" s="3">
        <v>1</v>
      </c>
      <c r="J149" s="8" t="s">
        <v>737</v>
      </c>
      <c r="K149" s="8" t="s">
        <v>738</v>
      </c>
      <c r="L149" s="8" t="s">
        <v>739</v>
      </c>
      <c r="M149" s="1" t="s">
        <v>784</v>
      </c>
      <c r="N149" s="8" t="s">
        <v>785</v>
      </c>
      <c r="O149" s="6">
        <v>0</v>
      </c>
      <c r="P149" s="6">
        <v>0</v>
      </c>
      <c r="Q149" s="6">
        <v>0</v>
      </c>
      <c r="R149" s="6">
        <v>10</v>
      </c>
      <c r="S149" s="6">
        <v>0</v>
      </c>
    </row>
    <row r="150" spans="1:19" ht="15" x14ac:dyDescent="0.25">
      <c r="A150" s="7" t="s">
        <v>16</v>
      </c>
      <c r="B150" s="7" t="s">
        <v>17</v>
      </c>
      <c r="C150" s="7" t="s">
        <v>18</v>
      </c>
      <c r="D150" s="3">
        <v>41781949000234</v>
      </c>
      <c r="E150" s="8" t="s">
        <v>519</v>
      </c>
      <c r="F150" s="8" t="s">
        <v>520</v>
      </c>
      <c r="G150" s="8" t="s">
        <v>223</v>
      </c>
      <c r="H150" s="8" t="s">
        <v>795</v>
      </c>
      <c r="I150" s="3">
        <v>1</v>
      </c>
      <c r="J150" s="8" t="s">
        <v>737</v>
      </c>
      <c r="K150" s="8" t="s">
        <v>738</v>
      </c>
      <c r="L150" s="8" t="s">
        <v>739</v>
      </c>
      <c r="M150" s="1" t="s">
        <v>784</v>
      </c>
      <c r="N150" s="8" t="s">
        <v>785</v>
      </c>
      <c r="O150" s="6">
        <v>0</v>
      </c>
      <c r="P150" s="6">
        <v>0</v>
      </c>
      <c r="Q150" s="6">
        <v>0</v>
      </c>
      <c r="R150" s="6">
        <v>0</v>
      </c>
      <c r="S150" s="6">
        <v>150</v>
      </c>
    </row>
    <row r="151" spans="1:19" ht="15" x14ac:dyDescent="0.25">
      <c r="A151" s="7" t="s">
        <v>16</v>
      </c>
      <c r="B151" s="7" t="s">
        <v>17</v>
      </c>
      <c r="C151" s="7" t="s">
        <v>18</v>
      </c>
      <c r="D151" s="3">
        <v>20207543000191</v>
      </c>
      <c r="E151" s="8" t="s">
        <v>567</v>
      </c>
      <c r="F151" s="8" t="s">
        <v>346</v>
      </c>
      <c r="G151" s="8" t="s">
        <v>223</v>
      </c>
      <c r="H151" s="8" t="s">
        <v>795</v>
      </c>
      <c r="I151" s="3">
        <v>1</v>
      </c>
      <c r="J151" s="8" t="s">
        <v>737</v>
      </c>
      <c r="K151" s="8" t="s">
        <v>738</v>
      </c>
      <c r="L151" s="8" t="s">
        <v>739</v>
      </c>
      <c r="M151" s="1" t="s">
        <v>784</v>
      </c>
      <c r="N151" s="8" t="s">
        <v>785</v>
      </c>
      <c r="O151" s="6">
        <v>0</v>
      </c>
      <c r="P151" s="6">
        <v>0</v>
      </c>
      <c r="Q151" s="6">
        <v>0</v>
      </c>
      <c r="R151" s="6">
        <v>0</v>
      </c>
      <c r="S151" s="6">
        <v>310</v>
      </c>
    </row>
    <row r="152" spans="1:19" ht="15" x14ac:dyDescent="0.25">
      <c r="A152" s="7" t="s">
        <v>16</v>
      </c>
      <c r="B152" s="7" t="s">
        <v>17</v>
      </c>
      <c r="C152" s="7" t="s">
        <v>18</v>
      </c>
      <c r="D152" s="3">
        <v>25648387000207</v>
      </c>
      <c r="E152" s="8" t="s">
        <v>573</v>
      </c>
      <c r="F152" s="8" t="s">
        <v>346</v>
      </c>
      <c r="G152" s="8" t="s">
        <v>223</v>
      </c>
      <c r="H152" s="8" t="s">
        <v>795</v>
      </c>
      <c r="I152" s="3">
        <v>1</v>
      </c>
      <c r="J152" s="8" t="s">
        <v>737</v>
      </c>
      <c r="K152" s="8" t="s">
        <v>738</v>
      </c>
      <c r="L152" s="8" t="s">
        <v>739</v>
      </c>
      <c r="M152" s="1" t="s">
        <v>784</v>
      </c>
      <c r="N152" s="8" t="s">
        <v>785</v>
      </c>
      <c r="O152" s="6">
        <v>0</v>
      </c>
      <c r="P152" s="6">
        <v>0</v>
      </c>
      <c r="Q152" s="6">
        <v>0</v>
      </c>
      <c r="R152" s="6">
        <v>0</v>
      </c>
      <c r="S152" s="6">
        <v>400</v>
      </c>
    </row>
    <row r="153" spans="1:19" ht="15" x14ac:dyDescent="0.25">
      <c r="A153" s="7" t="s">
        <v>16</v>
      </c>
      <c r="B153" s="7" t="s">
        <v>17</v>
      </c>
      <c r="C153" s="7" t="s">
        <v>18</v>
      </c>
      <c r="D153" s="3">
        <v>20150900000122</v>
      </c>
      <c r="E153" s="8" t="s">
        <v>353</v>
      </c>
      <c r="F153" s="8" t="s">
        <v>346</v>
      </c>
      <c r="G153" s="8" t="s">
        <v>223</v>
      </c>
      <c r="H153" s="8" t="s">
        <v>795</v>
      </c>
      <c r="I153" s="3">
        <v>1</v>
      </c>
      <c r="J153" s="8" t="s">
        <v>737</v>
      </c>
      <c r="K153" s="8" t="s">
        <v>738</v>
      </c>
      <c r="L153" s="8" t="s">
        <v>739</v>
      </c>
      <c r="M153" s="1" t="s">
        <v>784</v>
      </c>
      <c r="N153" s="8" t="s">
        <v>785</v>
      </c>
      <c r="O153" s="6">
        <v>0</v>
      </c>
      <c r="P153" s="6">
        <v>0</v>
      </c>
      <c r="Q153" s="6">
        <v>0</v>
      </c>
      <c r="R153" s="6">
        <v>6</v>
      </c>
      <c r="S153" s="6">
        <v>0</v>
      </c>
    </row>
    <row r="154" spans="1:19" ht="15" x14ac:dyDescent="0.25">
      <c r="A154" s="7" t="s">
        <v>16</v>
      </c>
      <c r="B154" s="7" t="s">
        <v>17</v>
      </c>
      <c r="C154" s="7" t="s">
        <v>18</v>
      </c>
      <c r="D154" s="3">
        <v>18484378000173</v>
      </c>
      <c r="E154" s="8" t="s">
        <v>350</v>
      </c>
      <c r="F154" s="8" t="s">
        <v>346</v>
      </c>
      <c r="G154" s="8" t="s">
        <v>223</v>
      </c>
      <c r="H154" s="8" t="s">
        <v>795</v>
      </c>
      <c r="I154" s="3">
        <v>1</v>
      </c>
      <c r="J154" s="8" t="s">
        <v>737</v>
      </c>
      <c r="K154" s="8" t="s">
        <v>738</v>
      </c>
      <c r="L154" s="8" t="s">
        <v>739</v>
      </c>
      <c r="M154" s="1" t="s">
        <v>784</v>
      </c>
      <c r="N154" s="8" t="s">
        <v>785</v>
      </c>
      <c r="O154" s="6">
        <v>0</v>
      </c>
      <c r="P154" s="6">
        <v>0</v>
      </c>
      <c r="Q154" s="6">
        <v>3</v>
      </c>
      <c r="R154" s="6">
        <v>0</v>
      </c>
      <c r="S154" s="6">
        <v>0</v>
      </c>
    </row>
    <row r="155" spans="1:19" ht="15" x14ac:dyDescent="0.25">
      <c r="A155" s="7" t="s">
        <v>16</v>
      </c>
      <c r="B155" s="7" t="s">
        <v>17</v>
      </c>
      <c r="C155" s="7" t="s">
        <v>18</v>
      </c>
      <c r="D155" s="3">
        <v>17087591000189</v>
      </c>
      <c r="E155" s="8" t="s">
        <v>345</v>
      </c>
      <c r="F155" s="8" t="s">
        <v>346</v>
      </c>
      <c r="G155" s="8" t="s">
        <v>223</v>
      </c>
      <c r="H155" s="8" t="s">
        <v>795</v>
      </c>
      <c r="I155" s="3">
        <v>1</v>
      </c>
      <c r="J155" s="8" t="s">
        <v>737</v>
      </c>
      <c r="K155" s="8" t="s">
        <v>738</v>
      </c>
      <c r="L155" s="8" t="s">
        <v>739</v>
      </c>
      <c r="M155" s="1" t="s">
        <v>784</v>
      </c>
      <c r="N155" s="8" t="s">
        <v>785</v>
      </c>
      <c r="O155" s="6">
        <v>0</v>
      </c>
      <c r="P155" s="6">
        <v>0</v>
      </c>
      <c r="Q155" s="6">
        <v>7</v>
      </c>
      <c r="R155" s="6">
        <v>0</v>
      </c>
      <c r="S155" s="6">
        <v>0</v>
      </c>
    </row>
    <row r="156" spans="1:19" ht="15" x14ac:dyDescent="0.25">
      <c r="A156" s="7" t="s">
        <v>16</v>
      </c>
      <c r="B156" s="7" t="s">
        <v>17</v>
      </c>
      <c r="C156" s="7" t="s">
        <v>18</v>
      </c>
      <c r="D156" s="3">
        <v>14408631000159</v>
      </c>
      <c r="E156" s="8" t="s">
        <v>324</v>
      </c>
      <c r="F156" s="8" t="s">
        <v>325</v>
      </c>
      <c r="G156" s="8" t="s">
        <v>223</v>
      </c>
      <c r="H156" s="8" t="s">
        <v>795</v>
      </c>
      <c r="I156" s="3">
        <v>1</v>
      </c>
      <c r="J156" s="8" t="s">
        <v>737</v>
      </c>
      <c r="K156" s="8" t="s">
        <v>738</v>
      </c>
      <c r="L156" s="8" t="s">
        <v>739</v>
      </c>
      <c r="M156" s="1" t="s">
        <v>784</v>
      </c>
      <c r="N156" s="8" t="s">
        <v>785</v>
      </c>
      <c r="O156" s="6">
        <v>0</v>
      </c>
      <c r="P156" s="6">
        <v>0</v>
      </c>
      <c r="Q156" s="6">
        <v>0</v>
      </c>
      <c r="R156" s="6">
        <v>8</v>
      </c>
      <c r="S156" s="6">
        <v>0</v>
      </c>
    </row>
    <row r="157" spans="1:19" ht="15" x14ac:dyDescent="0.25">
      <c r="A157" s="7" t="s">
        <v>16</v>
      </c>
      <c r="B157" s="7" t="s">
        <v>17</v>
      </c>
      <c r="C157" s="7" t="s">
        <v>18</v>
      </c>
      <c r="D157" s="3">
        <v>860841000179</v>
      </c>
      <c r="E157" s="8" t="s">
        <v>248</v>
      </c>
      <c r="F157" s="8" t="s">
        <v>249</v>
      </c>
      <c r="G157" s="8" t="s">
        <v>250</v>
      </c>
      <c r="H157" s="8" t="s">
        <v>795</v>
      </c>
      <c r="I157" s="3">
        <v>2</v>
      </c>
      <c r="J157" s="8" t="s">
        <v>766</v>
      </c>
      <c r="K157" s="8" t="s">
        <v>767</v>
      </c>
      <c r="L157" s="8" t="s">
        <v>730</v>
      </c>
      <c r="M157" s="1" t="s">
        <v>790</v>
      </c>
      <c r="N157" s="8" t="s">
        <v>791</v>
      </c>
      <c r="O157" s="6">
        <v>0</v>
      </c>
      <c r="P157" s="6">
        <v>0</v>
      </c>
      <c r="Q157" s="6">
        <v>0</v>
      </c>
      <c r="R157" s="6">
        <v>0</v>
      </c>
      <c r="S157" s="6">
        <v>0</v>
      </c>
    </row>
    <row r="158" spans="1:19" ht="15" x14ac:dyDescent="0.25">
      <c r="A158" s="7" t="s">
        <v>16</v>
      </c>
      <c r="B158" s="7" t="s">
        <v>17</v>
      </c>
      <c r="C158" s="7" t="s">
        <v>18</v>
      </c>
      <c r="D158" s="3">
        <v>860841000179</v>
      </c>
      <c r="E158" s="8" t="s">
        <v>248</v>
      </c>
      <c r="F158" s="8" t="s">
        <v>249</v>
      </c>
      <c r="G158" s="8" t="s">
        <v>250</v>
      </c>
      <c r="H158" s="8" t="s">
        <v>795</v>
      </c>
      <c r="I158" s="3">
        <v>2</v>
      </c>
      <c r="J158" s="8" t="s">
        <v>742</v>
      </c>
      <c r="K158" s="8" t="s">
        <v>743</v>
      </c>
      <c r="L158" s="8" t="s">
        <v>723</v>
      </c>
      <c r="M158" s="1" t="s">
        <v>790</v>
      </c>
      <c r="N158" s="8" t="s">
        <v>791</v>
      </c>
      <c r="O158" s="6">
        <v>0</v>
      </c>
      <c r="P158" s="6">
        <v>2</v>
      </c>
      <c r="Q158" s="6">
        <v>0</v>
      </c>
      <c r="R158" s="6">
        <v>0</v>
      </c>
      <c r="S158" s="6">
        <v>0</v>
      </c>
    </row>
    <row r="159" spans="1:19" ht="15" x14ac:dyDescent="0.25">
      <c r="A159" s="7" t="s">
        <v>16</v>
      </c>
      <c r="B159" s="7" t="s">
        <v>17</v>
      </c>
      <c r="C159" s="7" t="s">
        <v>18</v>
      </c>
      <c r="D159" s="3">
        <v>3533726001583</v>
      </c>
      <c r="E159" s="8" t="s">
        <v>271</v>
      </c>
      <c r="F159" s="8" t="s">
        <v>261</v>
      </c>
      <c r="G159" s="8" t="s">
        <v>262</v>
      </c>
      <c r="H159" s="8" t="s">
        <v>795</v>
      </c>
      <c r="I159" s="3">
        <v>2</v>
      </c>
      <c r="J159" s="8" t="s">
        <v>766</v>
      </c>
      <c r="K159" s="8" t="s">
        <v>767</v>
      </c>
      <c r="L159" s="8" t="s">
        <v>730</v>
      </c>
      <c r="M159" s="1" t="s">
        <v>790</v>
      </c>
      <c r="N159" s="8" t="s">
        <v>791</v>
      </c>
      <c r="O159" s="6">
        <v>0</v>
      </c>
      <c r="P159" s="6">
        <v>0</v>
      </c>
      <c r="Q159" s="6">
        <v>0</v>
      </c>
      <c r="R159" s="6">
        <v>36</v>
      </c>
      <c r="S159" s="6">
        <v>130</v>
      </c>
    </row>
    <row r="160" spans="1:19" ht="15" x14ac:dyDescent="0.25">
      <c r="A160" s="7" t="s">
        <v>16</v>
      </c>
      <c r="B160" s="7" t="s">
        <v>17</v>
      </c>
      <c r="C160" s="7" t="s">
        <v>18</v>
      </c>
      <c r="D160" s="3">
        <v>3533726001583</v>
      </c>
      <c r="E160" s="8" t="s">
        <v>271</v>
      </c>
      <c r="F160" s="8" t="s">
        <v>261</v>
      </c>
      <c r="G160" s="8" t="s">
        <v>262</v>
      </c>
      <c r="H160" s="8" t="s">
        <v>795</v>
      </c>
      <c r="I160" s="3">
        <v>2</v>
      </c>
      <c r="J160" s="8" t="s">
        <v>742</v>
      </c>
      <c r="K160" s="8" t="s">
        <v>743</v>
      </c>
      <c r="L160" s="8" t="s">
        <v>723</v>
      </c>
      <c r="M160" s="1" t="s">
        <v>790</v>
      </c>
      <c r="N160" s="8" t="s">
        <v>791</v>
      </c>
      <c r="O160" s="6">
        <v>0</v>
      </c>
      <c r="P160" s="6">
        <v>0</v>
      </c>
      <c r="Q160" s="6">
        <v>0</v>
      </c>
      <c r="R160" s="6">
        <v>0</v>
      </c>
      <c r="S160" s="6">
        <v>130</v>
      </c>
    </row>
    <row r="161" spans="1:19" ht="15" x14ac:dyDescent="0.25">
      <c r="A161" s="7" t="s">
        <v>16</v>
      </c>
      <c r="B161" s="7" t="s">
        <v>17</v>
      </c>
      <c r="C161" s="7" t="s">
        <v>18</v>
      </c>
      <c r="D161" s="3">
        <v>15016827000160</v>
      </c>
      <c r="E161" s="8" t="s">
        <v>326</v>
      </c>
      <c r="F161" s="8" t="s">
        <v>261</v>
      </c>
      <c r="G161" s="8" t="s">
        <v>262</v>
      </c>
      <c r="H161" s="8" t="s">
        <v>795</v>
      </c>
      <c r="I161" s="3">
        <v>2</v>
      </c>
      <c r="J161" s="8" t="s">
        <v>766</v>
      </c>
      <c r="K161" s="8" t="s">
        <v>767</v>
      </c>
      <c r="L161" s="8" t="s">
        <v>730</v>
      </c>
      <c r="M161" s="1" t="s">
        <v>790</v>
      </c>
      <c r="N161" s="8" t="s">
        <v>791</v>
      </c>
      <c r="O161" s="6">
        <v>0</v>
      </c>
      <c r="P161" s="6">
        <v>0</v>
      </c>
      <c r="Q161" s="6">
        <v>0</v>
      </c>
      <c r="R161" s="6">
        <v>0</v>
      </c>
      <c r="S161" s="6">
        <v>0</v>
      </c>
    </row>
    <row r="162" spans="1:19" ht="15" x14ac:dyDescent="0.25">
      <c r="A162" s="7" t="s">
        <v>16</v>
      </c>
      <c r="B162" s="7" t="s">
        <v>17</v>
      </c>
      <c r="C162" s="7" t="s">
        <v>18</v>
      </c>
      <c r="D162" s="3">
        <v>15016827000160</v>
      </c>
      <c r="E162" s="8" t="s">
        <v>326</v>
      </c>
      <c r="F162" s="8" t="s">
        <v>261</v>
      </c>
      <c r="G162" s="8" t="s">
        <v>262</v>
      </c>
      <c r="H162" s="8" t="s">
        <v>795</v>
      </c>
      <c r="I162" s="3">
        <v>2</v>
      </c>
      <c r="J162" s="8" t="s">
        <v>742</v>
      </c>
      <c r="K162" s="8" t="s">
        <v>743</v>
      </c>
      <c r="L162" s="8" t="s">
        <v>723</v>
      </c>
      <c r="M162" s="1" t="s">
        <v>790</v>
      </c>
      <c r="N162" s="8" t="s">
        <v>791</v>
      </c>
      <c r="O162" s="6">
        <v>0</v>
      </c>
      <c r="P162" s="6">
        <v>10</v>
      </c>
      <c r="Q162" s="6">
        <v>4</v>
      </c>
      <c r="R162" s="6">
        <v>0</v>
      </c>
      <c r="S162" s="6">
        <v>0</v>
      </c>
    </row>
    <row r="163" spans="1:19" ht="15" x14ac:dyDescent="0.25">
      <c r="A163" s="7" t="s">
        <v>16</v>
      </c>
      <c r="B163" s="7" t="s">
        <v>17</v>
      </c>
      <c r="C163" s="7" t="s">
        <v>18</v>
      </c>
      <c r="D163" s="3">
        <v>1757351000104</v>
      </c>
      <c r="E163" s="8" t="s">
        <v>260</v>
      </c>
      <c r="F163" s="8" t="s">
        <v>261</v>
      </c>
      <c r="G163" s="8" t="s">
        <v>262</v>
      </c>
      <c r="H163" s="8" t="s">
        <v>795</v>
      </c>
      <c r="I163" s="3">
        <v>2</v>
      </c>
      <c r="J163" s="8" t="s">
        <v>766</v>
      </c>
      <c r="K163" s="8" t="s">
        <v>767</v>
      </c>
      <c r="L163" s="8" t="s">
        <v>730</v>
      </c>
      <c r="M163" s="1" t="s">
        <v>790</v>
      </c>
      <c r="N163" s="8" t="s">
        <v>791</v>
      </c>
      <c r="O163" s="6">
        <v>0</v>
      </c>
      <c r="P163" s="6">
        <v>0</v>
      </c>
      <c r="Q163" s="6">
        <v>0</v>
      </c>
      <c r="R163" s="6">
        <v>0</v>
      </c>
      <c r="S163" s="6">
        <v>0</v>
      </c>
    </row>
    <row r="164" spans="1:19" ht="15" x14ac:dyDescent="0.25">
      <c r="A164" s="7" t="s">
        <v>16</v>
      </c>
      <c r="B164" s="7" t="s">
        <v>17</v>
      </c>
      <c r="C164" s="7" t="s">
        <v>18</v>
      </c>
      <c r="D164" s="3">
        <v>1757351000104</v>
      </c>
      <c r="E164" s="8" t="s">
        <v>260</v>
      </c>
      <c r="F164" s="8" t="s">
        <v>261</v>
      </c>
      <c r="G164" s="8" t="s">
        <v>262</v>
      </c>
      <c r="H164" s="8" t="s">
        <v>795</v>
      </c>
      <c r="I164" s="3">
        <v>2</v>
      </c>
      <c r="J164" s="8" t="s">
        <v>742</v>
      </c>
      <c r="K164" s="8" t="s">
        <v>743</v>
      </c>
      <c r="L164" s="8" t="s">
        <v>723</v>
      </c>
      <c r="M164" s="1" t="s">
        <v>790</v>
      </c>
      <c r="N164" s="8" t="s">
        <v>791</v>
      </c>
      <c r="O164" s="6">
        <v>0</v>
      </c>
      <c r="P164" s="6">
        <v>6</v>
      </c>
      <c r="Q164" s="6">
        <v>0</v>
      </c>
      <c r="R164" s="6">
        <v>0</v>
      </c>
      <c r="S164" s="6">
        <v>0</v>
      </c>
    </row>
    <row r="165" spans="1:19" ht="15" x14ac:dyDescent="0.25">
      <c r="A165" s="7" t="s">
        <v>16</v>
      </c>
      <c r="B165" s="7" t="s">
        <v>17</v>
      </c>
      <c r="C165" s="7" t="s">
        <v>18</v>
      </c>
      <c r="D165" s="3">
        <v>3925419000142</v>
      </c>
      <c r="E165" s="8" t="s">
        <v>272</v>
      </c>
      <c r="F165" s="8" t="s">
        <v>261</v>
      </c>
      <c r="G165" s="8" t="s">
        <v>262</v>
      </c>
      <c r="H165" s="8" t="s">
        <v>795</v>
      </c>
      <c r="I165" s="3">
        <v>2</v>
      </c>
      <c r="J165" s="8" t="s">
        <v>766</v>
      </c>
      <c r="K165" s="8" t="s">
        <v>767</v>
      </c>
      <c r="L165" s="8" t="s">
        <v>730</v>
      </c>
      <c r="M165" s="1" t="s">
        <v>790</v>
      </c>
      <c r="N165" s="8" t="s">
        <v>791</v>
      </c>
      <c r="O165" s="6">
        <v>0</v>
      </c>
      <c r="P165" s="6">
        <v>0</v>
      </c>
      <c r="Q165" s="6">
        <v>0</v>
      </c>
      <c r="R165" s="6">
        <v>0</v>
      </c>
      <c r="S165" s="6">
        <v>0</v>
      </c>
    </row>
    <row r="166" spans="1:19" ht="15" x14ac:dyDescent="0.25">
      <c r="A166" s="7" t="s">
        <v>16</v>
      </c>
      <c r="B166" s="7" t="s">
        <v>17</v>
      </c>
      <c r="C166" s="7" t="s">
        <v>18</v>
      </c>
      <c r="D166" s="3">
        <v>3925419000142</v>
      </c>
      <c r="E166" s="8" t="s">
        <v>272</v>
      </c>
      <c r="F166" s="8" t="s">
        <v>261</v>
      </c>
      <c r="G166" s="8" t="s">
        <v>262</v>
      </c>
      <c r="H166" s="8" t="s">
        <v>795</v>
      </c>
      <c r="I166" s="3">
        <v>2</v>
      </c>
      <c r="J166" s="8" t="s">
        <v>742</v>
      </c>
      <c r="K166" s="8" t="s">
        <v>743</v>
      </c>
      <c r="L166" s="8" t="s">
        <v>723</v>
      </c>
      <c r="M166" s="1" t="s">
        <v>790</v>
      </c>
      <c r="N166" s="8" t="s">
        <v>791</v>
      </c>
      <c r="O166" s="6">
        <v>0</v>
      </c>
      <c r="P166" s="6">
        <v>13</v>
      </c>
      <c r="Q166" s="6">
        <v>0</v>
      </c>
      <c r="R166" s="6">
        <v>0</v>
      </c>
      <c r="S166" s="6">
        <v>0</v>
      </c>
    </row>
    <row r="167" spans="1:19" ht="15" x14ac:dyDescent="0.25">
      <c r="A167" s="7" t="s">
        <v>16</v>
      </c>
      <c r="B167" s="7" t="s">
        <v>17</v>
      </c>
      <c r="C167" s="7" t="s">
        <v>18</v>
      </c>
      <c r="D167" s="3">
        <v>3533726000773</v>
      </c>
      <c r="E167" s="8" t="s">
        <v>540</v>
      </c>
      <c r="F167" s="8" t="s">
        <v>261</v>
      </c>
      <c r="G167" s="8" t="s">
        <v>262</v>
      </c>
      <c r="H167" s="8" t="s">
        <v>795</v>
      </c>
      <c r="I167" s="3">
        <v>2</v>
      </c>
      <c r="J167" s="8" t="s">
        <v>766</v>
      </c>
      <c r="K167" s="8" t="s">
        <v>767</v>
      </c>
      <c r="L167" s="8" t="s">
        <v>730</v>
      </c>
      <c r="M167" s="1" t="s">
        <v>790</v>
      </c>
      <c r="N167" s="8" t="s">
        <v>791</v>
      </c>
      <c r="O167" s="6">
        <v>0</v>
      </c>
      <c r="P167" s="6">
        <v>0</v>
      </c>
      <c r="Q167" s="6">
        <v>0</v>
      </c>
      <c r="R167" s="6">
        <v>0</v>
      </c>
      <c r="S167" s="6">
        <v>30</v>
      </c>
    </row>
    <row r="168" spans="1:19" ht="15" x14ac:dyDescent="0.25">
      <c r="A168" s="7" t="s">
        <v>16</v>
      </c>
      <c r="B168" s="7" t="s">
        <v>17</v>
      </c>
      <c r="C168" s="7" t="s">
        <v>18</v>
      </c>
      <c r="D168" s="3">
        <v>3533726000773</v>
      </c>
      <c r="E168" s="8" t="s">
        <v>540</v>
      </c>
      <c r="F168" s="8" t="s">
        <v>261</v>
      </c>
      <c r="G168" s="8" t="s">
        <v>262</v>
      </c>
      <c r="H168" s="8" t="s">
        <v>795</v>
      </c>
      <c r="I168" s="3">
        <v>2</v>
      </c>
      <c r="J168" s="8" t="s">
        <v>742</v>
      </c>
      <c r="K168" s="8" t="s">
        <v>743</v>
      </c>
      <c r="L168" s="8" t="s">
        <v>723</v>
      </c>
      <c r="M168" s="1" t="s">
        <v>790</v>
      </c>
      <c r="N168" s="8" t="s">
        <v>791</v>
      </c>
      <c r="O168" s="6">
        <v>0</v>
      </c>
      <c r="P168" s="6">
        <v>0</v>
      </c>
      <c r="Q168" s="6">
        <v>0</v>
      </c>
      <c r="R168" s="6">
        <v>0</v>
      </c>
      <c r="S168" s="6">
        <v>30</v>
      </c>
    </row>
    <row r="169" spans="1:19" ht="15" x14ac:dyDescent="0.25">
      <c r="A169" s="7" t="s">
        <v>16</v>
      </c>
      <c r="B169" s="7" t="s">
        <v>17</v>
      </c>
      <c r="C169" s="7" t="s">
        <v>18</v>
      </c>
      <c r="D169" s="3">
        <v>1383835000130</v>
      </c>
      <c r="E169" s="8" t="s">
        <v>530</v>
      </c>
      <c r="F169" s="8" t="s">
        <v>531</v>
      </c>
      <c r="G169" s="8" t="s">
        <v>262</v>
      </c>
      <c r="H169" s="8" t="s">
        <v>795</v>
      </c>
      <c r="I169" s="3">
        <v>2</v>
      </c>
      <c r="J169" s="8" t="s">
        <v>766</v>
      </c>
      <c r="K169" s="8" t="s">
        <v>767</v>
      </c>
      <c r="L169" s="8" t="s">
        <v>730</v>
      </c>
      <c r="M169" s="1" t="s">
        <v>790</v>
      </c>
      <c r="N169" s="8" t="s">
        <v>791</v>
      </c>
      <c r="O169" s="6">
        <v>0</v>
      </c>
      <c r="P169" s="6">
        <v>0</v>
      </c>
      <c r="Q169" s="6">
        <v>0</v>
      </c>
      <c r="R169" s="6">
        <v>0</v>
      </c>
      <c r="S169" s="6">
        <v>30</v>
      </c>
    </row>
    <row r="170" spans="1:19" ht="15" x14ac:dyDescent="0.25">
      <c r="A170" s="7" t="s">
        <v>16</v>
      </c>
      <c r="B170" s="7" t="s">
        <v>17</v>
      </c>
      <c r="C170" s="7" t="s">
        <v>18</v>
      </c>
      <c r="D170" s="3">
        <v>1383835000130</v>
      </c>
      <c r="E170" s="8" t="s">
        <v>530</v>
      </c>
      <c r="F170" s="8" t="s">
        <v>531</v>
      </c>
      <c r="G170" s="8" t="s">
        <v>262</v>
      </c>
      <c r="H170" s="8" t="s">
        <v>795</v>
      </c>
      <c r="I170" s="3">
        <v>2</v>
      </c>
      <c r="J170" s="8" t="s">
        <v>742</v>
      </c>
      <c r="K170" s="8" t="s">
        <v>743</v>
      </c>
      <c r="L170" s="8" t="s">
        <v>723</v>
      </c>
      <c r="M170" s="1" t="s">
        <v>790</v>
      </c>
      <c r="N170" s="8" t="s">
        <v>791</v>
      </c>
      <c r="O170" s="6">
        <v>0</v>
      </c>
      <c r="P170" s="6">
        <v>0</v>
      </c>
      <c r="Q170" s="6">
        <v>0</v>
      </c>
      <c r="R170" s="6">
        <v>0</v>
      </c>
      <c r="S170" s="6">
        <v>30</v>
      </c>
    </row>
    <row r="171" spans="1:19" ht="15" x14ac:dyDescent="0.25">
      <c r="A171" s="7" t="s">
        <v>16</v>
      </c>
      <c r="B171" s="7" t="s">
        <v>17</v>
      </c>
      <c r="C171" s="7" t="s">
        <v>18</v>
      </c>
      <c r="D171" s="3">
        <v>24676884000752</v>
      </c>
      <c r="E171" s="8" t="s">
        <v>571</v>
      </c>
      <c r="F171" s="8" t="s">
        <v>572</v>
      </c>
      <c r="G171" s="8" t="s">
        <v>262</v>
      </c>
      <c r="H171" s="8" t="s">
        <v>795</v>
      </c>
      <c r="I171" s="3">
        <v>2</v>
      </c>
      <c r="J171" s="8" t="s">
        <v>766</v>
      </c>
      <c r="K171" s="8" t="s">
        <v>767</v>
      </c>
      <c r="L171" s="8" t="s">
        <v>730</v>
      </c>
      <c r="M171" s="1" t="s">
        <v>790</v>
      </c>
      <c r="N171" s="8" t="s">
        <v>791</v>
      </c>
      <c r="O171" s="6">
        <v>0</v>
      </c>
      <c r="P171" s="6">
        <v>0</v>
      </c>
      <c r="Q171" s="6">
        <v>0</v>
      </c>
      <c r="R171" s="6">
        <v>0</v>
      </c>
      <c r="S171" s="6">
        <v>25</v>
      </c>
    </row>
    <row r="172" spans="1:19" ht="15" x14ac:dyDescent="0.25">
      <c r="A172" s="7" t="s">
        <v>16</v>
      </c>
      <c r="B172" s="7" t="s">
        <v>17</v>
      </c>
      <c r="C172" s="7" t="s">
        <v>18</v>
      </c>
      <c r="D172" s="3">
        <v>24676884000752</v>
      </c>
      <c r="E172" s="8" t="s">
        <v>571</v>
      </c>
      <c r="F172" s="8" t="s">
        <v>572</v>
      </c>
      <c r="G172" s="8" t="s">
        <v>262</v>
      </c>
      <c r="H172" s="8" t="s">
        <v>795</v>
      </c>
      <c r="I172" s="3">
        <v>2</v>
      </c>
      <c r="J172" s="8" t="s">
        <v>742</v>
      </c>
      <c r="K172" s="8" t="s">
        <v>743</v>
      </c>
      <c r="L172" s="8" t="s">
        <v>723</v>
      </c>
      <c r="M172" s="1" t="s">
        <v>790</v>
      </c>
      <c r="N172" s="8" t="s">
        <v>791</v>
      </c>
      <c r="O172" s="6">
        <v>0</v>
      </c>
      <c r="P172" s="6">
        <v>0</v>
      </c>
      <c r="Q172" s="6">
        <v>0</v>
      </c>
      <c r="R172" s="6">
        <v>0</v>
      </c>
      <c r="S172" s="6">
        <v>25</v>
      </c>
    </row>
    <row r="173" spans="1:19" ht="15" x14ac:dyDescent="0.25">
      <c r="A173" s="7" t="s">
        <v>16</v>
      </c>
      <c r="B173" s="7" t="s">
        <v>17</v>
      </c>
      <c r="C173" s="7" t="s">
        <v>18</v>
      </c>
      <c r="D173" s="3">
        <v>4966545000370</v>
      </c>
      <c r="E173" s="8" t="s">
        <v>546</v>
      </c>
      <c r="F173" s="8" t="s">
        <v>219</v>
      </c>
      <c r="G173" s="8" t="s">
        <v>220</v>
      </c>
      <c r="H173" s="8" t="s">
        <v>795</v>
      </c>
      <c r="I173" s="3">
        <v>1</v>
      </c>
      <c r="J173" s="8" t="s">
        <v>780</v>
      </c>
      <c r="K173" s="8" t="s">
        <v>781</v>
      </c>
      <c r="L173" s="8" t="s">
        <v>739</v>
      </c>
      <c r="M173" s="1" t="s">
        <v>790</v>
      </c>
      <c r="N173" s="8" t="s">
        <v>791</v>
      </c>
      <c r="O173" s="6">
        <v>0</v>
      </c>
      <c r="P173" s="6">
        <v>0</v>
      </c>
      <c r="Q173" s="6">
        <v>0</v>
      </c>
      <c r="R173" s="6">
        <v>0</v>
      </c>
      <c r="S173" s="6">
        <v>80</v>
      </c>
    </row>
    <row r="174" spans="1:19" ht="15" x14ac:dyDescent="0.25">
      <c r="A174" s="7" t="s">
        <v>16</v>
      </c>
      <c r="B174" s="7" t="s">
        <v>17</v>
      </c>
      <c r="C174" s="7" t="s">
        <v>18</v>
      </c>
      <c r="D174" s="3">
        <v>83367342000252</v>
      </c>
      <c r="E174" s="8" t="s">
        <v>590</v>
      </c>
      <c r="F174" s="8" t="s">
        <v>219</v>
      </c>
      <c r="G174" s="8" t="s">
        <v>220</v>
      </c>
      <c r="H174" s="8" t="s">
        <v>795</v>
      </c>
      <c r="I174" s="3">
        <v>1</v>
      </c>
      <c r="J174" s="8" t="s">
        <v>780</v>
      </c>
      <c r="K174" s="8" t="s">
        <v>781</v>
      </c>
      <c r="L174" s="8" t="s">
        <v>739</v>
      </c>
      <c r="M174" s="1" t="s">
        <v>790</v>
      </c>
      <c r="N174" s="8" t="s">
        <v>791</v>
      </c>
      <c r="O174" s="6">
        <v>0</v>
      </c>
      <c r="P174" s="6">
        <v>0</v>
      </c>
      <c r="Q174" s="6">
        <v>0</v>
      </c>
      <c r="R174" s="6">
        <v>0</v>
      </c>
      <c r="S174" s="6">
        <v>25</v>
      </c>
    </row>
    <row r="175" spans="1:19" ht="15" x14ac:dyDescent="0.25">
      <c r="A175" s="7" t="s">
        <v>16</v>
      </c>
      <c r="B175" s="7" t="s">
        <v>17</v>
      </c>
      <c r="C175" s="7" t="s">
        <v>18</v>
      </c>
      <c r="D175" s="3">
        <v>91777186234</v>
      </c>
      <c r="E175" s="8" t="s">
        <v>230</v>
      </c>
      <c r="F175" s="8" t="s">
        <v>219</v>
      </c>
      <c r="G175" s="8" t="s">
        <v>220</v>
      </c>
      <c r="H175" s="8" t="s">
        <v>795</v>
      </c>
      <c r="I175" s="3">
        <v>1</v>
      </c>
      <c r="J175" s="8" t="s">
        <v>780</v>
      </c>
      <c r="K175" s="8" t="s">
        <v>781</v>
      </c>
      <c r="L175" s="8" t="s">
        <v>739</v>
      </c>
      <c r="M175" s="1" t="s">
        <v>790</v>
      </c>
      <c r="N175" s="8" t="s">
        <v>791</v>
      </c>
      <c r="O175" s="6">
        <v>0</v>
      </c>
      <c r="P175" s="6">
        <v>0</v>
      </c>
      <c r="Q175" s="6">
        <v>0</v>
      </c>
      <c r="R175" s="6">
        <v>36</v>
      </c>
      <c r="S175" s="6">
        <v>0</v>
      </c>
    </row>
    <row r="176" spans="1:19" ht="15" x14ac:dyDescent="0.25">
      <c r="A176" s="7" t="s">
        <v>16</v>
      </c>
      <c r="B176" s="7" t="s">
        <v>17</v>
      </c>
      <c r="C176" s="7" t="s">
        <v>18</v>
      </c>
      <c r="D176" s="3">
        <v>12371009253</v>
      </c>
      <c r="E176" s="8" t="s">
        <v>218</v>
      </c>
      <c r="F176" s="8" t="s">
        <v>219</v>
      </c>
      <c r="G176" s="8" t="s">
        <v>220</v>
      </c>
      <c r="H176" s="8" t="s">
        <v>795</v>
      </c>
      <c r="I176" s="3">
        <v>1</v>
      </c>
      <c r="J176" s="8" t="s">
        <v>780</v>
      </c>
      <c r="K176" s="8" t="s">
        <v>781</v>
      </c>
      <c r="L176" s="8" t="s">
        <v>739</v>
      </c>
      <c r="M176" s="1" t="s">
        <v>790</v>
      </c>
      <c r="N176" s="8" t="s">
        <v>791</v>
      </c>
      <c r="O176" s="6">
        <v>0</v>
      </c>
      <c r="P176" s="6">
        <v>0</v>
      </c>
      <c r="Q176" s="6">
        <v>0</v>
      </c>
      <c r="R176" s="6">
        <v>24</v>
      </c>
      <c r="S176" s="6">
        <v>0</v>
      </c>
    </row>
    <row r="177" spans="1:19" ht="15" x14ac:dyDescent="0.25">
      <c r="A177" s="7" t="s">
        <v>16</v>
      </c>
      <c r="B177" s="7" t="s">
        <v>17</v>
      </c>
      <c r="C177" s="7" t="s">
        <v>18</v>
      </c>
      <c r="D177" s="3">
        <v>4201372001028</v>
      </c>
      <c r="E177" s="8" t="s">
        <v>273</v>
      </c>
      <c r="F177" s="8" t="s">
        <v>219</v>
      </c>
      <c r="G177" s="8" t="s">
        <v>220</v>
      </c>
      <c r="H177" s="8" t="s">
        <v>795</v>
      </c>
      <c r="I177" s="3">
        <v>1</v>
      </c>
      <c r="J177" s="8" t="s">
        <v>780</v>
      </c>
      <c r="K177" s="8" t="s">
        <v>781</v>
      </c>
      <c r="L177" s="8" t="s">
        <v>739</v>
      </c>
      <c r="M177" s="1" t="s">
        <v>790</v>
      </c>
      <c r="N177" s="8" t="s">
        <v>791</v>
      </c>
      <c r="O177" s="6">
        <v>0</v>
      </c>
      <c r="P177" s="6">
        <v>0</v>
      </c>
      <c r="Q177" s="6">
        <v>0</v>
      </c>
      <c r="R177" s="6">
        <v>40</v>
      </c>
      <c r="S177" s="6">
        <v>0</v>
      </c>
    </row>
    <row r="178" spans="1:19" ht="15" x14ac:dyDescent="0.25">
      <c r="A178" s="7" t="s">
        <v>16</v>
      </c>
      <c r="B178" s="7" t="s">
        <v>17</v>
      </c>
      <c r="C178" s="7" t="s">
        <v>18</v>
      </c>
      <c r="D178" s="3">
        <v>24232886008303</v>
      </c>
      <c r="E178" s="8" t="s">
        <v>358</v>
      </c>
      <c r="F178" s="8" t="s">
        <v>359</v>
      </c>
      <c r="G178" s="8" t="s">
        <v>220</v>
      </c>
      <c r="H178" s="8" t="s">
        <v>795</v>
      </c>
      <c r="I178" s="3">
        <v>1</v>
      </c>
      <c r="J178" s="8" t="s">
        <v>780</v>
      </c>
      <c r="K178" s="8" t="s">
        <v>781</v>
      </c>
      <c r="L178" s="8" t="s">
        <v>739</v>
      </c>
      <c r="M178" s="1" t="s">
        <v>790</v>
      </c>
      <c r="N178" s="8" t="s">
        <v>791</v>
      </c>
      <c r="O178" s="6">
        <v>0</v>
      </c>
      <c r="P178" s="6">
        <v>3</v>
      </c>
      <c r="Q178" s="6">
        <v>3</v>
      </c>
      <c r="R178" s="6">
        <v>0</v>
      </c>
      <c r="S178" s="6">
        <v>0</v>
      </c>
    </row>
    <row r="179" spans="1:19" ht="15" x14ac:dyDescent="0.25">
      <c r="A179" s="7" t="s">
        <v>16</v>
      </c>
      <c r="B179" s="7" t="s">
        <v>17</v>
      </c>
      <c r="C179" s="7" t="s">
        <v>18</v>
      </c>
      <c r="D179" s="3">
        <v>83925694404</v>
      </c>
      <c r="E179" s="8" t="s">
        <v>227</v>
      </c>
      <c r="F179" s="8" t="s">
        <v>228</v>
      </c>
      <c r="G179" s="8" t="s">
        <v>229</v>
      </c>
      <c r="H179" s="8" t="s">
        <v>795</v>
      </c>
      <c r="I179" s="3">
        <v>2</v>
      </c>
      <c r="J179" s="8" t="s">
        <v>778</v>
      </c>
      <c r="K179" s="8" t="s">
        <v>779</v>
      </c>
      <c r="L179" s="8" t="s">
        <v>730</v>
      </c>
      <c r="M179" s="1" t="s">
        <v>790</v>
      </c>
      <c r="N179" s="8" t="s">
        <v>791</v>
      </c>
      <c r="O179" s="6">
        <v>24</v>
      </c>
      <c r="P179" s="6">
        <v>0</v>
      </c>
      <c r="Q179" s="6">
        <v>0</v>
      </c>
      <c r="R179" s="6">
        <v>0</v>
      </c>
      <c r="S179" s="6">
        <v>0</v>
      </c>
    </row>
    <row r="180" spans="1:19" ht="15" x14ac:dyDescent="0.25">
      <c r="A180" s="7" t="s">
        <v>16</v>
      </c>
      <c r="B180" s="7" t="s">
        <v>17</v>
      </c>
      <c r="C180" s="7" t="s">
        <v>18</v>
      </c>
      <c r="D180" s="3">
        <v>83925694404</v>
      </c>
      <c r="E180" s="8" t="s">
        <v>227</v>
      </c>
      <c r="F180" s="8" t="s">
        <v>228</v>
      </c>
      <c r="G180" s="8" t="s">
        <v>229</v>
      </c>
      <c r="H180" s="8" t="s">
        <v>795</v>
      </c>
      <c r="I180" s="3">
        <v>2</v>
      </c>
      <c r="J180" s="8" t="s">
        <v>748</v>
      </c>
      <c r="K180" s="8" t="s">
        <v>749</v>
      </c>
      <c r="L180" s="8" t="s">
        <v>723</v>
      </c>
      <c r="M180" s="1" t="s">
        <v>790</v>
      </c>
      <c r="N180" s="8" t="s">
        <v>791</v>
      </c>
      <c r="O180" s="6">
        <v>0</v>
      </c>
      <c r="P180" s="6">
        <v>0</v>
      </c>
      <c r="Q180" s="6">
        <v>0</v>
      </c>
      <c r="R180" s="6">
        <v>0</v>
      </c>
      <c r="S180" s="6">
        <v>0</v>
      </c>
    </row>
    <row r="181" spans="1:19" ht="15" x14ac:dyDescent="0.25">
      <c r="A181" s="7" t="s">
        <v>16</v>
      </c>
      <c r="B181" s="7" t="s">
        <v>17</v>
      </c>
      <c r="C181" s="7" t="s">
        <v>18</v>
      </c>
      <c r="D181" s="3">
        <v>8680639000681</v>
      </c>
      <c r="E181" s="8" t="s">
        <v>303</v>
      </c>
      <c r="F181" s="8" t="s">
        <v>228</v>
      </c>
      <c r="G181" s="8" t="s">
        <v>229</v>
      </c>
      <c r="H181" s="8" t="s">
        <v>795</v>
      </c>
      <c r="I181" s="3">
        <v>2</v>
      </c>
      <c r="J181" s="8" t="s">
        <v>778</v>
      </c>
      <c r="K181" s="8" t="s">
        <v>779</v>
      </c>
      <c r="L181" s="8" t="s">
        <v>730</v>
      </c>
      <c r="M181" s="1" t="s">
        <v>790</v>
      </c>
      <c r="N181" s="8" t="s">
        <v>791</v>
      </c>
      <c r="O181" s="6">
        <v>0</v>
      </c>
      <c r="P181" s="6">
        <v>0</v>
      </c>
      <c r="Q181" s="6">
        <v>0</v>
      </c>
      <c r="R181" s="6">
        <v>36</v>
      </c>
      <c r="S181" s="6">
        <v>80</v>
      </c>
    </row>
    <row r="182" spans="1:19" ht="15" x14ac:dyDescent="0.25">
      <c r="A182" s="7" t="s">
        <v>16</v>
      </c>
      <c r="B182" s="7" t="s">
        <v>17</v>
      </c>
      <c r="C182" s="7" t="s">
        <v>18</v>
      </c>
      <c r="D182" s="3">
        <v>8680639000681</v>
      </c>
      <c r="E182" s="8" t="s">
        <v>303</v>
      </c>
      <c r="F182" s="8" t="s">
        <v>228</v>
      </c>
      <c r="G182" s="8" t="s">
        <v>229</v>
      </c>
      <c r="H182" s="8" t="s">
        <v>795</v>
      </c>
      <c r="I182" s="3">
        <v>2</v>
      </c>
      <c r="J182" s="8" t="s">
        <v>748</v>
      </c>
      <c r="K182" s="8" t="s">
        <v>749</v>
      </c>
      <c r="L182" s="8" t="s">
        <v>723</v>
      </c>
      <c r="M182" s="1" t="s">
        <v>790</v>
      </c>
      <c r="N182" s="8" t="s">
        <v>791</v>
      </c>
      <c r="O182" s="6">
        <v>0</v>
      </c>
      <c r="P182" s="6">
        <v>0</v>
      </c>
      <c r="Q182" s="6">
        <v>0</v>
      </c>
      <c r="R182" s="6">
        <v>0</v>
      </c>
      <c r="S182" s="6">
        <v>80</v>
      </c>
    </row>
    <row r="183" spans="1:19" ht="15" x14ac:dyDescent="0.25">
      <c r="A183" s="7" t="s">
        <v>16</v>
      </c>
      <c r="B183" s="7" t="s">
        <v>17</v>
      </c>
      <c r="C183" s="7" t="s">
        <v>18</v>
      </c>
      <c r="D183" s="3">
        <v>3858924000111</v>
      </c>
      <c r="E183" s="8" t="s">
        <v>543</v>
      </c>
      <c r="F183" s="8" t="s">
        <v>544</v>
      </c>
      <c r="G183" s="8" t="s">
        <v>265</v>
      </c>
      <c r="H183" s="8" t="s">
        <v>795</v>
      </c>
      <c r="I183" s="3">
        <v>2</v>
      </c>
      <c r="J183" s="8" t="s">
        <v>778</v>
      </c>
      <c r="K183" s="8" t="s">
        <v>779</v>
      </c>
      <c r="L183" s="8" t="s">
        <v>730</v>
      </c>
      <c r="M183" s="1" t="s">
        <v>790</v>
      </c>
      <c r="N183" s="8" t="s">
        <v>791</v>
      </c>
      <c r="O183" s="6">
        <v>0</v>
      </c>
      <c r="P183" s="6">
        <v>0</v>
      </c>
      <c r="Q183" s="6">
        <v>0</v>
      </c>
      <c r="R183" s="6">
        <v>0</v>
      </c>
      <c r="S183" s="6">
        <v>120</v>
      </c>
    </row>
    <row r="184" spans="1:19" ht="15" x14ac:dyDescent="0.25">
      <c r="A184" s="7" t="s">
        <v>16</v>
      </c>
      <c r="B184" s="7" t="s">
        <v>17</v>
      </c>
      <c r="C184" s="7" t="s">
        <v>18</v>
      </c>
      <c r="D184" s="3">
        <v>3858924000111</v>
      </c>
      <c r="E184" s="8" t="s">
        <v>543</v>
      </c>
      <c r="F184" s="8" t="s">
        <v>544</v>
      </c>
      <c r="G184" s="8" t="s">
        <v>265</v>
      </c>
      <c r="H184" s="8" t="s">
        <v>795</v>
      </c>
      <c r="I184" s="3">
        <v>2</v>
      </c>
      <c r="J184" s="8" t="s">
        <v>748</v>
      </c>
      <c r="K184" s="8" t="s">
        <v>749</v>
      </c>
      <c r="L184" s="8" t="s">
        <v>723</v>
      </c>
      <c r="M184" s="1" t="s">
        <v>790</v>
      </c>
      <c r="N184" s="8" t="s">
        <v>791</v>
      </c>
      <c r="O184" s="6">
        <v>0</v>
      </c>
      <c r="P184" s="6">
        <v>0</v>
      </c>
      <c r="Q184" s="6">
        <v>0</v>
      </c>
      <c r="R184" s="6">
        <v>0</v>
      </c>
      <c r="S184" s="6">
        <v>120</v>
      </c>
    </row>
    <row r="185" spans="1:19" ht="15" x14ac:dyDescent="0.25">
      <c r="A185" s="7" t="s">
        <v>16</v>
      </c>
      <c r="B185" s="7" t="s">
        <v>17</v>
      </c>
      <c r="C185" s="7" t="s">
        <v>18</v>
      </c>
      <c r="D185" s="3">
        <v>10572048000209</v>
      </c>
      <c r="E185" s="8" t="s">
        <v>560</v>
      </c>
      <c r="F185" s="8" t="s">
        <v>264</v>
      </c>
      <c r="G185" s="8" t="s">
        <v>265</v>
      </c>
      <c r="H185" s="8" t="s">
        <v>795</v>
      </c>
      <c r="I185" s="3">
        <v>2</v>
      </c>
      <c r="J185" s="8" t="s">
        <v>778</v>
      </c>
      <c r="K185" s="8" t="s">
        <v>779</v>
      </c>
      <c r="L185" s="8" t="s">
        <v>730</v>
      </c>
      <c r="M185" s="1" t="s">
        <v>790</v>
      </c>
      <c r="N185" s="8" t="s">
        <v>791</v>
      </c>
      <c r="O185" s="6">
        <v>0</v>
      </c>
      <c r="P185" s="6">
        <v>0</v>
      </c>
      <c r="Q185" s="6">
        <v>0</v>
      </c>
      <c r="R185" s="6">
        <v>0</v>
      </c>
      <c r="S185" s="6">
        <v>1535</v>
      </c>
    </row>
    <row r="186" spans="1:19" ht="15" x14ac:dyDescent="0.25">
      <c r="A186" s="7" t="s">
        <v>16</v>
      </c>
      <c r="B186" s="7" t="s">
        <v>17</v>
      </c>
      <c r="C186" s="7" t="s">
        <v>18</v>
      </c>
      <c r="D186" s="3">
        <v>10572048000209</v>
      </c>
      <c r="E186" s="8" t="s">
        <v>560</v>
      </c>
      <c r="F186" s="8" t="s">
        <v>264</v>
      </c>
      <c r="G186" s="8" t="s">
        <v>265</v>
      </c>
      <c r="H186" s="8" t="s">
        <v>795</v>
      </c>
      <c r="I186" s="3">
        <v>2</v>
      </c>
      <c r="J186" s="8" t="s">
        <v>748</v>
      </c>
      <c r="K186" s="8" t="s">
        <v>749</v>
      </c>
      <c r="L186" s="8" t="s">
        <v>723</v>
      </c>
      <c r="M186" s="1" t="s">
        <v>790</v>
      </c>
      <c r="N186" s="8" t="s">
        <v>791</v>
      </c>
      <c r="O186" s="6">
        <v>0</v>
      </c>
      <c r="P186" s="6">
        <v>0</v>
      </c>
      <c r="Q186" s="6">
        <v>0</v>
      </c>
      <c r="R186" s="6">
        <v>0</v>
      </c>
      <c r="S186" s="6">
        <v>1535</v>
      </c>
    </row>
    <row r="187" spans="1:19" ht="15" x14ac:dyDescent="0.25">
      <c r="A187" s="7" t="s">
        <v>16</v>
      </c>
      <c r="B187" s="7" t="s">
        <v>17</v>
      </c>
      <c r="C187" s="7" t="s">
        <v>18</v>
      </c>
      <c r="D187" s="3">
        <v>11452240000143</v>
      </c>
      <c r="E187" s="8" t="s">
        <v>311</v>
      </c>
      <c r="F187" s="8" t="s">
        <v>264</v>
      </c>
      <c r="G187" s="8" t="s">
        <v>265</v>
      </c>
      <c r="H187" s="8" t="s">
        <v>795</v>
      </c>
      <c r="I187" s="3">
        <v>2</v>
      </c>
      <c r="J187" s="8" t="s">
        <v>778</v>
      </c>
      <c r="K187" s="8" t="s">
        <v>779</v>
      </c>
      <c r="L187" s="8" t="s">
        <v>730</v>
      </c>
      <c r="M187" s="1" t="s">
        <v>790</v>
      </c>
      <c r="N187" s="8" t="s">
        <v>791</v>
      </c>
      <c r="O187" s="6">
        <v>0</v>
      </c>
      <c r="P187" s="6">
        <v>0</v>
      </c>
      <c r="Q187" s="6">
        <v>0</v>
      </c>
      <c r="R187" s="6">
        <v>0</v>
      </c>
      <c r="S187" s="6">
        <v>0</v>
      </c>
    </row>
    <row r="188" spans="1:19" ht="15" x14ac:dyDescent="0.25">
      <c r="A188" s="7" t="s">
        <v>16</v>
      </c>
      <c r="B188" s="7" t="s">
        <v>17</v>
      </c>
      <c r="C188" s="7" t="s">
        <v>18</v>
      </c>
      <c r="D188" s="3">
        <v>11452240000143</v>
      </c>
      <c r="E188" s="8" t="s">
        <v>311</v>
      </c>
      <c r="F188" s="8" t="s">
        <v>264</v>
      </c>
      <c r="G188" s="8" t="s">
        <v>265</v>
      </c>
      <c r="H188" s="8" t="s">
        <v>795</v>
      </c>
      <c r="I188" s="3">
        <v>2</v>
      </c>
      <c r="J188" s="8" t="s">
        <v>748</v>
      </c>
      <c r="K188" s="8" t="s">
        <v>749</v>
      </c>
      <c r="L188" s="8" t="s">
        <v>723</v>
      </c>
      <c r="M188" s="1" t="s">
        <v>790</v>
      </c>
      <c r="N188" s="8" t="s">
        <v>791</v>
      </c>
      <c r="O188" s="6">
        <v>0</v>
      </c>
      <c r="P188" s="6">
        <v>0</v>
      </c>
      <c r="Q188" s="6">
        <v>6</v>
      </c>
      <c r="R188" s="6">
        <v>0</v>
      </c>
      <c r="S188" s="6">
        <v>0</v>
      </c>
    </row>
    <row r="189" spans="1:19" ht="15" x14ac:dyDescent="0.25">
      <c r="A189" s="7" t="s">
        <v>16</v>
      </c>
      <c r="B189" s="7" t="s">
        <v>17</v>
      </c>
      <c r="C189" s="7" t="s">
        <v>18</v>
      </c>
      <c r="D189" s="3">
        <v>6047087009276</v>
      </c>
      <c r="E189" s="8" t="s">
        <v>423</v>
      </c>
      <c r="F189" s="8" t="s">
        <v>264</v>
      </c>
      <c r="G189" s="8" t="s">
        <v>265</v>
      </c>
      <c r="H189" s="8" t="s">
        <v>795</v>
      </c>
      <c r="I189" s="3">
        <v>2</v>
      </c>
      <c r="J189" s="8" t="s">
        <v>778</v>
      </c>
      <c r="K189" s="8" t="s">
        <v>779</v>
      </c>
      <c r="L189" s="8" t="s">
        <v>730</v>
      </c>
      <c r="M189" s="1" t="s">
        <v>790</v>
      </c>
      <c r="N189" s="8" t="s">
        <v>791</v>
      </c>
      <c r="O189" s="6">
        <v>0</v>
      </c>
      <c r="P189" s="6">
        <v>0</v>
      </c>
      <c r="Q189" s="6">
        <v>0</v>
      </c>
      <c r="R189" s="6">
        <v>0</v>
      </c>
      <c r="S189" s="6">
        <v>300</v>
      </c>
    </row>
    <row r="190" spans="1:19" ht="15" x14ac:dyDescent="0.25">
      <c r="A190" s="7" t="s">
        <v>16</v>
      </c>
      <c r="B190" s="7" t="s">
        <v>17</v>
      </c>
      <c r="C190" s="7" t="s">
        <v>18</v>
      </c>
      <c r="D190" s="3">
        <v>6047087009276</v>
      </c>
      <c r="E190" s="8" t="s">
        <v>423</v>
      </c>
      <c r="F190" s="8" t="s">
        <v>264</v>
      </c>
      <c r="G190" s="8" t="s">
        <v>265</v>
      </c>
      <c r="H190" s="8" t="s">
        <v>795</v>
      </c>
      <c r="I190" s="3">
        <v>2</v>
      </c>
      <c r="J190" s="8" t="s">
        <v>748</v>
      </c>
      <c r="K190" s="8" t="s">
        <v>749</v>
      </c>
      <c r="L190" s="8" t="s">
        <v>723</v>
      </c>
      <c r="M190" s="1" t="s">
        <v>790</v>
      </c>
      <c r="N190" s="8" t="s">
        <v>791</v>
      </c>
      <c r="O190" s="6">
        <v>0</v>
      </c>
      <c r="P190" s="6">
        <v>0</v>
      </c>
      <c r="Q190" s="6">
        <v>0</v>
      </c>
      <c r="R190" s="6">
        <v>0</v>
      </c>
      <c r="S190" s="6">
        <v>300</v>
      </c>
    </row>
    <row r="191" spans="1:19" ht="15" x14ac:dyDescent="0.25">
      <c r="A191" s="7" t="s">
        <v>16</v>
      </c>
      <c r="B191" s="7" t="s">
        <v>17</v>
      </c>
      <c r="C191" s="7" t="s">
        <v>18</v>
      </c>
      <c r="D191" s="3">
        <v>10892164000124</v>
      </c>
      <c r="E191" s="8" t="s">
        <v>307</v>
      </c>
      <c r="F191" s="8" t="s">
        <v>264</v>
      </c>
      <c r="G191" s="8" t="s">
        <v>265</v>
      </c>
      <c r="H191" s="8" t="s">
        <v>795</v>
      </c>
      <c r="I191" s="3">
        <v>2</v>
      </c>
      <c r="J191" s="8" t="s">
        <v>778</v>
      </c>
      <c r="K191" s="8" t="s">
        <v>779</v>
      </c>
      <c r="L191" s="8" t="s">
        <v>730</v>
      </c>
      <c r="M191" s="1" t="s">
        <v>790</v>
      </c>
      <c r="N191" s="8" t="s">
        <v>791</v>
      </c>
      <c r="O191" s="6">
        <v>0</v>
      </c>
      <c r="P191" s="6">
        <v>0</v>
      </c>
      <c r="Q191" s="6">
        <v>0</v>
      </c>
      <c r="R191" s="6">
        <v>0</v>
      </c>
      <c r="S191" s="6">
        <v>0</v>
      </c>
    </row>
    <row r="192" spans="1:19" ht="15" x14ac:dyDescent="0.25">
      <c r="A192" s="7" t="s">
        <v>16</v>
      </c>
      <c r="B192" s="7" t="s">
        <v>17</v>
      </c>
      <c r="C192" s="7" t="s">
        <v>18</v>
      </c>
      <c r="D192" s="3">
        <v>10892164000124</v>
      </c>
      <c r="E192" s="8" t="s">
        <v>307</v>
      </c>
      <c r="F192" s="8" t="s">
        <v>264</v>
      </c>
      <c r="G192" s="8" t="s">
        <v>265</v>
      </c>
      <c r="H192" s="8" t="s">
        <v>795</v>
      </c>
      <c r="I192" s="3">
        <v>2</v>
      </c>
      <c r="J192" s="8" t="s">
        <v>748</v>
      </c>
      <c r="K192" s="8" t="s">
        <v>749</v>
      </c>
      <c r="L192" s="8" t="s">
        <v>723</v>
      </c>
      <c r="M192" s="1" t="s">
        <v>790</v>
      </c>
      <c r="N192" s="8" t="s">
        <v>791</v>
      </c>
      <c r="O192" s="6">
        <v>0</v>
      </c>
      <c r="P192" s="6">
        <v>45</v>
      </c>
      <c r="Q192" s="6">
        <v>17</v>
      </c>
      <c r="R192" s="6">
        <v>0</v>
      </c>
      <c r="S192" s="6">
        <v>0</v>
      </c>
    </row>
    <row r="193" spans="1:19" ht="15" x14ac:dyDescent="0.25">
      <c r="A193" s="7" t="s">
        <v>16</v>
      </c>
      <c r="B193" s="7" t="s">
        <v>17</v>
      </c>
      <c r="C193" s="7" t="s">
        <v>18</v>
      </c>
      <c r="D193" s="3">
        <v>2284062000440</v>
      </c>
      <c r="E193" s="8" t="s">
        <v>263</v>
      </c>
      <c r="F193" s="8" t="s">
        <v>264</v>
      </c>
      <c r="G193" s="8" t="s">
        <v>265</v>
      </c>
      <c r="H193" s="8" t="s">
        <v>795</v>
      </c>
      <c r="I193" s="3">
        <v>2</v>
      </c>
      <c r="J193" s="8" t="s">
        <v>778</v>
      </c>
      <c r="K193" s="8" t="s">
        <v>779</v>
      </c>
      <c r="L193" s="8" t="s">
        <v>730</v>
      </c>
      <c r="M193" s="1" t="s">
        <v>790</v>
      </c>
      <c r="N193" s="8" t="s">
        <v>791</v>
      </c>
      <c r="O193" s="6">
        <v>0</v>
      </c>
      <c r="P193" s="6">
        <v>0</v>
      </c>
      <c r="Q193" s="6">
        <v>0</v>
      </c>
      <c r="R193" s="6">
        <v>0</v>
      </c>
      <c r="S193" s="6">
        <v>0</v>
      </c>
    </row>
    <row r="194" spans="1:19" ht="15" x14ac:dyDescent="0.25">
      <c r="A194" s="7" t="s">
        <v>16</v>
      </c>
      <c r="B194" s="7" t="s">
        <v>17</v>
      </c>
      <c r="C194" s="7" t="s">
        <v>18</v>
      </c>
      <c r="D194" s="3">
        <v>2284062000440</v>
      </c>
      <c r="E194" s="8" t="s">
        <v>263</v>
      </c>
      <c r="F194" s="8" t="s">
        <v>264</v>
      </c>
      <c r="G194" s="8" t="s">
        <v>265</v>
      </c>
      <c r="H194" s="8" t="s">
        <v>795</v>
      </c>
      <c r="I194" s="3">
        <v>2</v>
      </c>
      <c r="J194" s="8" t="s">
        <v>748</v>
      </c>
      <c r="K194" s="8" t="s">
        <v>749</v>
      </c>
      <c r="L194" s="8" t="s">
        <v>723</v>
      </c>
      <c r="M194" s="1" t="s">
        <v>790</v>
      </c>
      <c r="N194" s="8" t="s">
        <v>791</v>
      </c>
      <c r="O194" s="6">
        <v>0</v>
      </c>
      <c r="P194" s="6">
        <v>21</v>
      </c>
      <c r="Q194" s="6">
        <v>0</v>
      </c>
      <c r="R194" s="6">
        <v>0</v>
      </c>
      <c r="S194" s="6">
        <v>0</v>
      </c>
    </row>
    <row r="195" spans="1:19" ht="15" x14ac:dyDescent="0.25">
      <c r="A195" s="7" t="s">
        <v>16</v>
      </c>
      <c r="B195" s="7" t="s">
        <v>17</v>
      </c>
      <c r="C195" s="7" t="s">
        <v>18</v>
      </c>
      <c r="D195" s="3">
        <v>10988301000129</v>
      </c>
      <c r="E195" s="8" t="s">
        <v>308</v>
      </c>
      <c r="F195" s="8" t="s">
        <v>264</v>
      </c>
      <c r="G195" s="8" t="s">
        <v>265</v>
      </c>
      <c r="H195" s="8" t="s">
        <v>795</v>
      </c>
      <c r="I195" s="3">
        <v>2</v>
      </c>
      <c r="J195" s="8" t="s">
        <v>778</v>
      </c>
      <c r="K195" s="8" t="s">
        <v>779</v>
      </c>
      <c r="L195" s="8" t="s">
        <v>730</v>
      </c>
      <c r="M195" s="1" t="s">
        <v>790</v>
      </c>
      <c r="N195" s="8" t="s">
        <v>791</v>
      </c>
      <c r="O195" s="6">
        <v>0</v>
      </c>
      <c r="P195" s="6">
        <v>0</v>
      </c>
      <c r="Q195" s="6">
        <v>0</v>
      </c>
      <c r="R195" s="6">
        <v>0</v>
      </c>
      <c r="S195" s="6">
        <v>0</v>
      </c>
    </row>
    <row r="196" spans="1:19" ht="15" x14ac:dyDescent="0.25">
      <c r="A196" s="7" t="s">
        <v>16</v>
      </c>
      <c r="B196" s="7" t="s">
        <v>17</v>
      </c>
      <c r="C196" s="7" t="s">
        <v>18</v>
      </c>
      <c r="D196" s="3">
        <v>10988301000129</v>
      </c>
      <c r="E196" s="8" t="s">
        <v>308</v>
      </c>
      <c r="F196" s="8" t="s">
        <v>264</v>
      </c>
      <c r="G196" s="8" t="s">
        <v>265</v>
      </c>
      <c r="H196" s="8" t="s">
        <v>795</v>
      </c>
      <c r="I196" s="3">
        <v>2</v>
      </c>
      <c r="J196" s="8" t="s">
        <v>748</v>
      </c>
      <c r="K196" s="8" t="s">
        <v>749</v>
      </c>
      <c r="L196" s="8" t="s">
        <v>723</v>
      </c>
      <c r="M196" s="1" t="s">
        <v>790</v>
      </c>
      <c r="N196" s="8" t="s">
        <v>791</v>
      </c>
      <c r="O196" s="6">
        <v>0</v>
      </c>
      <c r="P196" s="6">
        <v>10</v>
      </c>
      <c r="Q196" s="6">
        <v>0</v>
      </c>
      <c r="R196" s="6">
        <v>0</v>
      </c>
      <c r="S196" s="6">
        <v>0</v>
      </c>
    </row>
    <row r="197" spans="1:19" ht="15" x14ac:dyDescent="0.25">
      <c r="A197" s="7" t="s">
        <v>16</v>
      </c>
      <c r="B197" s="7" t="s">
        <v>17</v>
      </c>
      <c r="C197" s="7" t="s">
        <v>18</v>
      </c>
      <c r="D197" s="3">
        <v>10839561000132</v>
      </c>
      <c r="E197" s="8" t="s">
        <v>306</v>
      </c>
      <c r="F197" s="8" t="s">
        <v>264</v>
      </c>
      <c r="G197" s="8" t="s">
        <v>265</v>
      </c>
      <c r="H197" s="8" t="s">
        <v>795</v>
      </c>
      <c r="I197" s="3">
        <v>2</v>
      </c>
      <c r="J197" s="8" t="s">
        <v>778</v>
      </c>
      <c r="K197" s="8" t="s">
        <v>779</v>
      </c>
      <c r="L197" s="8" t="s">
        <v>730</v>
      </c>
      <c r="M197" s="1" t="s">
        <v>790</v>
      </c>
      <c r="N197" s="8" t="s">
        <v>791</v>
      </c>
      <c r="O197" s="6">
        <v>0</v>
      </c>
      <c r="P197" s="6">
        <v>0</v>
      </c>
      <c r="Q197" s="6">
        <v>0</v>
      </c>
      <c r="R197" s="6">
        <v>60</v>
      </c>
      <c r="S197" s="6">
        <v>0</v>
      </c>
    </row>
    <row r="198" spans="1:19" ht="15" x14ac:dyDescent="0.25">
      <c r="A198" s="7" t="s">
        <v>16</v>
      </c>
      <c r="B198" s="7" t="s">
        <v>17</v>
      </c>
      <c r="C198" s="7" t="s">
        <v>18</v>
      </c>
      <c r="D198" s="3">
        <v>10839561000132</v>
      </c>
      <c r="E198" s="8" t="s">
        <v>306</v>
      </c>
      <c r="F198" s="8" t="s">
        <v>264</v>
      </c>
      <c r="G198" s="8" t="s">
        <v>265</v>
      </c>
      <c r="H198" s="8" t="s">
        <v>795</v>
      </c>
      <c r="I198" s="3">
        <v>2</v>
      </c>
      <c r="J198" s="8" t="s">
        <v>748</v>
      </c>
      <c r="K198" s="8" t="s">
        <v>749</v>
      </c>
      <c r="L198" s="8" t="s">
        <v>723</v>
      </c>
      <c r="M198" s="1" t="s">
        <v>790</v>
      </c>
      <c r="N198" s="8" t="s">
        <v>791</v>
      </c>
      <c r="O198" s="6">
        <v>0</v>
      </c>
      <c r="P198" s="6">
        <v>0</v>
      </c>
      <c r="Q198" s="6">
        <v>0</v>
      </c>
      <c r="R198" s="6">
        <v>0</v>
      </c>
      <c r="S198" s="6">
        <v>0</v>
      </c>
    </row>
    <row r="199" spans="1:19" ht="15" x14ac:dyDescent="0.25">
      <c r="A199" s="7" t="s">
        <v>16</v>
      </c>
      <c r="B199" s="7" t="s">
        <v>17</v>
      </c>
      <c r="C199" s="7" t="s">
        <v>18</v>
      </c>
      <c r="D199" s="3">
        <v>15126437000224</v>
      </c>
      <c r="E199" s="8" t="s">
        <v>327</v>
      </c>
      <c r="F199" s="8" t="s">
        <v>295</v>
      </c>
      <c r="G199" s="8" t="s">
        <v>296</v>
      </c>
      <c r="H199" s="8" t="s">
        <v>795</v>
      </c>
      <c r="I199" s="3">
        <v>2</v>
      </c>
      <c r="J199" s="8" t="s">
        <v>778</v>
      </c>
      <c r="K199" s="8" t="s">
        <v>779</v>
      </c>
      <c r="L199" s="8" t="s">
        <v>730</v>
      </c>
      <c r="M199" s="1" t="s">
        <v>790</v>
      </c>
      <c r="N199" s="8" t="s">
        <v>791</v>
      </c>
      <c r="O199" s="6">
        <v>0</v>
      </c>
      <c r="P199" s="6">
        <v>0</v>
      </c>
      <c r="Q199" s="6">
        <v>0</v>
      </c>
      <c r="R199" s="6">
        <v>0</v>
      </c>
      <c r="S199" s="6">
        <v>0</v>
      </c>
    </row>
    <row r="200" spans="1:19" ht="15" x14ac:dyDescent="0.25">
      <c r="A200" s="7" t="s">
        <v>16</v>
      </c>
      <c r="B200" s="7" t="s">
        <v>17</v>
      </c>
      <c r="C200" s="7" t="s">
        <v>18</v>
      </c>
      <c r="D200" s="3">
        <v>15126437000224</v>
      </c>
      <c r="E200" s="8" t="s">
        <v>327</v>
      </c>
      <c r="F200" s="8" t="s">
        <v>295</v>
      </c>
      <c r="G200" s="8" t="s">
        <v>296</v>
      </c>
      <c r="H200" s="8" t="s">
        <v>795</v>
      </c>
      <c r="I200" s="3">
        <v>2</v>
      </c>
      <c r="J200" s="8" t="s">
        <v>744</v>
      </c>
      <c r="K200" s="8" t="s">
        <v>745</v>
      </c>
      <c r="L200" s="8" t="s">
        <v>723</v>
      </c>
      <c r="M200" s="1" t="s">
        <v>790</v>
      </c>
      <c r="N200" s="8" t="s">
        <v>791</v>
      </c>
      <c r="O200" s="6">
        <v>0</v>
      </c>
      <c r="P200" s="6">
        <v>5</v>
      </c>
      <c r="Q200" s="6">
        <v>0</v>
      </c>
      <c r="R200" s="6">
        <v>0</v>
      </c>
      <c r="S200" s="6">
        <v>0</v>
      </c>
    </row>
    <row r="201" spans="1:19" ht="15" x14ac:dyDescent="0.25">
      <c r="A201" s="7" t="s">
        <v>16</v>
      </c>
      <c r="B201" s="7" t="s">
        <v>17</v>
      </c>
      <c r="C201" s="7" t="s">
        <v>18</v>
      </c>
      <c r="D201" s="3">
        <v>63326243000487</v>
      </c>
      <c r="E201" s="8" t="s">
        <v>581</v>
      </c>
      <c r="F201" s="8" t="s">
        <v>295</v>
      </c>
      <c r="G201" s="8" t="s">
        <v>296</v>
      </c>
      <c r="H201" s="8" t="s">
        <v>795</v>
      </c>
      <c r="I201" s="3">
        <v>2</v>
      </c>
      <c r="J201" s="8" t="s">
        <v>778</v>
      </c>
      <c r="K201" s="8" t="s">
        <v>779</v>
      </c>
      <c r="L201" s="8" t="s">
        <v>730</v>
      </c>
      <c r="M201" s="1" t="s">
        <v>790</v>
      </c>
      <c r="N201" s="8" t="s">
        <v>791</v>
      </c>
      <c r="O201" s="6">
        <v>0</v>
      </c>
      <c r="P201" s="6">
        <v>0</v>
      </c>
      <c r="Q201" s="6">
        <v>0</v>
      </c>
      <c r="R201" s="6">
        <v>0</v>
      </c>
      <c r="S201" s="6">
        <v>2</v>
      </c>
    </row>
    <row r="202" spans="1:19" ht="15" x14ac:dyDescent="0.25">
      <c r="A202" s="7" t="s">
        <v>16</v>
      </c>
      <c r="B202" s="7" t="s">
        <v>17</v>
      </c>
      <c r="C202" s="7" t="s">
        <v>18</v>
      </c>
      <c r="D202" s="3">
        <v>63326243000487</v>
      </c>
      <c r="E202" s="8" t="s">
        <v>581</v>
      </c>
      <c r="F202" s="8" t="s">
        <v>295</v>
      </c>
      <c r="G202" s="8" t="s">
        <v>296</v>
      </c>
      <c r="H202" s="8" t="s">
        <v>795</v>
      </c>
      <c r="I202" s="3">
        <v>2</v>
      </c>
      <c r="J202" s="8" t="s">
        <v>744</v>
      </c>
      <c r="K202" s="8" t="s">
        <v>745</v>
      </c>
      <c r="L202" s="8" t="s">
        <v>723</v>
      </c>
      <c r="M202" s="1" t="s">
        <v>790</v>
      </c>
      <c r="N202" s="8" t="s">
        <v>791</v>
      </c>
      <c r="O202" s="6">
        <v>0</v>
      </c>
      <c r="P202" s="6">
        <v>0</v>
      </c>
      <c r="Q202" s="6">
        <v>0</v>
      </c>
      <c r="R202" s="6">
        <v>0</v>
      </c>
      <c r="S202" s="6">
        <v>2</v>
      </c>
    </row>
    <row r="203" spans="1:19" ht="15" x14ac:dyDescent="0.25">
      <c r="A203" s="7" t="s">
        <v>16</v>
      </c>
      <c r="B203" s="7" t="s">
        <v>17</v>
      </c>
      <c r="C203" s="7" t="s">
        <v>18</v>
      </c>
      <c r="D203" s="3">
        <v>6555031000276</v>
      </c>
      <c r="E203" s="8" t="s">
        <v>294</v>
      </c>
      <c r="F203" s="8" t="s">
        <v>295</v>
      </c>
      <c r="G203" s="8" t="s">
        <v>296</v>
      </c>
      <c r="H203" s="8" t="s">
        <v>795</v>
      </c>
      <c r="I203" s="3">
        <v>2</v>
      </c>
      <c r="J203" s="8" t="s">
        <v>778</v>
      </c>
      <c r="K203" s="8" t="s">
        <v>779</v>
      </c>
      <c r="L203" s="8" t="s">
        <v>730</v>
      </c>
      <c r="M203" s="1" t="s">
        <v>790</v>
      </c>
      <c r="N203" s="8" t="s">
        <v>791</v>
      </c>
      <c r="O203" s="6">
        <v>0</v>
      </c>
      <c r="P203" s="6">
        <v>0</v>
      </c>
      <c r="Q203" s="6">
        <v>0</v>
      </c>
      <c r="R203" s="6">
        <v>12</v>
      </c>
      <c r="S203" s="6">
        <v>0</v>
      </c>
    </row>
    <row r="204" spans="1:19" ht="15" x14ac:dyDescent="0.25">
      <c r="A204" s="7" t="s">
        <v>16</v>
      </c>
      <c r="B204" s="7" t="s">
        <v>17</v>
      </c>
      <c r="C204" s="7" t="s">
        <v>18</v>
      </c>
      <c r="D204" s="3">
        <v>6555031000276</v>
      </c>
      <c r="E204" s="8" t="s">
        <v>294</v>
      </c>
      <c r="F204" s="8" t="s">
        <v>295</v>
      </c>
      <c r="G204" s="8" t="s">
        <v>296</v>
      </c>
      <c r="H204" s="8" t="s">
        <v>795</v>
      </c>
      <c r="I204" s="3">
        <v>2</v>
      </c>
      <c r="J204" s="8" t="s">
        <v>744</v>
      </c>
      <c r="K204" s="8" t="s">
        <v>745</v>
      </c>
      <c r="L204" s="8" t="s">
        <v>723</v>
      </c>
      <c r="M204" s="1" t="s">
        <v>790</v>
      </c>
      <c r="N204" s="8" t="s">
        <v>791</v>
      </c>
      <c r="O204" s="6">
        <v>0</v>
      </c>
      <c r="P204" s="6">
        <v>0</v>
      </c>
      <c r="Q204" s="6">
        <v>0</v>
      </c>
      <c r="R204" s="6">
        <v>0</v>
      </c>
      <c r="S204" s="6">
        <v>0</v>
      </c>
    </row>
    <row r="205" spans="1:19" ht="15" x14ac:dyDescent="0.25">
      <c r="A205" s="7" t="s">
        <v>16</v>
      </c>
      <c r="B205" s="7" t="s">
        <v>17</v>
      </c>
      <c r="C205" s="7" t="s">
        <v>18</v>
      </c>
      <c r="D205" s="3">
        <v>7088017000191</v>
      </c>
      <c r="E205" s="8" t="s">
        <v>549</v>
      </c>
      <c r="F205" s="8" t="s">
        <v>550</v>
      </c>
      <c r="G205" s="8" t="s">
        <v>233</v>
      </c>
      <c r="H205" s="8" t="s">
        <v>795</v>
      </c>
      <c r="I205" s="3">
        <v>2</v>
      </c>
      <c r="J205" s="8" t="s">
        <v>754</v>
      </c>
      <c r="K205" s="8" t="s">
        <v>755</v>
      </c>
      <c r="L205" s="8" t="s">
        <v>730</v>
      </c>
      <c r="M205" s="1" t="s">
        <v>784</v>
      </c>
      <c r="N205" s="8" t="s">
        <v>785</v>
      </c>
      <c r="O205" s="6">
        <v>0</v>
      </c>
      <c r="P205" s="6">
        <v>0</v>
      </c>
      <c r="Q205" s="6">
        <v>0</v>
      </c>
      <c r="R205" s="6">
        <v>0</v>
      </c>
      <c r="S205" s="6">
        <v>120</v>
      </c>
    </row>
    <row r="206" spans="1:19" ht="15" x14ac:dyDescent="0.25">
      <c r="A206" s="7" t="s">
        <v>16</v>
      </c>
      <c r="B206" s="7" t="s">
        <v>17</v>
      </c>
      <c r="C206" s="7" t="s">
        <v>18</v>
      </c>
      <c r="D206" s="3">
        <v>7088017000191</v>
      </c>
      <c r="E206" s="8" t="s">
        <v>549</v>
      </c>
      <c r="F206" s="8" t="s">
        <v>550</v>
      </c>
      <c r="G206" s="8" t="s">
        <v>233</v>
      </c>
      <c r="H206" s="8" t="s">
        <v>795</v>
      </c>
      <c r="I206" s="3">
        <v>2</v>
      </c>
      <c r="J206" s="8" t="s">
        <v>735</v>
      </c>
      <c r="K206" s="8" t="s">
        <v>736</v>
      </c>
      <c r="L206" s="8" t="s">
        <v>723</v>
      </c>
      <c r="M206" s="1" t="s">
        <v>784</v>
      </c>
      <c r="N206" s="8" t="s">
        <v>785</v>
      </c>
      <c r="O206" s="6">
        <v>0</v>
      </c>
      <c r="P206" s="6">
        <v>0</v>
      </c>
      <c r="Q206" s="6">
        <v>0</v>
      </c>
      <c r="R206" s="6">
        <v>0</v>
      </c>
      <c r="S206" s="6">
        <v>120</v>
      </c>
    </row>
    <row r="207" spans="1:19" ht="15" x14ac:dyDescent="0.25">
      <c r="A207" s="7" t="s">
        <v>16</v>
      </c>
      <c r="B207" s="7" t="s">
        <v>17</v>
      </c>
      <c r="C207" s="7" t="s">
        <v>18</v>
      </c>
      <c r="D207" s="3">
        <v>21998635000108</v>
      </c>
      <c r="E207" s="8" t="s">
        <v>568</v>
      </c>
      <c r="F207" s="8" t="s">
        <v>508</v>
      </c>
      <c r="G207" s="8" t="s">
        <v>233</v>
      </c>
      <c r="H207" s="8" t="s">
        <v>795</v>
      </c>
      <c r="I207" s="3">
        <v>2</v>
      </c>
      <c r="J207" s="8" t="s">
        <v>754</v>
      </c>
      <c r="K207" s="8" t="s">
        <v>755</v>
      </c>
      <c r="L207" s="8" t="s">
        <v>730</v>
      </c>
      <c r="M207" s="1" t="s">
        <v>784</v>
      </c>
      <c r="N207" s="8" t="s">
        <v>785</v>
      </c>
      <c r="O207" s="6">
        <v>0</v>
      </c>
      <c r="P207" s="6">
        <v>0</v>
      </c>
      <c r="Q207" s="6">
        <v>0</v>
      </c>
      <c r="R207" s="6">
        <v>0</v>
      </c>
      <c r="S207" s="6">
        <v>20</v>
      </c>
    </row>
    <row r="208" spans="1:19" ht="15" x14ac:dyDescent="0.25">
      <c r="A208" s="7" t="s">
        <v>16</v>
      </c>
      <c r="B208" s="7" t="s">
        <v>17</v>
      </c>
      <c r="C208" s="7" t="s">
        <v>18</v>
      </c>
      <c r="D208" s="3">
        <v>21998635000108</v>
      </c>
      <c r="E208" s="8" t="s">
        <v>568</v>
      </c>
      <c r="F208" s="8" t="s">
        <v>508</v>
      </c>
      <c r="G208" s="8" t="s">
        <v>233</v>
      </c>
      <c r="H208" s="8" t="s">
        <v>795</v>
      </c>
      <c r="I208" s="3">
        <v>2</v>
      </c>
      <c r="J208" s="8" t="s">
        <v>735</v>
      </c>
      <c r="K208" s="8" t="s">
        <v>736</v>
      </c>
      <c r="L208" s="8" t="s">
        <v>723</v>
      </c>
      <c r="M208" s="1" t="s">
        <v>784</v>
      </c>
      <c r="N208" s="8" t="s">
        <v>785</v>
      </c>
      <c r="O208" s="6">
        <v>0</v>
      </c>
      <c r="P208" s="6">
        <v>0</v>
      </c>
      <c r="Q208" s="6">
        <v>0</v>
      </c>
      <c r="R208" s="6">
        <v>0</v>
      </c>
      <c r="S208" s="6">
        <v>20</v>
      </c>
    </row>
    <row r="209" spans="1:19" ht="15" x14ac:dyDescent="0.25">
      <c r="A209" s="7" t="s">
        <v>16</v>
      </c>
      <c r="B209" s="7" t="s">
        <v>17</v>
      </c>
      <c r="C209" s="7" t="s">
        <v>18</v>
      </c>
      <c r="D209" s="3">
        <v>7734165000136</v>
      </c>
      <c r="E209" s="8" t="s">
        <v>425</v>
      </c>
      <c r="F209" s="8" t="s">
        <v>385</v>
      </c>
      <c r="G209" s="8" t="s">
        <v>233</v>
      </c>
      <c r="H209" s="8" t="s">
        <v>795</v>
      </c>
      <c r="I209" s="3">
        <v>2</v>
      </c>
      <c r="J209" s="8" t="s">
        <v>754</v>
      </c>
      <c r="K209" s="8" t="s">
        <v>755</v>
      </c>
      <c r="L209" s="8" t="s">
        <v>730</v>
      </c>
      <c r="M209" s="1" t="s">
        <v>784</v>
      </c>
      <c r="N209" s="8" t="s">
        <v>785</v>
      </c>
      <c r="O209" s="6">
        <v>0</v>
      </c>
      <c r="P209" s="6">
        <v>0</v>
      </c>
      <c r="Q209" s="6">
        <v>0</v>
      </c>
      <c r="R209" s="6">
        <v>0</v>
      </c>
      <c r="S209" s="6">
        <v>4500</v>
      </c>
    </row>
    <row r="210" spans="1:19" ht="15" x14ac:dyDescent="0.25">
      <c r="A210" s="7" t="s">
        <v>16</v>
      </c>
      <c r="B210" s="7" t="s">
        <v>17</v>
      </c>
      <c r="C210" s="7" t="s">
        <v>18</v>
      </c>
      <c r="D210" s="3">
        <v>7734165000136</v>
      </c>
      <c r="E210" s="8" t="s">
        <v>425</v>
      </c>
      <c r="F210" s="8" t="s">
        <v>385</v>
      </c>
      <c r="G210" s="8" t="s">
        <v>233</v>
      </c>
      <c r="H210" s="8" t="s">
        <v>795</v>
      </c>
      <c r="I210" s="3">
        <v>2</v>
      </c>
      <c r="J210" s="8" t="s">
        <v>735</v>
      </c>
      <c r="K210" s="8" t="s">
        <v>736</v>
      </c>
      <c r="L210" s="8" t="s">
        <v>723</v>
      </c>
      <c r="M210" s="1" t="s">
        <v>784</v>
      </c>
      <c r="N210" s="8" t="s">
        <v>785</v>
      </c>
      <c r="O210" s="6">
        <v>0</v>
      </c>
      <c r="P210" s="6">
        <v>0</v>
      </c>
      <c r="Q210" s="6">
        <v>0</v>
      </c>
      <c r="R210" s="6">
        <v>0</v>
      </c>
      <c r="S210" s="6">
        <v>4500</v>
      </c>
    </row>
    <row r="211" spans="1:19" ht="15" x14ac:dyDescent="0.25">
      <c r="A211" s="7" t="s">
        <v>16</v>
      </c>
      <c r="B211" s="7" t="s">
        <v>17</v>
      </c>
      <c r="C211" s="7" t="s">
        <v>18</v>
      </c>
      <c r="D211" s="3">
        <v>7404052000172</v>
      </c>
      <c r="E211" s="8" t="s">
        <v>516</v>
      </c>
      <c r="F211" s="8" t="s">
        <v>385</v>
      </c>
      <c r="G211" s="8" t="s">
        <v>233</v>
      </c>
      <c r="H211" s="8" t="s">
        <v>795</v>
      </c>
      <c r="I211" s="3">
        <v>2</v>
      </c>
      <c r="J211" s="8" t="s">
        <v>754</v>
      </c>
      <c r="K211" s="8" t="s">
        <v>755</v>
      </c>
      <c r="L211" s="8" t="s">
        <v>730</v>
      </c>
      <c r="M211" s="1" t="s">
        <v>784</v>
      </c>
      <c r="N211" s="8" t="s">
        <v>785</v>
      </c>
      <c r="O211" s="6">
        <v>0</v>
      </c>
      <c r="P211" s="6">
        <v>0</v>
      </c>
      <c r="Q211" s="6">
        <v>0</v>
      </c>
      <c r="R211" s="6">
        <v>0</v>
      </c>
      <c r="S211" s="6">
        <v>105</v>
      </c>
    </row>
    <row r="212" spans="1:19" ht="15" x14ac:dyDescent="0.25">
      <c r="A212" s="7" t="s">
        <v>16</v>
      </c>
      <c r="B212" s="7" t="s">
        <v>17</v>
      </c>
      <c r="C212" s="7" t="s">
        <v>18</v>
      </c>
      <c r="D212" s="3">
        <v>7404052000172</v>
      </c>
      <c r="E212" s="8" t="s">
        <v>516</v>
      </c>
      <c r="F212" s="8" t="s">
        <v>385</v>
      </c>
      <c r="G212" s="8" t="s">
        <v>233</v>
      </c>
      <c r="H212" s="8" t="s">
        <v>795</v>
      </c>
      <c r="I212" s="3">
        <v>2</v>
      </c>
      <c r="J212" s="8" t="s">
        <v>735</v>
      </c>
      <c r="K212" s="8" t="s">
        <v>736</v>
      </c>
      <c r="L212" s="8" t="s">
        <v>723</v>
      </c>
      <c r="M212" s="1" t="s">
        <v>784</v>
      </c>
      <c r="N212" s="8" t="s">
        <v>785</v>
      </c>
      <c r="O212" s="6">
        <v>0</v>
      </c>
      <c r="P212" s="6">
        <v>0</v>
      </c>
      <c r="Q212" s="6">
        <v>0</v>
      </c>
      <c r="R212" s="6">
        <v>0</v>
      </c>
      <c r="S212" s="6">
        <v>105</v>
      </c>
    </row>
    <row r="213" spans="1:19" ht="15" x14ac:dyDescent="0.25">
      <c r="A213" s="7" t="s">
        <v>16</v>
      </c>
      <c r="B213" s="7" t="s">
        <v>17</v>
      </c>
      <c r="C213" s="7" t="s">
        <v>18</v>
      </c>
      <c r="D213" s="3">
        <v>8597121000174</v>
      </c>
      <c r="E213" s="8" t="s">
        <v>428</v>
      </c>
      <c r="F213" s="8" t="s">
        <v>385</v>
      </c>
      <c r="G213" s="8" t="s">
        <v>233</v>
      </c>
      <c r="H213" s="8" t="s">
        <v>795</v>
      </c>
      <c r="I213" s="3">
        <v>2</v>
      </c>
      <c r="J213" s="8" t="s">
        <v>754</v>
      </c>
      <c r="K213" s="8" t="s">
        <v>755</v>
      </c>
      <c r="L213" s="8" t="s">
        <v>730</v>
      </c>
      <c r="M213" s="1" t="s">
        <v>784</v>
      </c>
      <c r="N213" s="8" t="s">
        <v>785</v>
      </c>
      <c r="O213" s="6">
        <v>0</v>
      </c>
      <c r="P213" s="6">
        <v>0</v>
      </c>
      <c r="Q213" s="6">
        <v>0</v>
      </c>
      <c r="R213" s="6">
        <v>0</v>
      </c>
      <c r="S213" s="6">
        <v>14000</v>
      </c>
    </row>
    <row r="214" spans="1:19" ht="15" x14ac:dyDescent="0.25">
      <c r="A214" s="7" t="s">
        <v>16</v>
      </c>
      <c r="B214" s="7" t="s">
        <v>17</v>
      </c>
      <c r="C214" s="7" t="s">
        <v>18</v>
      </c>
      <c r="D214" s="3">
        <v>8597121000174</v>
      </c>
      <c r="E214" s="8" t="s">
        <v>428</v>
      </c>
      <c r="F214" s="8" t="s">
        <v>385</v>
      </c>
      <c r="G214" s="8" t="s">
        <v>233</v>
      </c>
      <c r="H214" s="8" t="s">
        <v>795</v>
      </c>
      <c r="I214" s="3">
        <v>2</v>
      </c>
      <c r="J214" s="8" t="s">
        <v>735</v>
      </c>
      <c r="K214" s="8" t="s">
        <v>736</v>
      </c>
      <c r="L214" s="8" t="s">
        <v>723</v>
      </c>
      <c r="M214" s="1" t="s">
        <v>784</v>
      </c>
      <c r="N214" s="8" t="s">
        <v>785</v>
      </c>
      <c r="O214" s="6">
        <v>0</v>
      </c>
      <c r="P214" s="6">
        <v>0</v>
      </c>
      <c r="Q214" s="6">
        <v>0</v>
      </c>
      <c r="R214" s="6">
        <v>0</v>
      </c>
      <c r="S214" s="6">
        <v>14000</v>
      </c>
    </row>
    <row r="215" spans="1:19" ht="15" x14ac:dyDescent="0.25">
      <c r="A215" s="7" t="s">
        <v>16</v>
      </c>
      <c r="B215" s="7" t="s">
        <v>17</v>
      </c>
      <c r="C215" s="7" t="s">
        <v>18</v>
      </c>
      <c r="D215" s="3">
        <v>942063000167</v>
      </c>
      <c r="E215" s="8" t="s">
        <v>527</v>
      </c>
      <c r="F215" s="8" t="s">
        <v>385</v>
      </c>
      <c r="G215" s="8" t="s">
        <v>233</v>
      </c>
      <c r="H215" s="8" t="s">
        <v>795</v>
      </c>
      <c r="I215" s="3">
        <v>2</v>
      </c>
      <c r="J215" s="8" t="s">
        <v>754</v>
      </c>
      <c r="K215" s="8" t="s">
        <v>755</v>
      </c>
      <c r="L215" s="8" t="s">
        <v>730</v>
      </c>
      <c r="M215" s="1" t="s">
        <v>784</v>
      </c>
      <c r="N215" s="8" t="s">
        <v>785</v>
      </c>
      <c r="O215" s="6">
        <v>0</v>
      </c>
      <c r="P215" s="6">
        <v>0</v>
      </c>
      <c r="Q215" s="6">
        <v>0</v>
      </c>
      <c r="R215" s="6">
        <v>0</v>
      </c>
      <c r="S215" s="6">
        <v>1115</v>
      </c>
    </row>
    <row r="216" spans="1:19" ht="15" x14ac:dyDescent="0.25">
      <c r="A216" s="7" t="s">
        <v>16</v>
      </c>
      <c r="B216" s="7" t="s">
        <v>17</v>
      </c>
      <c r="C216" s="7" t="s">
        <v>18</v>
      </c>
      <c r="D216" s="3">
        <v>942063000167</v>
      </c>
      <c r="E216" s="8" t="s">
        <v>527</v>
      </c>
      <c r="F216" s="8" t="s">
        <v>385</v>
      </c>
      <c r="G216" s="8" t="s">
        <v>233</v>
      </c>
      <c r="H216" s="8" t="s">
        <v>795</v>
      </c>
      <c r="I216" s="3">
        <v>2</v>
      </c>
      <c r="J216" s="8" t="s">
        <v>735</v>
      </c>
      <c r="K216" s="8" t="s">
        <v>736</v>
      </c>
      <c r="L216" s="8" t="s">
        <v>723</v>
      </c>
      <c r="M216" s="1" t="s">
        <v>784</v>
      </c>
      <c r="N216" s="8" t="s">
        <v>785</v>
      </c>
      <c r="O216" s="6">
        <v>0</v>
      </c>
      <c r="P216" s="6">
        <v>0</v>
      </c>
      <c r="Q216" s="6">
        <v>0</v>
      </c>
      <c r="R216" s="6">
        <v>0</v>
      </c>
      <c r="S216" s="6">
        <v>1115</v>
      </c>
    </row>
    <row r="217" spans="1:19" ht="15" x14ac:dyDescent="0.25">
      <c r="A217" s="7" t="s">
        <v>16</v>
      </c>
      <c r="B217" s="7" t="s">
        <v>17</v>
      </c>
      <c r="C217" s="7" t="s">
        <v>18</v>
      </c>
      <c r="D217" s="3">
        <v>76591569000130</v>
      </c>
      <c r="E217" s="8" t="s">
        <v>386</v>
      </c>
      <c r="F217" s="8" t="s">
        <v>385</v>
      </c>
      <c r="G217" s="8" t="s">
        <v>233</v>
      </c>
      <c r="H217" s="8" t="s">
        <v>795</v>
      </c>
      <c r="I217" s="3">
        <v>2</v>
      </c>
      <c r="J217" s="8" t="s">
        <v>754</v>
      </c>
      <c r="K217" s="8" t="s">
        <v>755</v>
      </c>
      <c r="L217" s="8" t="s">
        <v>730</v>
      </c>
      <c r="M217" s="1" t="s">
        <v>784</v>
      </c>
      <c r="N217" s="8" t="s">
        <v>785</v>
      </c>
      <c r="O217" s="6">
        <v>0</v>
      </c>
      <c r="P217" s="6">
        <v>0</v>
      </c>
      <c r="Q217" s="6">
        <v>0</v>
      </c>
      <c r="R217" s="6">
        <v>24</v>
      </c>
      <c r="S217" s="6">
        <v>200</v>
      </c>
    </row>
    <row r="218" spans="1:19" ht="15" x14ac:dyDescent="0.25">
      <c r="A218" s="7" t="s">
        <v>16</v>
      </c>
      <c r="B218" s="7" t="s">
        <v>17</v>
      </c>
      <c r="C218" s="7" t="s">
        <v>18</v>
      </c>
      <c r="D218" s="3">
        <v>76591569000130</v>
      </c>
      <c r="E218" s="8" t="s">
        <v>386</v>
      </c>
      <c r="F218" s="8" t="s">
        <v>385</v>
      </c>
      <c r="G218" s="8" t="s">
        <v>233</v>
      </c>
      <c r="H218" s="8" t="s">
        <v>795</v>
      </c>
      <c r="I218" s="3">
        <v>2</v>
      </c>
      <c r="J218" s="8" t="s">
        <v>735</v>
      </c>
      <c r="K218" s="8" t="s">
        <v>736</v>
      </c>
      <c r="L218" s="8" t="s">
        <v>723</v>
      </c>
      <c r="M218" s="1" t="s">
        <v>784</v>
      </c>
      <c r="N218" s="8" t="s">
        <v>785</v>
      </c>
      <c r="O218" s="6">
        <v>0</v>
      </c>
      <c r="P218" s="6">
        <v>0</v>
      </c>
      <c r="Q218" s="6">
        <v>0</v>
      </c>
      <c r="R218" s="6">
        <v>0</v>
      </c>
      <c r="S218" s="6">
        <v>200</v>
      </c>
    </row>
    <row r="219" spans="1:19" ht="15" x14ac:dyDescent="0.25">
      <c r="A219" s="7" t="s">
        <v>16</v>
      </c>
      <c r="B219" s="7" t="s">
        <v>17</v>
      </c>
      <c r="C219" s="7" t="s">
        <v>18</v>
      </c>
      <c r="D219" s="3">
        <v>76659820002367</v>
      </c>
      <c r="E219" s="8" t="s">
        <v>586</v>
      </c>
      <c r="F219" s="8" t="s">
        <v>385</v>
      </c>
      <c r="G219" s="8" t="s">
        <v>233</v>
      </c>
      <c r="H219" s="8" t="s">
        <v>795</v>
      </c>
      <c r="I219" s="3">
        <v>2</v>
      </c>
      <c r="J219" s="8" t="s">
        <v>754</v>
      </c>
      <c r="K219" s="8" t="s">
        <v>755</v>
      </c>
      <c r="L219" s="8" t="s">
        <v>730</v>
      </c>
      <c r="M219" s="1" t="s">
        <v>784</v>
      </c>
      <c r="N219" s="8" t="s">
        <v>785</v>
      </c>
      <c r="O219" s="6">
        <v>0</v>
      </c>
      <c r="P219" s="6">
        <v>0</v>
      </c>
      <c r="Q219" s="6">
        <v>0</v>
      </c>
      <c r="R219" s="6">
        <v>0</v>
      </c>
      <c r="S219" s="6">
        <v>40</v>
      </c>
    </row>
    <row r="220" spans="1:19" ht="15" x14ac:dyDescent="0.25">
      <c r="A220" s="7" t="s">
        <v>16</v>
      </c>
      <c r="B220" s="7" t="s">
        <v>17</v>
      </c>
      <c r="C220" s="7" t="s">
        <v>18</v>
      </c>
      <c r="D220" s="3">
        <v>76659820002367</v>
      </c>
      <c r="E220" s="8" t="s">
        <v>586</v>
      </c>
      <c r="F220" s="8" t="s">
        <v>385</v>
      </c>
      <c r="G220" s="8" t="s">
        <v>233</v>
      </c>
      <c r="H220" s="8" t="s">
        <v>795</v>
      </c>
      <c r="I220" s="3">
        <v>2</v>
      </c>
      <c r="J220" s="8" t="s">
        <v>735</v>
      </c>
      <c r="K220" s="8" t="s">
        <v>736</v>
      </c>
      <c r="L220" s="8" t="s">
        <v>723</v>
      </c>
      <c r="M220" s="1" t="s">
        <v>784</v>
      </c>
      <c r="N220" s="8" t="s">
        <v>785</v>
      </c>
      <c r="O220" s="6">
        <v>0</v>
      </c>
      <c r="P220" s="6">
        <v>0</v>
      </c>
      <c r="Q220" s="6">
        <v>0</v>
      </c>
      <c r="R220" s="6">
        <v>0</v>
      </c>
      <c r="S220" s="6">
        <v>40</v>
      </c>
    </row>
    <row r="221" spans="1:19" ht="15" x14ac:dyDescent="0.25">
      <c r="A221" s="7" t="s">
        <v>16</v>
      </c>
      <c r="B221" s="7" t="s">
        <v>17</v>
      </c>
      <c r="C221" s="7" t="s">
        <v>18</v>
      </c>
      <c r="D221" s="3">
        <v>76562198000169</v>
      </c>
      <c r="E221" s="8" t="s">
        <v>585</v>
      </c>
      <c r="F221" s="8" t="s">
        <v>385</v>
      </c>
      <c r="G221" s="8" t="s">
        <v>233</v>
      </c>
      <c r="H221" s="8" t="s">
        <v>795</v>
      </c>
      <c r="I221" s="3">
        <v>2</v>
      </c>
      <c r="J221" s="8" t="s">
        <v>754</v>
      </c>
      <c r="K221" s="8" t="s">
        <v>755</v>
      </c>
      <c r="L221" s="8" t="s">
        <v>730</v>
      </c>
      <c r="M221" s="1" t="s">
        <v>784</v>
      </c>
      <c r="N221" s="8" t="s">
        <v>785</v>
      </c>
      <c r="O221" s="6">
        <v>0</v>
      </c>
      <c r="P221" s="6">
        <v>0</v>
      </c>
      <c r="Q221" s="6">
        <v>0</v>
      </c>
      <c r="R221" s="6">
        <v>0</v>
      </c>
      <c r="S221" s="6">
        <v>28</v>
      </c>
    </row>
    <row r="222" spans="1:19" ht="15" x14ac:dyDescent="0.25">
      <c r="A222" s="7" t="s">
        <v>16</v>
      </c>
      <c r="B222" s="7" t="s">
        <v>17</v>
      </c>
      <c r="C222" s="7" t="s">
        <v>18</v>
      </c>
      <c r="D222" s="3">
        <v>76562198000169</v>
      </c>
      <c r="E222" s="8" t="s">
        <v>585</v>
      </c>
      <c r="F222" s="8" t="s">
        <v>385</v>
      </c>
      <c r="G222" s="8" t="s">
        <v>233</v>
      </c>
      <c r="H222" s="8" t="s">
        <v>795</v>
      </c>
      <c r="I222" s="3">
        <v>2</v>
      </c>
      <c r="J222" s="8" t="s">
        <v>735</v>
      </c>
      <c r="K222" s="8" t="s">
        <v>736</v>
      </c>
      <c r="L222" s="8" t="s">
        <v>723</v>
      </c>
      <c r="M222" s="1" t="s">
        <v>784</v>
      </c>
      <c r="N222" s="8" t="s">
        <v>785</v>
      </c>
      <c r="O222" s="6">
        <v>0</v>
      </c>
      <c r="P222" s="6">
        <v>0</v>
      </c>
      <c r="Q222" s="6">
        <v>0</v>
      </c>
      <c r="R222" s="6">
        <v>0</v>
      </c>
      <c r="S222" s="6">
        <v>28</v>
      </c>
    </row>
    <row r="223" spans="1:19" ht="15" x14ac:dyDescent="0.25">
      <c r="A223" s="7" t="s">
        <v>16</v>
      </c>
      <c r="B223" s="7" t="s">
        <v>17</v>
      </c>
      <c r="C223" s="7" t="s">
        <v>18</v>
      </c>
      <c r="D223" s="3">
        <v>76555069000143</v>
      </c>
      <c r="E223" s="8" t="s">
        <v>384</v>
      </c>
      <c r="F223" s="8" t="s">
        <v>385</v>
      </c>
      <c r="G223" s="8" t="s">
        <v>233</v>
      </c>
      <c r="H223" s="8" t="s">
        <v>795</v>
      </c>
      <c r="I223" s="3">
        <v>2</v>
      </c>
      <c r="J223" s="8" t="s">
        <v>754</v>
      </c>
      <c r="K223" s="8" t="s">
        <v>755</v>
      </c>
      <c r="L223" s="8" t="s">
        <v>730</v>
      </c>
      <c r="M223" s="1" t="s">
        <v>784</v>
      </c>
      <c r="N223" s="8" t="s">
        <v>785</v>
      </c>
      <c r="O223" s="6">
        <v>0</v>
      </c>
      <c r="P223" s="6">
        <v>0</v>
      </c>
      <c r="Q223" s="6">
        <v>0</v>
      </c>
      <c r="R223" s="6">
        <v>0</v>
      </c>
      <c r="S223" s="6">
        <v>0</v>
      </c>
    </row>
    <row r="224" spans="1:19" ht="15" x14ac:dyDescent="0.25">
      <c r="A224" s="7" t="s">
        <v>16</v>
      </c>
      <c r="B224" s="7" t="s">
        <v>17</v>
      </c>
      <c r="C224" s="7" t="s">
        <v>18</v>
      </c>
      <c r="D224" s="3">
        <v>76555069000143</v>
      </c>
      <c r="E224" s="8" t="s">
        <v>384</v>
      </c>
      <c r="F224" s="8" t="s">
        <v>385</v>
      </c>
      <c r="G224" s="8" t="s">
        <v>233</v>
      </c>
      <c r="H224" s="8" t="s">
        <v>795</v>
      </c>
      <c r="I224" s="3">
        <v>2</v>
      </c>
      <c r="J224" s="8" t="s">
        <v>735</v>
      </c>
      <c r="K224" s="8" t="s">
        <v>736</v>
      </c>
      <c r="L224" s="8" t="s">
        <v>723</v>
      </c>
      <c r="M224" s="1" t="s">
        <v>784</v>
      </c>
      <c r="N224" s="8" t="s">
        <v>785</v>
      </c>
      <c r="O224" s="6">
        <v>0</v>
      </c>
      <c r="P224" s="6">
        <v>0</v>
      </c>
      <c r="Q224" s="6">
        <v>2</v>
      </c>
      <c r="R224" s="6">
        <v>0</v>
      </c>
      <c r="S224" s="6">
        <v>0</v>
      </c>
    </row>
    <row r="225" spans="1:19" ht="15" x14ac:dyDescent="0.25">
      <c r="A225" s="7" t="s">
        <v>16</v>
      </c>
      <c r="B225" s="7" t="s">
        <v>17</v>
      </c>
      <c r="C225" s="7" t="s">
        <v>18</v>
      </c>
      <c r="D225" s="3">
        <v>29435005005600</v>
      </c>
      <c r="E225" s="8" t="s">
        <v>518</v>
      </c>
      <c r="F225" s="8" t="s">
        <v>385</v>
      </c>
      <c r="G225" s="8" t="s">
        <v>233</v>
      </c>
      <c r="H225" s="8" t="s">
        <v>795</v>
      </c>
      <c r="I225" s="3">
        <v>2</v>
      </c>
      <c r="J225" s="8" t="s">
        <v>754</v>
      </c>
      <c r="K225" s="8" t="s">
        <v>755</v>
      </c>
      <c r="L225" s="8" t="s">
        <v>730</v>
      </c>
      <c r="M225" s="1" t="s">
        <v>784</v>
      </c>
      <c r="N225" s="8" t="s">
        <v>785</v>
      </c>
      <c r="O225" s="6">
        <v>0</v>
      </c>
      <c r="P225" s="6">
        <v>0</v>
      </c>
      <c r="Q225" s="6">
        <v>0</v>
      </c>
      <c r="R225" s="6">
        <v>0</v>
      </c>
      <c r="S225" s="6">
        <v>180</v>
      </c>
    </row>
    <row r="226" spans="1:19" ht="15" x14ac:dyDescent="0.25">
      <c r="A226" s="7" t="s">
        <v>16</v>
      </c>
      <c r="B226" s="7" t="s">
        <v>17</v>
      </c>
      <c r="C226" s="7" t="s">
        <v>18</v>
      </c>
      <c r="D226" s="3">
        <v>29435005005600</v>
      </c>
      <c r="E226" s="8" t="s">
        <v>518</v>
      </c>
      <c r="F226" s="8" t="s">
        <v>385</v>
      </c>
      <c r="G226" s="8" t="s">
        <v>233</v>
      </c>
      <c r="H226" s="8" t="s">
        <v>795</v>
      </c>
      <c r="I226" s="3">
        <v>2</v>
      </c>
      <c r="J226" s="8" t="s">
        <v>735</v>
      </c>
      <c r="K226" s="8" t="s">
        <v>736</v>
      </c>
      <c r="L226" s="8" t="s">
        <v>723</v>
      </c>
      <c r="M226" s="1" t="s">
        <v>784</v>
      </c>
      <c r="N226" s="8" t="s">
        <v>785</v>
      </c>
      <c r="O226" s="6">
        <v>0</v>
      </c>
      <c r="P226" s="6">
        <v>0</v>
      </c>
      <c r="Q226" s="6">
        <v>0</v>
      </c>
      <c r="R226" s="6">
        <v>0</v>
      </c>
      <c r="S226" s="6">
        <v>180</v>
      </c>
    </row>
    <row r="227" spans="1:19" ht="15" x14ac:dyDescent="0.25">
      <c r="A227" s="7" t="s">
        <v>16</v>
      </c>
      <c r="B227" s="7" t="s">
        <v>17</v>
      </c>
      <c r="C227" s="7" t="s">
        <v>18</v>
      </c>
      <c r="D227" s="3">
        <v>3824198000116</v>
      </c>
      <c r="E227" s="8" t="s">
        <v>541</v>
      </c>
      <c r="F227" s="8" t="s">
        <v>385</v>
      </c>
      <c r="G227" s="8" t="s">
        <v>233</v>
      </c>
      <c r="H227" s="8" t="s">
        <v>795</v>
      </c>
      <c r="I227" s="3">
        <v>2</v>
      </c>
      <c r="J227" s="8" t="s">
        <v>754</v>
      </c>
      <c r="K227" s="8" t="s">
        <v>755</v>
      </c>
      <c r="L227" s="8" t="s">
        <v>730</v>
      </c>
      <c r="M227" s="1" t="s">
        <v>784</v>
      </c>
      <c r="N227" s="8" t="s">
        <v>785</v>
      </c>
      <c r="O227" s="6">
        <v>0</v>
      </c>
      <c r="P227" s="6">
        <v>0</v>
      </c>
      <c r="Q227" s="6">
        <v>0</v>
      </c>
      <c r="R227" s="6">
        <v>0</v>
      </c>
      <c r="S227" s="6">
        <v>250</v>
      </c>
    </row>
    <row r="228" spans="1:19" ht="15" x14ac:dyDescent="0.25">
      <c r="A228" s="7" t="s">
        <v>16</v>
      </c>
      <c r="B228" s="7" t="s">
        <v>17</v>
      </c>
      <c r="C228" s="7" t="s">
        <v>18</v>
      </c>
      <c r="D228" s="3">
        <v>3824198000116</v>
      </c>
      <c r="E228" s="8" t="s">
        <v>541</v>
      </c>
      <c r="F228" s="8" t="s">
        <v>385</v>
      </c>
      <c r="G228" s="8" t="s">
        <v>233</v>
      </c>
      <c r="H228" s="8" t="s">
        <v>795</v>
      </c>
      <c r="I228" s="3">
        <v>2</v>
      </c>
      <c r="J228" s="8" t="s">
        <v>735</v>
      </c>
      <c r="K228" s="8" t="s">
        <v>736</v>
      </c>
      <c r="L228" s="8" t="s">
        <v>723</v>
      </c>
      <c r="M228" s="1" t="s">
        <v>784</v>
      </c>
      <c r="N228" s="8" t="s">
        <v>785</v>
      </c>
      <c r="O228" s="6">
        <v>0</v>
      </c>
      <c r="P228" s="6">
        <v>0</v>
      </c>
      <c r="Q228" s="6">
        <v>0</v>
      </c>
      <c r="R228" s="6">
        <v>0</v>
      </c>
      <c r="S228" s="6">
        <v>250</v>
      </c>
    </row>
    <row r="229" spans="1:19" ht="15" x14ac:dyDescent="0.25">
      <c r="A229" s="7" t="s">
        <v>16</v>
      </c>
      <c r="B229" s="7" t="s">
        <v>17</v>
      </c>
      <c r="C229" s="7" t="s">
        <v>18</v>
      </c>
      <c r="D229" s="3">
        <v>3850913000195</v>
      </c>
      <c r="E229" s="8" t="s">
        <v>542</v>
      </c>
      <c r="F229" s="8" t="s">
        <v>385</v>
      </c>
      <c r="G229" s="8" t="s">
        <v>233</v>
      </c>
      <c r="H229" s="8" t="s">
        <v>795</v>
      </c>
      <c r="I229" s="3">
        <v>2</v>
      </c>
      <c r="J229" s="8" t="s">
        <v>754</v>
      </c>
      <c r="K229" s="8" t="s">
        <v>755</v>
      </c>
      <c r="L229" s="8" t="s">
        <v>730</v>
      </c>
      <c r="M229" s="1" t="s">
        <v>784</v>
      </c>
      <c r="N229" s="8" t="s">
        <v>785</v>
      </c>
      <c r="O229" s="6">
        <v>0</v>
      </c>
      <c r="P229" s="6">
        <v>0</v>
      </c>
      <c r="Q229" s="6">
        <v>0</v>
      </c>
      <c r="R229" s="6">
        <v>0</v>
      </c>
      <c r="S229" s="6">
        <v>665</v>
      </c>
    </row>
    <row r="230" spans="1:19" ht="15" x14ac:dyDescent="0.25">
      <c r="A230" s="7" t="s">
        <v>16</v>
      </c>
      <c r="B230" s="7" t="s">
        <v>17</v>
      </c>
      <c r="C230" s="7" t="s">
        <v>18</v>
      </c>
      <c r="D230" s="3">
        <v>3850913000195</v>
      </c>
      <c r="E230" s="8" t="s">
        <v>542</v>
      </c>
      <c r="F230" s="8" t="s">
        <v>385</v>
      </c>
      <c r="G230" s="8" t="s">
        <v>233</v>
      </c>
      <c r="H230" s="8" t="s">
        <v>795</v>
      </c>
      <c r="I230" s="3">
        <v>2</v>
      </c>
      <c r="J230" s="8" t="s">
        <v>735</v>
      </c>
      <c r="K230" s="8" t="s">
        <v>736</v>
      </c>
      <c r="L230" s="8" t="s">
        <v>723</v>
      </c>
      <c r="M230" s="1" t="s">
        <v>784</v>
      </c>
      <c r="N230" s="8" t="s">
        <v>785</v>
      </c>
      <c r="O230" s="6">
        <v>0</v>
      </c>
      <c r="P230" s="6">
        <v>0</v>
      </c>
      <c r="Q230" s="6">
        <v>0</v>
      </c>
      <c r="R230" s="6">
        <v>0</v>
      </c>
      <c r="S230" s="6">
        <v>665</v>
      </c>
    </row>
    <row r="231" spans="1:19" ht="15" x14ac:dyDescent="0.25">
      <c r="A231" s="7" t="s">
        <v>16</v>
      </c>
      <c r="B231" s="7" t="s">
        <v>17</v>
      </c>
      <c r="C231" s="7" t="s">
        <v>18</v>
      </c>
      <c r="D231" s="3">
        <v>2862447000286</v>
      </c>
      <c r="E231" s="8" t="s">
        <v>539</v>
      </c>
      <c r="F231" s="8" t="s">
        <v>385</v>
      </c>
      <c r="G231" s="8" t="s">
        <v>233</v>
      </c>
      <c r="H231" s="8" t="s">
        <v>795</v>
      </c>
      <c r="I231" s="3">
        <v>2</v>
      </c>
      <c r="J231" s="8" t="s">
        <v>754</v>
      </c>
      <c r="K231" s="8" t="s">
        <v>755</v>
      </c>
      <c r="L231" s="8" t="s">
        <v>730</v>
      </c>
      <c r="M231" s="1" t="s">
        <v>784</v>
      </c>
      <c r="N231" s="8" t="s">
        <v>785</v>
      </c>
      <c r="O231" s="6">
        <v>0</v>
      </c>
      <c r="P231" s="6">
        <v>0</v>
      </c>
      <c r="Q231" s="6">
        <v>0</v>
      </c>
      <c r="R231" s="6">
        <v>0</v>
      </c>
      <c r="S231" s="6">
        <v>40</v>
      </c>
    </row>
    <row r="232" spans="1:19" ht="15" x14ac:dyDescent="0.25">
      <c r="A232" s="7" t="s">
        <v>16</v>
      </c>
      <c r="B232" s="7" t="s">
        <v>17</v>
      </c>
      <c r="C232" s="7" t="s">
        <v>18</v>
      </c>
      <c r="D232" s="3">
        <v>2862447000286</v>
      </c>
      <c r="E232" s="8" t="s">
        <v>539</v>
      </c>
      <c r="F232" s="8" t="s">
        <v>385</v>
      </c>
      <c r="G232" s="8" t="s">
        <v>233</v>
      </c>
      <c r="H232" s="8" t="s">
        <v>795</v>
      </c>
      <c r="I232" s="3">
        <v>2</v>
      </c>
      <c r="J232" s="8" t="s">
        <v>735</v>
      </c>
      <c r="K232" s="8" t="s">
        <v>736</v>
      </c>
      <c r="L232" s="8" t="s">
        <v>723</v>
      </c>
      <c r="M232" s="1" t="s">
        <v>784</v>
      </c>
      <c r="N232" s="8" t="s">
        <v>785</v>
      </c>
      <c r="O232" s="6">
        <v>0</v>
      </c>
      <c r="P232" s="6">
        <v>0</v>
      </c>
      <c r="Q232" s="6">
        <v>0</v>
      </c>
      <c r="R232" s="6">
        <v>0</v>
      </c>
      <c r="S232" s="6">
        <v>40</v>
      </c>
    </row>
    <row r="233" spans="1:19" ht="15" x14ac:dyDescent="0.25">
      <c r="A233" s="7" t="s">
        <v>16</v>
      </c>
      <c r="B233" s="7" t="s">
        <v>17</v>
      </c>
      <c r="C233" s="7" t="s">
        <v>18</v>
      </c>
      <c r="D233" s="3">
        <v>30117769000155</v>
      </c>
      <c r="E233" s="8" t="s">
        <v>578</v>
      </c>
      <c r="F233" s="8" t="s">
        <v>385</v>
      </c>
      <c r="G233" s="8" t="s">
        <v>233</v>
      </c>
      <c r="H233" s="8" t="s">
        <v>795</v>
      </c>
      <c r="I233" s="3">
        <v>2</v>
      </c>
      <c r="J233" s="8" t="s">
        <v>754</v>
      </c>
      <c r="K233" s="8" t="s">
        <v>755</v>
      </c>
      <c r="L233" s="8" t="s">
        <v>730</v>
      </c>
      <c r="M233" s="1" t="s">
        <v>784</v>
      </c>
      <c r="N233" s="8" t="s">
        <v>785</v>
      </c>
      <c r="O233" s="6">
        <v>0</v>
      </c>
      <c r="P233" s="6">
        <v>0</v>
      </c>
      <c r="Q233" s="6">
        <v>0</v>
      </c>
      <c r="R233" s="6">
        <v>0</v>
      </c>
      <c r="S233" s="6">
        <v>265</v>
      </c>
    </row>
    <row r="234" spans="1:19" ht="15" x14ac:dyDescent="0.25">
      <c r="A234" s="7" t="s">
        <v>16</v>
      </c>
      <c r="B234" s="7" t="s">
        <v>17</v>
      </c>
      <c r="C234" s="7" t="s">
        <v>18</v>
      </c>
      <c r="D234" s="3">
        <v>30117769000155</v>
      </c>
      <c r="E234" s="8" t="s">
        <v>578</v>
      </c>
      <c r="F234" s="8" t="s">
        <v>385</v>
      </c>
      <c r="G234" s="8" t="s">
        <v>233</v>
      </c>
      <c r="H234" s="8" t="s">
        <v>795</v>
      </c>
      <c r="I234" s="3">
        <v>2</v>
      </c>
      <c r="J234" s="8" t="s">
        <v>735</v>
      </c>
      <c r="K234" s="8" t="s">
        <v>736</v>
      </c>
      <c r="L234" s="8" t="s">
        <v>723</v>
      </c>
      <c r="M234" s="1" t="s">
        <v>784</v>
      </c>
      <c r="N234" s="8" t="s">
        <v>785</v>
      </c>
      <c r="O234" s="6">
        <v>0</v>
      </c>
      <c r="P234" s="6">
        <v>0</v>
      </c>
      <c r="Q234" s="6">
        <v>0</v>
      </c>
      <c r="R234" s="6">
        <v>0</v>
      </c>
      <c r="S234" s="6">
        <v>265</v>
      </c>
    </row>
    <row r="235" spans="1:19" ht="15" x14ac:dyDescent="0.25">
      <c r="A235" s="7" t="s">
        <v>16</v>
      </c>
      <c r="B235" s="7" t="s">
        <v>17</v>
      </c>
      <c r="C235" s="7" t="s">
        <v>18</v>
      </c>
      <c r="D235" s="3">
        <v>304148000110</v>
      </c>
      <c r="E235" s="8" t="s">
        <v>231</v>
      </c>
      <c r="F235" s="8" t="s">
        <v>232</v>
      </c>
      <c r="G235" s="8" t="s">
        <v>233</v>
      </c>
      <c r="H235" s="8" t="s">
        <v>795</v>
      </c>
      <c r="I235" s="3">
        <v>2</v>
      </c>
      <c r="J235" s="8" t="s">
        <v>754</v>
      </c>
      <c r="K235" s="8" t="s">
        <v>755</v>
      </c>
      <c r="L235" s="8" t="s">
        <v>730</v>
      </c>
      <c r="M235" s="1" t="s">
        <v>784</v>
      </c>
      <c r="N235" s="8" t="s">
        <v>785</v>
      </c>
      <c r="O235" s="6">
        <v>0</v>
      </c>
      <c r="P235" s="6">
        <v>0</v>
      </c>
      <c r="Q235" s="6">
        <v>0</v>
      </c>
      <c r="R235" s="6">
        <v>48</v>
      </c>
      <c r="S235" s="6">
        <v>0</v>
      </c>
    </row>
    <row r="236" spans="1:19" ht="15" x14ac:dyDescent="0.25">
      <c r="A236" s="7" t="s">
        <v>16</v>
      </c>
      <c r="B236" s="7" t="s">
        <v>17</v>
      </c>
      <c r="C236" s="7" t="s">
        <v>18</v>
      </c>
      <c r="D236" s="3">
        <v>304148000110</v>
      </c>
      <c r="E236" s="8" t="s">
        <v>231</v>
      </c>
      <c r="F236" s="8" t="s">
        <v>232</v>
      </c>
      <c r="G236" s="8" t="s">
        <v>233</v>
      </c>
      <c r="H236" s="8" t="s">
        <v>795</v>
      </c>
      <c r="I236" s="3">
        <v>2</v>
      </c>
      <c r="J236" s="8" t="s">
        <v>735</v>
      </c>
      <c r="K236" s="8" t="s">
        <v>736</v>
      </c>
      <c r="L236" s="8" t="s">
        <v>723</v>
      </c>
      <c r="M236" s="1" t="s">
        <v>784</v>
      </c>
      <c r="N236" s="8" t="s">
        <v>785</v>
      </c>
      <c r="O236" s="6">
        <v>0</v>
      </c>
      <c r="P236" s="6">
        <v>0</v>
      </c>
      <c r="Q236" s="6">
        <v>0</v>
      </c>
      <c r="R236" s="6">
        <v>0</v>
      </c>
      <c r="S236" s="6">
        <v>0</v>
      </c>
    </row>
    <row r="237" spans="1:19" ht="15" x14ac:dyDescent="0.25">
      <c r="A237" s="7" t="s">
        <v>16</v>
      </c>
      <c r="B237" s="7" t="s">
        <v>17</v>
      </c>
      <c r="C237" s="7" t="s">
        <v>18</v>
      </c>
      <c r="D237" s="3">
        <v>73863342000109</v>
      </c>
      <c r="E237" s="8" t="s">
        <v>582</v>
      </c>
      <c r="F237" s="8" t="s">
        <v>583</v>
      </c>
      <c r="G237" s="8" t="s">
        <v>233</v>
      </c>
      <c r="H237" s="8" t="s">
        <v>795</v>
      </c>
      <c r="I237" s="3">
        <v>2</v>
      </c>
      <c r="J237" s="8" t="s">
        <v>754</v>
      </c>
      <c r="K237" s="8" t="s">
        <v>755</v>
      </c>
      <c r="L237" s="8" t="s">
        <v>730</v>
      </c>
      <c r="M237" s="1" t="s">
        <v>784</v>
      </c>
      <c r="N237" s="8" t="s">
        <v>785</v>
      </c>
      <c r="O237" s="6">
        <v>0</v>
      </c>
      <c r="P237" s="6">
        <v>0</v>
      </c>
      <c r="Q237" s="6">
        <v>0</v>
      </c>
      <c r="R237" s="6">
        <v>0</v>
      </c>
      <c r="S237" s="6">
        <v>10</v>
      </c>
    </row>
    <row r="238" spans="1:19" ht="15" x14ac:dyDescent="0.25">
      <c r="A238" s="7" t="s">
        <v>16</v>
      </c>
      <c r="B238" s="7" t="s">
        <v>17</v>
      </c>
      <c r="C238" s="7" t="s">
        <v>18</v>
      </c>
      <c r="D238" s="3">
        <v>73863342000109</v>
      </c>
      <c r="E238" s="8" t="s">
        <v>582</v>
      </c>
      <c r="F238" s="8" t="s">
        <v>583</v>
      </c>
      <c r="G238" s="8" t="s">
        <v>233</v>
      </c>
      <c r="H238" s="8" t="s">
        <v>795</v>
      </c>
      <c r="I238" s="3">
        <v>2</v>
      </c>
      <c r="J238" s="8" t="s">
        <v>735</v>
      </c>
      <c r="K238" s="8" t="s">
        <v>736</v>
      </c>
      <c r="L238" s="8" t="s">
        <v>723</v>
      </c>
      <c r="M238" s="1" t="s">
        <v>784</v>
      </c>
      <c r="N238" s="8" t="s">
        <v>785</v>
      </c>
      <c r="O238" s="6">
        <v>0</v>
      </c>
      <c r="P238" s="6">
        <v>0</v>
      </c>
      <c r="Q238" s="6">
        <v>0</v>
      </c>
      <c r="R238" s="6">
        <v>0</v>
      </c>
      <c r="S238" s="6">
        <v>10</v>
      </c>
    </row>
    <row r="239" spans="1:19" ht="15" x14ac:dyDescent="0.25">
      <c r="A239" s="7" t="s">
        <v>16</v>
      </c>
      <c r="B239" s="7" t="s">
        <v>17</v>
      </c>
      <c r="C239" s="7" t="s">
        <v>18</v>
      </c>
      <c r="D239" s="3">
        <v>75222224001895</v>
      </c>
      <c r="E239" s="8" t="s">
        <v>584</v>
      </c>
      <c r="F239" s="8" t="s">
        <v>583</v>
      </c>
      <c r="G239" s="8" t="s">
        <v>233</v>
      </c>
      <c r="H239" s="8" t="s">
        <v>795</v>
      </c>
      <c r="I239" s="3">
        <v>2</v>
      </c>
      <c r="J239" s="8" t="s">
        <v>754</v>
      </c>
      <c r="K239" s="8" t="s">
        <v>755</v>
      </c>
      <c r="L239" s="8" t="s">
        <v>730</v>
      </c>
      <c r="M239" s="1" t="s">
        <v>784</v>
      </c>
      <c r="N239" s="8" t="s">
        <v>785</v>
      </c>
      <c r="O239" s="6">
        <v>0</v>
      </c>
      <c r="P239" s="6">
        <v>0</v>
      </c>
      <c r="Q239" s="6">
        <v>0</v>
      </c>
      <c r="R239" s="6">
        <v>0</v>
      </c>
      <c r="S239" s="6">
        <v>600</v>
      </c>
    </row>
    <row r="240" spans="1:19" ht="15" x14ac:dyDescent="0.25">
      <c r="A240" s="7" t="s">
        <v>16</v>
      </c>
      <c r="B240" s="7" t="s">
        <v>17</v>
      </c>
      <c r="C240" s="7" t="s">
        <v>18</v>
      </c>
      <c r="D240" s="3">
        <v>75222224001895</v>
      </c>
      <c r="E240" s="8" t="s">
        <v>584</v>
      </c>
      <c r="F240" s="8" t="s">
        <v>583</v>
      </c>
      <c r="G240" s="8" t="s">
        <v>233</v>
      </c>
      <c r="H240" s="8" t="s">
        <v>795</v>
      </c>
      <c r="I240" s="3">
        <v>2</v>
      </c>
      <c r="J240" s="8" t="s">
        <v>735</v>
      </c>
      <c r="K240" s="8" t="s">
        <v>736</v>
      </c>
      <c r="L240" s="8" t="s">
        <v>723</v>
      </c>
      <c r="M240" s="1" t="s">
        <v>784</v>
      </c>
      <c r="N240" s="8" t="s">
        <v>785</v>
      </c>
      <c r="O240" s="6">
        <v>0</v>
      </c>
      <c r="P240" s="6">
        <v>0</v>
      </c>
      <c r="Q240" s="6">
        <v>0</v>
      </c>
      <c r="R240" s="6">
        <v>0</v>
      </c>
      <c r="S240" s="6">
        <v>600</v>
      </c>
    </row>
    <row r="241" spans="1:19" ht="15" x14ac:dyDescent="0.25">
      <c r="A241" s="7" t="s">
        <v>16</v>
      </c>
      <c r="B241" s="7" t="s">
        <v>17</v>
      </c>
      <c r="C241" s="7" t="s">
        <v>18</v>
      </c>
      <c r="D241" s="3">
        <v>77265361000194</v>
      </c>
      <c r="E241" s="8" t="s">
        <v>587</v>
      </c>
      <c r="F241" s="8" t="s">
        <v>522</v>
      </c>
      <c r="G241" s="8" t="s">
        <v>233</v>
      </c>
      <c r="H241" s="8" t="s">
        <v>795</v>
      </c>
      <c r="I241" s="3">
        <v>2</v>
      </c>
      <c r="J241" s="8" t="s">
        <v>754</v>
      </c>
      <c r="K241" s="8" t="s">
        <v>755</v>
      </c>
      <c r="L241" s="8" t="s">
        <v>730</v>
      </c>
      <c r="M241" s="1" t="s">
        <v>784</v>
      </c>
      <c r="N241" s="8" t="s">
        <v>785</v>
      </c>
      <c r="O241" s="6">
        <v>0</v>
      </c>
      <c r="P241" s="6">
        <v>0</v>
      </c>
      <c r="Q241" s="6">
        <v>0</v>
      </c>
      <c r="R241" s="6">
        <v>0</v>
      </c>
      <c r="S241" s="6">
        <v>100</v>
      </c>
    </row>
    <row r="242" spans="1:19" ht="15" x14ac:dyDescent="0.25">
      <c r="A242" s="7" t="s">
        <v>16</v>
      </c>
      <c r="B242" s="7" t="s">
        <v>17</v>
      </c>
      <c r="C242" s="7" t="s">
        <v>18</v>
      </c>
      <c r="D242" s="3">
        <v>77265361000194</v>
      </c>
      <c r="E242" s="8" t="s">
        <v>587</v>
      </c>
      <c r="F242" s="8" t="s">
        <v>522</v>
      </c>
      <c r="G242" s="8" t="s">
        <v>233</v>
      </c>
      <c r="H242" s="8" t="s">
        <v>795</v>
      </c>
      <c r="I242" s="3">
        <v>2</v>
      </c>
      <c r="J242" s="8" t="s">
        <v>735</v>
      </c>
      <c r="K242" s="8" t="s">
        <v>736</v>
      </c>
      <c r="L242" s="8" t="s">
        <v>723</v>
      </c>
      <c r="M242" s="1" t="s">
        <v>784</v>
      </c>
      <c r="N242" s="8" t="s">
        <v>785</v>
      </c>
      <c r="O242" s="6">
        <v>0</v>
      </c>
      <c r="P242" s="6">
        <v>0</v>
      </c>
      <c r="Q242" s="6">
        <v>0</v>
      </c>
      <c r="R242" s="6">
        <v>0</v>
      </c>
      <c r="S242" s="6">
        <v>100</v>
      </c>
    </row>
    <row r="243" spans="1:19" ht="15" x14ac:dyDescent="0.25">
      <c r="A243" s="7" t="s">
        <v>16</v>
      </c>
      <c r="B243" s="7" t="s">
        <v>17</v>
      </c>
      <c r="C243" s="7" t="s">
        <v>18</v>
      </c>
      <c r="D243" s="3">
        <v>7794623002257</v>
      </c>
      <c r="E243" s="8" t="s">
        <v>552</v>
      </c>
      <c r="F243" s="8" t="s">
        <v>553</v>
      </c>
      <c r="G243" s="8" t="s">
        <v>233</v>
      </c>
      <c r="H243" s="8" t="s">
        <v>795</v>
      </c>
      <c r="I243" s="3">
        <v>2</v>
      </c>
      <c r="J243" s="8" t="s">
        <v>754</v>
      </c>
      <c r="K243" s="8" t="s">
        <v>755</v>
      </c>
      <c r="L243" s="8" t="s">
        <v>730</v>
      </c>
      <c r="M243" s="1" t="s">
        <v>784</v>
      </c>
      <c r="N243" s="8" t="s">
        <v>785</v>
      </c>
      <c r="O243" s="6">
        <v>0</v>
      </c>
      <c r="P243" s="6">
        <v>0</v>
      </c>
      <c r="Q243" s="6">
        <v>0</v>
      </c>
      <c r="R243" s="6">
        <v>0</v>
      </c>
      <c r="S243" s="6">
        <v>515</v>
      </c>
    </row>
    <row r="244" spans="1:19" ht="15" x14ac:dyDescent="0.25">
      <c r="A244" s="7" t="s">
        <v>16</v>
      </c>
      <c r="B244" s="7" t="s">
        <v>17</v>
      </c>
      <c r="C244" s="7" t="s">
        <v>18</v>
      </c>
      <c r="D244" s="3">
        <v>7794623002257</v>
      </c>
      <c r="E244" s="8" t="s">
        <v>552</v>
      </c>
      <c r="F244" s="8" t="s">
        <v>553</v>
      </c>
      <c r="G244" s="8" t="s">
        <v>233</v>
      </c>
      <c r="H244" s="8" t="s">
        <v>795</v>
      </c>
      <c r="I244" s="3">
        <v>2</v>
      </c>
      <c r="J244" s="8" t="s">
        <v>735</v>
      </c>
      <c r="K244" s="8" t="s">
        <v>736</v>
      </c>
      <c r="L244" s="8" t="s">
        <v>723</v>
      </c>
      <c r="M244" s="1" t="s">
        <v>784</v>
      </c>
      <c r="N244" s="8" t="s">
        <v>785</v>
      </c>
      <c r="O244" s="6">
        <v>0</v>
      </c>
      <c r="P244" s="6">
        <v>0</v>
      </c>
      <c r="Q244" s="6">
        <v>0</v>
      </c>
      <c r="R244" s="6">
        <v>0</v>
      </c>
      <c r="S244" s="6">
        <v>515</v>
      </c>
    </row>
    <row r="245" spans="1:19" ht="15" x14ac:dyDescent="0.25">
      <c r="A245" s="7" t="s">
        <v>16</v>
      </c>
      <c r="B245" s="7" t="s">
        <v>17</v>
      </c>
      <c r="C245" s="7" t="s">
        <v>18</v>
      </c>
      <c r="D245" s="3">
        <v>6047087001372</v>
      </c>
      <c r="E245" s="8" t="s">
        <v>285</v>
      </c>
      <c r="F245" s="8" t="s">
        <v>286</v>
      </c>
      <c r="G245" s="8" t="s">
        <v>241</v>
      </c>
      <c r="H245" s="8" t="s">
        <v>795</v>
      </c>
      <c r="I245" s="3">
        <v>2</v>
      </c>
      <c r="J245" s="8" t="s">
        <v>733</v>
      </c>
      <c r="K245" s="8" t="s">
        <v>734</v>
      </c>
      <c r="L245" s="8" t="s">
        <v>730</v>
      </c>
      <c r="M245" s="1" t="s">
        <v>784</v>
      </c>
      <c r="N245" s="8" t="s">
        <v>785</v>
      </c>
      <c r="O245" s="6">
        <v>0</v>
      </c>
      <c r="P245" s="6">
        <v>0</v>
      </c>
      <c r="Q245" s="6">
        <v>0</v>
      </c>
      <c r="R245" s="6">
        <v>0</v>
      </c>
      <c r="S245" s="6">
        <v>0</v>
      </c>
    </row>
    <row r="246" spans="1:19" ht="15" x14ac:dyDescent="0.25">
      <c r="A246" s="7" t="s">
        <v>16</v>
      </c>
      <c r="B246" s="7" t="s">
        <v>17</v>
      </c>
      <c r="C246" s="7" t="s">
        <v>18</v>
      </c>
      <c r="D246" s="3">
        <v>6047087001372</v>
      </c>
      <c r="E246" s="8" t="s">
        <v>285</v>
      </c>
      <c r="F246" s="8" t="s">
        <v>286</v>
      </c>
      <c r="G246" s="8" t="s">
        <v>241</v>
      </c>
      <c r="H246" s="8" t="s">
        <v>795</v>
      </c>
      <c r="I246" s="3">
        <v>2</v>
      </c>
      <c r="J246" s="8" t="s">
        <v>760</v>
      </c>
      <c r="K246" s="8" t="s">
        <v>761</v>
      </c>
      <c r="L246" s="8" t="s">
        <v>723</v>
      </c>
      <c r="M246" s="1" t="s">
        <v>784</v>
      </c>
      <c r="N246" s="8" t="s">
        <v>785</v>
      </c>
      <c r="O246" s="6">
        <v>0</v>
      </c>
      <c r="P246" s="6">
        <v>0</v>
      </c>
      <c r="Q246" s="6">
        <v>12</v>
      </c>
      <c r="R246" s="6">
        <v>0</v>
      </c>
      <c r="S246" s="6">
        <v>0</v>
      </c>
    </row>
    <row r="247" spans="1:19" ht="15" x14ac:dyDescent="0.25">
      <c r="A247" s="7" t="s">
        <v>16</v>
      </c>
      <c r="B247" s="7" t="s">
        <v>17</v>
      </c>
      <c r="C247" s="7" t="s">
        <v>18</v>
      </c>
      <c r="D247" s="3">
        <v>35830868000446</v>
      </c>
      <c r="E247" s="8" t="s">
        <v>373</v>
      </c>
      <c r="F247" s="8" t="s">
        <v>374</v>
      </c>
      <c r="G247" s="8" t="s">
        <v>241</v>
      </c>
      <c r="H247" s="8" t="s">
        <v>795</v>
      </c>
      <c r="I247" s="3">
        <v>2</v>
      </c>
      <c r="J247" s="8" t="s">
        <v>733</v>
      </c>
      <c r="K247" s="8" t="s">
        <v>734</v>
      </c>
      <c r="L247" s="8" t="s">
        <v>730</v>
      </c>
      <c r="M247" s="1" t="s">
        <v>784</v>
      </c>
      <c r="N247" s="8" t="s">
        <v>785</v>
      </c>
      <c r="O247" s="6">
        <v>0</v>
      </c>
      <c r="P247" s="6">
        <v>0</v>
      </c>
      <c r="Q247" s="6">
        <v>0</v>
      </c>
      <c r="R247" s="6">
        <v>0</v>
      </c>
      <c r="S247" s="6">
        <v>0</v>
      </c>
    </row>
    <row r="248" spans="1:19" ht="15" x14ac:dyDescent="0.25">
      <c r="A248" s="7" t="s">
        <v>16</v>
      </c>
      <c r="B248" s="7" t="s">
        <v>17</v>
      </c>
      <c r="C248" s="7" t="s">
        <v>18</v>
      </c>
      <c r="D248" s="3">
        <v>35830868000446</v>
      </c>
      <c r="E248" s="8" t="s">
        <v>373</v>
      </c>
      <c r="F248" s="8" t="s">
        <v>374</v>
      </c>
      <c r="G248" s="8" t="s">
        <v>241</v>
      </c>
      <c r="H248" s="8" t="s">
        <v>795</v>
      </c>
      <c r="I248" s="3">
        <v>2</v>
      </c>
      <c r="J248" s="8" t="s">
        <v>752</v>
      </c>
      <c r="K248" s="8" t="s">
        <v>753</v>
      </c>
      <c r="L248" s="8" t="s">
        <v>723</v>
      </c>
      <c r="M248" s="1" t="s">
        <v>784</v>
      </c>
      <c r="N248" s="8" t="s">
        <v>785</v>
      </c>
      <c r="O248" s="6">
        <v>0</v>
      </c>
      <c r="P248" s="6">
        <v>3</v>
      </c>
      <c r="Q248" s="6">
        <v>0</v>
      </c>
      <c r="R248" s="6">
        <v>0</v>
      </c>
      <c r="S248" s="6">
        <v>0</v>
      </c>
    </row>
    <row r="249" spans="1:19" ht="15" x14ac:dyDescent="0.25">
      <c r="A249" s="7" t="s">
        <v>16</v>
      </c>
      <c r="B249" s="7" t="s">
        <v>17</v>
      </c>
      <c r="C249" s="7" t="s">
        <v>18</v>
      </c>
      <c r="D249" s="3">
        <v>437007000175</v>
      </c>
      <c r="E249" s="8" t="s">
        <v>239</v>
      </c>
      <c r="F249" s="8" t="s">
        <v>240</v>
      </c>
      <c r="G249" s="8" t="s">
        <v>241</v>
      </c>
      <c r="H249" s="8" t="s">
        <v>795</v>
      </c>
      <c r="I249" s="3">
        <v>2</v>
      </c>
      <c r="J249" s="8" t="s">
        <v>733</v>
      </c>
      <c r="K249" s="8" t="s">
        <v>734</v>
      </c>
      <c r="L249" s="8" t="s">
        <v>730</v>
      </c>
      <c r="M249" s="1" t="s">
        <v>784</v>
      </c>
      <c r="N249" s="8" t="s">
        <v>785</v>
      </c>
      <c r="O249" s="6">
        <v>0</v>
      </c>
      <c r="P249" s="6">
        <v>0</v>
      </c>
      <c r="Q249" s="6">
        <v>0</v>
      </c>
      <c r="R249" s="6">
        <v>358</v>
      </c>
      <c r="S249" s="6">
        <v>420</v>
      </c>
    </row>
    <row r="250" spans="1:19" ht="15" x14ac:dyDescent="0.25">
      <c r="A250" s="7" t="s">
        <v>16</v>
      </c>
      <c r="B250" s="7" t="s">
        <v>17</v>
      </c>
      <c r="C250" s="7" t="s">
        <v>18</v>
      </c>
      <c r="D250" s="3">
        <v>437007000175</v>
      </c>
      <c r="E250" s="8" t="s">
        <v>239</v>
      </c>
      <c r="F250" s="8" t="s">
        <v>240</v>
      </c>
      <c r="G250" s="8" t="s">
        <v>241</v>
      </c>
      <c r="H250" s="8" t="s">
        <v>795</v>
      </c>
      <c r="I250" s="3">
        <v>2</v>
      </c>
      <c r="J250" s="8" t="s">
        <v>760</v>
      </c>
      <c r="K250" s="8" t="s">
        <v>761</v>
      </c>
      <c r="L250" s="8" t="s">
        <v>723</v>
      </c>
      <c r="M250" s="1" t="s">
        <v>784</v>
      </c>
      <c r="N250" s="8" t="s">
        <v>785</v>
      </c>
      <c r="O250" s="6">
        <v>0</v>
      </c>
      <c r="P250" s="6">
        <v>0</v>
      </c>
      <c r="Q250" s="6">
        <v>0</v>
      </c>
      <c r="R250" s="6">
        <v>0</v>
      </c>
      <c r="S250" s="6">
        <v>420</v>
      </c>
    </row>
    <row r="251" spans="1:19" ht="15" x14ac:dyDescent="0.25">
      <c r="A251" s="7" t="s">
        <v>16</v>
      </c>
      <c r="B251" s="7" t="s">
        <v>17</v>
      </c>
      <c r="C251" s="7" t="s">
        <v>18</v>
      </c>
      <c r="D251" s="3">
        <v>60884855001207</v>
      </c>
      <c r="E251" s="8" t="s">
        <v>377</v>
      </c>
      <c r="F251" s="8" t="s">
        <v>240</v>
      </c>
      <c r="G251" s="8" t="s">
        <v>241</v>
      </c>
      <c r="H251" s="8" t="s">
        <v>795</v>
      </c>
      <c r="I251" s="3">
        <v>2</v>
      </c>
      <c r="J251" s="8" t="s">
        <v>733</v>
      </c>
      <c r="K251" s="8" t="s">
        <v>734</v>
      </c>
      <c r="L251" s="8" t="s">
        <v>730</v>
      </c>
      <c r="M251" s="1" t="s">
        <v>784</v>
      </c>
      <c r="N251" s="8" t="s">
        <v>785</v>
      </c>
      <c r="O251" s="6">
        <v>0</v>
      </c>
      <c r="P251" s="6">
        <v>0</v>
      </c>
      <c r="Q251" s="6">
        <v>0</v>
      </c>
      <c r="R251" s="6">
        <v>18</v>
      </c>
      <c r="S251" s="6">
        <v>440</v>
      </c>
    </row>
    <row r="252" spans="1:19" ht="15" x14ac:dyDescent="0.25">
      <c r="A252" s="7" t="s">
        <v>16</v>
      </c>
      <c r="B252" s="7" t="s">
        <v>17</v>
      </c>
      <c r="C252" s="7" t="s">
        <v>18</v>
      </c>
      <c r="D252" s="3">
        <v>60884855001207</v>
      </c>
      <c r="E252" s="8" t="s">
        <v>377</v>
      </c>
      <c r="F252" s="8" t="s">
        <v>240</v>
      </c>
      <c r="G252" s="8" t="s">
        <v>241</v>
      </c>
      <c r="H252" s="8" t="s">
        <v>795</v>
      </c>
      <c r="I252" s="3">
        <v>2</v>
      </c>
      <c r="J252" s="8" t="s">
        <v>760</v>
      </c>
      <c r="K252" s="8" t="s">
        <v>761</v>
      </c>
      <c r="L252" s="8" t="s">
        <v>723</v>
      </c>
      <c r="M252" s="1" t="s">
        <v>784</v>
      </c>
      <c r="N252" s="8" t="s">
        <v>785</v>
      </c>
      <c r="O252" s="6">
        <v>0</v>
      </c>
      <c r="P252" s="6">
        <v>83</v>
      </c>
      <c r="Q252" s="6">
        <v>24</v>
      </c>
      <c r="R252" s="6">
        <v>0</v>
      </c>
      <c r="S252" s="6">
        <v>440</v>
      </c>
    </row>
    <row r="253" spans="1:19" ht="15" x14ac:dyDescent="0.25">
      <c r="A253" s="7" t="s">
        <v>16</v>
      </c>
      <c r="B253" s="7" t="s">
        <v>17</v>
      </c>
      <c r="C253" s="7" t="s">
        <v>18</v>
      </c>
      <c r="D253" s="3">
        <v>521197000104</v>
      </c>
      <c r="E253" s="8" t="s">
        <v>526</v>
      </c>
      <c r="F253" s="8" t="s">
        <v>240</v>
      </c>
      <c r="G253" s="8" t="s">
        <v>241</v>
      </c>
      <c r="H253" s="8" t="s">
        <v>795</v>
      </c>
      <c r="I253" s="3">
        <v>2</v>
      </c>
      <c r="J253" s="8" t="s">
        <v>733</v>
      </c>
      <c r="K253" s="8" t="s">
        <v>734</v>
      </c>
      <c r="L253" s="8" t="s">
        <v>730</v>
      </c>
      <c r="M253" s="1" t="s">
        <v>784</v>
      </c>
      <c r="N253" s="8" t="s">
        <v>785</v>
      </c>
      <c r="O253" s="6">
        <v>0</v>
      </c>
      <c r="P253" s="6">
        <v>0</v>
      </c>
      <c r="Q253" s="6">
        <v>0</v>
      </c>
      <c r="R253" s="6">
        <v>0</v>
      </c>
      <c r="S253" s="6">
        <v>238</v>
      </c>
    </row>
    <row r="254" spans="1:19" ht="15" x14ac:dyDescent="0.25">
      <c r="A254" s="7" t="s">
        <v>16</v>
      </c>
      <c r="B254" s="7" t="s">
        <v>17</v>
      </c>
      <c r="C254" s="7" t="s">
        <v>18</v>
      </c>
      <c r="D254" s="3">
        <v>521197000104</v>
      </c>
      <c r="E254" s="8" t="s">
        <v>526</v>
      </c>
      <c r="F254" s="8" t="s">
        <v>240</v>
      </c>
      <c r="G254" s="8" t="s">
        <v>241</v>
      </c>
      <c r="H254" s="8" t="s">
        <v>795</v>
      </c>
      <c r="I254" s="3">
        <v>2</v>
      </c>
      <c r="J254" s="8" t="s">
        <v>752</v>
      </c>
      <c r="K254" s="8" t="s">
        <v>753</v>
      </c>
      <c r="L254" s="8" t="s">
        <v>723</v>
      </c>
      <c r="M254" s="1" t="s">
        <v>784</v>
      </c>
      <c r="N254" s="8" t="s">
        <v>785</v>
      </c>
      <c r="O254" s="6">
        <v>0</v>
      </c>
      <c r="P254" s="6">
        <v>0</v>
      </c>
      <c r="Q254" s="6">
        <v>0</v>
      </c>
      <c r="R254" s="6">
        <v>0</v>
      </c>
      <c r="S254" s="6">
        <v>238</v>
      </c>
    </row>
    <row r="255" spans="1:19" ht="15" x14ac:dyDescent="0.25">
      <c r="A255" s="7" t="s">
        <v>16</v>
      </c>
      <c r="B255" s="7" t="s">
        <v>17</v>
      </c>
      <c r="C255" s="7" t="s">
        <v>18</v>
      </c>
      <c r="D255" s="3">
        <v>29135795000208</v>
      </c>
      <c r="E255" s="8" t="s">
        <v>576</v>
      </c>
      <c r="F255" s="8" t="s">
        <v>577</v>
      </c>
      <c r="G255" s="8" t="s">
        <v>241</v>
      </c>
      <c r="H255" s="8" t="s">
        <v>795</v>
      </c>
      <c r="I255" s="3">
        <v>2</v>
      </c>
      <c r="J255" s="8" t="s">
        <v>733</v>
      </c>
      <c r="K255" s="8" t="s">
        <v>734</v>
      </c>
      <c r="L255" s="8" t="s">
        <v>730</v>
      </c>
      <c r="M255" s="1" t="s">
        <v>784</v>
      </c>
      <c r="N255" s="8" t="s">
        <v>785</v>
      </c>
      <c r="O255" s="6">
        <v>0</v>
      </c>
      <c r="P255" s="6">
        <v>0</v>
      </c>
      <c r="Q255" s="6">
        <v>0</v>
      </c>
      <c r="R255" s="6">
        <v>0</v>
      </c>
      <c r="S255" s="6">
        <v>100</v>
      </c>
    </row>
    <row r="256" spans="1:19" ht="15" x14ac:dyDescent="0.25">
      <c r="A256" s="7" t="s">
        <v>16</v>
      </c>
      <c r="B256" s="7" t="s">
        <v>17</v>
      </c>
      <c r="C256" s="7" t="s">
        <v>18</v>
      </c>
      <c r="D256" s="3">
        <v>29135795000208</v>
      </c>
      <c r="E256" s="8" t="s">
        <v>576</v>
      </c>
      <c r="F256" s="8" t="s">
        <v>577</v>
      </c>
      <c r="G256" s="8" t="s">
        <v>241</v>
      </c>
      <c r="H256" s="8" t="s">
        <v>795</v>
      </c>
      <c r="I256" s="3">
        <v>2</v>
      </c>
      <c r="J256" s="8" t="s">
        <v>752</v>
      </c>
      <c r="K256" s="8" t="s">
        <v>753</v>
      </c>
      <c r="L256" s="8" t="s">
        <v>723</v>
      </c>
      <c r="M256" s="1" t="s">
        <v>784</v>
      </c>
      <c r="N256" s="8" t="s">
        <v>785</v>
      </c>
      <c r="O256" s="6">
        <v>0</v>
      </c>
      <c r="P256" s="6">
        <v>0</v>
      </c>
      <c r="Q256" s="6">
        <v>0</v>
      </c>
      <c r="R256" s="6">
        <v>0</v>
      </c>
      <c r="S256" s="6">
        <v>100</v>
      </c>
    </row>
    <row r="257" spans="1:19" ht="15" x14ac:dyDescent="0.25">
      <c r="A257" s="7" t="s">
        <v>16</v>
      </c>
      <c r="B257" s="7" t="s">
        <v>17</v>
      </c>
      <c r="C257" s="7" t="s">
        <v>18</v>
      </c>
      <c r="D257" s="3">
        <v>7794623001528</v>
      </c>
      <c r="E257" s="8" t="s">
        <v>298</v>
      </c>
      <c r="F257" s="8" t="s">
        <v>299</v>
      </c>
      <c r="G257" s="8" t="s">
        <v>241</v>
      </c>
      <c r="H257" s="8" t="s">
        <v>795</v>
      </c>
      <c r="I257" s="3">
        <v>2</v>
      </c>
      <c r="J257" s="8" t="s">
        <v>733</v>
      </c>
      <c r="K257" s="8" t="s">
        <v>734</v>
      </c>
      <c r="L257" s="8" t="s">
        <v>730</v>
      </c>
      <c r="M257" s="1" t="s">
        <v>784</v>
      </c>
      <c r="N257" s="8" t="s">
        <v>785</v>
      </c>
      <c r="O257" s="6">
        <v>0</v>
      </c>
      <c r="P257" s="6">
        <v>0</v>
      </c>
      <c r="Q257" s="6">
        <v>0</v>
      </c>
      <c r="R257" s="6">
        <v>28</v>
      </c>
      <c r="S257" s="6">
        <v>0</v>
      </c>
    </row>
    <row r="258" spans="1:19" ht="15" x14ac:dyDescent="0.25">
      <c r="A258" s="7" t="s">
        <v>16</v>
      </c>
      <c r="B258" s="7" t="s">
        <v>17</v>
      </c>
      <c r="C258" s="7" t="s">
        <v>18</v>
      </c>
      <c r="D258" s="3">
        <v>7794623001528</v>
      </c>
      <c r="E258" s="8" t="s">
        <v>298</v>
      </c>
      <c r="F258" s="8" t="s">
        <v>299</v>
      </c>
      <c r="G258" s="8" t="s">
        <v>241</v>
      </c>
      <c r="H258" s="8" t="s">
        <v>795</v>
      </c>
      <c r="I258" s="3">
        <v>2</v>
      </c>
      <c r="J258" s="8" t="s">
        <v>760</v>
      </c>
      <c r="K258" s="8" t="s">
        <v>761</v>
      </c>
      <c r="L258" s="8" t="s">
        <v>723</v>
      </c>
      <c r="M258" s="1" t="s">
        <v>784</v>
      </c>
      <c r="N258" s="8" t="s">
        <v>785</v>
      </c>
      <c r="O258" s="6">
        <v>0</v>
      </c>
      <c r="P258" s="6">
        <v>0</v>
      </c>
      <c r="Q258" s="6">
        <v>0</v>
      </c>
      <c r="R258" s="6">
        <v>0</v>
      </c>
      <c r="S258" s="6">
        <v>0</v>
      </c>
    </row>
    <row r="259" spans="1:19" ht="15" x14ac:dyDescent="0.25">
      <c r="A259" s="7" t="s">
        <v>16</v>
      </c>
      <c r="B259" s="7" t="s">
        <v>17</v>
      </c>
      <c r="C259" s="7" t="s">
        <v>18</v>
      </c>
      <c r="D259" s="3">
        <v>28806545000532</v>
      </c>
      <c r="E259" s="8" t="s">
        <v>366</v>
      </c>
      <c r="F259" s="8" t="s">
        <v>367</v>
      </c>
      <c r="G259" s="8" t="s">
        <v>241</v>
      </c>
      <c r="H259" s="8" t="s">
        <v>795</v>
      </c>
      <c r="I259" s="3">
        <v>2</v>
      </c>
      <c r="J259" s="8" t="s">
        <v>733</v>
      </c>
      <c r="K259" s="8" t="s">
        <v>734</v>
      </c>
      <c r="L259" s="8" t="s">
        <v>730</v>
      </c>
      <c r="M259" s="1" t="s">
        <v>784</v>
      </c>
      <c r="N259" s="8" t="s">
        <v>785</v>
      </c>
      <c r="O259" s="6">
        <v>0</v>
      </c>
      <c r="P259" s="6">
        <v>0</v>
      </c>
      <c r="Q259" s="6">
        <v>0</v>
      </c>
      <c r="R259" s="6">
        <v>128</v>
      </c>
      <c r="S259" s="6">
        <v>0</v>
      </c>
    </row>
    <row r="260" spans="1:19" ht="15" x14ac:dyDescent="0.25">
      <c r="A260" s="7" t="s">
        <v>16</v>
      </c>
      <c r="B260" s="7" t="s">
        <v>17</v>
      </c>
      <c r="C260" s="7" t="s">
        <v>18</v>
      </c>
      <c r="D260" s="3">
        <v>28806545000532</v>
      </c>
      <c r="E260" s="8" t="s">
        <v>366</v>
      </c>
      <c r="F260" s="8" t="s">
        <v>367</v>
      </c>
      <c r="G260" s="8" t="s">
        <v>241</v>
      </c>
      <c r="H260" s="8" t="s">
        <v>795</v>
      </c>
      <c r="I260" s="3">
        <v>2</v>
      </c>
      <c r="J260" s="8" t="s">
        <v>752</v>
      </c>
      <c r="K260" s="8" t="s">
        <v>753</v>
      </c>
      <c r="L260" s="8" t="s">
        <v>723</v>
      </c>
      <c r="M260" s="1" t="s">
        <v>784</v>
      </c>
      <c r="N260" s="8" t="s">
        <v>785</v>
      </c>
      <c r="O260" s="6">
        <v>0</v>
      </c>
      <c r="P260" s="6">
        <v>0</v>
      </c>
      <c r="Q260" s="6">
        <v>0</v>
      </c>
      <c r="R260" s="6">
        <v>0</v>
      </c>
      <c r="S260" s="6">
        <v>0</v>
      </c>
    </row>
    <row r="261" spans="1:19" ht="15" x14ac:dyDescent="0.25">
      <c r="A261" s="7" t="s">
        <v>16</v>
      </c>
      <c r="B261" s="7" t="s">
        <v>17</v>
      </c>
      <c r="C261" s="7" t="s">
        <v>18</v>
      </c>
      <c r="D261" s="3">
        <v>68709211000212</v>
      </c>
      <c r="E261" s="8" t="s">
        <v>459</v>
      </c>
      <c r="F261" s="8" t="s">
        <v>369</v>
      </c>
      <c r="G261" s="8" t="s">
        <v>241</v>
      </c>
      <c r="H261" s="8" t="s">
        <v>795</v>
      </c>
      <c r="I261" s="3">
        <v>2</v>
      </c>
      <c r="J261" s="8" t="s">
        <v>733</v>
      </c>
      <c r="K261" s="8" t="s">
        <v>734</v>
      </c>
      <c r="L261" s="8" t="s">
        <v>730</v>
      </c>
      <c r="M261" s="1" t="s">
        <v>784</v>
      </c>
      <c r="N261" s="8" t="s">
        <v>785</v>
      </c>
      <c r="O261" s="6">
        <v>0</v>
      </c>
      <c r="P261" s="6">
        <v>0</v>
      </c>
      <c r="Q261" s="6">
        <v>0</v>
      </c>
      <c r="R261" s="6">
        <v>0</v>
      </c>
      <c r="S261" s="6">
        <v>300</v>
      </c>
    </row>
    <row r="262" spans="1:19" ht="15" x14ac:dyDescent="0.25">
      <c r="A262" s="7" t="s">
        <v>16</v>
      </c>
      <c r="B262" s="7" t="s">
        <v>17</v>
      </c>
      <c r="C262" s="7" t="s">
        <v>18</v>
      </c>
      <c r="D262" s="3">
        <v>68709211000212</v>
      </c>
      <c r="E262" s="8" t="s">
        <v>459</v>
      </c>
      <c r="F262" s="8" t="s">
        <v>369</v>
      </c>
      <c r="G262" s="8" t="s">
        <v>241</v>
      </c>
      <c r="H262" s="8" t="s">
        <v>795</v>
      </c>
      <c r="I262" s="3">
        <v>2</v>
      </c>
      <c r="J262" s="8" t="s">
        <v>752</v>
      </c>
      <c r="K262" s="8" t="s">
        <v>753</v>
      </c>
      <c r="L262" s="8" t="s">
        <v>723</v>
      </c>
      <c r="M262" s="1" t="s">
        <v>784</v>
      </c>
      <c r="N262" s="8" t="s">
        <v>785</v>
      </c>
      <c r="O262" s="6">
        <v>0</v>
      </c>
      <c r="P262" s="6">
        <v>0</v>
      </c>
      <c r="Q262" s="6">
        <v>0</v>
      </c>
      <c r="R262" s="6">
        <v>0</v>
      </c>
      <c r="S262" s="6">
        <v>300</v>
      </c>
    </row>
    <row r="263" spans="1:19" ht="15" x14ac:dyDescent="0.25">
      <c r="A263" s="7" t="s">
        <v>16</v>
      </c>
      <c r="B263" s="7" t="s">
        <v>17</v>
      </c>
      <c r="C263" s="7" t="s">
        <v>18</v>
      </c>
      <c r="D263" s="3">
        <v>29072642000188</v>
      </c>
      <c r="E263" s="8" t="s">
        <v>368</v>
      </c>
      <c r="F263" s="8" t="s">
        <v>369</v>
      </c>
      <c r="G263" s="8" t="s">
        <v>241</v>
      </c>
      <c r="H263" s="8" t="s">
        <v>795</v>
      </c>
      <c r="I263" s="3">
        <v>2</v>
      </c>
      <c r="J263" s="8" t="s">
        <v>733</v>
      </c>
      <c r="K263" s="8" t="s">
        <v>734</v>
      </c>
      <c r="L263" s="8" t="s">
        <v>730</v>
      </c>
      <c r="M263" s="1" t="s">
        <v>784</v>
      </c>
      <c r="N263" s="8" t="s">
        <v>785</v>
      </c>
      <c r="O263" s="6">
        <v>0</v>
      </c>
      <c r="P263" s="6">
        <v>0</v>
      </c>
      <c r="Q263" s="6">
        <v>0</v>
      </c>
      <c r="R263" s="6">
        <v>0</v>
      </c>
      <c r="S263" s="6">
        <v>0</v>
      </c>
    </row>
    <row r="264" spans="1:19" ht="15" x14ac:dyDescent="0.25">
      <c r="A264" s="7" t="s">
        <v>16</v>
      </c>
      <c r="B264" s="7" t="s">
        <v>17</v>
      </c>
      <c r="C264" s="7" t="s">
        <v>18</v>
      </c>
      <c r="D264" s="3">
        <v>29072642000188</v>
      </c>
      <c r="E264" s="8" t="s">
        <v>368</v>
      </c>
      <c r="F264" s="8" t="s">
        <v>369</v>
      </c>
      <c r="G264" s="8" t="s">
        <v>241</v>
      </c>
      <c r="H264" s="8" t="s">
        <v>795</v>
      </c>
      <c r="I264" s="3">
        <v>2</v>
      </c>
      <c r="J264" s="8" t="s">
        <v>752</v>
      </c>
      <c r="K264" s="8" t="s">
        <v>753</v>
      </c>
      <c r="L264" s="8" t="s">
        <v>723</v>
      </c>
      <c r="M264" s="1" t="s">
        <v>784</v>
      </c>
      <c r="N264" s="8" t="s">
        <v>785</v>
      </c>
      <c r="O264" s="6">
        <v>0</v>
      </c>
      <c r="P264" s="6">
        <v>2</v>
      </c>
      <c r="Q264" s="6">
        <v>0</v>
      </c>
      <c r="R264" s="6">
        <v>0</v>
      </c>
      <c r="S264" s="6">
        <v>0</v>
      </c>
    </row>
    <row r="265" spans="1:19" ht="15" x14ac:dyDescent="0.25">
      <c r="A265" s="7" t="s">
        <v>16</v>
      </c>
      <c r="B265" s="7" t="s">
        <v>17</v>
      </c>
      <c r="C265" s="7" t="s">
        <v>18</v>
      </c>
      <c r="D265" s="3">
        <v>21109731000140</v>
      </c>
      <c r="E265" s="8" t="s">
        <v>672</v>
      </c>
      <c r="F265" s="8" t="s">
        <v>652</v>
      </c>
      <c r="G265" s="8" t="s">
        <v>241</v>
      </c>
      <c r="H265" s="8" t="s">
        <v>795</v>
      </c>
      <c r="I265" s="3">
        <v>2</v>
      </c>
      <c r="J265" s="8" t="s">
        <v>733</v>
      </c>
      <c r="K265" s="8" t="s">
        <v>734</v>
      </c>
      <c r="L265" s="8" t="s">
        <v>730</v>
      </c>
      <c r="M265" s="1" t="s">
        <v>784</v>
      </c>
      <c r="N265" s="8" t="s">
        <v>785</v>
      </c>
      <c r="O265" s="6">
        <v>0</v>
      </c>
      <c r="P265" s="6">
        <v>0</v>
      </c>
      <c r="Q265" s="6">
        <v>0</v>
      </c>
      <c r="R265" s="6">
        <v>112</v>
      </c>
      <c r="S265" s="6">
        <v>0</v>
      </c>
    </row>
    <row r="266" spans="1:19" ht="15" x14ac:dyDescent="0.25">
      <c r="A266" s="7" t="s">
        <v>16</v>
      </c>
      <c r="B266" s="7" t="s">
        <v>17</v>
      </c>
      <c r="C266" s="7" t="s">
        <v>18</v>
      </c>
      <c r="D266" s="3">
        <v>21109731000140</v>
      </c>
      <c r="E266" s="8" t="s">
        <v>672</v>
      </c>
      <c r="F266" s="8" t="s">
        <v>652</v>
      </c>
      <c r="G266" s="8" t="s">
        <v>241</v>
      </c>
      <c r="H266" s="8" t="s">
        <v>795</v>
      </c>
      <c r="I266" s="3">
        <v>2</v>
      </c>
      <c r="J266" s="8" t="s">
        <v>760</v>
      </c>
      <c r="K266" s="8" t="s">
        <v>761</v>
      </c>
      <c r="L266" s="8" t="s">
        <v>723</v>
      </c>
      <c r="M266" s="1" t="s">
        <v>784</v>
      </c>
      <c r="N266" s="8" t="s">
        <v>785</v>
      </c>
      <c r="O266" s="6">
        <v>0</v>
      </c>
      <c r="P266" s="6">
        <v>0</v>
      </c>
      <c r="Q266" s="6">
        <v>0</v>
      </c>
      <c r="R266" s="6">
        <v>0</v>
      </c>
      <c r="S266" s="6">
        <v>0</v>
      </c>
    </row>
    <row r="267" spans="1:19" ht="15" x14ac:dyDescent="0.25">
      <c r="A267" s="7" t="s">
        <v>16</v>
      </c>
      <c r="B267" s="7" t="s">
        <v>17</v>
      </c>
      <c r="C267" s="7" t="s">
        <v>18</v>
      </c>
      <c r="D267" s="3">
        <v>60922168000348</v>
      </c>
      <c r="E267" s="8" t="s">
        <v>694</v>
      </c>
      <c r="F267" s="8" t="s">
        <v>652</v>
      </c>
      <c r="G267" s="8" t="s">
        <v>241</v>
      </c>
      <c r="H267" s="8" t="s">
        <v>795</v>
      </c>
      <c r="I267" s="3">
        <v>2</v>
      </c>
      <c r="J267" s="8" t="s">
        <v>733</v>
      </c>
      <c r="K267" s="8" t="s">
        <v>734</v>
      </c>
      <c r="L267" s="8" t="s">
        <v>730</v>
      </c>
      <c r="M267" s="1" t="s">
        <v>784</v>
      </c>
      <c r="N267" s="8" t="s">
        <v>785</v>
      </c>
      <c r="O267" s="6">
        <v>0</v>
      </c>
      <c r="P267" s="6">
        <v>0</v>
      </c>
      <c r="Q267" s="6">
        <v>0</v>
      </c>
      <c r="R267" s="6">
        <v>0</v>
      </c>
      <c r="S267" s="6">
        <v>330</v>
      </c>
    </row>
    <row r="268" spans="1:19" ht="15" x14ac:dyDescent="0.25">
      <c r="A268" s="7" t="s">
        <v>16</v>
      </c>
      <c r="B268" s="7" t="s">
        <v>17</v>
      </c>
      <c r="C268" s="7" t="s">
        <v>18</v>
      </c>
      <c r="D268" s="3">
        <v>60922168000348</v>
      </c>
      <c r="E268" s="8" t="s">
        <v>694</v>
      </c>
      <c r="F268" s="8" t="s">
        <v>652</v>
      </c>
      <c r="G268" s="8" t="s">
        <v>241</v>
      </c>
      <c r="H268" s="8" t="s">
        <v>795</v>
      </c>
      <c r="I268" s="3">
        <v>2</v>
      </c>
      <c r="J268" s="8" t="s">
        <v>760</v>
      </c>
      <c r="K268" s="8" t="s">
        <v>761</v>
      </c>
      <c r="L268" s="8" t="s">
        <v>723</v>
      </c>
      <c r="M268" s="1" t="s">
        <v>784</v>
      </c>
      <c r="N268" s="8" t="s">
        <v>785</v>
      </c>
      <c r="O268" s="6">
        <v>0</v>
      </c>
      <c r="P268" s="6">
        <v>3</v>
      </c>
      <c r="Q268" s="6">
        <v>2</v>
      </c>
      <c r="R268" s="6">
        <v>0</v>
      </c>
      <c r="S268" s="6">
        <v>330</v>
      </c>
    </row>
    <row r="269" spans="1:19" ht="15" x14ac:dyDescent="0.25">
      <c r="A269" s="7" t="s">
        <v>16</v>
      </c>
      <c r="B269" s="7" t="s">
        <v>17</v>
      </c>
      <c r="C269" s="7" t="s">
        <v>18</v>
      </c>
      <c r="D269" s="3">
        <v>7794623004896</v>
      </c>
      <c r="E269" s="8" t="s">
        <v>664</v>
      </c>
      <c r="F269" s="8" t="s">
        <v>652</v>
      </c>
      <c r="G269" s="8" t="s">
        <v>241</v>
      </c>
      <c r="H269" s="8" t="s">
        <v>795</v>
      </c>
      <c r="I269" s="3">
        <v>2</v>
      </c>
      <c r="J269" s="8" t="s">
        <v>733</v>
      </c>
      <c r="K269" s="8" t="s">
        <v>734</v>
      </c>
      <c r="L269" s="8" t="s">
        <v>730</v>
      </c>
      <c r="M269" s="1" t="s">
        <v>784</v>
      </c>
      <c r="N269" s="8" t="s">
        <v>785</v>
      </c>
      <c r="O269" s="6">
        <v>0</v>
      </c>
      <c r="P269" s="6">
        <v>0</v>
      </c>
      <c r="Q269" s="6">
        <v>0</v>
      </c>
      <c r="R269" s="6">
        <v>0</v>
      </c>
      <c r="S269" s="6">
        <v>1850</v>
      </c>
    </row>
    <row r="270" spans="1:19" ht="15" x14ac:dyDescent="0.25">
      <c r="A270" s="7" t="s">
        <v>16</v>
      </c>
      <c r="B270" s="7" t="s">
        <v>17</v>
      </c>
      <c r="C270" s="7" t="s">
        <v>18</v>
      </c>
      <c r="D270" s="3">
        <v>7794623004896</v>
      </c>
      <c r="E270" s="8" t="s">
        <v>664</v>
      </c>
      <c r="F270" s="8" t="s">
        <v>652</v>
      </c>
      <c r="G270" s="8" t="s">
        <v>241</v>
      </c>
      <c r="H270" s="8" t="s">
        <v>795</v>
      </c>
      <c r="I270" s="3">
        <v>2</v>
      </c>
      <c r="J270" s="8" t="s">
        <v>760</v>
      </c>
      <c r="K270" s="8" t="s">
        <v>761</v>
      </c>
      <c r="L270" s="8" t="s">
        <v>723</v>
      </c>
      <c r="M270" s="1" t="s">
        <v>784</v>
      </c>
      <c r="N270" s="8" t="s">
        <v>785</v>
      </c>
      <c r="O270" s="6">
        <v>0</v>
      </c>
      <c r="P270" s="6">
        <v>0</v>
      </c>
      <c r="Q270" s="6">
        <v>0</v>
      </c>
      <c r="R270" s="6">
        <v>0</v>
      </c>
      <c r="S270" s="6">
        <v>1850</v>
      </c>
    </row>
    <row r="271" spans="1:19" ht="15" x14ac:dyDescent="0.25">
      <c r="A271" s="7" t="s">
        <v>16</v>
      </c>
      <c r="B271" s="7" t="s">
        <v>17</v>
      </c>
      <c r="C271" s="7" t="s">
        <v>18</v>
      </c>
      <c r="D271" s="3">
        <v>33927377000140</v>
      </c>
      <c r="E271" s="8" t="s">
        <v>690</v>
      </c>
      <c r="F271" s="8" t="s">
        <v>652</v>
      </c>
      <c r="G271" s="8" t="s">
        <v>241</v>
      </c>
      <c r="H271" s="8" t="s">
        <v>795</v>
      </c>
      <c r="I271" s="3">
        <v>2</v>
      </c>
      <c r="J271" s="8" t="s">
        <v>733</v>
      </c>
      <c r="K271" s="8" t="s">
        <v>734</v>
      </c>
      <c r="L271" s="8" t="s">
        <v>730</v>
      </c>
      <c r="M271" s="1" t="s">
        <v>784</v>
      </c>
      <c r="N271" s="8" t="s">
        <v>785</v>
      </c>
      <c r="O271" s="6">
        <v>0</v>
      </c>
      <c r="P271" s="6">
        <v>0</v>
      </c>
      <c r="Q271" s="6">
        <v>0</v>
      </c>
      <c r="R271" s="6">
        <v>0</v>
      </c>
      <c r="S271" s="6">
        <v>-5</v>
      </c>
    </row>
    <row r="272" spans="1:19" ht="15" x14ac:dyDescent="0.25">
      <c r="A272" s="7" t="s">
        <v>16</v>
      </c>
      <c r="B272" s="7" t="s">
        <v>17</v>
      </c>
      <c r="C272" s="7" t="s">
        <v>18</v>
      </c>
      <c r="D272" s="3">
        <v>33927377000140</v>
      </c>
      <c r="E272" s="8" t="s">
        <v>690</v>
      </c>
      <c r="F272" s="8" t="s">
        <v>652</v>
      </c>
      <c r="G272" s="8" t="s">
        <v>241</v>
      </c>
      <c r="H272" s="8" t="s">
        <v>795</v>
      </c>
      <c r="I272" s="3">
        <v>2</v>
      </c>
      <c r="J272" s="8" t="s">
        <v>760</v>
      </c>
      <c r="K272" s="8" t="s">
        <v>761</v>
      </c>
      <c r="L272" s="8" t="s">
        <v>723</v>
      </c>
      <c r="M272" s="1" t="s">
        <v>784</v>
      </c>
      <c r="N272" s="8" t="s">
        <v>785</v>
      </c>
      <c r="O272" s="6">
        <v>0</v>
      </c>
      <c r="P272" s="6">
        <v>0</v>
      </c>
      <c r="Q272" s="6">
        <v>0</v>
      </c>
      <c r="R272" s="6">
        <v>0</v>
      </c>
      <c r="S272" s="6">
        <v>-5</v>
      </c>
    </row>
    <row r="273" spans="1:19" ht="15" x14ac:dyDescent="0.25">
      <c r="A273" s="7" t="s">
        <v>16</v>
      </c>
      <c r="B273" s="7" t="s">
        <v>17</v>
      </c>
      <c r="C273" s="7" t="s">
        <v>18</v>
      </c>
      <c r="D273" s="3">
        <v>2864097000106</v>
      </c>
      <c r="E273" s="8" t="s">
        <v>659</v>
      </c>
      <c r="F273" s="8" t="s">
        <v>652</v>
      </c>
      <c r="G273" s="8" t="s">
        <v>241</v>
      </c>
      <c r="H273" s="8" t="s">
        <v>795</v>
      </c>
      <c r="I273" s="3">
        <v>2</v>
      </c>
      <c r="J273" s="8" t="s">
        <v>733</v>
      </c>
      <c r="K273" s="8" t="s">
        <v>734</v>
      </c>
      <c r="L273" s="8" t="s">
        <v>730</v>
      </c>
      <c r="M273" s="1" t="s">
        <v>784</v>
      </c>
      <c r="N273" s="8" t="s">
        <v>785</v>
      </c>
      <c r="O273" s="6">
        <v>0</v>
      </c>
      <c r="P273" s="6">
        <v>0</v>
      </c>
      <c r="Q273" s="6">
        <v>0</v>
      </c>
      <c r="R273" s="6">
        <v>0</v>
      </c>
      <c r="S273" s="6">
        <v>315</v>
      </c>
    </row>
    <row r="274" spans="1:19" ht="15" x14ac:dyDescent="0.25">
      <c r="A274" s="7" t="s">
        <v>16</v>
      </c>
      <c r="B274" s="7" t="s">
        <v>17</v>
      </c>
      <c r="C274" s="7" t="s">
        <v>18</v>
      </c>
      <c r="D274" s="3">
        <v>2864097000106</v>
      </c>
      <c r="E274" s="8" t="s">
        <v>659</v>
      </c>
      <c r="F274" s="8" t="s">
        <v>652</v>
      </c>
      <c r="G274" s="8" t="s">
        <v>241</v>
      </c>
      <c r="H274" s="8" t="s">
        <v>795</v>
      </c>
      <c r="I274" s="3">
        <v>2</v>
      </c>
      <c r="J274" s="8" t="s">
        <v>760</v>
      </c>
      <c r="K274" s="8" t="s">
        <v>761</v>
      </c>
      <c r="L274" s="8" t="s">
        <v>723</v>
      </c>
      <c r="M274" s="1" t="s">
        <v>784</v>
      </c>
      <c r="N274" s="8" t="s">
        <v>785</v>
      </c>
      <c r="O274" s="6">
        <v>0</v>
      </c>
      <c r="P274" s="6">
        <v>0</v>
      </c>
      <c r="Q274" s="6">
        <v>0</v>
      </c>
      <c r="R274" s="6">
        <v>0</v>
      </c>
      <c r="S274" s="6">
        <v>315</v>
      </c>
    </row>
    <row r="275" spans="1:19" ht="15" x14ac:dyDescent="0.25">
      <c r="A275" s="7" t="s">
        <v>16</v>
      </c>
      <c r="B275" s="7" t="s">
        <v>17</v>
      </c>
      <c r="C275" s="7" t="s">
        <v>18</v>
      </c>
      <c r="D275" s="3">
        <v>31635857000101</v>
      </c>
      <c r="E275" s="8" t="s">
        <v>682</v>
      </c>
      <c r="F275" s="8" t="s">
        <v>652</v>
      </c>
      <c r="G275" s="8" t="s">
        <v>241</v>
      </c>
      <c r="H275" s="8" t="s">
        <v>795</v>
      </c>
      <c r="I275" s="3">
        <v>2</v>
      </c>
      <c r="J275" s="8" t="s">
        <v>733</v>
      </c>
      <c r="K275" s="8" t="s">
        <v>734</v>
      </c>
      <c r="L275" s="8" t="s">
        <v>730</v>
      </c>
      <c r="M275" s="1" t="s">
        <v>784</v>
      </c>
      <c r="N275" s="8" t="s">
        <v>785</v>
      </c>
      <c r="O275" s="6">
        <v>0</v>
      </c>
      <c r="P275" s="6">
        <v>0</v>
      </c>
      <c r="Q275" s="6">
        <v>0</v>
      </c>
      <c r="R275" s="6">
        <v>0</v>
      </c>
      <c r="S275" s="6">
        <v>0</v>
      </c>
    </row>
    <row r="276" spans="1:19" ht="15" x14ac:dyDescent="0.25">
      <c r="A276" s="7" t="s">
        <v>16</v>
      </c>
      <c r="B276" s="7" t="s">
        <v>17</v>
      </c>
      <c r="C276" s="7" t="s">
        <v>18</v>
      </c>
      <c r="D276" s="3">
        <v>31635857000101</v>
      </c>
      <c r="E276" s="8" t="s">
        <v>682</v>
      </c>
      <c r="F276" s="8" t="s">
        <v>652</v>
      </c>
      <c r="G276" s="8" t="s">
        <v>241</v>
      </c>
      <c r="H276" s="8" t="s">
        <v>795</v>
      </c>
      <c r="I276" s="3">
        <v>2</v>
      </c>
      <c r="J276" s="8" t="s">
        <v>752</v>
      </c>
      <c r="K276" s="8" t="s">
        <v>753</v>
      </c>
      <c r="L276" s="8" t="s">
        <v>723</v>
      </c>
      <c r="M276" s="1" t="s">
        <v>784</v>
      </c>
      <c r="N276" s="8" t="s">
        <v>785</v>
      </c>
      <c r="O276" s="6">
        <v>0</v>
      </c>
      <c r="P276" s="6">
        <v>0</v>
      </c>
      <c r="Q276" s="6">
        <v>1</v>
      </c>
      <c r="R276" s="6">
        <v>0</v>
      </c>
      <c r="S276" s="6">
        <v>0</v>
      </c>
    </row>
    <row r="277" spans="1:19" ht="15" x14ac:dyDescent="0.25">
      <c r="A277" s="7" t="s">
        <v>16</v>
      </c>
      <c r="B277" s="7" t="s">
        <v>17</v>
      </c>
      <c r="C277" s="7" t="s">
        <v>18</v>
      </c>
      <c r="D277" s="3">
        <v>39086160000130</v>
      </c>
      <c r="E277" s="8" t="s">
        <v>691</v>
      </c>
      <c r="F277" s="8" t="s">
        <v>652</v>
      </c>
      <c r="G277" s="8" t="s">
        <v>241</v>
      </c>
      <c r="H277" s="8" t="s">
        <v>795</v>
      </c>
      <c r="I277" s="3">
        <v>2</v>
      </c>
      <c r="J277" s="8" t="s">
        <v>733</v>
      </c>
      <c r="K277" s="8" t="s">
        <v>734</v>
      </c>
      <c r="L277" s="8" t="s">
        <v>730</v>
      </c>
      <c r="M277" s="1" t="s">
        <v>784</v>
      </c>
      <c r="N277" s="8" t="s">
        <v>785</v>
      </c>
      <c r="O277" s="6">
        <v>0</v>
      </c>
      <c r="P277" s="6">
        <v>0</v>
      </c>
      <c r="Q277" s="6">
        <v>0</v>
      </c>
      <c r="R277" s="6">
        <v>100</v>
      </c>
      <c r="S277" s="6">
        <v>200</v>
      </c>
    </row>
    <row r="278" spans="1:19" ht="15" x14ac:dyDescent="0.25">
      <c r="A278" s="7" t="s">
        <v>16</v>
      </c>
      <c r="B278" s="7" t="s">
        <v>17</v>
      </c>
      <c r="C278" s="7" t="s">
        <v>18</v>
      </c>
      <c r="D278" s="3">
        <v>39086160000130</v>
      </c>
      <c r="E278" s="8" t="s">
        <v>691</v>
      </c>
      <c r="F278" s="8" t="s">
        <v>652</v>
      </c>
      <c r="G278" s="8" t="s">
        <v>241</v>
      </c>
      <c r="H278" s="8" t="s">
        <v>795</v>
      </c>
      <c r="I278" s="3">
        <v>2</v>
      </c>
      <c r="J278" s="8" t="s">
        <v>760</v>
      </c>
      <c r="K278" s="8" t="s">
        <v>761</v>
      </c>
      <c r="L278" s="8" t="s">
        <v>723</v>
      </c>
      <c r="M278" s="1" t="s">
        <v>784</v>
      </c>
      <c r="N278" s="8" t="s">
        <v>785</v>
      </c>
      <c r="O278" s="6">
        <v>0</v>
      </c>
      <c r="P278" s="6">
        <v>0</v>
      </c>
      <c r="Q278" s="6">
        <v>0</v>
      </c>
      <c r="R278" s="6">
        <v>0</v>
      </c>
      <c r="S278" s="6">
        <v>200</v>
      </c>
    </row>
    <row r="279" spans="1:19" ht="15" x14ac:dyDescent="0.25">
      <c r="A279" s="7" t="s">
        <v>16</v>
      </c>
      <c r="B279" s="7" t="s">
        <v>17</v>
      </c>
      <c r="C279" s="7" t="s">
        <v>18</v>
      </c>
      <c r="D279" s="3">
        <v>21265360000195</v>
      </c>
      <c r="E279" s="8" t="s">
        <v>673</v>
      </c>
      <c r="F279" s="8" t="s">
        <v>652</v>
      </c>
      <c r="G279" s="8" t="s">
        <v>241</v>
      </c>
      <c r="H279" s="8" t="s">
        <v>795</v>
      </c>
      <c r="I279" s="3">
        <v>2</v>
      </c>
      <c r="J279" s="8" t="s">
        <v>733</v>
      </c>
      <c r="K279" s="8" t="s">
        <v>734</v>
      </c>
      <c r="L279" s="8" t="s">
        <v>730</v>
      </c>
      <c r="M279" s="1" t="s">
        <v>784</v>
      </c>
      <c r="N279" s="8" t="s">
        <v>785</v>
      </c>
      <c r="O279" s="6">
        <v>0</v>
      </c>
      <c r="P279" s="6">
        <v>0</v>
      </c>
      <c r="Q279" s="6">
        <v>0</v>
      </c>
      <c r="R279" s="6">
        <v>16</v>
      </c>
      <c r="S279" s="6">
        <v>0</v>
      </c>
    </row>
    <row r="280" spans="1:19" ht="15" x14ac:dyDescent="0.25">
      <c r="A280" s="7" t="s">
        <v>16</v>
      </c>
      <c r="B280" s="7" t="s">
        <v>17</v>
      </c>
      <c r="C280" s="7" t="s">
        <v>18</v>
      </c>
      <c r="D280" s="3">
        <v>21265360000195</v>
      </c>
      <c r="E280" s="8" t="s">
        <v>673</v>
      </c>
      <c r="F280" s="8" t="s">
        <v>652</v>
      </c>
      <c r="G280" s="8" t="s">
        <v>241</v>
      </c>
      <c r="H280" s="8" t="s">
        <v>795</v>
      </c>
      <c r="I280" s="3">
        <v>2</v>
      </c>
      <c r="J280" s="8" t="s">
        <v>752</v>
      </c>
      <c r="K280" s="8" t="s">
        <v>753</v>
      </c>
      <c r="L280" s="8" t="s">
        <v>723</v>
      </c>
      <c r="M280" s="1" t="s">
        <v>784</v>
      </c>
      <c r="N280" s="8" t="s">
        <v>785</v>
      </c>
      <c r="O280" s="6">
        <v>0</v>
      </c>
      <c r="P280" s="6">
        <v>0</v>
      </c>
      <c r="Q280" s="6">
        <v>0</v>
      </c>
      <c r="R280" s="6">
        <v>0</v>
      </c>
      <c r="S280" s="6">
        <v>0</v>
      </c>
    </row>
    <row r="281" spans="1:19" ht="15" x14ac:dyDescent="0.25">
      <c r="A281" s="7" t="s">
        <v>16</v>
      </c>
      <c r="B281" s="7" t="s">
        <v>17</v>
      </c>
      <c r="C281" s="7" t="s">
        <v>18</v>
      </c>
      <c r="D281" s="3">
        <v>31635857000292</v>
      </c>
      <c r="E281" s="8" t="s">
        <v>683</v>
      </c>
      <c r="F281" s="8" t="s">
        <v>652</v>
      </c>
      <c r="G281" s="8" t="s">
        <v>241</v>
      </c>
      <c r="H281" s="8" t="s">
        <v>795</v>
      </c>
      <c r="I281" s="3">
        <v>2</v>
      </c>
      <c r="J281" s="8" t="s">
        <v>733</v>
      </c>
      <c r="K281" s="8" t="s">
        <v>734</v>
      </c>
      <c r="L281" s="8" t="s">
        <v>730</v>
      </c>
      <c r="M281" s="1" t="s">
        <v>784</v>
      </c>
      <c r="N281" s="8" t="s">
        <v>785</v>
      </c>
      <c r="O281" s="6">
        <v>0</v>
      </c>
      <c r="P281" s="6">
        <v>0</v>
      </c>
      <c r="Q281" s="6">
        <v>0</v>
      </c>
      <c r="R281" s="6">
        <v>12</v>
      </c>
      <c r="S281" s="6">
        <v>0</v>
      </c>
    </row>
    <row r="282" spans="1:19" ht="15" x14ac:dyDescent="0.25">
      <c r="A282" s="7" t="s">
        <v>16</v>
      </c>
      <c r="B282" s="7" t="s">
        <v>17</v>
      </c>
      <c r="C282" s="7" t="s">
        <v>18</v>
      </c>
      <c r="D282" s="3">
        <v>31635857000292</v>
      </c>
      <c r="E282" s="8" t="s">
        <v>683</v>
      </c>
      <c r="F282" s="8" t="s">
        <v>652</v>
      </c>
      <c r="G282" s="8" t="s">
        <v>241</v>
      </c>
      <c r="H282" s="8" t="s">
        <v>795</v>
      </c>
      <c r="I282" s="3">
        <v>2</v>
      </c>
      <c r="J282" s="8" t="s">
        <v>760</v>
      </c>
      <c r="K282" s="8" t="s">
        <v>761</v>
      </c>
      <c r="L282" s="8" t="s">
        <v>723</v>
      </c>
      <c r="M282" s="1" t="s">
        <v>784</v>
      </c>
      <c r="N282" s="8" t="s">
        <v>785</v>
      </c>
      <c r="O282" s="6">
        <v>0</v>
      </c>
      <c r="P282" s="6">
        <v>0</v>
      </c>
      <c r="Q282" s="6">
        <v>7</v>
      </c>
      <c r="R282" s="6">
        <v>0</v>
      </c>
      <c r="S282" s="6">
        <v>0</v>
      </c>
    </row>
    <row r="283" spans="1:19" ht="15" x14ac:dyDescent="0.25">
      <c r="A283" s="7" t="s">
        <v>16</v>
      </c>
      <c r="B283" s="7" t="s">
        <v>17</v>
      </c>
      <c r="C283" s="7" t="s">
        <v>18</v>
      </c>
      <c r="D283" s="3">
        <v>73696718000219</v>
      </c>
      <c r="E283" s="8" t="s">
        <v>696</v>
      </c>
      <c r="F283" s="8" t="s">
        <v>652</v>
      </c>
      <c r="G283" s="8" t="s">
        <v>241</v>
      </c>
      <c r="H283" s="8" t="s">
        <v>795</v>
      </c>
      <c r="I283" s="3">
        <v>2</v>
      </c>
      <c r="J283" s="8" t="s">
        <v>733</v>
      </c>
      <c r="K283" s="8" t="s">
        <v>734</v>
      </c>
      <c r="L283" s="8" t="s">
        <v>730</v>
      </c>
      <c r="M283" s="1" t="s">
        <v>784</v>
      </c>
      <c r="N283" s="8" t="s">
        <v>785</v>
      </c>
      <c r="O283" s="6">
        <v>0</v>
      </c>
      <c r="P283" s="6">
        <v>0</v>
      </c>
      <c r="Q283" s="6">
        <v>0</v>
      </c>
      <c r="R283" s="6">
        <v>0</v>
      </c>
      <c r="S283" s="6">
        <v>0</v>
      </c>
    </row>
    <row r="284" spans="1:19" ht="15" x14ac:dyDescent="0.25">
      <c r="A284" s="7" t="s">
        <v>16</v>
      </c>
      <c r="B284" s="7" t="s">
        <v>17</v>
      </c>
      <c r="C284" s="7" t="s">
        <v>18</v>
      </c>
      <c r="D284" s="3">
        <v>73696718000219</v>
      </c>
      <c r="E284" s="8" t="s">
        <v>696</v>
      </c>
      <c r="F284" s="8" t="s">
        <v>652</v>
      </c>
      <c r="G284" s="8" t="s">
        <v>241</v>
      </c>
      <c r="H284" s="8" t="s">
        <v>795</v>
      </c>
      <c r="I284" s="3">
        <v>2</v>
      </c>
      <c r="J284" s="8" t="s">
        <v>752</v>
      </c>
      <c r="K284" s="8" t="s">
        <v>753</v>
      </c>
      <c r="L284" s="8" t="s">
        <v>723</v>
      </c>
      <c r="M284" s="1" t="s">
        <v>784</v>
      </c>
      <c r="N284" s="8" t="s">
        <v>785</v>
      </c>
      <c r="O284" s="6">
        <v>0</v>
      </c>
      <c r="P284" s="6">
        <v>3</v>
      </c>
      <c r="Q284" s="6">
        <v>9</v>
      </c>
      <c r="R284" s="6">
        <v>0</v>
      </c>
      <c r="S284" s="6">
        <v>0</v>
      </c>
    </row>
    <row r="285" spans="1:19" ht="15" x14ac:dyDescent="0.25">
      <c r="A285" s="7" t="s">
        <v>16</v>
      </c>
      <c r="B285" s="7" t="s">
        <v>17</v>
      </c>
      <c r="C285" s="7" t="s">
        <v>18</v>
      </c>
      <c r="D285" s="3">
        <v>2284062000521</v>
      </c>
      <c r="E285" s="8" t="s">
        <v>658</v>
      </c>
      <c r="F285" s="8" t="s">
        <v>652</v>
      </c>
      <c r="G285" s="8" t="s">
        <v>241</v>
      </c>
      <c r="H285" s="8" t="s">
        <v>795</v>
      </c>
      <c r="I285" s="3">
        <v>2</v>
      </c>
      <c r="J285" s="8" t="s">
        <v>733</v>
      </c>
      <c r="K285" s="8" t="s">
        <v>734</v>
      </c>
      <c r="L285" s="8" t="s">
        <v>730</v>
      </c>
      <c r="M285" s="1" t="s">
        <v>784</v>
      </c>
      <c r="N285" s="8" t="s">
        <v>785</v>
      </c>
      <c r="O285" s="6">
        <v>0</v>
      </c>
      <c r="P285" s="6">
        <v>0</v>
      </c>
      <c r="Q285" s="6">
        <v>0</v>
      </c>
      <c r="R285" s="6">
        <v>0</v>
      </c>
      <c r="S285" s="6">
        <v>0</v>
      </c>
    </row>
    <row r="286" spans="1:19" ht="15" x14ac:dyDescent="0.25">
      <c r="A286" s="7" t="s">
        <v>16</v>
      </c>
      <c r="B286" s="7" t="s">
        <v>17</v>
      </c>
      <c r="C286" s="7" t="s">
        <v>18</v>
      </c>
      <c r="D286" s="3">
        <v>2284062000521</v>
      </c>
      <c r="E286" s="8" t="s">
        <v>658</v>
      </c>
      <c r="F286" s="8" t="s">
        <v>652</v>
      </c>
      <c r="G286" s="8" t="s">
        <v>241</v>
      </c>
      <c r="H286" s="8" t="s">
        <v>795</v>
      </c>
      <c r="I286" s="3">
        <v>2</v>
      </c>
      <c r="J286" s="8" t="s">
        <v>752</v>
      </c>
      <c r="K286" s="8" t="s">
        <v>753</v>
      </c>
      <c r="L286" s="8" t="s">
        <v>723</v>
      </c>
      <c r="M286" s="1" t="s">
        <v>784</v>
      </c>
      <c r="N286" s="8" t="s">
        <v>785</v>
      </c>
      <c r="O286" s="6">
        <v>0</v>
      </c>
      <c r="P286" s="6">
        <v>8</v>
      </c>
      <c r="Q286" s="6">
        <v>1</v>
      </c>
      <c r="R286" s="6">
        <v>0</v>
      </c>
      <c r="S286" s="6">
        <v>0</v>
      </c>
    </row>
    <row r="287" spans="1:19" ht="15" x14ac:dyDescent="0.25">
      <c r="A287" s="7" t="s">
        <v>16</v>
      </c>
      <c r="B287" s="7" t="s">
        <v>17</v>
      </c>
      <c r="C287" s="7" t="s">
        <v>18</v>
      </c>
      <c r="D287" s="3">
        <v>24217779000160</v>
      </c>
      <c r="E287" s="8" t="s">
        <v>674</v>
      </c>
      <c r="F287" s="8" t="s">
        <v>652</v>
      </c>
      <c r="G287" s="8" t="s">
        <v>241</v>
      </c>
      <c r="H287" s="8" t="s">
        <v>795</v>
      </c>
      <c r="I287" s="3">
        <v>2</v>
      </c>
      <c r="J287" s="8" t="s">
        <v>733</v>
      </c>
      <c r="K287" s="8" t="s">
        <v>734</v>
      </c>
      <c r="L287" s="8" t="s">
        <v>730</v>
      </c>
      <c r="M287" s="1" t="s">
        <v>784</v>
      </c>
      <c r="N287" s="8" t="s">
        <v>785</v>
      </c>
      <c r="O287" s="6">
        <v>0</v>
      </c>
      <c r="P287" s="6">
        <v>0</v>
      </c>
      <c r="Q287" s="6">
        <v>0</v>
      </c>
      <c r="R287" s="6">
        <v>0</v>
      </c>
      <c r="S287" s="6">
        <v>0</v>
      </c>
    </row>
    <row r="288" spans="1:19" ht="15" x14ac:dyDescent="0.25">
      <c r="A288" s="7" t="s">
        <v>16</v>
      </c>
      <c r="B288" s="7" t="s">
        <v>17</v>
      </c>
      <c r="C288" s="7" t="s">
        <v>18</v>
      </c>
      <c r="D288" s="3">
        <v>24217779000160</v>
      </c>
      <c r="E288" s="8" t="s">
        <v>674</v>
      </c>
      <c r="F288" s="8" t="s">
        <v>652</v>
      </c>
      <c r="G288" s="8" t="s">
        <v>241</v>
      </c>
      <c r="H288" s="8" t="s">
        <v>795</v>
      </c>
      <c r="I288" s="3">
        <v>2</v>
      </c>
      <c r="J288" s="8" t="s">
        <v>752</v>
      </c>
      <c r="K288" s="8" t="s">
        <v>753</v>
      </c>
      <c r="L288" s="8" t="s">
        <v>723</v>
      </c>
      <c r="M288" s="1" t="s">
        <v>784</v>
      </c>
      <c r="N288" s="8" t="s">
        <v>785</v>
      </c>
      <c r="O288" s="6">
        <v>0</v>
      </c>
      <c r="P288" s="6">
        <v>6</v>
      </c>
      <c r="Q288" s="6">
        <v>0</v>
      </c>
      <c r="R288" s="6">
        <v>0</v>
      </c>
      <c r="S288" s="6">
        <v>0</v>
      </c>
    </row>
    <row r="289" spans="1:19" ht="15" x14ac:dyDescent="0.25">
      <c r="A289" s="7" t="s">
        <v>16</v>
      </c>
      <c r="B289" s="7" t="s">
        <v>17</v>
      </c>
      <c r="C289" s="7" t="s">
        <v>18</v>
      </c>
      <c r="D289" s="3">
        <v>11279865000155</v>
      </c>
      <c r="E289" s="8" t="s">
        <v>670</v>
      </c>
      <c r="F289" s="8" t="s">
        <v>652</v>
      </c>
      <c r="G289" s="8" t="s">
        <v>241</v>
      </c>
      <c r="H289" s="8" t="s">
        <v>795</v>
      </c>
      <c r="I289" s="3">
        <v>2</v>
      </c>
      <c r="J289" s="8" t="s">
        <v>733</v>
      </c>
      <c r="K289" s="8" t="s">
        <v>734</v>
      </c>
      <c r="L289" s="8" t="s">
        <v>730</v>
      </c>
      <c r="M289" s="1" t="s">
        <v>784</v>
      </c>
      <c r="N289" s="8" t="s">
        <v>785</v>
      </c>
      <c r="O289" s="6">
        <v>0</v>
      </c>
      <c r="P289" s="6">
        <v>0</v>
      </c>
      <c r="Q289" s="6">
        <v>0</v>
      </c>
      <c r="R289" s="6">
        <v>0</v>
      </c>
      <c r="S289" s="6">
        <v>0</v>
      </c>
    </row>
    <row r="290" spans="1:19" ht="15" x14ac:dyDescent="0.25">
      <c r="A290" s="7" t="s">
        <v>16</v>
      </c>
      <c r="B290" s="7" t="s">
        <v>17</v>
      </c>
      <c r="C290" s="7" t="s">
        <v>18</v>
      </c>
      <c r="D290" s="3">
        <v>11279865000155</v>
      </c>
      <c r="E290" s="8" t="s">
        <v>670</v>
      </c>
      <c r="F290" s="8" t="s">
        <v>652</v>
      </c>
      <c r="G290" s="8" t="s">
        <v>241</v>
      </c>
      <c r="H290" s="8" t="s">
        <v>795</v>
      </c>
      <c r="I290" s="3">
        <v>2</v>
      </c>
      <c r="J290" s="8" t="s">
        <v>752</v>
      </c>
      <c r="K290" s="8" t="s">
        <v>753</v>
      </c>
      <c r="L290" s="8" t="s">
        <v>723</v>
      </c>
      <c r="M290" s="1" t="s">
        <v>784</v>
      </c>
      <c r="N290" s="8" t="s">
        <v>785</v>
      </c>
      <c r="O290" s="6">
        <v>0</v>
      </c>
      <c r="P290" s="6">
        <v>8</v>
      </c>
      <c r="Q290" s="6">
        <v>0</v>
      </c>
      <c r="R290" s="6">
        <v>0</v>
      </c>
      <c r="S290" s="6">
        <v>0</v>
      </c>
    </row>
    <row r="291" spans="1:19" ht="15" x14ac:dyDescent="0.25">
      <c r="A291" s="7" t="s">
        <v>16</v>
      </c>
      <c r="B291" s="7" t="s">
        <v>17</v>
      </c>
      <c r="C291" s="7" t="s">
        <v>18</v>
      </c>
      <c r="D291" s="3">
        <v>9609235000230</v>
      </c>
      <c r="E291" s="8" t="s">
        <v>669</v>
      </c>
      <c r="F291" s="8" t="s">
        <v>652</v>
      </c>
      <c r="G291" s="8" t="s">
        <v>241</v>
      </c>
      <c r="H291" s="8" t="s">
        <v>795</v>
      </c>
      <c r="I291" s="3">
        <v>2</v>
      </c>
      <c r="J291" s="8" t="s">
        <v>733</v>
      </c>
      <c r="K291" s="8" t="s">
        <v>734</v>
      </c>
      <c r="L291" s="8" t="s">
        <v>730</v>
      </c>
      <c r="M291" s="1" t="s">
        <v>784</v>
      </c>
      <c r="N291" s="8" t="s">
        <v>785</v>
      </c>
      <c r="O291" s="6">
        <v>0</v>
      </c>
      <c r="P291" s="6">
        <v>0</v>
      </c>
      <c r="Q291" s="6">
        <v>0</v>
      </c>
      <c r="R291" s="6">
        <v>0</v>
      </c>
      <c r="S291" s="6">
        <v>450</v>
      </c>
    </row>
    <row r="292" spans="1:19" ht="15" x14ac:dyDescent="0.25">
      <c r="A292" s="7" t="s">
        <v>16</v>
      </c>
      <c r="B292" s="7" t="s">
        <v>17</v>
      </c>
      <c r="C292" s="7" t="s">
        <v>18</v>
      </c>
      <c r="D292" s="3">
        <v>9609235000230</v>
      </c>
      <c r="E292" s="8" t="s">
        <v>669</v>
      </c>
      <c r="F292" s="8" t="s">
        <v>652</v>
      </c>
      <c r="G292" s="8" t="s">
        <v>241</v>
      </c>
      <c r="H292" s="8" t="s">
        <v>795</v>
      </c>
      <c r="I292" s="3">
        <v>2</v>
      </c>
      <c r="J292" s="8" t="s">
        <v>752</v>
      </c>
      <c r="K292" s="8" t="s">
        <v>753</v>
      </c>
      <c r="L292" s="8" t="s">
        <v>723</v>
      </c>
      <c r="M292" s="1" t="s">
        <v>784</v>
      </c>
      <c r="N292" s="8" t="s">
        <v>785</v>
      </c>
      <c r="O292" s="6">
        <v>0</v>
      </c>
      <c r="P292" s="6">
        <v>0</v>
      </c>
      <c r="Q292" s="6">
        <v>0</v>
      </c>
      <c r="R292" s="6">
        <v>0</v>
      </c>
      <c r="S292" s="6">
        <v>450</v>
      </c>
    </row>
    <row r="293" spans="1:19" ht="15" x14ac:dyDescent="0.25">
      <c r="A293" s="7" t="s">
        <v>16</v>
      </c>
      <c r="B293" s="7" t="s">
        <v>17</v>
      </c>
      <c r="C293" s="7" t="s">
        <v>18</v>
      </c>
      <c r="D293" s="3">
        <v>6047087000996</v>
      </c>
      <c r="E293" s="8" t="s">
        <v>660</v>
      </c>
      <c r="F293" s="8" t="s">
        <v>652</v>
      </c>
      <c r="G293" s="8" t="s">
        <v>241</v>
      </c>
      <c r="H293" s="8" t="s">
        <v>795</v>
      </c>
      <c r="I293" s="3">
        <v>2</v>
      </c>
      <c r="J293" s="8" t="s">
        <v>733</v>
      </c>
      <c r="K293" s="8" t="s">
        <v>734</v>
      </c>
      <c r="L293" s="8" t="s">
        <v>730</v>
      </c>
      <c r="M293" s="1" t="s">
        <v>784</v>
      </c>
      <c r="N293" s="8" t="s">
        <v>785</v>
      </c>
      <c r="O293" s="6">
        <v>0</v>
      </c>
      <c r="P293" s="6">
        <v>0</v>
      </c>
      <c r="Q293" s="6">
        <v>0</v>
      </c>
      <c r="R293" s="6">
        <v>0</v>
      </c>
      <c r="S293" s="6">
        <v>0</v>
      </c>
    </row>
    <row r="294" spans="1:19" ht="15" x14ac:dyDescent="0.25">
      <c r="A294" s="7" t="s">
        <v>16</v>
      </c>
      <c r="B294" s="7" t="s">
        <v>17</v>
      </c>
      <c r="C294" s="7" t="s">
        <v>18</v>
      </c>
      <c r="D294" s="3">
        <v>6047087000996</v>
      </c>
      <c r="E294" s="8" t="s">
        <v>660</v>
      </c>
      <c r="F294" s="8" t="s">
        <v>652</v>
      </c>
      <c r="G294" s="8" t="s">
        <v>241</v>
      </c>
      <c r="H294" s="8" t="s">
        <v>795</v>
      </c>
      <c r="I294" s="3">
        <v>2</v>
      </c>
      <c r="J294" s="8" t="s">
        <v>760</v>
      </c>
      <c r="K294" s="8" t="s">
        <v>761</v>
      </c>
      <c r="L294" s="8" t="s">
        <v>723</v>
      </c>
      <c r="M294" s="1" t="s">
        <v>784</v>
      </c>
      <c r="N294" s="8" t="s">
        <v>785</v>
      </c>
      <c r="O294" s="6">
        <v>0</v>
      </c>
      <c r="P294" s="6">
        <v>30</v>
      </c>
      <c r="Q294" s="6">
        <v>20</v>
      </c>
      <c r="R294" s="6">
        <v>0</v>
      </c>
      <c r="S294" s="6">
        <v>0</v>
      </c>
    </row>
    <row r="295" spans="1:19" ht="15" x14ac:dyDescent="0.25">
      <c r="A295" s="7" t="s">
        <v>16</v>
      </c>
      <c r="B295" s="7" t="s">
        <v>17</v>
      </c>
      <c r="C295" s="7" t="s">
        <v>18</v>
      </c>
      <c r="D295" s="3">
        <v>6047087002697</v>
      </c>
      <c r="E295" s="8" t="s">
        <v>662</v>
      </c>
      <c r="F295" s="8" t="s">
        <v>652</v>
      </c>
      <c r="G295" s="8" t="s">
        <v>241</v>
      </c>
      <c r="H295" s="8" t="s">
        <v>795</v>
      </c>
      <c r="I295" s="3">
        <v>2</v>
      </c>
      <c r="J295" s="8" t="s">
        <v>733</v>
      </c>
      <c r="K295" s="8" t="s">
        <v>734</v>
      </c>
      <c r="L295" s="8" t="s">
        <v>730</v>
      </c>
      <c r="M295" s="1" t="s">
        <v>784</v>
      </c>
      <c r="N295" s="8" t="s">
        <v>785</v>
      </c>
      <c r="O295" s="6">
        <v>0</v>
      </c>
      <c r="P295" s="6">
        <v>0</v>
      </c>
      <c r="Q295" s="6">
        <v>0</v>
      </c>
      <c r="R295" s="6">
        <v>0</v>
      </c>
      <c r="S295" s="6">
        <v>0</v>
      </c>
    </row>
    <row r="296" spans="1:19" ht="15" x14ac:dyDescent="0.25">
      <c r="A296" s="7" t="s">
        <v>16</v>
      </c>
      <c r="B296" s="7" t="s">
        <v>17</v>
      </c>
      <c r="C296" s="7" t="s">
        <v>18</v>
      </c>
      <c r="D296" s="3">
        <v>6047087002697</v>
      </c>
      <c r="E296" s="8" t="s">
        <v>662</v>
      </c>
      <c r="F296" s="8" t="s">
        <v>652</v>
      </c>
      <c r="G296" s="8" t="s">
        <v>241</v>
      </c>
      <c r="H296" s="8" t="s">
        <v>795</v>
      </c>
      <c r="I296" s="3">
        <v>2</v>
      </c>
      <c r="J296" s="8" t="s">
        <v>760</v>
      </c>
      <c r="K296" s="8" t="s">
        <v>761</v>
      </c>
      <c r="L296" s="8" t="s">
        <v>723</v>
      </c>
      <c r="M296" s="1" t="s">
        <v>784</v>
      </c>
      <c r="N296" s="8" t="s">
        <v>785</v>
      </c>
      <c r="O296" s="6">
        <v>0</v>
      </c>
      <c r="P296" s="6">
        <v>8</v>
      </c>
      <c r="Q296" s="6">
        <v>14</v>
      </c>
      <c r="R296" s="6">
        <v>0</v>
      </c>
      <c r="S296" s="6">
        <v>0</v>
      </c>
    </row>
    <row r="297" spans="1:19" ht="15" x14ac:dyDescent="0.25">
      <c r="A297" s="7" t="s">
        <v>16</v>
      </c>
      <c r="B297" s="7" t="s">
        <v>17</v>
      </c>
      <c r="C297" s="7" t="s">
        <v>18</v>
      </c>
      <c r="D297" s="3">
        <v>394544020453</v>
      </c>
      <c r="E297" s="8" t="s">
        <v>655</v>
      </c>
      <c r="F297" s="8" t="s">
        <v>652</v>
      </c>
      <c r="G297" s="8" t="s">
        <v>241</v>
      </c>
      <c r="H297" s="8" t="s">
        <v>795</v>
      </c>
      <c r="I297" s="3">
        <v>2</v>
      </c>
      <c r="J297" s="8" t="s">
        <v>733</v>
      </c>
      <c r="K297" s="8" t="s">
        <v>734</v>
      </c>
      <c r="L297" s="8" t="s">
        <v>730</v>
      </c>
      <c r="M297" s="1" t="s">
        <v>784</v>
      </c>
      <c r="N297" s="8" t="s">
        <v>785</v>
      </c>
      <c r="O297" s="6">
        <v>0</v>
      </c>
      <c r="P297" s="6">
        <v>0</v>
      </c>
      <c r="Q297" s="6">
        <v>0</v>
      </c>
      <c r="R297" s="6">
        <v>0</v>
      </c>
      <c r="S297" s="6">
        <v>600</v>
      </c>
    </row>
    <row r="298" spans="1:19" ht="15" x14ac:dyDescent="0.25">
      <c r="A298" s="7" t="s">
        <v>16</v>
      </c>
      <c r="B298" s="7" t="s">
        <v>17</v>
      </c>
      <c r="C298" s="7" t="s">
        <v>18</v>
      </c>
      <c r="D298" s="3">
        <v>394544020453</v>
      </c>
      <c r="E298" s="8" t="s">
        <v>655</v>
      </c>
      <c r="F298" s="8" t="s">
        <v>652</v>
      </c>
      <c r="G298" s="8" t="s">
        <v>241</v>
      </c>
      <c r="H298" s="8" t="s">
        <v>795</v>
      </c>
      <c r="I298" s="3">
        <v>2</v>
      </c>
      <c r="J298" s="8" t="s">
        <v>760</v>
      </c>
      <c r="K298" s="8" t="s">
        <v>761</v>
      </c>
      <c r="L298" s="8" t="s">
        <v>723</v>
      </c>
      <c r="M298" s="1" t="s">
        <v>784</v>
      </c>
      <c r="N298" s="8" t="s">
        <v>785</v>
      </c>
      <c r="O298" s="6">
        <v>0</v>
      </c>
      <c r="P298" s="6">
        <v>0</v>
      </c>
      <c r="Q298" s="6">
        <v>0</v>
      </c>
      <c r="R298" s="6">
        <v>0</v>
      </c>
      <c r="S298" s="6">
        <v>600</v>
      </c>
    </row>
    <row r="299" spans="1:19" ht="15" x14ac:dyDescent="0.25">
      <c r="A299" s="7" t="s">
        <v>16</v>
      </c>
      <c r="B299" s="7" t="s">
        <v>17</v>
      </c>
      <c r="C299" s="7" t="s">
        <v>18</v>
      </c>
      <c r="D299" s="3">
        <v>32154700000127</v>
      </c>
      <c r="E299" s="8" t="s">
        <v>684</v>
      </c>
      <c r="F299" s="8" t="s">
        <v>652</v>
      </c>
      <c r="G299" s="8" t="s">
        <v>241</v>
      </c>
      <c r="H299" s="8" t="s">
        <v>795</v>
      </c>
      <c r="I299" s="3">
        <v>2</v>
      </c>
      <c r="J299" s="8" t="s">
        <v>733</v>
      </c>
      <c r="K299" s="8" t="s">
        <v>734</v>
      </c>
      <c r="L299" s="8" t="s">
        <v>730</v>
      </c>
      <c r="M299" s="1" t="s">
        <v>784</v>
      </c>
      <c r="N299" s="8" t="s">
        <v>785</v>
      </c>
      <c r="O299" s="6">
        <v>0</v>
      </c>
      <c r="P299" s="6">
        <v>0</v>
      </c>
      <c r="Q299" s="6">
        <v>0</v>
      </c>
      <c r="R299" s="6">
        <v>0</v>
      </c>
      <c r="S299" s="6">
        <v>0</v>
      </c>
    </row>
    <row r="300" spans="1:19" ht="15" x14ac:dyDescent="0.25">
      <c r="A300" s="7" t="s">
        <v>16</v>
      </c>
      <c r="B300" s="7" t="s">
        <v>17</v>
      </c>
      <c r="C300" s="7" t="s">
        <v>18</v>
      </c>
      <c r="D300" s="3">
        <v>32154700000127</v>
      </c>
      <c r="E300" s="8" t="s">
        <v>684</v>
      </c>
      <c r="F300" s="8" t="s">
        <v>652</v>
      </c>
      <c r="G300" s="8" t="s">
        <v>241</v>
      </c>
      <c r="H300" s="8" t="s">
        <v>795</v>
      </c>
      <c r="I300" s="3">
        <v>2</v>
      </c>
      <c r="J300" s="8" t="s">
        <v>760</v>
      </c>
      <c r="K300" s="8" t="s">
        <v>761</v>
      </c>
      <c r="L300" s="8" t="s">
        <v>723</v>
      </c>
      <c r="M300" s="1" t="s">
        <v>784</v>
      </c>
      <c r="N300" s="8" t="s">
        <v>785</v>
      </c>
      <c r="O300" s="6">
        <v>0</v>
      </c>
      <c r="P300" s="6">
        <v>8</v>
      </c>
      <c r="Q300" s="6">
        <v>5</v>
      </c>
      <c r="R300" s="6">
        <v>0</v>
      </c>
      <c r="S300" s="6">
        <v>0</v>
      </c>
    </row>
    <row r="301" spans="1:19" ht="15" x14ac:dyDescent="0.25">
      <c r="A301" s="7" t="s">
        <v>16</v>
      </c>
      <c r="B301" s="7" t="s">
        <v>17</v>
      </c>
      <c r="C301" s="7" t="s">
        <v>18</v>
      </c>
      <c r="D301" s="3">
        <v>27901222000131</v>
      </c>
      <c r="E301" s="8" t="s">
        <v>675</v>
      </c>
      <c r="F301" s="8" t="s">
        <v>652</v>
      </c>
      <c r="G301" s="8" t="s">
        <v>241</v>
      </c>
      <c r="H301" s="8" t="s">
        <v>795</v>
      </c>
      <c r="I301" s="3">
        <v>2</v>
      </c>
      <c r="J301" s="8" t="s">
        <v>733</v>
      </c>
      <c r="K301" s="8" t="s">
        <v>734</v>
      </c>
      <c r="L301" s="8" t="s">
        <v>730</v>
      </c>
      <c r="M301" s="1" t="s">
        <v>784</v>
      </c>
      <c r="N301" s="8" t="s">
        <v>785</v>
      </c>
      <c r="O301" s="6">
        <v>0</v>
      </c>
      <c r="P301" s="6">
        <v>0</v>
      </c>
      <c r="Q301" s="6">
        <v>0</v>
      </c>
      <c r="R301" s="6">
        <v>0</v>
      </c>
      <c r="S301" s="6">
        <v>0</v>
      </c>
    </row>
    <row r="302" spans="1:19" ht="15" x14ac:dyDescent="0.25">
      <c r="A302" s="7" t="s">
        <v>16</v>
      </c>
      <c r="B302" s="7" t="s">
        <v>17</v>
      </c>
      <c r="C302" s="7" t="s">
        <v>18</v>
      </c>
      <c r="D302" s="3">
        <v>27901222000131</v>
      </c>
      <c r="E302" s="8" t="s">
        <v>675</v>
      </c>
      <c r="F302" s="8" t="s">
        <v>652</v>
      </c>
      <c r="G302" s="8" t="s">
        <v>241</v>
      </c>
      <c r="H302" s="8" t="s">
        <v>795</v>
      </c>
      <c r="I302" s="3">
        <v>2</v>
      </c>
      <c r="J302" s="8" t="s">
        <v>760</v>
      </c>
      <c r="K302" s="8" t="s">
        <v>761</v>
      </c>
      <c r="L302" s="8" t="s">
        <v>723</v>
      </c>
      <c r="M302" s="1" t="s">
        <v>784</v>
      </c>
      <c r="N302" s="8" t="s">
        <v>785</v>
      </c>
      <c r="O302" s="6">
        <v>0</v>
      </c>
      <c r="P302" s="6">
        <v>0</v>
      </c>
      <c r="Q302" s="6">
        <v>5</v>
      </c>
      <c r="R302" s="6">
        <v>0</v>
      </c>
      <c r="S302" s="6">
        <v>0</v>
      </c>
    </row>
    <row r="303" spans="1:19" ht="15" x14ac:dyDescent="0.25">
      <c r="A303" s="7" t="s">
        <v>16</v>
      </c>
      <c r="B303" s="7" t="s">
        <v>17</v>
      </c>
      <c r="C303" s="7" t="s">
        <v>18</v>
      </c>
      <c r="D303" s="3">
        <v>394544020372</v>
      </c>
      <c r="E303" s="8" t="s">
        <v>654</v>
      </c>
      <c r="F303" s="8" t="s">
        <v>652</v>
      </c>
      <c r="G303" s="8" t="s">
        <v>241</v>
      </c>
      <c r="H303" s="8" t="s">
        <v>795</v>
      </c>
      <c r="I303" s="3">
        <v>2</v>
      </c>
      <c r="J303" s="8" t="s">
        <v>733</v>
      </c>
      <c r="K303" s="8" t="s">
        <v>734</v>
      </c>
      <c r="L303" s="8" t="s">
        <v>730</v>
      </c>
      <c r="M303" s="1" t="s">
        <v>784</v>
      </c>
      <c r="N303" s="8" t="s">
        <v>785</v>
      </c>
      <c r="O303" s="6">
        <v>0</v>
      </c>
      <c r="P303" s="6">
        <v>0</v>
      </c>
      <c r="Q303" s="6">
        <v>0</v>
      </c>
      <c r="R303" s="6">
        <v>0</v>
      </c>
      <c r="S303" s="6">
        <v>390</v>
      </c>
    </row>
    <row r="304" spans="1:19" ht="15" x14ac:dyDescent="0.25">
      <c r="A304" s="7" t="s">
        <v>16</v>
      </c>
      <c r="B304" s="7" t="s">
        <v>17</v>
      </c>
      <c r="C304" s="7" t="s">
        <v>18</v>
      </c>
      <c r="D304" s="3">
        <v>394544020372</v>
      </c>
      <c r="E304" s="8" t="s">
        <v>654</v>
      </c>
      <c r="F304" s="8" t="s">
        <v>652</v>
      </c>
      <c r="G304" s="8" t="s">
        <v>241</v>
      </c>
      <c r="H304" s="8" t="s">
        <v>795</v>
      </c>
      <c r="I304" s="3">
        <v>2</v>
      </c>
      <c r="J304" s="8" t="s">
        <v>760</v>
      </c>
      <c r="K304" s="8" t="s">
        <v>761</v>
      </c>
      <c r="L304" s="8" t="s">
        <v>723</v>
      </c>
      <c r="M304" s="1" t="s">
        <v>784</v>
      </c>
      <c r="N304" s="8" t="s">
        <v>785</v>
      </c>
      <c r="O304" s="6">
        <v>0</v>
      </c>
      <c r="P304" s="6">
        <v>0</v>
      </c>
      <c r="Q304" s="6">
        <v>0</v>
      </c>
      <c r="R304" s="6">
        <v>0</v>
      </c>
      <c r="S304" s="6">
        <v>390</v>
      </c>
    </row>
    <row r="305" spans="1:19" ht="15" x14ac:dyDescent="0.25">
      <c r="A305" s="7" t="s">
        <v>16</v>
      </c>
      <c r="B305" s="7" t="s">
        <v>17</v>
      </c>
      <c r="C305" s="7" t="s">
        <v>18</v>
      </c>
      <c r="D305" s="3">
        <v>394544020291</v>
      </c>
      <c r="E305" s="8" t="s">
        <v>653</v>
      </c>
      <c r="F305" s="8" t="s">
        <v>652</v>
      </c>
      <c r="G305" s="8" t="s">
        <v>241</v>
      </c>
      <c r="H305" s="8" t="s">
        <v>795</v>
      </c>
      <c r="I305" s="3">
        <v>2</v>
      </c>
      <c r="J305" s="8" t="s">
        <v>733</v>
      </c>
      <c r="K305" s="8" t="s">
        <v>734</v>
      </c>
      <c r="L305" s="8" t="s">
        <v>730</v>
      </c>
      <c r="M305" s="1" t="s">
        <v>784</v>
      </c>
      <c r="N305" s="8" t="s">
        <v>785</v>
      </c>
      <c r="O305" s="6">
        <v>0</v>
      </c>
      <c r="P305" s="6">
        <v>0</v>
      </c>
      <c r="Q305" s="6">
        <v>0</v>
      </c>
      <c r="R305" s="6">
        <v>0</v>
      </c>
      <c r="S305" s="6">
        <v>0</v>
      </c>
    </row>
    <row r="306" spans="1:19" ht="15" x14ac:dyDescent="0.25">
      <c r="A306" s="7" t="s">
        <v>16</v>
      </c>
      <c r="B306" s="7" t="s">
        <v>17</v>
      </c>
      <c r="C306" s="7" t="s">
        <v>18</v>
      </c>
      <c r="D306" s="3">
        <v>394544020291</v>
      </c>
      <c r="E306" s="8" t="s">
        <v>653</v>
      </c>
      <c r="F306" s="8" t="s">
        <v>652</v>
      </c>
      <c r="G306" s="8" t="s">
        <v>241</v>
      </c>
      <c r="H306" s="8" t="s">
        <v>795</v>
      </c>
      <c r="I306" s="3">
        <v>2</v>
      </c>
      <c r="J306" s="8" t="s">
        <v>752</v>
      </c>
      <c r="K306" s="8" t="s">
        <v>753</v>
      </c>
      <c r="L306" s="8" t="s">
        <v>723</v>
      </c>
      <c r="M306" s="1" t="s">
        <v>784</v>
      </c>
      <c r="N306" s="8" t="s">
        <v>785</v>
      </c>
      <c r="O306" s="6">
        <v>0</v>
      </c>
      <c r="P306" s="6">
        <v>60</v>
      </c>
      <c r="Q306" s="6">
        <v>0</v>
      </c>
      <c r="R306" s="6">
        <v>0</v>
      </c>
      <c r="S306" s="6">
        <v>0</v>
      </c>
    </row>
    <row r="307" spans="1:19" ht="15" x14ac:dyDescent="0.25">
      <c r="A307" s="7" t="s">
        <v>16</v>
      </c>
      <c r="B307" s="7" t="s">
        <v>17</v>
      </c>
      <c r="C307" s="7" t="s">
        <v>18</v>
      </c>
      <c r="D307" s="3">
        <v>394544021000</v>
      </c>
      <c r="E307" s="8" t="s">
        <v>656</v>
      </c>
      <c r="F307" s="8" t="s">
        <v>652</v>
      </c>
      <c r="G307" s="8" t="s">
        <v>241</v>
      </c>
      <c r="H307" s="8" t="s">
        <v>795</v>
      </c>
      <c r="I307" s="3">
        <v>2</v>
      </c>
      <c r="J307" s="8" t="s">
        <v>733</v>
      </c>
      <c r="K307" s="8" t="s">
        <v>734</v>
      </c>
      <c r="L307" s="8" t="s">
        <v>730</v>
      </c>
      <c r="M307" s="1" t="s">
        <v>784</v>
      </c>
      <c r="N307" s="8" t="s">
        <v>785</v>
      </c>
      <c r="O307" s="6">
        <v>0</v>
      </c>
      <c r="P307" s="6">
        <v>0</v>
      </c>
      <c r="Q307" s="6">
        <v>0</v>
      </c>
      <c r="R307" s="6">
        <v>0</v>
      </c>
      <c r="S307" s="6">
        <v>150</v>
      </c>
    </row>
    <row r="308" spans="1:19" ht="15" x14ac:dyDescent="0.25">
      <c r="A308" s="7" t="s">
        <v>16</v>
      </c>
      <c r="B308" s="7" t="s">
        <v>17</v>
      </c>
      <c r="C308" s="7" t="s">
        <v>18</v>
      </c>
      <c r="D308" s="3">
        <v>394544021000</v>
      </c>
      <c r="E308" s="8" t="s">
        <v>656</v>
      </c>
      <c r="F308" s="8" t="s">
        <v>652</v>
      </c>
      <c r="G308" s="8" t="s">
        <v>241</v>
      </c>
      <c r="H308" s="8" t="s">
        <v>795</v>
      </c>
      <c r="I308" s="3">
        <v>2</v>
      </c>
      <c r="J308" s="8" t="s">
        <v>760</v>
      </c>
      <c r="K308" s="8" t="s">
        <v>761</v>
      </c>
      <c r="L308" s="8" t="s">
        <v>723</v>
      </c>
      <c r="M308" s="1" t="s">
        <v>784</v>
      </c>
      <c r="N308" s="8" t="s">
        <v>785</v>
      </c>
      <c r="O308" s="6">
        <v>0</v>
      </c>
      <c r="P308" s="6">
        <v>0</v>
      </c>
      <c r="Q308" s="6">
        <v>0</v>
      </c>
      <c r="R308" s="6">
        <v>0</v>
      </c>
      <c r="S308" s="6">
        <v>150</v>
      </c>
    </row>
    <row r="309" spans="1:19" ht="15" x14ac:dyDescent="0.25">
      <c r="A309" s="7" t="s">
        <v>16</v>
      </c>
      <c r="B309" s="7" t="s">
        <v>17</v>
      </c>
      <c r="C309" s="7" t="s">
        <v>18</v>
      </c>
      <c r="D309" s="3">
        <v>9578217000158</v>
      </c>
      <c r="E309" s="8" t="s">
        <v>668</v>
      </c>
      <c r="F309" s="8" t="s">
        <v>652</v>
      </c>
      <c r="G309" s="8" t="s">
        <v>241</v>
      </c>
      <c r="H309" s="8" t="s">
        <v>795</v>
      </c>
      <c r="I309" s="3">
        <v>2</v>
      </c>
      <c r="J309" s="8" t="s">
        <v>733</v>
      </c>
      <c r="K309" s="8" t="s">
        <v>734</v>
      </c>
      <c r="L309" s="8" t="s">
        <v>730</v>
      </c>
      <c r="M309" s="1" t="s">
        <v>784</v>
      </c>
      <c r="N309" s="8" t="s">
        <v>785</v>
      </c>
      <c r="O309" s="6">
        <v>0</v>
      </c>
      <c r="P309" s="6">
        <v>0</v>
      </c>
      <c r="Q309" s="6">
        <v>0</v>
      </c>
      <c r="R309" s="6">
        <v>0</v>
      </c>
      <c r="S309" s="6">
        <v>0</v>
      </c>
    </row>
    <row r="310" spans="1:19" ht="15" x14ac:dyDescent="0.25">
      <c r="A310" s="7" t="s">
        <v>16</v>
      </c>
      <c r="B310" s="7" t="s">
        <v>17</v>
      </c>
      <c r="C310" s="7" t="s">
        <v>18</v>
      </c>
      <c r="D310" s="3">
        <v>9578217000158</v>
      </c>
      <c r="E310" s="8" t="s">
        <v>668</v>
      </c>
      <c r="F310" s="8" t="s">
        <v>652</v>
      </c>
      <c r="G310" s="8" t="s">
        <v>241</v>
      </c>
      <c r="H310" s="8" t="s">
        <v>795</v>
      </c>
      <c r="I310" s="3">
        <v>2</v>
      </c>
      <c r="J310" s="8" t="s">
        <v>760</v>
      </c>
      <c r="K310" s="8" t="s">
        <v>761</v>
      </c>
      <c r="L310" s="8" t="s">
        <v>723</v>
      </c>
      <c r="M310" s="1" t="s">
        <v>784</v>
      </c>
      <c r="N310" s="8" t="s">
        <v>785</v>
      </c>
      <c r="O310" s="6">
        <v>0</v>
      </c>
      <c r="P310" s="6">
        <v>3</v>
      </c>
      <c r="Q310" s="6">
        <v>4</v>
      </c>
      <c r="R310" s="6">
        <v>0</v>
      </c>
      <c r="S310" s="6">
        <v>0</v>
      </c>
    </row>
    <row r="311" spans="1:19" ht="15" x14ac:dyDescent="0.25">
      <c r="A311" s="7" t="s">
        <v>16</v>
      </c>
      <c r="B311" s="7" t="s">
        <v>17</v>
      </c>
      <c r="C311" s="7" t="s">
        <v>18</v>
      </c>
      <c r="D311" s="3">
        <v>6047087003316</v>
      </c>
      <c r="E311" s="8" t="s">
        <v>663</v>
      </c>
      <c r="F311" s="8" t="s">
        <v>652</v>
      </c>
      <c r="G311" s="8" t="s">
        <v>241</v>
      </c>
      <c r="H311" s="8" t="s">
        <v>795</v>
      </c>
      <c r="I311" s="3">
        <v>2</v>
      </c>
      <c r="J311" s="8" t="s">
        <v>733</v>
      </c>
      <c r="K311" s="8" t="s">
        <v>734</v>
      </c>
      <c r="L311" s="8" t="s">
        <v>730</v>
      </c>
      <c r="M311" s="1" t="s">
        <v>784</v>
      </c>
      <c r="N311" s="8" t="s">
        <v>785</v>
      </c>
      <c r="O311" s="6">
        <v>0</v>
      </c>
      <c r="P311" s="6">
        <v>0</v>
      </c>
      <c r="Q311" s="6">
        <v>0</v>
      </c>
      <c r="R311" s="6">
        <v>0</v>
      </c>
      <c r="S311" s="6">
        <v>0</v>
      </c>
    </row>
    <row r="312" spans="1:19" ht="15" x14ac:dyDescent="0.25">
      <c r="A312" s="7" t="s">
        <v>16</v>
      </c>
      <c r="B312" s="7" t="s">
        <v>17</v>
      </c>
      <c r="C312" s="7" t="s">
        <v>18</v>
      </c>
      <c r="D312" s="3">
        <v>6047087003316</v>
      </c>
      <c r="E312" s="8" t="s">
        <v>663</v>
      </c>
      <c r="F312" s="8" t="s">
        <v>652</v>
      </c>
      <c r="G312" s="8" t="s">
        <v>241</v>
      </c>
      <c r="H312" s="8" t="s">
        <v>795</v>
      </c>
      <c r="I312" s="3">
        <v>2</v>
      </c>
      <c r="J312" s="8" t="s">
        <v>760</v>
      </c>
      <c r="K312" s="8" t="s">
        <v>761</v>
      </c>
      <c r="L312" s="8" t="s">
        <v>723</v>
      </c>
      <c r="M312" s="1" t="s">
        <v>784</v>
      </c>
      <c r="N312" s="8" t="s">
        <v>785</v>
      </c>
      <c r="O312" s="6">
        <v>0</v>
      </c>
      <c r="P312" s="6">
        <v>3</v>
      </c>
      <c r="Q312" s="6">
        <v>1</v>
      </c>
      <c r="R312" s="6">
        <v>0</v>
      </c>
      <c r="S312" s="6">
        <v>0</v>
      </c>
    </row>
    <row r="313" spans="1:19" ht="15" x14ac:dyDescent="0.25">
      <c r="A313" s="7" t="s">
        <v>16</v>
      </c>
      <c r="B313" s="7" t="s">
        <v>17</v>
      </c>
      <c r="C313" s="7" t="s">
        <v>18</v>
      </c>
      <c r="D313" s="3">
        <v>29435005005783</v>
      </c>
      <c r="E313" s="8" t="s">
        <v>680</v>
      </c>
      <c r="F313" s="8" t="s">
        <v>652</v>
      </c>
      <c r="G313" s="8" t="s">
        <v>241</v>
      </c>
      <c r="H313" s="8" t="s">
        <v>795</v>
      </c>
      <c r="I313" s="3">
        <v>2</v>
      </c>
      <c r="J313" s="8" t="s">
        <v>733</v>
      </c>
      <c r="K313" s="8" t="s">
        <v>734</v>
      </c>
      <c r="L313" s="8" t="s">
        <v>730</v>
      </c>
      <c r="M313" s="1" t="s">
        <v>784</v>
      </c>
      <c r="N313" s="8" t="s">
        <v>785</v>
      </c>
      <c r="O313" s="6">
        <v>0</v>
      </c>
      <c r="P313" s="6">
        <v>0</v>
      </c>
      <c r="Q313" s="6">
        <v>0</v>
      </c>
      <c r="R313" s="6">
        <v>0</v>
      </c>
      <c r="S313" s="6">
        <v>225</v>
      </c>
    </row>
    <row r="314" spans="1:19" ht="15" x14ac:dyDescent="0.25">
      <c r="A314" s="7" t="s">
        <v>16</v>
      </c>
      <c r="B314" s="7" t="s">
        <v>17</v>
      </c>
      <c r="C314" s="7" t="s">
        <v>18</v>
      </c>
      <c r="D314" s="3">
        <v>29435005005783</v>
      </c>
      <c r="E314" s="8" t="s">
        <v>680</v>
      </c>
      <c r="F314" s="8" t="s">
        <v>652</v>
      </c>
      <c r="G314" s="8" t="s">
        <v>241</v>
      </c>
      <c r="H314" s="8" t="s">
        <v>795</v>
      </c>
      <c r="I314" s="3">
        <v>2</v>
      </c>
      <c r="J314" s="8" t="s">
        <v>752</v>
      </c>
      <c r="K314" s="8" t="s">
        <v>753</v>
      </c>
      <c r="L314" s="8" t="s">
        <v>723</v>
      </c>
      <c r="M314" s="1" t="s">
        <v>784</v>
      </c>
      <c r="N314" s="8" t="s">
        <v>785</v>
      </c>
      <c r="O314" s="6">
        <v>0</v>
      </c>
      <c r="P314" s="6">
        <v>0</v>
      </c>
      <c r="Q314" s="6">
        <v>0</v>
      </c>
      <c r="R314" s="6">
        <v>0</v>
      </c>
      <c r="S314" s="6">
        <v>225</v>
      </c>
    </row>
    <row r="315" spans="1:19" ht="15" x14ac:dyDescent="0.25">
      <c r="A315" s="7" t="s">
        <v>16</v>
      </c>
      <c r="B315" s="7" t="s">
        <v>17</v>
      </c>
      <c r="C315" s="7" t="s">
        <v>18</v>
      </c>
      <c r="D315" s="3">
        <v>29435005005198</v>
      </c>
      <c r="E315" s="8" t="s">
        <v>679</v>
      </c>
      <c r="F315" s="8" t="s">
        <v>652</v>
      </c>
      <c r="G315" s="8" t="s">
        <v>241</v>
      </c>
      <c r="H315" s="8" t="s">
        <v>795</v>
      </c>
      <c r="I315" s="3">
        <v>2</v>
      </c>
      <c r="J315" s="8" t="s">
        <v>733</v>
      </c>
      <c r="K315" s="8" t="s">
        <v>734</v>
      </c>
      <c r="L315" s="8" t="s">
        <v>730</v>
      </c>
      <c r="M315" s="1" t="s">
        <v>784</v>
      </c>
      <c r="N315" s="8" t="s">
        <v>785</v>
      </c>
      <c r="O315" s="6">
        <v>0</v>
      </c>
      <c r="P315" s="6">
        <v>0</v>
      </c>
      <c r="Q315" s="6">
        <v>0</v>
      </c>
      <c r="R315" s="6">
        <v>0</v>
      </c>
      <c r="S315" s="6">
        <v>0</v>
      </c>
    </row>
    <row r="316" spans="1:19" ht="15" x14ac:dyDescent="0.25">
      <c r="A316" s="7" t="s">
        <v>16</v>
      </c>
      <c r="B316" s="7" t="s">
        <v>17</v>
      </c>
      <c r="C316" s="7" t="s">
        <v>18</v>
      </c>
      <c r="D316" s="3">
        <v>29435005005198</v>
      </c>
      <c r="E316" s="8" t="s">
        <v>679</v>
      </c>
      <c r="F316" s="8" t="s">
        <v>652</v>
      </c>
      <c r="G316" s="8" t="s">
        <v>241</v>
      </c>
      <c r="H316" s="8" t="s">
        <v>795</v>
      </c>
      <c r="I316" s="3">
        <v>2</v>
      </c>
      <c r="J316" s="8" t="s">
        <v>760</v>
      </c>
      <c r="K316" s="8" t="s">
        <v>761</v>
      </c>
      <c r="L316" s="8" t="s">
        <v>723</v>
      </c>
      <c r="M316" s="1" t="s">
        <v>784</v>
      </c>
      <c r="N316" s="8" t="s">
        <v>785</v>
      </c>
      <c r="O316" s="6">
        <v>0</v>
      </c>
      <c r="P316" s="6">
        <v>16</v>
      </c>
      <c r="Q316" s="6">
        <v>17</v>
      </c>
      <c r="R316" s="6">
        <v>0</v>
      </c>
      <c r="S316" s="6">
        <v>0</v>
      </c>
    </row>
    <row r="317" spans="1:19" ht="15" x14ac:dyDescent="0.25">
      <c r="A317" s="7" t="s">
        <v>16</v>
      </c>
      <c r="B317" s="7" t="s">
        <v>17</v>
      </c>
      <c r="C317" s="7" t="s">
        <v>18</v>
      </c>
      <c r="D317" s="3">
        <v>6047087001020</v>
      </c>
      <c r="E317" s="8" t="s">
        <v>661</v>
      </c>
      <c r="F317" s="8" t="s">
        <v>652</v>
      </c>
      <c r="G317" s="8" t="s">
        <v>241</v>
      </c>
      <c r="H317" s="8" t="s">
        <v>795</v>
      </c>
      <c r="I317" s="3">
        <v>2</v>
      </c>
      <c r="J317" s="8" t="s">
        <v>733</v>
      </c>
      <c r="K317" s="8" t="s">
        <v>734</v>
      </c>
      <c r="L317" s="8" t="s">
        <v>730</v>
      </c>
      <c r="M317" s="1" t="s">
        <v>784</v>
      </c>
      <c r="N317" s="8" t="s">
        <v>785</v>
      </c>
      <c r="O317" s="6">
        <v>0</v>
      </c>
      <c r="P317" s="6">
        <v>0</v>
      </c>
      <c r="Q317" s="6">
        <v>0</v>
      </c>
      <c r="R317" s="6">
        <v>0</v>
      </c>
      <c r="S317" s="6">
        <v>0</v>
      </c>
    </row>
    <row r="318" spans="1:19" ht="15" x14ac:dyDescent="0.25">
      <c r="A318" s="7" t="s">
        <v>16</v>
      </c>
      <c r="B318" s="7" t="s">
        <v>17</v>
      </c>
      <c r="C318" s="7" t="s">
        <v>18</v>
      </c>
      <c r="D318" s="3">
        <v>6047087001020</v>
      </c>
      <c r="E318" s="8" t="s">
        <v>661</v>
      </c>
      <c r="F318" s="8" t="s">
        <v>652</v>
      </c>
      <c r="G318" s="8" t="s">
        <v>241</v>
      </c>
      <c r="H318" s="8" t="s">
        <v>795</v>
      </c>
      <c r="I318" s="3">
        <v>2</v>
      </c>
      <c r="J318" s="8" t="s">
        <v>760</v>
      </c>
      <c r="K318" s="8" t="s">
        <v>761</v>
      </c>
      <c r="L318" s="8" t="s">
        <v>723</v>
      </c>
      <c r="M318" s="1" t="s">
        <v>784</v>
      </c>
      <c r="N318" s="8" t="s">
        <v>785</v>
      </c>
      <c r="O318" s="6">
        <v>0</v>
      </c>
      <c r="P318" s="6">
        <v>80</v>
      </c>
      <c r="Q318" s="6">
        <v>100</v>
      </c>
      <c r="R318" s="6">
        <v>0</v>
      </c>
      <c r="S318" s="6">
        <v>0</v>
      </c>
    </row>
    <row r="319" spans="1:19" ht="15" x14ac:dyDescent="0.25">
      <c r="A319" s="7" t="s">
        <v>16</v>
      </c>
      <c r="B319" s="7" t="s">
        <v>17</v>
      </c>
      <c r="C319" s="7" t="s">
        <v>18</v>
      </c>
      <c r="D319" s="3">
        <v>29259736000403</v>
      </c>
      <c r="E319" s="8" t="s">
        <v>678</v>
      </c>
      <c r="F319" s="8" t="s">
        <v>652</v>
      </c>
      <c r="G319" s="8" t="s">
        <v>241</v>
      </c>
      <c r="H319" s="8" t="s">
        <v>795</v>
      </c>
      <c r="I319" s="3">
        <v>2</v>
      </c>
      <c r="J319" s="8" t="s">
        <v>733</v>
      </c>
      <c r="K319" s="8" t="s">
        <v>734</v>
      </c>
      <c r="L319" s="8" t="s">
        <v>730</v>
      </c>
      <c r="M319" s="1" t="s">
        <v>784</v>
      </c>
      <c r="N319" s="8" t="s">
        <v>785</v>
      </c>
      <c r="O319" s="6">
        <v>0</v>
      </c>
      <c r="P319" s="6">
        <v>0</v>
      </c>
      <c r="Q319" s="6">
        <v>0</v>
      </c>
      <c r="R319" s="6">
        <v>40</v>
      </c>
      <c r="S319" s="6">
        <v>0</v>
      </c>
    </row>
    <row r="320" spans="1:19" ht="15" x14ac:dyDescent="0.25">
      <c r="A320" s="7" t="s">
        <v>16</v>
      </c>
      <c r="B320" s="7" t="s">
        <v>17</v>
      </c>
      <c r="C320" s="7" t="s">
        <v>18</v>
      </c>
      <c r="D320" s="3">
        <v>29259736000403</v>
      </c>
      <c r="E320" s="8" t="s">
        <v>678</v>
      </c>
      <c r="F320" s="8" t="s">
        <v>652</v>
      </c>
      <c r="G320" s="8" t="s">
        <v>241</v>
      </c>
      <c r="H320" s="8" t="s">
        <v>795</v>
      </c>
      <c r="I320" s="3">
        <v>2</v>
      </c>
      <c r="J320" s="8" t="s">
        <v>760</v>
      </c>
      <c r="K320" s="8" t="s">
        <v>761</v>
      </c>
      <c r="L320" s="8" t="s">
        <v>723</v>
      </c>
      <c r="M320" s="1" t="s">
        <v>784</v>
      </c>
      <c r="N320" s="8" t="s">
        <v>785</v>
      </c>
      <c r="O320" s="6">
        <v>0</v>
      </c>
      <c r="P320" s="6">
        <v>5</v>
      </c>
      <c r="Q320" s="6">
        <v>0</v>
      </c>
      <c r="R320" s="6">
        <v>0</v>
      </c>
      <c r="S320" s="6">
        <v>0</v>
      </c>
    </row>
    <row r="321" spans="1:19" ht="15" x14ac:dyDescent="0.25">
      <c r="A321" s="7" t="s">
        <v>16</v>
      </c>
      <c r="B321" s="7" t="s">
        <v>17</v>
      </c>
      <c r="C321" s="7" t="s">
        <v>18</v>
      </c>
      <c r="D321" s="3">
        <v>8100676002102</v>
      </c>
      <c r="E321" s="8" t="s">
        <v>665</v>
      </c>
      <c r="F321" s="8" t="s">
        <v>652</v>
      </c>
      <c r="G321" s="8" t="s">
        <v>241</v>
      </c>
      <c r="H321" s="8" t="s">
        <v>795</v>
      </c>
      <c r="I321" s="3">
        <v>2</v>
      </c>
      <c r="J321" s="8" t="s">
        <v>733</v>
      </c>
      <c r="K321" s="8" t="s">
        <v>734</v>
      </c>
      <c r="L321" s="8" t="s">
        <v>730</v>
      </c>
      <c r="M321" s="1" t="s">
        <v>784</v>
      </c>
      <c r="N321" s="8" t="s">
        <v>785</v>
      </c>
      <c r="O321" s="6">
        <v>0</v>
      </c>
      <c r="P321" s="6">
        <v>0</v>
      </c>
      <c r="Q321" s="6">
        <v>0</v>
      </c>
      <c r="R321" s="6">
        <v>0</v>
      </c>
      <c r="S321" s="6">
        <v>0</v>
      </c>
    </row>
    <row r="322" spans="1:19" ht="15" x14ac:dyDescent="0.25">
      <c r="A322" s="7" t="s">
        <v>16</v>
      </c>
      <c r="B322" s="7" t="s">
        <v>17</v>
      </c>
      <c r="C322" s="7" t="s">
        <v>18</v>
      </c>
      <c r="D322" s="3">
        <v>8100676002102</v>
      </c>
      <c r="E322" s="8" t="s">
        <v>665</v>
      </c>
      <c r="F322" s="8" t="s">
        <v>652</v>
      </c>
      <c r="G322" s="8" t="s">
        <v>241</v>
      </c>
      <c r="H322" s="8" t="s">
        <v>795</v>
      </c>
      <c r="I322" s="3">
        <v>2</v>
      </c>
      <c r="J322" s="8" t="s">
        <v>760</v>
      </c>
      <c r="K322" s="8" t="s">
        <v>761</v>
      </c>
      <c r="L322" s="8" t="s">
        <v>723</v>
      </c>
      <c r="M322" s="1" t="s">
        <v>784</v>
      </c>
      <c r="N322" s="8" t="s">
        <v>785</v>
      </c>
      <c r="O322" s="6">
        <v>0</v>
      </c>
      <c r="P322" s="6">
        <v>31</v>
      </c>
      <c r="Q322" s="6">
        <v>19</v>
      </c>
      <c r="R322" s="6">
        <v>0</v>
      </c>
      <c r="S322" s="6">
        <v>0</v>
      </c>
    </row>
    <row r="323" spans="1:19" ht="15" x14ac:dyDescent="0.25">
      <c r="A323" s="7" t="s">
        <v>16</v>
      </c>
      <c r="B323" s="7" t="s">
        <v>17</v>
      </c>
      <c r="C323" s="7" t="s">
        <v>18</v>
      </c>
      <c r="D323" s="3">
        <v>29435005006160</v>
      </c>
      <c r="E323" s="8" t="s">
        <v>681</v>
      </c>
      <c r="F323" s="8" t="s">
        <v>652</v>
      </c>
      <c r="G323" s="8" t="s">
        <v>241</v>
      </c>
      <c r="H323" s="8" t="s">
        <v>795</v>
      </c>
      <c r="I323" s="3">
        <v>2</v>
      </c>
      <c r="J323" s="8" t="s">
        <v>733</v>
      </c>
      <c r="K323" s="8" t="s">
        <v>734</v>
      </c>
      <c r="L323" s="8" t="s">
        <v>730</v>
      </c>
      <c r="M323" s="1" t="s">
        <v>784</v>
      </c>
      <c r="N323" s="8" t="s">
        <v>785</v>
      </c>
      <c r="O323" s="6">
        <v>0</v>
      </c>
      <c r="P323" s="6">
        <v>0</v>
      </c>
      <c r="Q323" s="6">
        <v>0</v>
      </c>
      <c r="R323" s="6">
        <v>0</v>
      </c>
      <c r="S323" s="6">
        <v>50</v>
      </c>
    </row>
    <row r="324" spans="1:19" ht="15" x14ac:dyDescent="0.25">
      <c r="A324" s="7" t="s">
        <v>16</v>
      </c>
      <c r="B324" s="7" t="s">
        <v>17</v>
      </c>
      <c r="C324" s="7" t="s">
        <v>18</v>
      </c>
      <c r="D324" s="3">
        <v>29435005006160</v>
      </c>
      <c r="E324" s="8" t="s">
        <v>681</v>
      </c>
      <c r="F324" s="8" t="s">
        <v>652</v>
      </c>
      <c r="G324" s="8" t="s">
        <v>241</v>
      </c>
      <c r="H324" s="8" t="s">
        <v>795</v>
      </c>
      <c r="I324" s="3">
        <v>2</v>
      </c>
      <c r="J324" s="8" t="s">
        <v>760</v>
      </c>
      <c r="K324" s="8" t="s">
        <v>761</v>
      </c>
      <c r="L324" s="8" t="s">
        <v>723</v>
      </c>
      <c r="M324" s="1" t="s">
        <v>784</v>
      </c>
      <c r="N324" s="8" t="s">
        <v>785</v>
      </c>
      <c r="O324" s="6">
        <v>0</v>
      </c>
      <c r="P324" s="6">
        <v>5</v>
      </c>
      <c r="Q324" s="6">
        <v>6</v>
      </c>
      <c r="R324" s="6">
        <v>0</v>
      </c>
      <c r="S324" s="6">
        <v>50</v>
      </c>
    </row>
    <row r="325" spans="1:19" ht="15" x14ac:dyDescent="0.25">
      <c r="A325" s="7" t="s">
        <v>16</v>
      </c>
      <c r="B325" s="7" t="s">
        <v>17</v>
      </c>
      <c r="C325" s="7" t="s">
        <v>18</v>
      </c>
      <c r="D325" s="3">
        <v>53221255004995</v>
      </c>
      <c r="E325" s="8" t="s">
        <v>692</v>
      </c>
      <c r="F325" s="8" t="s">
        <v>652</v>
      </c>
      <c r="G325" s="8" t="s">
        <v>241</v>
      </c>
      <c r="H325" s="8" t="s">
        <v>795</v>
      </c>
      <c r="I325" s="3">
        <v>2</v>
      </c>
      <c r="J325" s="8" t="s">
        <v>733</v>
      </c>
      <c r="K325" s="8" t="s">
        <v>734</v>
      </c>
      <c r="L325" s="8" t="s">
        <v>730</v>
      </c>
      <c r="M325" s="1" t="s">
        <v>784</v>
      </c>
      <c r="N325" s="8" t="s">
        <v>785</v>
      </c>
      <c r="O325" s="6">
        <v>0</v>
      </c>
      <c r="P325" s="6">
        <v>0</v>
      </c>
      <c r="Q325" s="6">
        <v>0</v>
      </c>
      <c r="R325" s="6">
        <v>0</v>
      </c>
      <c r="S325" s="6">
        <v>0</v>
      </c>
    </row>
    <row r="326" spans="1:19" ht="15" x14ac:dyDescent="0.25">
      <c r="A326" s="7" t="s">
        <v>16</v>
      </c>
      <c r="B326" s="7" t="s">
        <v>17</v>
      </c>
      <c r="C326" s="7" t="s">
        <v>18</v>
      </c>
      <c r="D326" s="3">
        <v>53221255004995</v>
      </c>
      <c r="E326" s="8" t="s">
        <v>692</v>
      </c>
      <c r="F326" s="8" t="s">
        <v>652</v>
      </c>
      <c r="G326" s="8" t="s">
        <v>241</v>
      </c>
      <c r="H326" s="8" t="s">
        <v>795</v>
      </c>
      <c r="I326" s="3">
        <v>2</v>
      </c>
      <c r="J326" s="8" t="s">
        <v>760</v>
      </c>
      <c r="K326" s="8" t="s">
        <v>761</v>
      </c>
      <c r="L326" s="8" t="s">
        <v>723</v>
      </c>
      <c r="M326" s="1" t="s">
        <v>784</v>
      </c>
      <c r="N326" s="8" t="s">
        <v>785</v>
      </c>
      <c r="O326" s="6">
        <v>0</v>
      </c>
      <c r="P326" s="6">
        <v>0</v>
      </c>
      <c r="Q326" s="6">
        <v>2</v>
      </c>
      <c r="R326" s="6">
        <v>0</v>
      </c>
      <c r="S326" s="6">
        <v>0</v>
      </c>
    </row>
    <row r="327" spans="1:19" ht="15" x14ac:dyDescent="0.25">
      <c r="A327" s="7" t="s">
        <v>16</v>
      </c>
      <c r="B327" s="7" t="s">
        <v>17</v>
      </c>
      <c r="C327" s="7" t="s">
        <v>18</v>
      </c>
      <c r="D327" s="3">
        <v>60884855001630</v>
      </c>
      <c r="E327" s="8" t="s">
        <v>693</v>
      </c>
      <c r="F327" s="8" t="s">
        <v>652</v>
      </c>
      <c r="G327" s="8" t="s">
        <v>241</v>
      </c>
      <c r="H327" s="8" t="s">
        <v>795</v>
      </c>
      <c r="I327" s="3">
        <v>2</v>
      </c>
      <c r="J327" s="8" t="s">
        <v>733</v>
      </c>
      <c r="K327" s="8" t="s">
        <v>734</v>
      </c>
      <c r="L327" s="8" t="s">
        <v>730</v>
      </c>
      <c r="M327" s="1" t="s">
        <v>784</v>
      </c>
      <c r="N327" s="8" t="s">
        <v>785</v>
      </c>
      <c r="O327" s="6">
        <v>0</v>
      </c>
      <c r="P327" s="6">
        <v>0</v>
      </c>
      <c r="Q327" s="6">
        <v>0</v>
      </c>
      <c r="R327" s="6">
        <v>0</v>
      </c>
      <c r="S327" s="6">
        <v>375</v>
      </c>
    </row>
    <row r="328" spans="1:19" ht="15" x14ac:dyDescent="0.25">
      <c r="A328" s="7" t="s">
        <v>16</v>
      </c>
      <c r="B328" s="7" t="s">
        <v>17</v>
      </c>
      <c r="C328" s="7" t="s">
        <v>18</v>
      </c>
      <c r="D328" s="3">
        <v>60884855001630</v>
      </c>
      <c r="E328" s="8" t="s">
        <v>693</v>
      </c>
      <c r="F328" s="8" t="s">
        <v>652</v>
      </c>
      <c r="G328" s="8" t="s">
        <v>241</v>
      </c>
      <c r="H328" s="8" t="s">
        <v>795</v>
      </c>
      <c r="I328" s="3">
        <v>2</v>
      </c>
      <c r="J328" s="8" t="s">
        <v>752</v>
      </c>
      <c r="K328" s="8" t="s">
        <v>753</v>
      </c>
      <c r="L328" s="8" t="s">
        <v>723</v>
      </c>
      <c r="M328" s="1" t="s">
        <v>784</v>
      </c>
      <c r="N328" s="8" t="s">
        <v>785</v>
      </c>
      <c r="O328" s="6">
        <v>0</v>
      </c>
      <c r="P328" s="6">
        <v>9</v>
      </c>
      <c r="Q328" s="6">
        <v>25</v>
      </c>
      <c r="R328" s="6">
        <v>0</v>
      </c>
      <c r="S328" s="6">
        <v>375</v>
      </c>
    </row>
    <row r="329" spans="1:19" ht="15" x14ac:dyDescent="0.25">
      <c r="A329" s="7" t="s">
        <v>16</v>
      </c>
      <c r="B329" s="7" t="s">
        <v>17</v>
      </c>
      <c r="C329" s="7" t="s">
        <v>18</v>
      </c>
      <c r="D329" s="3">
        <v>18010750000100</v>
      </c>
      <c r="E329" s="8" t="s">
        <v>671</v>
      </c>
      <c r="F329" s="8" t="s">
        <v>652</v>
      </c>
      <c r="G329" s="8" t="s">
        <v>241</v>
      </c>
      <c r="H329" s="8" t="s">
        <v>795</v>
      </c>
      <c r="I329" s="3">
        <v>2</v>
      </c>
      <c r="J329" s="8" t="s">
        <v>733</v>
      </c>
      <c r="K329" s="8" t="s">
        <v>734</v>
      </c>
      <c r="L329" s="8" t="s">
        <v>730</v>
      </c>
      <c r="M329" s="1" t="s">
        <v>784</v>
      </c>
      <c r="N329" s="8" t="s">
        <v>785</v>
      </c>
      <c r="O329" s="6">
        <v>0</v>
      </c>
      <c r="P329" s="6">
        <v>0</v>
      </c>
      <c r="Q329" s="6">
        <v>0</v>
      </c>
      <c r="R329" s="6">
        <v>0</v>
      </c>
      <c r="S329" s="6">
        <v>150</v>
      </c>
    </row>
    <row r="330" spans="1:19" ht="15" x14ac:dyDescent="0.25">
      <c r="A330" s="7" t="s">
        <v>16</v>
      </c>
      <c r="B330" s="7" t="s">
        <v>17</v>
      </c>
      <c r="C330" s="7" t="s">
        <v>18</v>
      </c>
      <c r="D330" s="3">
        <v>18010750000100</v>
      </c>
      <c r="E330" s="8" t="s">
        <v>671</v>
      </c>
      <c r="F330" s="8" t="s">
        <v>652</v>
      </c>
      <c r="G330" s="8" t="s">
        <v>241</v>
      </c>
      <c r="H330" s="8" t="s">
        <v>795</v>
      </c>
      <c r="I330" s="3">
        <v>2</v>
      </c>
      <c r="J330" s="8" t="s">
        <v>752</v>
      </c>
      <c r="K330" s="8" t="s">
        <v>753</v>
      </c>
      <c r="L330" s="8" t="s">
        <v>723</v>
      </c>
      <c r="M330" s="1" t="s">
        <v>784</v>
      </c>
      <c r="N330" s="8" t="s">
        <v>785</v>
      </c>
      <c r="O330" s="6">
        <v>0</v>
      </c>
      <c r="P330" s="6">
        <v>0</v>
      </c>
      <c r="Q330" s="6">
        <v>0</v>
      </c>
      <c r="R330" s="6">
        <v>0</v>
      </c>
      <c r="S330" s="6">
        <v>150</v>
      </c>
    </row>
    <row r="331" spans="1:19" ht="15" x14ac:dyDescent="0.25">
      <c r="A331" s="7" t="s">
        <v>16</v>
      </c>
      <c r="B331" s="7" t="s">
        <v>17</v>
      </c>
      <c r="C331" s="7" t="s">
        <v>18</v>
      </c>
      <c r="D331" s="3">
        <v>33663683005347</v>
      </c>
      <c r="E331" s="8" t="s">
        <v>688</v>
      </c>
      <c r="F331" s="8" t="s">
        <v>652</v>
      </c>
      <c r="G331" s="8" t="s">
        <v>241</v>
      </c>
      <c r="H331" s="8" t="s">
        <v>795</v>
      </c>
      <c r="I331" s="3">
        <v>2</v>
      </c>
      <c r="J331" s="8" t="s">
        <v>733</v>
      </c>
      <c r="K331" s="8" t="s">
        <v>734</v>
      </c>
      <c r="L331" s="8" t="s">
        <v>730</v>
      </c>
      <c r="M331" s="1" t="s">
        <v>784</v>
      </c>
      <c r="N331" s="8" t="s">
        <v>785</v>
      </c>
      <c r="O331" s="6">
        <v>0</v>
      </c>
      <c r="P331" s="6">
        <v>0</v>
      </c>
      <c r="Q331" s="6">
        <v>0</v>
      </c>
      <c r="R331" s="6">
        <v>0</v>
      </c>
      <c r="S331" s="6">
        <v>800</v>
      </c>
    </row>
    <row r="332" spans="1:19" ht="15" x14ac:dyDescent="0.25">
      <c r="A332" s="7" t="s">
        <v>16</v>
      </c>
      <c r="B332" s="7" t="s">
        <v>17</v>
      </c>
      <c r="C332" s="7" t="s">
        <v>18</v>
      </c>
      <c r="D332" s="3">
        <v>33663683005347</v>
      </c>
      <c r="E332" s="8" t="s">
        <v>688</v>
      </c>
      <c r="F332" s="8" t="s">
        <v>652</v>
      </c>
      <c r="G332" s="8" t="s">
        <v>241</v>
      </c>
      <c r="H332" s="8" t="s">
        <v>795</v>
      </c>
      <c r="I332" s="3">
        <v>2</v>
      </c>
      <c r="J332" s="8" t="s">
        <v>752</v>
      </c>
      <c r="K332" s="8" t="s">
        <v>753</v>
      </c>
      <c r="L332" s="8" t="s">
        <v>723</v>
      </c>
      <c r="M332" s="1" t="s">
        <v>784</v>
      </c>
      <c r="N332" s="8" t="s">
        <v>785</v>
      </c>
      <c r="O332" s="6">
        <v>0</v>
      </c>
      <c r="P332" s="6">
        <v>0</v>
      </c>
      <c r="Q332" s="6">
        <v>0</v>
      </c>
      <c r="R332" s="6">
        <v>0</v>
      </c>
      <c r="S332" s="6">
        <v>800</v>
      </c>
    </row>
    <row r="333" spans="1:19" ht="15" x14ac:dyDescent="0.25">
      <c r="A333" s="7" t="s">
        <v>16</v>
      </c>
      <c r="B333" s="7" t="s">
        <v>17</v>
      </c>
      <c r="C333" s="7" t="s">
        <v>18</v>
      </c>
      <c r="D333" s="3">
        <v>33663683002674</v>
      </c>
      <c r="E333" s="8" t="s">
        <v>687</v>
      </c>
      <c r="F333" s="8" t="s">
        <v>652</v>
      </c>
      <c r="G333" s="8" t="s">
        <v>241</v>
      </c>
      <c r="H333" s="8" t="s">
        <v>795</v>
      </c>
      <c r="I333" s="3">
        <v>2</v>
      </c>
      <c r="J333" s="8" t="s">
        <v>733</v>
      </c>
      <c r="K333" s="8" t="s">
        <v>734</v>
      </c>
      <c r="L333" s="8" t="s">
        <v>730</v>
      </c>
      <c r="M333" s="1" t="s">
        <v>784</v>
      </c>
      <c r="N333" s="8" t="s">
        <v>785</v>
      </c>
      <c r="O333" s="6">
        <v>0</v>
      </c>
      <c r="P333" s="6">
        <v>0</v>
      </c>
      <c r="Q333" s="6">
        <v>0</v>
      </c>
      <c r="R333" s="6">
        <v>0</v>
      </c>
      <c r="S333" s="6">
        <v>0</v>
      </c>
    </row>
    <row r="334" spans="1:19" ht="15" x14ac:dyDescent="0.25">
      <c r="A334" s="7" t="s">
        <v>16</v>
      </c>
      <c r="B334" s="7" t="s">
        <v>17</v>
      </c>
      <c r="C334" s="7" t="s">
        <v>18</v>
      </c>
      <c r="D334" s="3">
        <v>33663683002674</v>
      </c>
      <c r="E334" s="8" t="s">
        <v>687</v>
      </c>
      <c r="F334" s="8" t="s">
        <v>652</v>
      </c>
      <c r="G334" s="8" t="s">
        <v>241</v>
      </c>
      <c r="H334" s="8" t="s">
        <v>795</v>
      </c>
      <c r="I334" s="3">
        <v>2</v>
      </c>
      <c r="J334" s="8" t="s">
        <v>760</v>
      </c>
      <c r="K334" s="8" t="s">
        <v>761</v>
      </c>
      <c r="L334" s="8" t="s">
        <v>723</v>
      </c>
      <c r="M334" s="1" t="s">
        <v>784</v>
      </c>
      <c r="N334" s="8" t="s">
        <v>785</v>
      </c>
      <c r="O334" s="6">
        <v>0</v>
      </c>
      <c r="P334" s="6">
        <v>2</v>
      </c>
      <c r="Q334" s="6">
        <v>0</v>
      </c>
      <c r="R334" s="6">
        <v>0</v>
      </c>
      <c r="S334" s="6">
        <v>0</v>
      </c>
    </row>
    <row r="335" spans="1:19" ht="15" x14ac:dyDescent="0.25">
      <c r="A335" s="7" t="s">
        <v>16</v>
      </c>
      <c r="B335" s="7" t="s">
        <v>17</v>
      </c>
      <c r="C335" s="7" t="s">
        <v>18</v>
      </c>
      <c r="D335" s="3">
        <v>8850962000222</v>
      </c>
      <c r="E335" s="8" t="s">
        <v>666</v>
      </c>
      <c r="F335" s="8" t="s">
        <v>652</v>
      </c>
      <c r="G335" s="8" t="s">
        <v>241</v>
      </c>
      <c r="H335" s="8" t="s">
        <v>795</v>
      </c>
      <c r="I335" s="3">
        <v>2</v>
      </c>
      <c r="J335" s="8" t="s">
        <v>733</v>
      </c>
      <c r="K335" s="8" t="s">
        <v>734</v>
      </c>
      <c r="L335" s="8" t="s">
        <v>730</v>
      </c>
      <c r="M335" s="1" t="s">
        <v>784</v>
      </c>
      <c r="N335" s="8" t="s">
        <v>785</v>
      </c>
      <c r="O335" s="6">
        <v>0</v>
      </c>
      <c r="P335" s="6">
        <v>0</v>
      </c>
      <c r="Q335" s="6">
        <v>0</v>
      </c>
      <c r="R335" s="6">
        <v>0</v>
      </c>
      <c r="S335" s="6">
        <v>0</v>
      </c>
    </row>
    <row r="336" spans="1:19" ht="15" x14ac:dyDescent="0.25">
      <c r="A336" s="7" t="s">
        <v>16</v>
      </c>
      <c r="B336" s="7" t="s">
        <v>17</v>
      </c>
      <c r="C336" s="7" t="s">
        <v>18</v>
      </c>
      <c r="D336" s="3">
        <v>8850962000222</v>
      </c>
      <c r="E336" s="8" t="s">
        <v>666</v>
      </c>
      <c r="F336" s="8" t="s">
        <v>652</v>
      </c>
      <c r="G336" s="8" t="s">
        <v>241</v>
      </c>
      <c r="H336" s="8" t="s">
        <v>795</v>
      </c>
      <c r="I336" s="3">
        <v>2</v>
      </c>
      <c r="J336" s="8" t="s">
        <v>760</v>
      </c>
      <c r="K336" s="8" t="s">
        <v>761</v>
      </c>
      <c r="L336" s="8" t="s">
        <v>723</v>
      </c>
      <c r="M336" s="1" t="s">
        <v>784</v>
      </c>
      <c r="N336" s="8" t="s">
        <v>785</v>
      </c>
      <c r="O336" s="6">
        <v>0</v>
      </c>
      <c r="P336" s="6">
        <v>1</v>
      </c>
      <c r="Q336" s="6">
        <v>1</v>
      </c>
      <c r="R336" s="6">
        <v>0</v>
      </c>
      <c r="S336" s="6">
        <v>0</v>
      </c>
    </row>
    <row r="337" spans="1:19" ht="15" x14ac:dyDescent="0.25">
      <c r="A337" s="7" t="s">
        <v>16</v>
      </c>
      <c r="B337" s="7" t="s">
        <v>17</v>
      </c>
      <c r="C337" s="7" t="s">
        <v>18</v>
      </c>
      <c r="D337" s="3">
        <v>33781055000216</v>
      </c>
      <c r="E337" s="8" t="s">
        <v>689</v>
      </c>
      <c r="F337" s="8" t="s">
        <v>652</v>
      </c>
      <c r="G337" s="8" t="s">
        <v>241</v>
      </c>
      <c r="H337" s="8" t="s">
        <v>795</v>
      </c>
      <c r="I337" s="3">
        <v>2</v>
      </c>
      <c r="J337" s="8" t="s">
        <v>733</v>
      </c>
      <c r="K337" s="8" t="s">
        <v>734</v>
      </c>
      <c r="L337" s="8" t="s">
        <v>730</v>
      </c>
      <c r="M337" s="1" t="s">
        <v>784</v>
      </c>
      <c r="N337" s="8" t="s">
        <v>785</v>
      </c>
      <c r="O337" s="6">
        <v>0</v>
      </c>
      <c r="P337" s="6">
        <v>0</v>
      </c>
      <c r="Q337" s="6">
        <v>0</v>
      </c>
      <c r="R337" s="6">
        <v>0</v>
      </c>
      <c r="S337" s="6">
        <v>270</v>
      </c>
    </row>
    <row r="338" spans="1:19" ht="15" x14ac:dyDescent="0.25">
      <c r="A338" s="7" t="s">
        <v>16</v>
      </c>
      <c r="B338" s="7" t="s">
        <v>17</v>
      </c>
      <c r="C338" s="7" t="s">
        <v>18</v>
      </c>
      <c r="D338" s="3">
        <v>33781055000216</v>
      </c>
      <c r="E338" s="8" t="s">
        <v>689</v>
      </c>
      <c r="F338" s="8" t="s">
        <v>652</v>
      </c>
      <c r="G338" s="8" t="s">
        <v>241</v>
      </c>
      <c r="H338" s="8" t="s">
        <v>795</v>
      </c>
      <c r="I338" s="3">
        <v>2</v>
      </c>
      <c r="J338" s="8" t="s">
        <v>760</v>
      </c>
      <c r="K338" s="8" t="s">
        <v>761</v>
      </c>
      <c r="L338" s="8" t="s">
        <v>723</v>
      </c>
      <c r="M338" s="1" t="s">
        <v>784</v>
      </c>
      <c r="N338" s="8" t="s">
        <v>785</v>
      </c>
      <c r="O338" s="6">
        <v>0</v>
      </c>
      <c r="P338" s="6">
        <v>0</v>
      </c>
      <c r="Q338" s="6">
        <v>0</v>
      </c>
      <c r="R338" s="6">
        <v>0</v>
      </c>
      <c r="S338" s="6">
        <v>270</v>
      </c>
    </row>
    <row r="339" spans="1:19" ht="15" x14ac:dyDescent="0.25">
      <c r="A339" s="7" t="s">
        <v>16</v>
      </c>
      <c r="B339" s="7" t="s">
        <v>17</v>
      </c>
      <c r="C339" s="7" t="s">
        <v>18</v>
      </c>
      <c r="D339" s="3">
        <v>394544021344</v>
      </c>
      <c r="E339" s="8" t="s">
        <v>657</v>
      </c>
      <c r="F339" s="8" t="s">
        <v>652</v>
      </c>
      <c r="G339" s="8" t="s">
        <v>241</v>
      </c>
      <c r="H339" s="8" t="s">
        <v>795</v>
      </c>
      <c r="I339" s="3">
        <v>2</v>
      </c>
      <c r="J339" s="8" t="s">
        <v>733</v>
      </c>
      <c r="K339" s="8" t="s">
        <v>734</v>
      </c>
      <c r="L339" s="8" t="s">
        <v>730</v>
      </c>
      <c r="M339" s="1" t="s">
        <v>784</v>
      </c>
      <c r="N339" s="8" t="s">
        <v>785</v>
      </c>
      <c r="O339" s="6">
        <v>0</v>
      </c>
      <c r="P339" s="6">
        <v>0</v>
      </c>
      <c r="Q339" s="6">
        <v>0</v>
      </c>
      <c r="R339" s="6">
        <v>0</v>
      </c>
      <c r="S339" s="6">
        <v>0</v>
      </c>
    </row>
    <row r="340" spans="1:19" ht="15" x14ac:dyDescent="0.25">
      <c r="A340" s="7" t="s">
        <v>16</v>
      </c>
      <c r="B340" s="7" t="s">
        <v>17</v>
      </c>
      <c r="C340" s="7" t="s">
        <v>18</v>
      </c>
      <c r="D340" s="3">
        <v>394544021344</v>
      </c>
      <c r="E340" s="8" t="s">
        <v>657</v>
      </c>
      <c r="F340" s="8" t="s">
        <v>652</v>
      </c>
      <c r="G340" s="8" t="s">
        <v>241</v>
      </c>
      <c r="H340" s="8" t="s">
        <v>795</v>
      </c>
      <c r="I340" s="3">
        <v>2</v>
      </c>
      <c r="J340" s="8" t="s">
        <v>760</v>
      </c>
      <c r="K340" s="8" t="s">
        <v>761</v>
      </c>
      <c r="L340" s="8" t="s">
        <v>723</v>
      </c>
      <c r="M340" s="1" t="s">
        <v>784</v>
      </c>
      <c r="N340" s="8" t="s">
        <v>785</v>
      </c>
      <c r="O340" s="6">
        <v>0</v>
      </c>
      <c r="P340" s="6">
        <v>70</v>
      </c>
      <c r="Q340" s="6">
        <v>190</v>
      </c>
      <c r="R340" s="6">
        <v>0</v>
      </c>
      <c r="S340" s="6">
        <v>0</v>
      </c>
    </row>
    <row r="341" spans="1:19" ht="15" x14ac:dyDescent="0.25">
      <c r="A341" s="7" t="s">
        <v>16</v>
      </c>
      <c r="B341" s="7" t="s">
        <v>17</v>
      </c>
      <c r="C341" s="7" t="s">
        <v>18</v>
      </c>
      <c r="D341" s="3">
        <v>33419482000259</v>
      </c>
      <c r="E341" s="8" t="s">
        <v>686</v>
      </c>
      <c r="F341" s="8" t="s">
        <v>652</v>
      </c>
      <c r="G341" s="8" t="s">
        <v>241</v>
      </c>
      <c r="H341" s="8" t="s">
        <v>795</v>
      </c>
      <c r="I341" s="3">
        <v>2</v>
      </c>
      <c r="J341" s="8" t="s">
        <v>733</v>
      </c>
      <c r="K341" s="8" t="s">
        <v>734</v>
      </c>
      <c r="L341" s="8" t="s">
        <v>730</v>
      </c>
      <c r="M341" s="1" t="s">
        <v>784</v>
      </c>
      <c r="N341" s="8" t="s">
        <v>785</v>
      </c>
      <c r="O341" s="6">
        <v>0</v>
      </c>
      <c r="P341" s="6">
        <v>0</v>
      </c>
      <c r="Q341" s="6">
        <v>0</v>
      </c>
      <c r="R341" s="6">
        <v>0</v>
      </c>
      <c r="S341" s="6">
        <v>10</v>
      </c>
    </row>
    <row r="342" spans="1:19" ht="15" x14ac:dyDescent="0.25">
      <c r="A342" s="7" t="s">
        <v>16</v>
      </c>
      <c r="B342" s="7" t="s">
        <v>17</v>
      </c>
      <c r="C342" s="7" t="s">
        <v>18</v>
      </c>
      <c r="D342" s="3">
        <v>33419482000259</v>
      </c>
      <c r="E342" s="8" t="s">
        <v>686</v>
      </c>
      <c r="F342" s="8" t="s">
        <v>652</v>
      </c>
      <c r="G342" s="8" t="s">
        <v>241</v>
      </c>
      <c r="H342" s="8" t="s">
        <v>795</v>
      </c>
      <c r="I342" s="3">
        <v>2</v>
      </c>
      <c r="J342" s="8" t="s">
        <v>760</v>
      </c>
      <c r="K342" s="8" t="s">
        <v>761</v>
      </c>
      <c r="L342" s="8" t="s">
        <v>723</v>
      </c>
      <c r="M342" s="1" t="s">
        <v>784</v>
      </c>
      <c r="N342" s="8" t="s">
        <v>785</v>
      </c>
      <c r="O342" s="6">
        <v>0</v>
      </c>
      <c r="P342" s="6">
        <v>9</v>
      </c>
      <c r="Q342" s="6">
        <v>11</v>
      </c>
      <c r="R342" s="6">
        <v>0</v>
      </c>
      <c r="S342" s="6">
        <v>10</v>
      </c>
    </row>
    <row r="343" spans="1:19" ht="15" x14ac:dyDescent="0.25">
      <c r="A343" s="7" t="s">
        <v>16</v>
      </c>
      <c r="B343" s="7" t="s">
        <v>17</v>
      </c>
      <c r="C343" s="7" t="s">
        <v>18</v>
      </c>
      <c r="D343" s="3">
        <v>11114987760</v>
      </c>
      <c r="E343" s="8" t="s">
        <v>651</v>
      </c>
      <c r="F343" s="8" t="s">
        <v>652</v>
      </c>
      <c r="G343" s="8" t="s">
        <v>241</v>
      </c>
      <c r="H343" s="8" t="s">
        <v>795</v>
      </c>
      <c r="I343" s="3">
        <v>2</v>
      </c>
      <c r="J343" s="8" t="s">
        <v>733</v>
      </c>
      <c r="K343" s="8" t="s">
        <v>734</v>
      </c>
      <c r="L343" s="8" t="s">
        <v>730</v>
      </c>
      <c r="M343" s="1" t="s">
        <v>784</v>
      </c>
      <c r="N343" s="8" t="s">
        <v>785</v>
      </c>
      <c r="O343" s="6">
        <v>0</v>
      </c>
      <c r="P343" s="6">
        <v>0</v>
      </c>
      <c r="Q343" s="6">
        <v>0</v>
      </c>
      <c r="R343" s="6">
        <v>0</v>
      </c>
      <c r="S343" s="6">
        <v>15</v>
      </c>
    </row>
    <row r="344" spans="1:19" ht="15" x14ac:dyDescent="0.25">
      <c r="A344" s="7" t="s">
        <v>16</v>
      </c>
      <c r="B344" s="7" t="s">
        <v>17</v>
      </c>
      <c r="C344" s="7" t="s">
        <v>18</v>
      </c>
      <c r="D344" s="3">
        <v>11114987760</v>
      </c>
      <c r="E344" s="8" t="s">
        <v>651</v>
      </c>
      <c r="F344" s="8" t="s">
        <v>652</v>
      </c>
      <c r="G344" s="8" t="s">
        <v>241</v>
      </c>
      <c r="H344" s="8" t="s">
        <v>795</v>
      </c>
      <c r="I344" s="3">
        <v>2</v>
      </c>
      <c r="J344" s="8" t="s">
        <v>752</v>
      </c>
      <c r="K344" s="8" t="s">
        <v>753</v>
      </c>
      <c r="L344" s="8" t="s">
        <v>723</v>
      </c>
      <c r="M344" s="1" t="s">
        <v>784</v>
      </c>
      <c r="N344" s="8" t="s">
        <v>785</v>
      </c>
      <c r="O344" s="6">
        <v>0</v>
      </c>
      <c r="P344" s="6">
        <v>0</v>
      </c>
      <c r="Q344" s="6">
        <v>0</v>
      </c>
      <c r="R344" s="6">
        <v>0</v>
      </c>
      <c r="S344" s="6">
        <v>15</v>
      </c>
    </row>
    <row r="345" spans="1:19" ht="15" x14ac:dyDescent="0.25">
      <c r="A345" s="7" t="s">
        <v>16</v>
      </c>
      <c r="B345" s="7" t="s">
        <v>17</v>
      </c>
      <c r="C345" s="7" t="s">
        <v>18</v>
      </c>
      <c r="D345" s="3">
        <v>72101124000506</v>
      </c>
      <c r="E345" s="8" t="s">
        <v>695</v>
      </c>
      <c r="F345" s="8" t="s">
        <v>652</v>
      </c>
      <c r="G345" s="8" t="s">
        <v>241</v>
      </c>
      <c r="H345" s="8" t="s">
        <v>795</v>
      </c>
      <c r="I345" s="3">
        <v>2</v>
      </c>
      <c r="J345" s="8" t="s">
        <v>733</v>
      </c>
      <c r="K345" s="8" t="s">
        <v>734</v>
      </c>
      <c r="L345" s="8" t="s">
        <v>730</v>
      </c>
      <c r="M345" s="1" t="s">
        <v>784</v>
      </c>
      <c r="N345" s="8" t="s">
        <v>785</v>
      </c>
      <c r="O345" s="6">
        <v>0</v>
      </c>
      <c r="P345" s="6">
        <v>0</v>
      </c>
      <c r="Q345" s="6">
        <v>0</v>
      </c>
      <c r="R345" s="6">
        <v>229</v>
      </c>
      <c r="S345" s="6">
        <v>0</v>
      </c>
    </row>
    <row r="346" spans="1:19" ht="15" x14ac:dyDescent="0.25">
      <c r="A346" s="7" t="s">
        <v>16</v>
      </c>
      <c r="B346" s="7" t="s">
        <v>17</v>
      </c>
      <c r="C346" s="7" t="s">
        <v>18</v>
      </c>
      <c r="D346" s="3">
        <v>72101124000506</v>
      </c>
      <c r="E346" s="8" t="s">
        <v>695</v>
      </c>
      <c r="F346" s="8" t="s">
        <v>652</v>
      </c>
      <c r="G346" s="8" t="s">
        <v>241</v>
      </c>
      <c r="H346" s="8" t="s">
        <v>795</v>
      </c>
      <c r="I346" s="3">
        <v>2</v>
      </c>
      <c r="J346" s="8" t="s">
        <v>760</v>
      </c>
      <c r="K346" s="8" t="s">
        <v>761</v>
      </c>
      <c r="L346" s="8" t="s">
        <v>723</v>
      </c>
      <c r="M346" s="1" t="s">
        <v>784</v>
      </c>
      <c r="N346" s="8" t="s">
        <v>785</v>
      </c>
      <c r="O346" s="6">
        <v>0</v>
      </c>
      <c r="P346" s="6">
        <v>0</v>
      </c>
      <c r="Q346" s="6">
        <v>0</v>
      </c>
      <c r="R346" s="6">
        <v>0</v>
      </c>
      <c r="S346" s="6">
        <v>0</v>
      </c>
    </row>
    <row r="347" spans="1:19" ht="15" x14ac:dyDescent="0.25">
      <c r="A347" s="7" t="s">
        <v>16</v>
      </c>
      <c r="B347" s="7" t="s">
        <v>17</v>
      </c>
      <c r="C347" s="7" t="s">
        <v>18</v>
      </c>
      <c r="D347" s="3">
        <v>28000107000159</v>
      </c>
      <c r="E347" s="8" t="s">
        <v>676</v>
      </c>
      <c r="F347" s="8" t="s">
        <v>652</v>
      </c>
      <c r="G347" s="8" t="s">
        <v>241</v>
      </c>
      <c r="H347" s="8" t="s">
        <v>795</v>
      </c>
      <c r="I347" s="3">
        <v>2</v>
      </c>
      <c r="J347" s="8" t="s">
        <v>733</v>
      </c>
      <c r="K347" s="8" t="s">
        <v>734</v>
      </c>
      <c r="L347" s="8" t="s">
        <v>730</v>
      </c>
      <c r="M347" s="1" t="s">
        <v>784</v>
      </c>
      <c r="N347" s="8" t="s">
        <v>785</v>
      </c>
      <c r="O347" s="6">
        <v>0</v>
      </c>
      <c r="P347" s="6">
        <v>0</v>
      </c>
      <c r="Q347" s="6">
        <v>0</v>
      </c>
      <c r="R347" s="6">
        <v>150</v>
      </c>
      <c r="S347" s="6">
        <v>120</v>
      </c>
    </row>
    <row r="348" spans="1:19" ht="15" x14ac:dyDescent="0.25">
      <c r="A348" s="7" t="s">
        <v>16</v>
      </c>
      <c r="B348" s="7" t="s">
        <v>17</v>
      </c>
      <c r="C348" s="7" t="s">
        <v>18</v>
      </c>
      <c r="D348" s="3">
        <v>28000107000159</v>
      </c>
      <c r="E348" s="8" t="s">
        <v>676</v>
      </c>
      <c r="F348" s="8" t="s">
        <v>652</v>
      </c>
      <c r="G348" s="8" t="s">
        <v>241</v>
      </c>
      <c r="H348" s="8" t="s">
        <v>795</v>
      </c>
      <c r="I348" s="3">
        <v>2</v>
      </c>
      <c r="J348" s="8" t="s">
        <v>760</v>
      </c>
      <c r="K348" s="8" t="s">
        <v>761</v>
      </c>
      <c r="L348" s="8" t="s">
        <v>723</v>
      </c>
      <c r="M348" s="1" t="s">
        <v>784</v>
      </c>
      <c r="N348" s="8" t="s">
        <v>785</v>
      </c>
      <c r="O348" s="6">
        <v>0</v>
      </c>
      <c r="P348" s="6">
        <v>0</v>
      </c>
      <c r="Q348" s="6">
        <v>0</v>
      </c>
      <c r="R348" s="6">
        <v>0</v>
      </c>
      <c r="S348" s="6">
        <v>120</v>
      </c>
    </row>
    <row r="349" spans="1:19" ht="15" x14ac:dyDescent="0.25">
      <c r="A349" s="7" t="s">
        <v>16</v>
      </c>
      <c r="B349" s="7" t="s">
        <v>17</v>
      </c>
      <c r="C349" s="7" t="s">
        <v>18</v>
      </c>
      <c r="D349" s="3">
        <v>33000167000101</v>
      </c>
      <c r="E349" s="8" t="s">
        <v>685</v>
      </c>
      <c r="F349" s="8" t="s">
        <v>652</v>
      </c>
      <c r="G349" s="8" t="s">
        <v>241</v>
      </c>
      <c r="H349" s="8" t="s">
        <v>795</v>
      </c>
      <c r="I349" s="3">
        <v>2</v>
      </c>
      <c r="J349" s="8" t="s">
        <v>733</v>
      </c>
      <c r="K349" s="8" t="s">
        <v>734</v>
      </c>
      <c r="L349" s="8" t="s">
        <v>730</v>
      </c>
      <c r="M349" s="1" t="s">
        <v>784</v>
      </c>
      <c r="N349" s="8" t="s">
        <v>785</v>
      </c>
      <c r="O349" s="6">
        <v>0</v>
      </c>
      <c r="P349" s="6">
        <v>0</v>
      </c>
      <c r="Q349" s="6">
        <v>0</v>
      </c>
      <c r="R349" s="6">
        <v>0</v>
      </c>
      <c r="S349" s="6">
        <v>140</v>
      </c>
    </row>
    <row r="350" spans="1:19" ht="15" x14ac:dyDescent="0.25">
      <c r="A350" s="7" t="s">
        <v>16</v>
      </c>
      <c r="B350" s="7" t="s">
        <v>17</v>
      </c>
      <c r="C350" s="7" t="s">
        <v>18</v>
      </c>
      <c r="D350" s="3">
        <v>33000167000101</v>
      </c>
      <c r="E350" s="8" t="s">
        <v>685</v>
      </c>
      <c r="F350" s="8" t="s">
        <v>652</v>
      </c>
      <c r="G350" s="8" t="s">
        <v>241</v>
      </c>
      <c r="H350" s="8" t="s">
        <v>795</v>
      </c>
      <c r="I350" s="3">
        <v>2</v>
      </c>
      <c r="J350" s="8" t="s">
        <v>760</v>
      </c>
      <c r="K350" s="8" t="s">
        <v>761</v>
      </c>
      <c r="L350" s="8" t="s">
        <v>723</v>
      </c>
      <c r="M350" s="1" t="s">
        <v>784</v>
      </c>
      <c r="N350" s="8" t="s">
        <v>785</v>
      </c>
      <c r="O350" s="6">
        <v>0</v>
      </c>
      <c r="P350" s="6">
        <v>0</v>
      </c>
      <c r="Q350" s="6">
        <v>0</v>
      </c>
      <c r="R350" s="6">
        <v>0</v>
      </c>
      <c r="S350" s="6">
        <v>140</v>
      </c>
    </row>
    <row r="351" spans="1:19" ht="15" x14ac:dyDescent="0.25">
      <c r="A351" s="7" t="s">
        <v>16</v>
      </c>
      <c r="B351" s="7" t="s">
        <v>17</v>
      </c>
      <c r="C351" s="7" t="s">
        <v>18</v>
      </c>
      <c r="D351" s="3">
        <v>9219138000584</v>
      </c>
      <c r="E351" s="8" t="s">
        <v>667</v>
      </c>
      <c r="F351" s="8" t="s">
        <v>652</v>
      </c>
      <c r="G351" s="8" t="s">
        <v>241</v>
      </c>
      <c r="H351" s="8" t="s">
        <v>795</v>
      </c>
      <c r="I351" s="3">
        <v>2</v>
      </c>
      <c r="J351" s="8" t="s">
        <v>733</v>
      </c>
      <c r="K351" s="8" t="s">
        <v>734</v>
      </c>
      <c r="L351" s="8" t="s">
        <v>730</v>
      </c>
      <c r="M351" s="1" t="s">
        <v>784</v>
      </c>
      <c r="N351" s="8" t="s">
        <v>785</v>
      </c>
      <c r="O351" s="6">
        <v>0</v>
      </c>
      <c r="P351" s="6">
        <v>0</v>
      </c>
      <c r="Q351" s="6">
        <v>0</v>
      </c>
      <c r="R351" s="6">
        <v>84</v>
      </c>
      <c r="S351" s="6">
        <v>420</v>
      </c>
    </row>
    <row r="352" spans="1:19" ht="15" x14ac:dyDescent="0.25">
      <c r="A352" s="7" t="s">
        <v>16</v>
      </c>
      <c r="B352" s="7" t="s">
        <v>17</v>
      </c>
      <c r="C352" s="7" t="s">
        <v>18</v>
      </c>
      <c r="D352" s="3">
        <v>9219138000584</v>
      </c>
      <c r="E352" s="8" t="s">
        <v>667</v>
      </c>
      <c r="F352" s="8" t="s">
        <v>652</v>
      </c>
      <c r="G352" s="8" t="s">
        <v>241</v>
      </c>
      <c r="H352" s="8" t="s">
        <v>795</v>
      </c>
      <c r="I352" s="3">
        <v>2</v>
      </c>
      <c r="J352" s="8" t="s">
        <v>752</v>
      </c>
      <c r="K352" s="8" t="s">
        <v>753</v>
      </c>
      <c r="L352" s="8" t="s">
        <v>723</v>
      </c>
      <c r="M352" s="1" t="s">
        <v>784</v>
      </c>
      <c r="N352" s="8" t="s">
        <v>785</v>
      </c>
      <c r="O352" s="6">
        <v>0</v>
      </c>
      <c r="P352" s="6">
        <v>0</v>
      </c>
      <c r="Q352" s="6">
        <v>4</v>
      </c>
      <c r="R352" s="6">
        <v>0</v>
      </c>
      <c r="S352" s="6">
        <v>420</v>
      </c>
    </row>
    <row r="353" spans="1:19" ht="15" x14ac:dyDescent="0.25">
      <c r="A353" s="7" t="s">
        <v>16</v>
      </c>
      <c r="B353" s="7" t="s">
        <v>17</v>
      </c>
      <c r="C353" s="7" t="s">
        <v>18</v>
      </c>
      <c r="D353" s="3">
        <v>28602407000108</v>
      </c>
      <c r="E353" s="8" t="s">
        <v>677</v>
      </c>
      <c r="F353" s="8" t="s">
        <v>652</v>
      </c>
      <c r="G353" s="8" t="s">
        <v>241</v>
      </c>
      <c r="H353" s="8" t="s">
        <v>795</v>
      </c>
      <c r="I353" s="3">
        <v>2</v>
      </c>
      <c r="J353" s="8" t="s">
        <v>733</v>
      </c>
      <c r="K353" s="8" t="s">
        <v>734</v>
      </c>
      <c r="L353" s="8" t="s">
        <v>730</v>
      </c>
      <c r="M353" s="1" t="s">
        <v>784</v>
      </c>
      <c r="N353" s="8" t="s">
        <v>785</v>
      </c>
      <c r="O353" s="6">
        <v>0</v>
      </c>
      <c r="P353" s="6">
        <v>0</v>
      </c>
      <c r="Q353" s="6">
        <v>0</v>
      </c>
      <c r="R353" s="6">
        <v>0</v>
      </c>
      <c r="S353" s="6">
        <v>0</v>
      </c>
    </row>
    <row r="354" spans="1:19" ht="15" x14ac:dyDescent="0.25">
      <c r="A354" s="7" t="s">
        <v>16</v>
      </c>
      <c r="B354" s="7" t="s">
        <v>17</v>
      </c>
      <c r="C354" s="7" t="s">
        <v>18</v>
      </c>
      <c r="D354" s="3">
        <v>28602407000108</v>
      </c>
      <c r="E354" s="8" t="s">
        <v>677</v>
      </c>
      <c r="F354" s="8" t="s">
        <v>652</v>
      </c>
      <c r="G354" s="8" t="s">
        <v>241</v>
      </c>
      <c r="H354" s="8" t="s">
        <v>795</v>
      </c>
      <c r="I354" s="3">
        <v>2</v>
      </c>
      <c r="J354" s="8" t="s">
        <v>760</v>
      </c>
      <c r="K354" s="8" t="s">
        <v>761</v>
      </c>
      <c r="L354" s="8" t="s">
        <v>723</v>
      </c>
      <c r="M354" s="1" t="s">
        <v>784</v>
      </c>
      <c r="N354" s="8" t="s">
        <v>785</v>
      </c>
      <c r="O354" s="6">
        <v>0</v>
      </c>
      <c r="P354" s="6">
        <v>1</v>
      </c>
      <c r="Q354" s="6">
        <v>0</v>
      </c>
      <c r="R354" s="6">
        <v>0</v>
      </c>
      <c r="S354" s="6">
        <v>0</v>
      </c>
    </row>
    <row r="355" spans="1:19" ht="15" x14ac:dyDescent="0.25">
      <c r="A355" s="7" t="s">
        <v>16</v>
      </c>
      <c r="B355" s="7" t="s">
        <v>17</v>
      </c>
      <c r="C355" s="7" t="s">
        <v>18</v>
      </c>
      <c r="D355" s="3">
        <v>12361267009140</v>
      </c>
      <c r="E355" s="8" t="s">
        <v>561</v>
      </c>
      <c r="F355" s="8" t="s">
        <v>562</v>
      </c>
      <c r="G355" s="8" t="s">
        <v>247</v>
      </c>
      <c r="H355" s="8" t="s">
        <v>795</v>
      </c>
      <c r="I355" s="3">
        <v>2</v>
      </c>
      <c r="J355" s="8" t="s">
        <v>778</v>
      </c>
      <c r="K355" s="8" t="s">
        <v>779</v>
      </c>
      <c r="L355" s="8" t="s">
        <v>730</v>
      </c>
      <c r="M355" s="1" t="s">
        <v>790</v>
      </c>
      <c r="N355" s="8" t="s">
        <v>791</v>
      </c>
      <c r="O355" s="6">
        <v>0</v>
      </c>
      <c r="P355" s="6">
        <v>0</v>
      </c>
      <c r="Q355" s="6">
        <v>0</v>
      </c>
      <c r="R355" s="6">
        <v>0</v>
      </c>
      <c r="S355" s="6">
        <v>10</v>
      </c>
    </row>
    <row r="356" spans="1:19" ht="15" x14ac:dyDescent="0.25">
      <c r="A356" s="7" t="s">
        <v>16</v>
      </c>
      <c r="B356" s="7" t="s">
        <v>17</v>
      </c>
      <c r="C356" s="7" t="s">
        <v>18</v>
      </c>
      <c r="D356" s="3">
        <v>12361267009140</v>
      </c>
      <c r="E356" s="8" t="s">
        <v>561</v>
      </c>
      <c r="F356" s="8" t="s">
        <v>562</v>
      </c>
      <c r="G356" s="8" t="s">
        <v>247</v>
      </c>
      <c r="H356" s="8" t="s">
        <v>795</v>
      </c>
      <c r="I356" s="3">
        <v>2</v>
      </c>
      <c r="J356" s="8" t="s">
        <v>748</v>
      </c>
      <c r="K356" s="8" t="s">
        <v>749</v>
      </c>
      <c r="L356" s="8" t="s">
        <v>723</v>
      </c>
      <c r="M356" s="1" t="s">
        <v>790</v>
      </c>
      <c r="N356" s="8" t="s">
        <v>791</v>
      </c>
      <c r="O356" s="6">
        <v>0</v>
      </c>
      <c r="P356" s="6">
        <v>0</v>
      </c>
      <c r="Q356" s="6">
        <v>0</v>
      </c>
      <c r="R356" s="6">
        <v>0</v>
      </c>
      <c r="S356" s="6">
        <v>10</v>
      </c>
    </row>
    <row r="357" spans="1:19" ht="15" x14ac:dyDescent="0.25">
      <c r="A357" s="7" t="s">
        <v>16</v>
      </c>
      <c r="B357" s="7" t="s">
        <v>17</v>
      </c>
      <c r="C357" s="7" t="s">
        <v>18</v>
      </c>
      <c r="D357" s="3">
        <v>8319329000121</v>
      </c>
      <c r="E357" s="8" t="s">
        <v>301</v>
      </c>
      <c r="F357" s="8" t="s">
        <v>246</v>
      </c>
      <c r="G357" s="8" t="s">
        <v>247</v>
      </c>
      <c r="H357" s="8" t="s">
        <v>795</v>
      </c>
      <c r="I357" s="3">
        <v>2</v>
      </c>
      <c r="J357" s="8" t="s">
        <v>778</v>
      </c>
      <c r="K357" s="8" t="s">
        <v>779</v>
      </c>
      <c r="L357" s="8" t="s">
        <v>730</v>
      </c>
      <c r="M357" s="1" t="s">
        <v>790</v>
      </c>
      <c r="N357" s="8" t="s">
        <v>791</v>
      </c>
      <c r="O357" s="6">
        <v>0</v>
      </c>
      <c r="P357" s="6">
        <v>0</v>
      </c>
      <c r="Q357" s="6">
        <v>0</v>
      </c>
      <c r="R357" s="6">
        <v>0</v>
      </c>
      <c r="S357" s="6">
        <v>0</v>
      </c>
    </row>
    <row r="358" spans="1:19" ht="15" x14ac:dyDescent="0.25">
      <c r="A358" s="7" t="s">
        <v>16</v>
      </c>
      <c r="B358" s="7" t="s">
        <v>17</v>
      </c>
      <c r="C358" s="7" t="s">
        <v>18</v>
      </c>
      <c r="D358" s="3">
        <v>8319329000121</v>
      </c>
      <c r="E358" s="8" t="s">
        <v>301</v>
      </c>
      <c r="F358" s="8" t="s">
        <v>246</v>
      </c>
      <c r="G358" s="8" t="s">
        <v>247</v>
      </c>
      <c r="H358" s="8" t="s">
        <v>795</v>
      </c>
      <c r="I358" s="3">
        <v>2</v>
      </c>
      <c r="J358" s="8" t="s">
        <v>748</v>
      </c>
      <c r="K358" s="8" t="s">
        <v>749</v>
      </c>
      <c r="L358" s="8" t="s">
        <v>723</v>
      </c>
      <c r="M358" s="1" t="s">
        <v>790</v>
      </c>
      <c r="N358" s="8" t="s">
        <v>791</v>
      </c>
      <c r="O358" s="6">
        <v>0</v>
      </c>
      <c r="P358" s="6">
        <v>4</v>
      </c>
      <c r="Q358" s="6">
        <v>0</v>
      </c>
      <c r="R358" s="6">
        <v>0</v>
      </c>
      <c r="S358" s="6">
        <v>0</v>
      </c>
    </row>
    <row r="359" spans="1:19" ht="15" x14ac:dyDescent="0.25">
      <c r="A359" s="7" t="s">
        <v>16</v>
      </c>
      <c r="B359" s="7" t="s">
        <v>17</v>
      </c>
      <c r="C359" s="7" t="s">
        <v>18</v>
      </c>
      <c r="D359" s="3">
        <v>15126437000739</v>
      </c>
      <c r="E359" s="8" t="s">
        <v>329</v>
      </c>
      <c r="F359" s="8" t="s">
        <v>246</v>
      </c>
      <c r="G359" s="8" t="s">
        <v>247</v>
      </c>
      <c r="H359" s="8" t="s">
        <v>795</v>
      </c>
      <c r="I359" s="3">
        <v>2</v>
      </c>
      <c r="J359" s="8" t="s">
        <v>778</v>
      </c>
      <c r="K359" s="8" t="s">
        <v>779</v>
      </c>
      <c r="L359" s="8" t="s">
        <v>730</v>
      </c>
      <c r="M359" s="1" t="s">
        <v>790</v>
      </c>
      <c r="N359" s="8" t="s">
        <v>791</v>
      </c>
      <c r="O359" s="6">
        <v>0</v>
      </c>
      <c r="P359" s="6">
        <v>0</v>
      </c>
      <c r="Q359" s="6">
        <v>0</v>
      </c>
      <c r="R359" s="6">
        <v>0</v>
      </c>
      <c r="S359" s="6">
        <v>0</v>
      </c>
    </row>
    <row r="360" spans="1:19" ht="15" x14ac:dyDescent="0.25">
      <c r="A360" s="7" t="s">
        <v>16</v>
      </c>
      <c r="B360" s="7" t="s">
        <v>17</v>
      </c>
      <c r="C360" s="7" t="s">
        <v>18</v>
      </c>
      <c r="D360" s="3">
        <v>15126437000739</v>
      </c>
      <c r="E360" s="8" t="s">
        <v>329</v>
      </c>
      <c r="F360" s="8" t="s">
        <v>246</v>
      </c>
      <c r="G360" s="8" t="s">
        <v>247</v>
      </c>
      <c r="H360" s="8" t="s">
        <v>795</v>
      </c>
      <c r="I360" s="3">
        <v>2</v>
      </c>
      <c r="J360" s="8" t="s">
        <v>748</v>
      </c>
      <c r="K360" s="8" t="s">
        <v>749</v>
      </c>
      <c r="L360" s="8" t="s">
        <v>723</v>
      </c>
      <c r="M360" s="1" t="s">
        <v>790</v>
      </c>
      <c r="N360" s="8" t="s">
        <v>791</v>
      </c>
      <c r="O360" s="6">
        <v>0</v>
      </c>
      <c r="P360" s="6">
        <v>100</v>
      </c>
      <c r="Q360" s="6">
        <v>0</v>
      </c>
      <c r="R360" s="6">
        <v>0</v>
      </c>
      <c r="S360" s="6">
        <v>0</v>
      </c>
    </row>
    <row r="361" spans="1:19" ht="15" x14ac:dyDescent="0.25">
      <c r="A361" s="7" t="s">
        <v>16</v>
      </c>
      <c r="B361" s="7" t="s">
        <v>17</v>
      </c>
      <c r="C361" s="7" t="s">
        <v>18</v>
      </c>
      <c r="D361" s="3">
        <v>29435005009851</v>
      </c>
      <c r="E361" s="8" t="s">
        <v>372</v>
      </c>
      <c r="F361" s="8" t="s">
        <v>246</v>
      </c>
      <c r="G361" s="8" t="s">
        <v>247</v>
      </c>
      <c r="H361" s="8" t="s">
        <v>795</v>
      </c>
      <c r="I361" s="3">
        <v>2</v>
      </c>
      <c r="J361" s="8" t="s">
        <v>778</v>
      </c>
      <c r="K361" s="8" t="s">
        <v>779</v>
      </c>
      <c r="L361" s="8" t="s">
        <v>730</v>
      </c>
      <c r="M361" s="1" t="s">
        <v>790</v>
      </c>
      <c r="N361" s="8" t="s">
        <v>791</v>
      </c>
      <c r="O361" s="6">
        <v>0</v>
      </c>
      <c r="P361" s="6">
        <v>0</v>
      </c>
      <c r="Q361" s="6">
        <v>0</v>
      </c>
      <c r="R361" s="6">
        <v>0</v>
      </c>
      <c r="S361" s="6">
        <v>175</v>
      </c>
    </row>
    <row r="362" spans="1:19" ht="15" x14ac:dyDescent="0.25">
      <c r="A362" s="7" t="s">
        <v>16</v>
      </c>
      <c r="B362" s="7" t="s">
        <v>17</v>
      </c>
      <c r="C362" s="7" t="s">
        <v>18</v>
      </c>
      <c r="D362" s="3">
        <v>29435005009851</v>
      </c>
      <c r="E362" s="8" t="s">
        <v>372</v>
      </c>
      <c r="F362" s="8" t="s">
        <v>246</v>
      </c>
      <c r="G362" s="8" t="s">
        <v>247</v>
      </c>
      <c r="H362" s="8" t="s">
        <v>795</v>
      </c>
      <c r="I362" s="3">
        <v>2</v>
      </c>
      <c r="J362" s="8" t="s">
        <v>748</v>
      </c>
      <c r="K362" s="8" t="s">
        <v>749</v>
      </c>
      <c r="L362" s="8" t="s">
        <v>723</v>
      </c>
      <c r="M362" s="1" t="s">
        <v>790</v>
      </c>
      <c r="N362" s="8" t="s">
        <v>791</v>
      </c>
      <c r="O362" s="6">
        <v>0</v>
      </c>
      <c r="P362" s="6">
        <v>15</v>
      </c>
      <c r="Q362" s="6">
        <v>0</v>
      </c>
      <c r="R362" s="6">
        <v>0</v>
      </c>
      <c r="S362" s="6">
        <v>175</v>
      </c>
    </row>
    <row r="363" spans="1:19" ht="15" x14ac:dyDescent="0.25">
      <c r="A363" s="7" t="s">
        <v>16</v>
      </c>
      <c r="B363" s="7" t="s">
        <v>17</v>
      </c>
      <c r="C363" s="7" t="s">
        <v>18</v>
      </c>
      <c r="D363" s="3">
        <v>8337586000196</v>
      </c>
      <c r="E363" s="8" t="s">
        <v>302</v>
      </c>
      <c r="F363" s="8" t="s">
        <v>246</v>
      </c>
      <c r="G363" s="8" t="s">
        <v>247</v>
      </c>
      <c r="H363" s="8" t="s">
        <v>795</v>
      </c>
      <c r="I363" s="3">
        <v>2</v>
      </c>
      <c r="J363" s="8" t="s">
        <v>778</v>
      </c>
      <c r="K363" s="8" t="s">
        <v>779</v>
      </c>
      <c r="L363" s="8" t="s">
        <v>730</v>
      </c>
      <c r="M363" s="1" t="s">
        <v>790</v>
      </c>
      <c r="N363" s="8" t="s">
        <v>791</v>
      </c>
      <c r="O363" s="6">
        <v>0</v>
      </c>
      <c r="P363" s="6">
        <v>0</v>
      </c>
      <c r="Q363" s="6">
        <v>0</v>
      </c>
      <c r="R363" s="6">
        <v>0</v>
      </c>
      <c r="S363" s="6">
        <v>0</v>
      </c>
    </row>
    <row r="364" spans="1:19" ht="15" x14ac:dyDescent="0.25">
      <c r="A364" s="7" t="s">
        <v>16</v>
      </c>
      <c r="B364" s="7" t="s">
        <v>17</v>
      </c>
      <c r="C364" s="7" t="s">
        <v>18</v>
      </c>
      <c r="D364" s="3">
        <v>8337586000196</v>
      </c>
      <c r="E364" s="8" t="s">
        <v>302</v>
      </c>
      <c r="F364" s="8" t="s">
        <v>246</v>
      </c>
      <c r="G364" s="8" t="s">
        <v>247</v>
      </c>
      <c r="H364" s="8" t="s">
        <v>795</v>
      </c>
      <c r="I364" s="3">
        <v>2</v>
      </c>
      <c r="J364" s="8" t="s">
        <v>748</v>
      </c>
      <c r="K364" s="8" t="s">
        <v>749</v>
      </c>
      <c r="L364" s="8" t="s">
        <v>723</v>
      </c>
      <c r="M364" s="1" t="s">
        <v>790</v>
      </c>
      <c r="N364" s="8" t="s">
        <v>791</v>
      </c>
      <c r="O364" s="6">
        <v>0</v>
      </c>
      <c r="P364" s="6">
        <v>1</v>
      </c>
      <c r="Q364" s="6">
        <v>0</v>
      </c>
      <c r="R364" s="6">
        <v>0</v>
      </c>
      <c r="S364" s="6">
        <v>0</v>
      </c>
    </row>
    <row r="365" spans="1:19" ht="15" x14ac:dyDescent="0.25">
      <c r="A365" s="7" t="s">
        <v>16</v>
      </c>
      <c r="B365" s="7" t="s">
        <v>17</v>
      </c>
      <c r="C365" s="7" t="s">
        <v>18</v>
      </c>
      <c r="D365" s="3">
        <v>820737000150</v>
      </c>
      <c r="E365" s="8" t="s">
        <v>245</v>
      </c>
      <c r="F365" s="8" t="s">
        <v>246</v>
      </c>
      <c r="G365" s="8" t="s">
        <v>247</v>
      </c>
      <c r="H365" s="8" t="s">
        <v>795</v>
      </c>
      <c r="I365" s="3">
        <v>2</v>
      </c>
      <c r="J365" s="8" t="s">
        <v>778</v>
      </c>
      <c r="K365" s="8" t="s">
        <v>779</v>
      </c>
      <c r="L365" s="8" t="s">
        <v>730</v>
      </c>
      <c r="M365" s="1" t="s">
        <v>790</v>
      </c>
      <c r="N365" s="8" t="s">
        <v>791</v>
      </c>
      <c r="O365" s="6">
        <v>0</v>
      </c>
      <c r="P365" s="6">
        <v>0</v>
      </c>
      <c r="Q365" s="6">
        <v>0</v>
      </c>
      <c r="R365" s="6">
        <v>0</v>
      </c>
      <c r="S365" s="6">
        <v>0</v>
      </c>
    </row>
    <row r="366" spans="1:19" ht="15" x14ac:dyDescent="0.25">
      <c r="A366" s="7" t="s">
        <v>16</v>
      </c>
      <c r="B366" s="7" t="s">
        <v>17</v>
      </c>
      <c r="C366" s="7" t="s">
        <v>18</v>
      </c>
      <c r="D366" s="3">
        <v>820737000150</v>
      </c>
      <c r="E366" s="8" t="s">
        <v>245</v>
      </c>
      <c r="F366" s="8" t="s">
        <v>246</v>
      </c>
      <c r="G366" s="8" t="s">
        <v>247</v>
      </c>
      <c r="H366" s="8" t="s">
        <v>795</v>
      </c>
      <c r="I366" s="3">
        <v>2</v>
      </c>
      <c r="J366" s="8" t="s">
        <v>748</v>
      </c>
      <c r="K366" s="8" t="s">
        <v>749</v>
      </c>
      <c r="L366" s="8" t="s">
        <v>723</v>
      </c>
      <c r="M366" s="1" t="s">
        <v>790</v>
      </c>
      <c r="N366" s="8" t="s">
        <v>791</v>
      </c>
      <c r="O366" s="6">
        <v>0</v>
      </c>
      <c r="P366" s="6">
        <v>30</v>
      </c>
      <c r="Q366" s="6">
        <v>0</v>
      </c>
      <c r="R366" s="6">
        <v>0</v>
      </c>
      <c r="S366" s="6">
        <v>0</v>
      </c>
    </row>
    <row r="367" spans="1:19" ht="15" x14ac:dyDescent="0.25">
      <c r="A367" s="7" t="s">
        <v>16</v>
      </c>
      <c r="B367" s="7" t="s">
        <v>17</v>
      </c>
      <c r="C367" s="7" t="s">
        <v>18</v>
      </c>
      <c r="D367" s="3">
        <v>8380701000610</v>
      </c>
      <c r="E367" s="8" t="s">
        <v>555</v>
      </c>
      <c r="F367" s="8" t="s">
        <v>246</v>
      </c>
      <c r="G367" s="8" t="s">
        <v>247</v>
      </c>
      <c r="H367" s="8" t="s">
        <v>795</v>
      </c>
      <c r="I367" s="3">
        <v>2</v>
      </c>
      <c r="J367" s="8" t="s">
        <v>778</v>
      </c>
      <c r="K367" s="8" t="s">
        <v>779</v>
      </c>
      <c r="L367" s="8" t="s">
        <v>730</v>
      </c>
      <c r="M367" s="1" t="s">
        <v>790</v>
      </c>
      <c r="N367" s="8" t="s">
        <v>791</v>
      </c>
      <c r="O367" s="6">
        <v>0</v>
      </c>
      <c r="P367" s="6">
        <v>0</v>
      </c>
      <c r="Q367" s="6">
        <v>0</v>
      </c>
      <c r="R367" s="6">
        <v>0</v>
      </c>
      <c r="S367" s="6">
        <v>250</v>
      </c>
    </row>
    <row r="368" spans="1:19" ht="15" x14ac:dyDescent="0.25">
      <c r="A368" s="7" t="s">
        <v>16</v>
      </c>
      <c r="B368" s="7" t="s">
        <v>17</v>
      </c>
      <c r="C368" s="7" t="s">
        <v>18</v>
      </c>
      <c r="D368" s="3">
        <v>8380701000610</v>
      </c>
      <c r="E368" s="8" t="s">
        <v>555</v>
      </c>
      <c r="F368" s="8" t="s">
        <v>246</v>
      </c>
      <c r="G368" s="8" t="s">
        <v>247</v>
      </c>
      <c r="H368" s="8" t="s">
        <v>795</v>
      </c>
      <c r="I368" s="3">
        <v>2</v>
      </c>
      <c r="J368" s="8" t="s">
        <v>748</v>
      </c>
      <c r="K368" s="8" t="s">
        <v>749</v>
      </c>
      <c r="L368" s="8" t="s">
        <v>723</v>
      </c>
      <c r="M368" s="1" t="s">
        <v>790</v>
      </c>
      <c r="N368" s="8" t="s">
        <v>791</v>
      </c>
      <c r="O368" s="6">
        <v>0</v>
      </c>
      <c r="P368" s="6">
        <v>0</v>
      </c>
      <c r="Q368" s="6">
        <v>0</v>
      </c>
      <c r="R368" s="6">
        <v>0</v>
      </c>
      <c r="S368" s="6">
        <v>250</v>
      </c>
    </row>
    <row r="369" spans="1:19" ht="15" x14ac:dyDescent="0.25">
      <c r="A369" s="7" t="s">
        <v>16</v>
      </c>
      <c r="B369" s="7" t="s">
        <v>17</v>
      </c>
      <c r="C369" s="7" t="s">
        <v>18</v>
      </c>
      <c r="D369" s="3">
        <v>1507901000137</v>
      </c>
      <c r="E369" s="8" t="s">
        <v>256</v>
      </c>
      <c r="F369" s="8" t="s">
        <v>246</v>
      </c>
      <c r="G369" s="8" t="s">
        <v>247</v>
      </c>
      <c r="H369" s="8" t="s">
        <v>795</v>
      </c>
      <c r="I369" s="3">
        <v>2</v>
      </c>
      <c r="J369" s="8" t="s">
        <v>778</v>
      </c>
      <c r="K369" s="8" t="s">
        <v>779</v>
      </c>
      <c r="L369" s="8" t="s">
        <v>730</v>
      </c>
      <c r="M369" s="1" t="s">
        <v>790</v>
      </c>
      <c r="N369" s="8" t="s">
        <v>791</v>
      </c>
      <c r="O369" s="6">
        <v>0</v>
      </c>
      <c r="P369" s="6">
        <v>0</v>
      </c>
      <c r="Q369" s="6">
        <v>0</v>
      </c>
      <c r="R369" s="6">
        <v>0</v>
      </c>
      <c r="S369" s="6">
        <v>0</v>
      </c>
    </row>
    <row r="370" spans="1:19" ht="15" x14ac:dyDescent="0.25">
      <c r="A370" s="7" t="s">
        <v>16</v>
      </c>
      <c r="B370" s="7" t="s">
        <v>17</v>
      </c>
      <c r="C370" s="7" t="s">
        <v>18</v>
      </c>
      <c r="D370" s="3">
        <v>1507901000137</v>
      </c>
      <c r="E370" s="8" t="s">
        <v>256</v>
      </c>
      <c r="F370" s="8" t="s">
        <v>246</v>
      </c>
      <c r="G370" s="8" t="s">
        <v>247</v>
      </c>
      <c r="H370" s="8" t="s">
        <v>795</v>
      </c>
      <c r="I370" s="3">
        <v>2</v>
      </c>
      <c r="J370" s="8" t="s">
        <v>748</v>
      </c>
      <c r="K370" s="8" t="s">
        <v>749</v>
      </c>
      <c r="L370" s="8" t="s">
        <v>723</v>
      </c>
      <c r="M370" s="1" t="s">
        <v>790</v>
      </c>
      <c r="N370" s="8" t="s">
        <v>791</v>
      </c>
      <c r="O370" s="6">
        <v>0</v>
      </c>
      <c r="P370" s="6">
        <v>10</v>
      </c>
      <c r="Q370" s="6">
        <v>3</v>
      </c>
      <c r="R370" s="6">
        <v>0</v>
      </c>
      <c r="S370" s="6">
        <v>0</v>
      </c>
    </row>
    <row r="371" spans="1:19" ht="15" x14ac:dyDescent="0.25">
      <c r="A371" s="7" t="s">
        <v>16</v>
      </c>
      <c r="B371" s="7" t="s">
        <v>17</v>
      </c>
      <c r="C371" s="7" t="s">
        <v>18</v>
      </c>
      <c r="D371" s="3">
        <v>87547444000120</v>
      </c>
      <c r="E371" s="8" t="s">
        <v>392</v>
      </c>
      <c r="F371" s="8" t="s">
        <v>393</v>
      </c>
      <c r="G371" s="8" t="s">
        <v>253</v>
      </c>
      <c r="H371" s="8" t="s">
        <v>795</v>
      </c>
      <c r="I371" s="3">
        <v>2</v>
      </c>
      <c r="J371" s="8" t="s">
        <v>754</v>
      </c>
      <c r="K371" s="8" t="s">
        <v>755</v>
      </c>
      <c r="L371" s="8" t="s">
        <v>730</v>
      </c>
      <c r="M371" s="1" t="s">
        <v>784</v>
      </c>
      <c r="N371" s="8" t="s">
        <v>785</v>
      </c>
      <c r="O371" s="6">
        <v>0</v>
      </c>
      <c r="P371" s="6">
        <v>0</v>
      </c>
      <c r="Q371" s="6">
        <v>0</v>
      </c>
      <c r="R371" s="6">
        <v>0</v>
      </c>
      <c r="S371" s="6">
        <v>0</v>
      </c>
    </row>
    <row r="372" spans="1:19" ht="15" x14ac:dyDescent="0.25">
      <c r="A372" s="7" t="s">
        <v>16</v>
      </c>
      <c r="B372" s="7" t="s">
        <v>17</v>
      </c>
      <c r="C372" s="7" t="s">
        <v>18</v>
      </c>
      <c r="D372" s="3">
        <v>87547444000120</v>
      </c>
      <c r="E372" s="8" t="s">
        <v>392</v>
      </c>
      <c r="F372" s="8" t="s">
        <v>393</v>
      </c>
      <c r="G372" s="8" t="s">
        <v>253</v>
      </c>
      <c r="H372" s="8" t="s">
        <v>795</v>
      </c>
      <c r="I372" s="3">
        <v>2</v>
      </c>
      <c r="J372" s="8" t="s">
        <v>720</v>
      </c>
      <c r="K372" s="8" t="s">
        <v>721</v>
      </c>
      <c r="L372" s="8" t="s">
        <v>723</v>
      </c>
      <c r="M372" s="1" t="s">
        <v>784</v>
      </c>
      <c r="N372" s="8" t="s">
        <v>785</v>
      </c>
      <c r="O372" s="6">
        <v>0</v>
      </c>
      <c r="P372" s="6">
        <v>2</v>
      </c>
      <c r="Q372" s="6">
        <v>0</v>
      </c>
      <c r="R372" s="6">
        <v>0</v>
      </c>
      <c r="S372" s="6">
        <v>0</v>
      </c>
    </row>
    <row r="373" spans="1:19" ht="15" x14ac:dyDescent="0.25">
      <c r="A373" s="7" t="s">
        <v>16</v>
      </c>
      <c r="B373" s="7" t="s">
        <v>17</v>
      </c>
      <c r="C373" s="7" t="s">
        <v>18</v>
      </c>
      <c r="D373" s="3">
        <v>87827689002405</v>
      </c>
      <c r="E373" s="8" t="s">
        <v>394</v>
      </c>
      <c r="F373" s="8" t="s">
        <v>252</v>
      </c>
      <c r="G373" s="8" t="s">
        <v>253</v>
      </c>
      <c r="H373" s="8" t="s">
        <v>795</v>
      </c>
      <c r="I373" s="3">
        <v>2</v>
      </c>
      <c r="J373" s="8" t="s">
        <v>754</v>
      </c>
      <c r="K373" s="8" t="s">
        <v>755</v>
      </c>
      <c r="L373" s="8" t="s">
        <v>730</v>
      </c>
      <c r="M373" s="1" t="s">
        <v>784</v>
      </c>
      <c r="N373" s="8" t="s">
        <v>785</v>
      </c>
      <c r="O373" s="6">
        <v>0</v>
      </c>
      <c r="P373" s="6">
        <v>0</v>
      </c>
      <c r="Q373" s="6">
        <v>0</v>
      </c>
      <c r="R373" s="6">
        <v>38</v>
      </c>
      <c r="S373" s="6">
        <v>90</v>
      </c>
    </row>
    <row r="374" spans="1:19" ht="15" x14ac:dyDescent="0.25">
      <c r="A374" s="7" t="s">
        <v>16</v>
      </c>
      <c r="B374" s="7" t="s">
        <v>17</v>
      </c>
      <c r="C374" s="7" t="s">
        <v>18</v>
      </c>
      <c r="D374" s="3">
        <v>87827689002405</v>
      </c>
      <c r="E374" s="8" t="s">
        <v>394</v>
      </c>
      <c r="F374" s="8" t="s">
        <v>252</v>
      </c>
      <c r="G374" s="8" t="s">
        <v>253</v>
      </c>
      <c r="H374" s="8" t="s">
        <v>795</v>
      </c>
      <c r="I374" s="3">
        <v>2</v>
      </c>
      <c r="J374" s="8" t="s">
        <v>720</v>
      </c>
      <c r="K374" s="8" t="s">
        <v>721</v>
      </c>
      <c r="L374" s="8" t="s">
        <v>723</v>
      </c>
      <c r="M374" s="1" t="s">
        <v>784</v>
      </c>
      <c r="N374" s="8" t="s">
        <v>785</v>
      </c>
      <c r="O374" s="6">
        <v>0</v>
      </c>
      <c r="P374" s="6">
        <v>0</v>
      </c>
      <c r="Q374" s="6">
        <v>0</v>
      </c>
      <c r="R374" s="6">
        <v>0</v>
      </c>
      <c r="S374" s="6">
        <v>90</v>
      </c>
    </row>
    <row r="375" spans="1:19" ht="15" x14ac:dyDescent="0.25">
      <c r="A375" s="7" t="s">
        <v>16</v>
      </c>
      <c r="B375" s="7" t="s">
        <v>17</v>
      </c>
      <c r="C375" s="7" t="s">
        <v>18</v>
      </c>
      <c r="D375" s="3">
        <v>1140803000104</v>
      </c>
      <c r="E375" s="8" t="s">
        <v>251</v>
      </c>
      <c r="F375" s="8" t="s">
        <v>252</v>
      </c>
      <c r="G375" s="8" t="s">
        <v>253</v>
      </c>
      <c r="H375" s="8" t="s">
        <v>795</v>
      </c>
      <c r="I375" s="3">
        <v>2</v>
      </c>
      <c r="J375" s="8" t="s">
        <v>754</v>
      </c>
      <c r="K375" s="8" t="s">
        <v>755</v>
      </c>
      <c r="L375" s="8" t="s">
        <v>730</v>
      </c>
      <c r="M375" s="1" t="s">
        <v>784</v>
      </c>
      <c r="N375" s="8" t="s">
        <v>785</v>
      </c>
      <c r="O375" s="6">
        <v>0</v>
      </c>
      <c r="P375" s="6">
        <v>0</v>
      </c>
      <c r="Q375" s="6">
        <v>0</v>
      </c>
      <c r="R375" s="6">
        <v>32</v>
      </c>
      <c r="S375" s="6">
        <v>0</v>
      </c>
    </row>
    <row r="376" spans="1:19" ht="15" x14ac:dyDescent="0.25">
      <c r="A376" s="7" t="s">
        <v>16</v>
      </c>
      <c r="B376" s="7" t="s">
        <v>17</v>
      </c>
      <c r="C376" s="7" t="s">
        <v>18</v>
      </c>
      <c r="D376" s="3">
        <v>1140803000104</v>
      </c>
      <c r="E376" s="8" t="s">
        <v>251</v>
      </c>
      <c r="F376" s="8" t="s">
        <v>252</v>
      </c>
      <c r="G376" s="8" t="s">
        <v>253</v>
      </c>
      <c r="H376" s="8" t="s">
        <v>795</v>
      </c>
      <c r="I376" s="3">
        <v>2</v>
      </c>
      <c r="J376" s="8" t="s">
        <v>720</v>
      </c>
      <c r="K376" s="8" t="s">
        <v>721</v>
      </c>
      <c r="L376" s="8" t="s">
        <v>723</v>
      </c>
      <c r="M376" s="1" t="s">
        <v>784</v>
      </c>
      <c r="N376" s="8" t="s">
        <v>785</v>
      </c>
      <c r="O376" s="6">
        <v>0</v>
      </c>
      <c r="P376" s="6">
        <v>0</v>
      </c>
      <c r="Q376" s="6">
        <v>0</v>
      </c>
      <c r="R376" s="6">
        <v>0</v>
      </c>
      <c r="S376" s="6">
        <v>0</v>
      </c>
    </row>
    <row r="377" spans="1:19" ht="15" x14ac:dyDescent="0.25">
      <c r="A377" s="7" t="s">
        <v>16</v>
      </c>
      <c r="B377" s="7" t="s">
        <v>17</v>
      </c>
      <c r="C377" s="7" t="s">
        <v>18</v>
      </c>
      <c r="D377" s="3">
        <v>9572216000287</v>
      </c>
      <c r="E377" s="8" t="s">
        <v>557</v>
      </c>
      <c r="F377" s="8" t="s">
        <v>558</v>
      </c>
      <c r="G377" s="8" t="s">
        <v>253</v>
      </c>
      <c r="H377" s="8" t="s">
        <v>795</v>
      </c>
      <c r="I377" s="3">
        <v>2</v>
      </c>
      <c r="J377" s="8" t="s">
        <v>754</v>
      </c>
      <c r="K377" s="8" t="s">
        <v>755</v>
      </c>
      <c r="L377" s="8" t="s">
        <v>730</v>
      </c>
      <c r="M377" s="1" t="s">
        <v>784</v>
      </c>
      <c r="N377" s="8" t="s">
        <v>785</v>
      </c>
      <c r="O377" s="6">
        <v>0</v>
      </c>
      <c r="P377" s="6">
        <v>0</v>
      </c>
      <c r="Q377" s="6">
        <v>0</v>
      </c>
      <c r="R377" s="6">
        <v>0</v>
      </c>
      <c r="S377" s="6">
        <v>90</v>
      </c>
    </row>
    <row r="378" spans="1:19" ht="15" x14ac:dyDescent="0.25">
      <c r="A378" s="7" t="s">
        <v>16</v>
      </c>
      <c r="B378" s="7" t="s">
        <v>17</v>
      </c>
      <c r="C378" s="7" t="s">
        <v>18</v>
      </c>
      <c r="D378" s="3">
        <v>9572216000287</v>
      </c>
      <c r="E378" s="8" t="s">
        <v>557</v>
      </c>
      <c r="F378" s="8" t="s">
        <v>558</v>
      </c>
      <c r="G378" s="8" t="s">
        <v>253</v>
      </c>
      <c r="H378" s="8" t="s">
        <v>795</v>
      </c>
      <c r="I378" s="3">
        <v>2</v>
      </c>
      <c r="J378" s="8" t="s">
        <v>720</v>
      </c>
      <c r="K378" s="8" t="s">
        <v>721</v>
      </c>
      <c r="L378" s="8" t="s">
        <v>723</v>
      </c>
      <c r="M378" s="1" t="s">
        <v>784</v>
      </c>
      <c r="N378" s="8" t="s">
        <v>785</v>
      </c>
      <c r="O378" s="6">
        <v>0</v>
      </c>
      <c r="P378" s="6">
        <v>0</v>
      </c>
      <c r="Q378" s="6">
        <v>0</v>
      </c>
      <c r="R378" s="6">
        <v>0</v>
      </c>
      <c r="S378" s="6">
        <v>90</v>
      </c>
    </row>
    <row r="379" spans="1:19" ht="15" x14ac:dyDescent="0.25">
      <c r="A379" s="7" t="s">
        <v>16</v>
      </c>
      <c r="B379" s="7" t="s">
        <v>17</v>
      </c>
      <c r="C379" s="7" t="s">
        <v>18</v>
      </c>
      <c r="D379" s="3">
        <v>92021062000360</v>
      </c>
      <c r="E379" s="8" t="s">
        <v>398</v>
      </c>
      <c r="F379" s="8" t="s">
        <v>399</v>
      </c>
      <c r="G379" s="8" t="s">
        <v>253</v>
      </c>
      <c r="H379" s="8" t="s">
        <v>795</v>
      </c>
      <c r="I379" s="3">
        <v>2</v>
      </c>
      <c r="J379" s="8" t="s">
        <v>754</v>
      </c>
      <c r="K379" s="8" t="s">
        <v>755</v>
      </c>
      <c r="L379" s="8" t="s">
        <v>730</v>
      </c>
      <c r="M379" s="1" t="s">
        <v>784</v>
      </c>
      <c r="N379" s="8" t="s">
        <v>785</v>
      </c>
      <c r="O379" s="6">
        <v>0</v>
      </c>
      <c r="P379" s="6">
        <v>0</v>
      </c>
      <c r="Q379" s="6">
        <v>0</v>
      </c>
      <c r="R379" s="6">
        <v>144</v>
      </c>
      <c r="S379" s="6">
        <v>0</v>
      </c>
    </row>
    <row r="380" spans="1:19" ht="15" x14ac:dyDescent="0.25">
      <c r="A380" s="7" t="s">
        <v>16</v>
      </c>
      <c r="B380" s="7" t="s">
        <v>17</v>
      </c>
      <c r="C380" s="7" t="s">
        <v>18</v>
      </c>
      <c r="D380" s="3">
        <v>92021062000360</v>
      </c>
      <c r="E380" s="8" t="s">
        <v>398</v>
      </c>
      <c r="F380" s="8" t="s">
        <v>399</v>
      </c>
      <c r="G380" s="8" t="s">
        <v>253</v>
      </c>
      <c r="H380" s="8" t="s">
        <v>795</v>
      </c>
      <c r="I380" s="3">
        <v>2</v>
      </c>
      <c r="J380" s="8" t="s">
        <v>720</v>
      </c>
      <c r="K380" s="8" t="s">
        <v>721</v>
      </c>
      <c r="L380" s="8" t="s">
        <v>723</v>
      </c>
      <c r="M380" s="1" t="s">
        <v>784</v>
      </c>
      <c r="N380" s="8" t="s">
        <v>785</v>
      </c>
      <c r="O380" s="6">
        <v>0</v>
      </c>
      <c r="P380" s="6">
        <v>0</v>
      </c>
      <c r="Q380" s="6">
        <v>0</v>
      </c>
      <c r="R380" s="6">
        <v>0</v>
      </c>
      <c r="S380" s="6">
        <v>0</v>
      </c>
    </row>
    <row r="381" spans="1:19" ht="15" x14ac:dyDescent="0.25">
      <c r="A381" s="7" t="s">
        <v>16</v>
      </c>
      <c r="B381" s="7" t="s">
        <v>17</v>
      </c>
      <c r="C381" s="7" t="s">
        <v>18</v>
      </c>
      <c r="D381" s="3">
        <v>87607149000626</v>
      </c>
      <c r="E381" s="8" t="s">
        <v>592</v>
      </c>
      <c r="F381" s="8" t="s">
        <v>399</v>
      </c>
      <c r="G381" s="8" t="s">
        <v>253</v>
      </c>
      <c r="H381" s="8" t="s">
        <v>795</v>
      </c>
      <c r="I381" s="3">
        <v>2</v>
      </c>
      <c r="J381" s="8" t="s">
        <v>754</v>
      </c>
      <c r="K381" s="8" t="s">
        <v>755</v>
      </c>
      <c r="L381" s="8" t="s">
        <v>730</v>
      </c>
      <c r="M381" s="1" t="s">
        <v>784</v>
      </c>
      <c r="N381" s="8" t="s">
        <v>785</v>
      </c>
      <c r="O381" s="6">
        <v>0</v>
      </c>
      <c r="P381" s="6">
        <v>0</v>
      </c>
      <c r="Q381" s="6">
        <v>0</v>
      </c>
      <c r="R381" s="6">
        <v>0</v>
      </c>
      <c r="S381" s="6">
        <v>240</v>
      </c>
    </row>
    <row r="382" spans="1:19" ht="15" x14ac:dyDescent="0.25">
      <c r="A382" s="7" t="s">
        <v>16</v>
      </c>
      <c r="B382" s="7" t="s">
        <v>17</v>
      </c>
      <c r="C382" s="7" t="s">
        <v>18</v>
      </c>
      <c r="D382" s="3">
        <v>87607149000626</v>
      </c>
      <c r="E382" s="8" t="s">
        <v>592</v>
      </c>
      <c r="F382" s="8" t="s">
        <v>399</v>
      </c>
      <c r="G382" s="8" t="s">
        <v>253</v>
      </c>
      <c r="H382" s="8" t="s">
        <v>795</v>
      </c>
      <c r="I382" s="3">
        <v>2</v>
      </c>
      <c r="J382" s="8" t="s">
        <v>720</v>
      </c>
      <c r="K382" s="8" t="s">
        <v>721</v>
      </c>
      <c r="L382" s="8" t="s">
        <v>723</v>
      </c>
      <c r="M382" s="1" t="s">
        <v>784</v>
      </c>
      <c r="N382" s="8" t="s">
        <v>785</v>
      </c>
      <c r="O382" s="6">
        <v>0</v>
      </c>
      <c r="P382" s="6">
        <v>0</v>
      </c>
      <c r="Q382" s="6">
        <v>0</v>
      </c>
      <c r="R382" s="6">
        <v>0</v>
      </c>
      <c r="S382" s="6">
        <v>240</v>
      </c>
    </row>
    <row r="383" spans="1:19" ht="15" x14ac:dyDescent="0.25">
      <c r="A383" s="7" t="s">
        <v>16</v>
      </c>
      <c r="B383" s="7" t="s">
        <v>17</v>
      </c>
      <c r="C383" s="7" t="s">
        <v>18</v>
      </c>
      <c r="D383" s="3">
        <v>92685833000151</v>
      </c>
      <c r="E383" s="8" t="s">
        <v>400</v>
      </c>
      <c r="F383" s="8" t="s">
        <v>305</v>
      </c>
      <c r="G383" s="8" t="s">
        <v>253</v>
      </c>
      <c r="H383" s="8" t="s">
        <v>795</v>
      </c>
      <c r="I383" s="3">
        <v>2</v>
      </c>
      <c r="J383" s="8" t="s">
        <v>754</v>
      </c>
      <c r="K383" s="8" t="s">
        <v>755</v>
      </c>
      <c r="L383" s="8" t="s">
        <v>730</v>
      </c>
      <c r="M383" s="1" t="s">
        <v>784</v>
      </c>
      <c r="N383" s="8" t="s">
        <v>785</v>
      </c>
      <c r="O383" s="6">
        <v>0</v>
      </c>
      <c r="P383" s="6">
        <v>0</v>
      </c>
      <c r="Q383" s="6">
        <v>0</v>
      </c>
      <c r="R383" s="6">
        <v>4</v>
      </c>
      <c r="S383" s="6">
        <v>0</v>
      </c>
    </row>
    <row r="384" spans="1:19" ht="15" x14ac:dyDescent="0.25">
      <c r="A384" s="7" t="s">
        <v>16</v>
      </c>
      <c r="B384" s="7" t="s">
        <v>17</v>
      </c>
      <c r="C384" s="7" t="s">
        <v>18</v>
      </c>
      <c r="D384" s="3">
        <v>92685833000151</v>
      </c>
      <c r="E384" s="8" t="s">
        <v>400</v>
      </c>
      <c r="F384" s="8" t="s">
        <v>305</v>
      </c>
      <c r="G384" s="8" t="s">
        <v>253</v>
      </c>
      <c r="H384" s="8" t="s">
        <v>795</v>
      </c>
      <c r="I384" s="3">
        <v>2</v>
      </c>
      <c r="J384" s="8" t="s">
        <v>720</v>
      </c>
      <c r="K384" s="8" t="s">
        <v>721</v>
      </c>
      <c r="L384" s="8" t="s">
        <v>723</v>
      </c>
      <c r="M384" s="1" t="s">
        <v>784</v>
      </c>
      <c r="N384" s="8" t="s">
        <v>785</v>
      </c>
      <c r="O384" s="6">
        <v>0</v>
      </c>
      <c r="P384" s="6">
        <v>16</v>
      </c>
      <c r="Q384" s="6">
        <v>40</v>
      </c>
      <c r="R384" s="6">
        <v>0</v>
      </c>
      <c r="S384" s="6">
        <v>0</v>
      </c>
    </row>
    <row r="385" spans="1:19" ht="15" x14ac:dyDescent="0.25">
      <c r="A385" s="7" t="s">
        <v>16</v>
      </c>
      <c r="B385" s="7" t="s">
        <v>17</v>
      </c>
      <c r="C385" s="7" t="s">
        <v>18</v>
      </c>
      <c r="D385" s="3">
        <v>92898550000198</v>
      </c>
      <c r="E385" s="8" t="s">
        <v>404</v>
      </c>
      <c r="F385" s="8" t="s">
        <v>305</v>
      </c>
      <c r="G385" s="8" t="s">
        <v>253</v>
      </c>
      <c r="H385" s="8" t="s">
        <v>795</v>
      </c>
      <c r="I385" s="3">
        <v>2</v>
      </c>
      <c r="J385" s="8" t="s">
        <v>754</v>
      </c>
      <c r="K385" s="8" t="s">
        <v>755</v>
      </c>
      <c r="L385" s="8" t="s">
        <v>730</v>
      </c>
      <c r="M385" s="1" t="s">
        <v>784</v>
      </c>
      <c r="N385" s="8" t="s">
        <v>785</v>
      </c>
      <c r="O385" s="6">
        <v>0</v>
      </c>
      <c r="P385" s="6">
        <v>0</v>
      </c>
      <c r="Q385" s="6">
        <v>0</v>
      </c>
      <c r="R385" s="6">
        <v>0</v>
      </c>
      <c r="S385" s="6">
        <v>0</v>
      </c>
    </row>
    <row r="386" spans="1:19" ht="15" x14ac:dyDescent="0.25">
      <c r="A386" s="7" t="s">
        <v>16</v>
      </c>
      <c r="B386" s="7" t="s">
        <v>17</v>
      </c>
      <c r="C386" s="7" t="s">
        <v>18</v>
      </c>
      <c r="D386" s="3">
        <v>92898550000198</v>
      </c>
      <c r="E386" s="8" t="s">
        <v>404</v>
      </c>
      <c r="F386" s="8" t="s">
        <v>305</v>
      </c>
      <c r="G386" s="8" t="s">
        <v>253</v>
      </c>
      <c r="H386" s="8" t="s">
        <v>795</v>
      </c>
      <c r="I386" s="3">
        <v>2</v>
      </c>
      <c r="J386" s="8" t="s">
        <v>720</v>
      </c>
      <c r="K386" s="8" t="s">
        <v>721</v>
      </c>
      <c r="L386" s="8" t="s">
        <v>723</v>
      </c>
      <c r="M386" s="1" t="s">
        <v>784</v>
      </c>
      <c r="N386" s="8" t="s">
        <v>785</v>
      </c>
      <c r="O386" s="6">
        <v>0</v>
      </c>
      <c r="P386" s="6">
        <v>14</v>
      </c>
      <c r="Q386" s="6">
        <v>0</v>
      </c>
      <c r="R386" s="6">
        <v>0</v>
      </c>
      <c r="S386" s="6">
        <v>0</v>
      </c>
    </row>
    <row r="387" spans="1:19" ht="15" x14ac:dyDescent="0.25">
      <c r="A387" s="7" t="s">
        <v>16</v>
      </c>
      <c r="B387" s="7" t="s">
        <v>17</v>
      </c>
      <c r="C387" s="7" t="s">
        <v>18</v>
      </c>
      <c r="D387" s="3">
        <v>26947257000149</v>
      </c>
      <c r="E387" s="8" t="s">
        <v>363</v>
      </c>
      <c r="F387" s="8" t="s">
        <v>305</v>
      </c>
      <c r="G387" s="8" t="s">
        <v>253</v>
      </c>
      <c r="H387" s="8" t="s">
        <v>795</v>
      </c>
      <c r="I387" s="3">
        <v>2</v>
      </c>
      <c r="J387" s="8" t="s">
        <v>754</v>
      </c>
      <c r="K387" s="8" t="s">
        <v>755</v>
      </c>
      <c r="L387" s="8" t="s">
        <v>730</v>
      </c>
      <c r="M387" s="1" t="s">
        <v>784</v>
      </c>
      <c r="N387" s="8" t="s">
        <v>785</v>
      </c>
      <c r="O387" s="6">
        <v>0</v>
      </c>
      <c r="P387" s="6">
        <v>0</v>
      </c>
      <c r="Q387" s="6">
        <v>0</v>
      </c>
      <c r="R387" s="6">
        <v>0</v>
      </c>
      <c r="S387" s="6">
        <v>0</v>
      </c>
    </row>
    <row r="388" spans="1:19" ht="15" x14ac:dyDescent="0.25">
      <c r="A388" s="7" t="s">
        <v>16</v>
      </c>
      <c r="B388" s="7" t="s">
        <v>17</v>
      </c>
      <c r="C388" s="7" t="s">
        <v>18</v>
      </c>
      <c r="D388" s="3">
        <v>26947257000149</v>
      </c>
      <c r="E388" s="8" t="s">
        <v>363</v>
      </c>
      <c r="F388" s="8" t="s">
        <v>305</v>
      </c>
      <c r="G388" s="8" t="s">
        <v>253</v>
      </c>
      <c r="H388" s="8" t="s">
        <v>795</v>
      </c>
      <c r="I388" s="3">
        <v>2</v>
      </c>
      <c r="J388" s="8" t="s">
        <v>720</v>
      </c>
      <c r="K388" s="8" t="s">
        <v>721</v>
      </c>
      <c r="L388" s="8" t="s">
        <v>723</v>
      </c>
      <c r="M388" s="1" t="s">
        <v>784</v>
      </c>
      <c r="N388" s="8" t="s">
        <v>785</v>
      </c>
      <c r="O388" s="6">
        <v>0</v>
      </c>
      <c r="P388" s="6">
        <v>0</v>
      </c>
      <c r="Q388" s="6">
        <v>6</v>
      </c>
      <c r="R388" s="6">
        <v>0</v>
      </c>
      <c r="S388" s="6">
        <v>0</v>
      </c>
    </row>
    <row r="389" spans="1:19" ht="15" x14ac:dyDescent="0.25">
      <c r="A389" s="7" t="s">
        <v>16</v>
      </c>
      <c r="B389" s="7" t="s">
        <v>17</v>
      </c>
      <c r="C389" s="7" t="s">
        <v>18</v>
      </c>
      <c r="D389" s="3">
        <v>92787118000391</v>
      </c>
      <c r="E389" s="8" t="s">
        <v>402</v>
      </c>
      <c r="F389" s="8" t="s">
        <v>305</v>
      </c>
      <c r="G389" s="8" t="s">
        <v>253</v>
      </c>
      <c r="H389" s="8" t="s">
        <v>795</v>
      </c>
      <c r="I389" s="3">
        <v>2</v>
      </c>
      <c r="J389" s="8" t="s">
        <v>754</v>
      </c>
      <c r="K389" s="8" t="s">
        <v>755</v>
      </c>
      <c r="L389" s="8" t="s">
        <v>730</v>
      </c>
      <c r="M389" s="1" t="s">
        <v>784</v>
      </c>
      <c r="N389" s="8" t="s">
        <v>785</v>
      </c>
      <c r="O389" s="6">
        <v>0</v>
      </c>
      <c r="P389" s="6">
        <v>0</v>
      </c>
      <c r="Q389" s="6">
        <v>0</v>
      </c>
      <c r="R389" s="6">
        <v>0</v>
      </c>
      <c r="S389" s="6">
        <v>0</v>
      </c>
    </row>
    <row r="390" spans="1:19" ht="15" x14ac:dyDescent="0.25">
      <c r="A390" s="7" t="s">
        <v>16</v>
      </c>
      <c r="B390" s="7" t="s">
        <v>17</v>
      </c>
      <c r="C390" s="7" t="s">
        <v>18</v>
      </c>
      <c r="D390" s="3">
        <v>92787118000391</v>
      </c>
      <c r="E390" s="8" t="s">
        <v>402</v>
      </c>
      <c r="F390" s="8" t="s">
        <v>305</v>
      </c>
      <c r="G390" s="8" t="s">
        <v>253</v>
      </c>
      <c r="H390" s="8" t="s">
        <v>795</v>
      </c>
      <c r="I390" s="3">
        <v>2</v>
      </c>
      <c r="J390" s="8" t="s">
        <v>720</v>
      </c>
      <c r="K390" s="8" t="s">
        <v>721</v>
      </c>
      <c r="L390" s="8" t="s">
        <v>723</v>
      </c>
      <c r="M390" s="1" t="s">
        <v>784</v>
      </c>
      <c r="N390" s="8" t="s">
        <v>785</v>
      </c>
      <c r="O390" s="6">
        <v>0</v>
      </c>
      <c r="P390" s="6">
        <v>12</v>
      </c>
      <c r="Q390" s="6">
        <v>0</v>
      </c>
      <c r="R390" s="6">
        <v>0</v>
      </c>
      <c r="S390" s="6">
        <v>0</v>
      </c>
    </row>
    <row r="391" spans="1:19" ht="15" x14ac:dyDescent="0.25">
      <c r="A391" s="7" t="s">
        <v>16</v>
      </c>
      <c r="B391" s="7" t="s">
        <v>17</v>
      </c>
      <c r="C391" s="7" t="s">
        <v>18</v>
      </c>
      <c r="D391" s="3">
        <v>87020517000120</v>
      </c>
      <c r="E391" s="8" t="s">
        <v>391</v>
      </c>
      <c r="F391" s="8" t="s">
        <v>305</v>
      </c>
      <c r="G391" s="8" t="s">
        <v>253</v>
      </c>
      <c r="H391" s="8" t="s">
        <v>795</v>
      </c>
      <c r="I391" s="3">
        <v>2</v>
      </c>
      <c r="J391" s="8" t="s">
        <v>754</v>
      </c>
      <c r="K391" s="8" t="s">
        <v>755</v>
      </c>
      <c r="L391" s="8" t="s">
        <v>730</v>
      </c>
      <c r="M391" s="1" t="s">
        <v>784</v>
      </c>
      <c r="N391" s="8" t="s">
        <v>785</v>
      </c>
      <c r="O391" s="6">
        <v>0</v>
      </c>
      <c r="P391" s="6">
        <v>0</v>
      </c>
      <c r="Q391" s="6">
        <v>0</v>
      </c>
      <c r="R391" s="6">
        <v>0</v>
      </c>
      <c r="S391" s="6">
        <v>0</v>
      </c>
    </row>
    <row r="392" spans="1:19" ht="15" x14ac:dyDescent="0.25">
      <c r="A392" s="7" t="s">
        <v>16</v>
      </c>
      <c r="B392" s="7" t="s">
        <v>17</v>
      </c>
      <c r="C392" s="7" t="s">
        <v>18</v>
      </c>
      <c r="D392" s="3">
        <v>87020517000120</v>
      </c>
      <c r="E392" s="8" t="s">
        <v>391</v>
      </c>
      <c r="F392" s="8" t="s">
        <v>305</v>
      </c>
      <c r="G392" s="8" t="s">
        <v>253</v>
      </c>
      <c r="H392" s="8" t="s">
        <v>795</v>
      </c>
      <c r="I392" s="3">
        <v>2</v>
      </c>
      <c r="J392" s="8" t="s">
        <v>720</v>
      </c>
      <c r="K392" s="8" t="s">
        <v>721</v>
      </c>
      <c r="L392" s="8" t="s">
        <v>723</v>
      </c>
      <c r="M392" s="1" t="s">
        <v>784</v>
      </c>
      <c r="N392" s="8" t="s">
        <v>785</v>
      </c>
      <c r="O392" s="6">
        <v>0</v>
      </c>
      <c r="P392" s="6">
        <v>10</v>
      </c>
      <c r="Q392" s="6">
        <v>25</v>
      </c>
      <c r="R392" s="6">
        <v>0</v>
      </c>
      <c r="S392" s="6">
        <v>0</v>
      </c>
    </row>
    <row r="393" spans="1:19" ht="15" x14ac:dyDescent="0.25">
      <c r="A393" s="7" t="s">
        <v>16</v>
      </c>
      <c r="B393" s="7" t="s">
        <v>17</v>
      </c>
      <c r="C393" s="7" t="s">
        <v>18</v>
      </c>
      <c r="D393" s="3">
        <v>87317764001084</v>
      </c>
      <c r="E393" s="8" t="s">
        <v>461</v>
      </c>
      <c r="F393" s="8" t="s">
        <v>305</v>
      </c>
      <c r="G393" s="8" t="s">
        <v>253</v>
      </c>
      <c r="H393" s="8" t="s">
        <v>795</v>
      </c>
      <c r="I393" s="3">
        <v>2</v>
      </c>
      <c r="J393" s="8" t="s">
        <v>754</v>
      </c>
      <c r="K393" s="8" t="s">
        <v>755</v>
      </c>
      <c r="L393" s="8" t="s">
        <v>730</v>
      </c>
      <c r="M393" s="1" t="s">
        <v>784</v>
      </c>
      <c r="N393" s="8" t="s">
        <v>785</v>
      </c>
      <c r="O393" s="6">
        <v>0</v>
      </c>
      <c r="P393" s="6">
        <v>0</v>
      </c>
      <c r="Q393" s="6">
        <v>0</v>
      </c>
      <c r="R393" s="6">
        <v>0</v>
      </c>
      <c r="S393" s="6">
        <v>330</v>
      </c>
    </row>
    <row r="394" spans="1:19" ht="15" x14ac:dyDescent="0.25">
      <c r="A394" s="7" t="s">
        <v>16</v>
      </c>
      <c r="B394" s="7" t="s">
        <v>17</v>
      </c>
      <c r="C394" s="7" t="s">
        <v>18</v>
      </c>
      <c r="D394" s="3">
        <v>87317764001084</v>
      </c>
      <c r="E394" s="8" t="s">
        <v>461</v>
      </c>
      <c r="F394" s="8" t="s">
        <v>305</v>
      </c>
      <c r="G394" s="8" t="s">
        <v>253</v>
      </c>
      <c r="H394" s="8" t="s">
        <v>795</v>
      </c>
      <c r="I394" s="3">
        <v>2</v>
      </c>
      <c r="J394" s="8" t="s">
        <v>720</v>
      </c>
      <c r="K394" s="8" t="s">
        <v>721</v>
      </c>
      <c r="L394" s="8" t="s">
        <v>723</v>
      </c>
      <c r="M394" s="1" t="s">
        <v>784</v>
      </c>
      <c r="N394" s="8" t="s">
        <v>785</v>
      </c>
      <c r="O394" s="6">
        <v>0</v>
      </c>
      <c r="P394" s="6">
        <v>0</v>
      </c>
      <c r="Q394" s="6">
        <v>0</v>
      </c>
      <c r="R394" s="6">
        <v>0</v>
      </c>
      <c r="S394" s="6">
        <v>330</v>
      </c>
    </row>
    <row r="395" spans="1:19" ht="15" x14ac:dyDescent="0.25">
      <c r="A395" s="7" t="s">
        <v>16</v>
      </c>
      <c r="B395" s="7" t="s">
        <v>17</v>
      </c>
      <c r="C395" s="7" t="s">
        <v>18</v>
      </c>
      <c r="D395" s="3">
        <v>92741016000254</v>
      </c>
      <c r="E395" s="8" t="s">
        <v>401</v>
      </c>
      <c r="F395" s="8" t="s">
        <v>305</v>
      </c>
      <c r="G395" s="8" t="s">
        <v>253</v>
      </c>
      <c r="H395" s="8" t="s">
        <v>795</v>
      </c>
      <c r="I395" s="3">
        <v>2</v>
      </c>
      <c r="J395" s="8" t="s">
        <v>754</v>
      </c>
      <c r="K395" s="8" t="s">
        <v>755</v>
      </c>
      <c r="L395" s="8" t="s">
        <v>730</v>
      </c>
      <c r="M395" s="1" t="s">
        <v>784</v>
      </c>
      <c r="N395" s="8" t="s">
        <v>785</v>
      </c>
      <c r="O395" s="6">
        <v>0</v>
      </c>
      <c r="P395" s="6">
        <v>0</v>
      </c>
      <c r="Q395" s="6">
        <v>0</v>
      </c>
      <c r="R395" s="6">
        <v>0</v>
      </c>
      <c r="S395" s="6">
        <v>0</v>
      </c>
    </row>
    <row r="396" spans="1:19" ht="15" x14ac:dyDescent="0.25">
      <c r="A396" s="7" t="s">
        <v>16</v>
      </c>
      <c r="B396" s="7" t="s">
        <v>17</v>
      </c>
      <c r="C396" s="7" t="s">
        <v>18</v>
      </c>
      <c r="D396" s="3">
        <v>92741016000254</v>
      </c>
      <c r="E396" s="8" t="s">
        <v>401</v>
      </c>
      <c r="F396" s="8" t="s">
        <v>305</v>
      </c>
      <c r="G396" s="8" t="s">
        <v>253</v>
      </c>
      <c r="H396" s="8" t="s">
        <v>795</v>
      </c>
      <c r="I396" s="3">
        <v>2</v>
      </c>
      <c r="J396" s="8" t="s">
        <v>720</v>
      </c>
      <c r="K396" s="8" t="s">
        <v>721</v>
      </c>
      <c r="L396" s="8" t="s">
        <v>723</v>
      </c>
      <c r="M396" s="1" t="s">
        <v>784</v>
      </c>
      <c r="N396" s="8" t="s">
        <v>785</v>
      </c>
      <c r="O396" s="6">
        <v>0</v>
      </c>
      <c r="P396" s="6">
        <v>5</v>
      </c>
      <c r="Q396" s="6">
        <v>0</v>
      </c>
      <c r="R396" s="6">
        <v>0</v>
      </c>
      <c r="S396" s="6">
        <v>0</v>
      </c>
    </row>
    <row r="397" spans="1:19" ht="15" x14ac:dyDescent="0.25">
      <c r="A397" s="7" t="s">
        <v>16</v>
      </c>
      <c r="B397" s="7" t="s">
        <v>17</v>
      </c>
      <c r="C397" s="7" t="s">
        <v>18</v>
      </c>
      <c r="D397" s="3">
        <v>88625686002443</v>
      </c>
      <c r="E397" s="8" t="s">
        <v>396</v>
      </c>
      <c r="F397" s="8" t="s">
        <v>305</v>
      </c>
      <c r="G397" s="8" t="s">
        <v>253</v>
      </c>
      <c r="H397" s="8" t="s">
        <v>795</v>
      </c>
      <c r="I397" s="3">
        <v>2</v>
      </c>
      <c r="J397" s="8" t="s">
        <v>754</v>
      </c>
      <c r="K397" s="8" t="s">
        <v>755</v>
      </c>
      <c r="L397" s="8" t="s">
        <v>730</v>
      </c>
      <c r="M397" s="1" t="s">
        <v>784</v>
      </c>
      <c r="N397" s="8" t="s">
        <v>785</v>
      </c>
      <c r="O397" s="6">
        <v>0</v>
      </c>
      <c r="P397" s="6">
        <v>0</v>
      </c>
      <c r="Q397" s="6">
        <v>0</v>
      </c>
      <c r="R397" s="6">
        <v>0</v>
      </c>
      <c r="S397" s="6">
        <v>0</v>
      </c>
    </row>
    <row r="398" spans="1:19" ht="15" x14ac:dyDescent="0.25">
      <c r="A398" s="7" t="s">
        <v>16</v>
      </c>
      <c r="B398" s="7" t="s">
        <v>17</v>
      </c>
      <c r="C398" s="7" t="s">
        <v>18</v>
      </c>
      <c r="D398" s="3">
        <v>88625686002443</v>
      </c>
      <c r="E398" s="8" t="s">
        <v>396</v>
      </c>
      <c r="F398" s="8" t="s">
        <v>305</v>
      </c>
      <c r="G398" s="8" t="s">
        <v>253</v>
      </c>
      <c r="H398" s="8" t="s">
        <v>795</v>
      </c>
      <c r="I398" s="3">
        <v>2</v>
      </c>
      <c r="J398" s="8" t="s">
        <v>720</v>
      </c>
      <c r="K398" s="8" t="s">
        <v>721</v>
      </c>
      <c r="L398" s="8" t="s">
        <v>723</v>
      </c>
      <c r="M398" s="1" t="s">
        <v>784</v>
      </c>
      <c r="N398" s="8" t="s">
        <v>785</v>
      </c>
      <c r="O398" s="6">
        <v>0</v>
      </c>
      <c r="P398" s="6">
        <v>24</v>
      </c>
      <c r="Q398" s="6">
        <v>5</v>
      </c>
      <c r="R398" s="6">
        <v>0</v>
      </c>
      <c r="S398" s="6">
        <v>0</v>
      </c>
    </row>
    <row r="399" spans="1:19" ht="15" x14ac:dyDescent="0.25">
      <c r="A399" s="7" t="s">
        <v>16</v>
      </c>
      <c r="B399" s="7" t="s">
        <v>17</v>
      </c>
      <c r="C399" s="7" t="s">
        <v>18</v>
      </c>
      <c r="D399" s="3">
        <v>88630413000796</v>
      </c>
      <c r="E399" s="8" t="s">
        <v>397</v>
      </c>
      <c r="F399" s="8" t="s">
        <v>305</v>
      </c>
      <c r="G399" s="8" t="s">
        <v>253</v>
      </c>
      <c r="H399" s="8" t="s">
        <v>795</v>
      </c>
      <c r="I399" s="3">
        <v>2</v>
      </c>
      <c r="J399" s="8" t="s">
        <v>754</v>
      </c>
      <c r="K399" s="8" t="s">
        <v>755</v>
      </c>
      <c r="L399" s="8" t="s">
        <v>730</v>
      </c>
      <c r="M399" s="1" t="s">
        <v>784</v>
      </c>
      <c r="N399" s="8" t="s">
        <v>785</v>
      </c>
      <c r="O399" s="6">
        <v>0</v>
      </c>
      <c r="P399" s="6">
        <v>0</v>
      </c>
      <c r="Q399" s="6">
        <v>0</v>
      </c>
      <c r="R399" s="6">
        <v>0</v>
      </c>
      <c r="S399" s="6">
        <v>0</v>
      </c>
    </row>
    <row r="400" spans="1:19" ht="15" x14ac:dyDescent="0.25">
      <c r="A400" s="7" t="s">
        <v>16</v>
      </c>
      <c r="B400" s="7" t="s">
        <v>17</v>
      </c>
      <c r="C400" s="7" t="s">
        <v>18</v>
      </c>
      <c r="D400" s="3">
        <v>88630413000796</v>
      </c>
      <c r="E400" s="8" t="s">
        <v>397</v>
      </c>
      <c r="F400" s="8" t="s">
        <v>305</v>
      </c>
      <c r="G400" s="8" t="s">
        <v>253</v>
      </c>
      <c r="H400" s="8" t="s">
        <v>795</v>
      </c>
      <c r="I400" s="3">
        <v>2</v>
      </c>
      <c r="J400" s="8" t="s">
        <v>720</v>
      </c>
      <c r="K400" s="8" t="s">
        <v>721</v>
      </c>
      <c r="L400" s="8" t="s">
        <v>723</v>
      </c>
      <c r="M400" s="1" t="s">
        <v>784</v>
      </c>
      <c r="N400" s="8" t="s">
        <v>785</v>
      </c>
      <c r="O400" s="6">
        <v>0</v>
      </c>
      <c r="P400" s="6">
        <v>6</v>
      </c>
      <c r="Q400" s="6">
        <v>14</v>
      </c>
      <c r="R400" s="6">
        <v>0</v>
      </c>
      <c r="S400" s="6">
        <v>0</v>
      </c>
    </row>
    <row r="401" spans="1:19" ht="15" x14ac:dyDescent="0.25">
      <c r="A401" s="7" t="s">
        <v>16</v>
      </c>
      <c r="B401" s="7" t="s">
        <v>17</v>
      </c>
      <c r="C401" s="7" t="s">
        <v>18</v>
      </c>
      <c r="D401" s="3">
        <v>94831294000147</v>
      </c>
      <c r="E401" s="8" t="s">
        <v>593</v>
      </c>
      <c r="F401" s="8" t="s">
        <v>305</v>
      </c>
      <c r="G401" s="8" t="s">
        <v>253</v>
      </c>
      <c r="H401" s="8" t="s">
        <v>795</v>
      </c>
      <c r="I401" s="3">
        <v>2</v>
      </c>
      <c r="J401" s="8" t="s">
        <v>754</v>
      </c>
      <c r="K401" s="8" t="s">
        <v>755</v>
      </c>
      <c r="L401" s="8" t="s">
        <v>730</v>
      </c>
      <c r="M401" s="1" t="s">
        <v>784</v>
      </c>
      <c r="N401" s="8" t="s">
        <v>785</v>
      </c>
      <c r="O401" s="6">
        <v>0</v>
      </c>
      <c r="P401" s="6">
        <v>0</v>
      </c>
      <c r="Q401" s="6">
        <v>0</v>
      </c>
      <c r="R401" s="6">
        <v>0</v>
      </c>
      <c r="S401" s="6">
        <v>30</v>
      </c>
    </row>
    <row r="402" spans="1:19" ht="15" x14ac:dyDescent="0.25">
      <c r="A402" s="7" t="s">
        <v>16</v>
      </c>
      <c r="B402" s="7" t="s">
        <v>17</v>
      </c>
      <c r="C402" s="7" t="s">
        <v>18</v>
      </c>
      <c r="D402" s="3">
        <v>94831294000147</v>
      </c>
      <c r="E402" s="8" t="s">
        <v>593</v>
      </c>
      <c r="F402" s="8" t="s">
        <v>305</v>
      </c>
      <c r="G402" s="8" t="s">
        <v>253</v>
      </c>
      <c r="H402" s="8" t="s">
        <v>795</v>
      </c>
      <c r="I402" s="3">
        <v>2</v>
      </c>
      <c r="J402" s="8" t="s">
        <v>720</v>
      </c>
      <c r="K402" s="8" t="s">
        <v>721</v>
      </c>
      <c r="L402" s="8" t="s">
        <v>723</v>
      </c>
      <c r="M402" s="1" t="s">
        <v>784</v>
      </c>
      <c r="N402" s="8" t="s">
        <v>785</v>
      </c>
      <c r="O402" s="6">
        <v>0</v>
      </c>
      <c r="P402" s="6">
        <v>0</v>
      </c>
      <c r="Q402" s="6">
        <v>0</v>
      </c>
      <c r="R402" s="6">
        <v>0</v>
      </c>
      <c r="S402" s="6">
        <v>30</v>
      </c>
    </row>
    <row r="403" spans="1:19" ht="15" x14ac:dyDescent="0.25">
      <c r="A403" s="7" t="s">
        <v>16</v>
      </c>
      <c r="B403" s="7" t="s">
        <v>17</v>
      </c>
      <c r="C403" s="7" t="s">
        <v>18</v>
      </c>
      <c r="D403" s="3">
        <v>92815000000168</v>
      </c>
      <c r="E403" s="8" t="s">
        <v>403</v>
      </c>
      <c r="F403" s="8" t="s">
        <v>305</v>
      </c>
      <c r="G403" s="8" t="s">
        <v>253</v>
      </c>
      <c r="H403" s="8" t="s">
        <v>795</v>
      </c>
      <c r="I403" s="3">
        <v>2</v>
      </c>
      <c r="J403" s="8" t="s">
        <v>754</v>
      </c>
      <c r="K403" s="8" t="s">
        <v>755</v>
      </c>
      <c r="L403" s="8" t="s">
        <v>730</v>
      </c>
      <c r="M403" s="1" t="s">
        <v>784</v>
      </c>
      <c r="N403" s="8" t="s">
        <v>785</v>
      </c>
      <c r="O403" s="6">
        <v>0</v>
      </c>
      <c r="P403" s="6">
        <v>0</v>
      </c>
      <c r="Q403" s="6">
        <v>0</v>
      </c>
      <c r="R403" s="6">
        <v>38</v>
      </c>
      <c r="S403" s="6">
        <v>0</v>
      </c>
    </row>
    <row r="404" spans="1:19" ht="15" x14ac:dyDescent="0.25">
      <c r="A404" s="7" t="s">
        <v>16</v>
      </c>
      <c r="B404" s="7" t="s">
        <v>17</v>
      </c>
      <c r="C404" s="7" t="s">
        <v>18</v>
      </c>
      <c r="D404" s="3">
        <v>92815000000168</v>
      </c>
      <c r="E404" s="8" t="s">
        <v>403</v>
      </c>
      <c r="F404" s="8" t="s">
        <v>305</v>
      </c>
      <c r="G404" s="8" t="s">
        <v>253</v>
      </c>
      <c r="H404" s="8" t="s">
        <v>795</v>
      </c>
      <c r="I404" s="3">
        <v>2</v>
      </c>
      <c r="J404" s="8" t="s">
        <v>720</v>
      </c>
      <c r="K404" s="8" t="s">
        <v>721</v>
      </c>
      <c r="L404" s="8" t="s">
        <v>723</v>
      </c>
      <c r="M404" s="1" t="s">
        <v>784</v>
      </c>
      <c r="N404" s="8" t="s">
        <v>785</v>
      </c>
      <c r="O404" s="6">
        <v>0</v>
      </c>
      <c r="P404" s="6">
        <v>8</v>
      </c>
      <c r="Q404" s="6">
        <v>62</v>
      </c>
      <c r="R404" s="6">
        <v>0</v>
      </c>
      <c r="S404" s="6">
        <v>0</v>
      </c>
    </row>
    <row r="405" spans="1:19" ht="15" x14ac:dyDescent="0.25">
      <c r="A405" s="7" t="s">
        <v>16</v>
      </c>
      <c r="B405" s="7" t="s">
        <v>17</v>
      </c>
      <c r="C405" s="7" t="s">
        <v>18</v>
      </c>
      <c r="D405" s="3">
        <v>87958625000149</v>
      </c>
      <c r="E405" s="8" t="s">
        <v>395</v>
      </c>
      <c r="F405" s="8" t="s">
        <v>305</v>
      </c>
      <c r="G405" s="8" t="s">
        <v>253</v>
      </c>
      <c r="H405" s="8" t="s">
        <v>795</v>
      </c>
      <c r="I405" s="3">
        <v>2</v>
      </c>
      <c r="J405" s="8" t="s">
        <v>754</v>
      </c>
      <c r="K405" s="8" t="s">
        <v>755</v>
      </c>
      <c r="L405" s="8" t="s">
        <v>730</v>
      </c>
      <c r="M405" s="1" t="s">
        <v>784</v>
      </c>
      <c r="N405" s="8" t="s">
        <v>785</v>
      </c>
      <c r="O405" s="6">
        <v>12</v>
      </c>
      <c r="P405" s="6">
        <v>0</v>
      </c>
      <c r="Q405" s="6">
        <v>0</v>
      </c>
      <c r="R405" s="6">
        <v>0</v>
      </c>
      <c r="S405" s="6">
        <v>0</v>
      </c>
    </row>
    <row r="406" spans="1:19" ht="15" x14ac:dyDescent="0.25">
      <c r="A406" s="7" t="s">
        <v>16</v>
      </c>
      <c r="B406" s="7" t="s">
        <v>17</v>
      </c>
      <c r="C406" s="7" t="s">
        <v>18</v>
      </c>
      <c r="D406" s="3">
        <v>87958625000149</v>
      </c>
      <c r="E406" s="8" t="s">
        <v>395</v>
      </c>
      <c r="F406" s="8" t="s">
        <v>305</v>
      </c>
      <c r="G406" s="8" t="s">
        <v>253</v>
      </c>
      <c r="H406" s="8" t="s">
        <v>795</v>
      </c>
      <c r="I406" s="3">
        <v>2</v>
      </c>
      <c r="J406" s="8" t="s">
        <v>720</v>
      </c>
      <c r="K406" s="8" t="s">
        <v>721</v>
      </c>
      <c r="L406" s="8" t="s">
        <v>723</v>
      </c>
      <c r="M406" s="1" t="s">
        <v>784</v>
      </c>
      <c r="N406" s="8" t="s">
        <v>785</v>
      </c>
      <c r="O406" s="6">
        <v>0</v>
      </c>
      <c r="P406" s="6">
        <v>0</v>
      </c>
      <c r="Q406" s="6">
        <v>0</v>
      </c>
      <c r="R406" s="6">
        <v>0</v>
      </c>
      <c r="S406" s="6">
        <v>0</v>
      </c>
    </row>
    <row r="407" spans="1:19" ht="15" x14ac:dyDescent="0.25">
      <c r="A407" s="7" t="s">
        <v>16</v>
      </c>
      <c r="B407" s="7" t="s">
        <v>17</v>
      </c>
      <c r="C407" s="7" t="s">
        <v>18</v>
      </c>
      <c r="D407" s="3">
        <v>9087150000230</v>
      </c>
      <c r="E407" s="8" t="s">
        <v>304</v>
      </c>
      <c r="F407" s="8" t="s">
        <v>305</v>
      </c>
      <c r="G407" s="8" t="s">
        <v>253</v>
      </c>
      <c r="H407" s="8" t="s">
        <v>795</v>
      </c>
      <c r="I407" s="3">
        <v>2</v>
      </c>
      <c r="J407" s="8" t="s">
        <v>754</v>
      </c>
      <c r="K407" s="8" t="s">
        <v>755</v>
      </c>
      <c r="L407" s="8" t="s">
        <v>730</v>
      </c>
      <c r="M407" s="1" t="s">
        <v>784</v>
      </c>
      <c r="N407" s="8" t="s">
        <v>785</v>
      </c>
      <c r="O407" s="6">
        <v>0</v>
      </c>
      <c r="P407" s="6">
        <v>0</v>
      </c>
      <c r="Q407" s="6">
        <v>0</v>
      </c>
      <c r="R407" s="6">
        <v>8</v>
      </c>
      <c r="S407" s="6">
        <v>0</v>
      </c>
    </row>
    <row r="408" spans="1:19" ht="15" x14ac:dyDescent="0.25">
      <c r="A408" s="7" t="s">
        <v>16</v>
      </c>
      <c r="B408" s="7" t="s">
        <v>17</v>
      </c>
      <c r="C408" s="7" t="s">
        <v>18</v>
      </c>
      <c r="D408" s="3">
        <v>9087150000230</v>
      </c>
      <c r="E408" s="8" t="s">
        <v>304</v>
      </c>
      <c r="F408" s="8" t="s">
        <v>305</v>
      </c>
      <c r="G408" s="8" t="s">
        <v>253</v>
      </c>
      <c r="H408" s="8" t="s">
        <v>795</v>
      </c>
      <c r="I408" s="3">
        <v>2</v>
      </c>
      <c r="J408" s="8" t="s">
        <v>720</v>
      </c>
      <c r="K408" s="8" t="s">
        <v>721</v>
      </c>
      <c r="L408" s="8" t="s">
        <v>723</v>
      </c>
      <c r="M408" s="1" t="s">
        <v>784</v>
      </c>
      <c r="N408" s="8" t="s">
        <v>785</v>
      </c>
      <c r="O408" s="6">
        <v>0</v>
      </c>
      <c r="P408" s="6">
        <v>0</v>
      </c>
      <c r="Q408" s="6">
        <v>0</v>
      </c>
      <c r="R408" s="6">
        <v>0</v>
      </c>
      <c r="S408" s="6">
        <v>0</v>
      </c>
    </row>
    <row r="409" spans="1:19" ht="15" x14ac:dyDescent="0.25">
      <c r="A409" s="7" t="s">
        <v>16</v>
      </c>
      <c r="B409" s="7" t="s">
        <v>17</v>
      </c>
      <c r="C409" s="7" t="s">
        <v>18</v>
      </c>
      <c r="D409" s="3">
        <v>15126437001972</v>
      </c>
      <c r="E409" s="8" t="s">
        <v>330</v>
      </c>
      <c r="F409" s="8" t="s">
        <v>331</v>
      </c>
      <c r="G409" s="8" t="s">
        <v>253</v>
      </c>
      <c r="H409" s="8" t="s">
        <v>795</v>
      </c>
      <c r="I409" s="3">
        <v>2</v>
      </c>
      <c r="J409" s="8" t="s">
        <v>754</v>
      </c>
      <c r="K409" s="8" t="s">
        <v>755</v>
      </c>
      <c r="L409" s="8" t="s">
        <v>730</v>
      </c>
      <c r="M409" s="1" t="s">
        <v>784</v>
      </c>
      <c r="N409" s="8" t="s">
        <v>785</v>
      </c>
      <c r="O409" s="6">
        <v>0</v>
      </c>
      <c r="P409" s="6">
        <v>0</v>
      </c>
      <c r="Q409" s="6">
        <v>0</v>
      </c>
      <c r="R409" s="6">
        <v>0</v>
      </c>
      <c r="S409" s="6">
        <v>0</v>
      </c>
    </row>
    <row r="410" spans="1:19" ht="15" x14ac:dyDescent="0.25">
      <c r="A410" s="7" t="s">
        <v>16</v>
      </c>
      <c r="B410" s="7" t="s">
        <v>17</v>
      </c>
      <c r="C410" s="7" t="s">
        <v>18</v>
      </c>
      <c r="D410" s="3">
        <v>15126437001972</v>
      </c>
      <c r="E410" s="8" t="s">
        <v>330</v>
      </c>
      <c r="F410" s="8" t="s">
        <v>331</v>
      </c>
      <c r="G410" s="8" t="s">
        <v>253</v>
      </c>
      <c r="H410" s="8" t="s">
        <v>795</v>
      </c>
      <c r="I410" s="3">
        <v>2</v>
      </c>
      <c r="J410" s="8" t="s">
        <v>720</v>
      </c>
      <c r="K410" s="8" t="s">
        <v>721</v>
      </c>
      <c r="L410" s="8" t="s">
        <v>723</v>
      </c>
      <c r="M410" s="1" t="s">
        <v>784</v>
      </c>
      <c r="N410" s="8" t="s">
        <v>785</v>
      </c>
      <c r="O410" s="6">
        <v>0</v>
      </c>
      <c r="P410" s="6">
        <v>15</v>
      </c>
      <c r="Q410" s="6">
        <v>0</v>
      </c>
      <c r="R410" s="6">
        <v>0</v>
      </c>
      <c r="S410" s="6">
        <v>0</v>
      </c>
    </row>
    <row r="411" spans="1:19" ht="15" x14ac:dyDescent="0.25">
      <c r="A411" s="7" t="s">
        <v>16</v>
      </c>
      <c r="B411" s="7" t="s">
        <v>17</v>
      </c>
      <c r="C411" s="7" t="s">
        <v>18</v>
      </c>
      <c r="D411" s="3">
        <v>95610887000146</v>
      </c>
      <c r="E411" s="8" t="s">
        <v>406</v>
      </c>
      <c r="F411" s="8" t="s">
        <v>331</v>
      </c>
      <c r="G411" s="8" t="s">
        <v>253</v>
      </c>
      <c r="H411" s="8" t="s">
        <v>795</v>
      </c>
      <c r="I411" s="3">
        <v>2</v>
      </c>
      <c r="J411" s="8" t="s">
        <v>754</v>
      </c>
      <c r="K411" s="8" t="s">
        <v>755</v>
      </c>
      <c r="L411" s="8" t="s">
        <v>730</v>
      </c>
      <c r="M411" s="1" t="s">
        <v>784</v>
      </c>
      <c r="N411" s="8" t="s">
        <v>785</v>
      </c>
      <c r="O411" s="6">
        <v>0</v>
      </c>
      <c r="P411" s="6">
        <v>0</v>
      </c>
      <c r="Q411" s="6">
        <v>0</v>
      </c>
      <c r="R411" s="6">
        <v>0</v>
      </c>
      <c r="S411" s="6">
        <v>300</v>
      </c>
    </row>
    <row r="412" spans="1:19" ht="15" x14ac:dyDescent="0.25">
      <c r="A412" s="7" t="s">
        <v>16</v>
      </c>
      <c r="B412" s="7" t="s">
        <v>17</v>
      </c>
      <c r="C412" s="7" t="s">
        <v>18</v>
      </c>
      <c r="D412" s="3">
        <v>95610887000146</v>
      </c>
      <c r="E412" s="8" t="s">
        <v>406</v>
      </c>
      <c r="F412" s="8" t="s">
        <v>331</v>
      </c>
      <c r="G412" s="8" t="s">
        <v>253</v>
      </c>
      <c r="H412" s="8" t="s">
        <v>795</v>
      </c>
      <c r="I412" s="3">
        <v>2</v>
      </c>
      <c r="J412" s="8" t="s">
        <v>720</v>
      </c>
      <c r="K412" s="8" t="s">
        <v>721</v>
      </c>
      <c r="L412" s="8" t="s">
        <v>723</v>
      </c>
      <c r="M412" s="1" t="s">
        <v>784</v>
      </c>
      <c r="N412" s="8" t="s">
        <v>785</v>
      </c>
      <c r="O412" s="6">
        <v>0</v>
      </c>
      <c r="P412" s="6">
        <v>0</v>
      </c>
      <c r="Q412" s="6">
        <v>4</v>
      </c>
      <c r="R412" s="6">
        <v>0</v>
      </c>
      <c r="S412" s="6">
        <v>300</v>
      </c>
    </row>
    <row r="413" spans="1:19" ht="15" x14ac:dyDescent="0.25">
      <c r="A413" s="7" t="s">
        <v>16</v>
      </c>
      <c r="B413" s="7" t="s">
        <v>17</v>
      </c>
      <c r="C413" s="7" t="s">
        <v>18</v>
      </c>
      <c r="D413" s="3">
        <v>9605231000284</v>
      </c>
      <c r="E413" s="8" t="s">
        <v>559</v>
      </c>
      <c r="F413" s="8" t="s">
        <v>331</v>
      </c>
      <c r="G413" s="8" t="s">
        <v>253</v>
      </c>
      <c r="H413" s="8" t="s">
        <v>795</v>
      </c>
      <c r="I413" s="3">
        <v>2</v>
      </c>
      <c r="J413" s="8" t="s">
        <v>754</v>
      </c>
      <c r="K413" s="8" t="s">
        <v>755</v>
      </c>
      <c r="L413" s="8" t="s">
        <v>730</v>
      </c>
      <c r="M413" s="1" t="s">
        <v>784</v>
      </c>
      <c r="N413" s="8" t="s">
        <v>785</v>
      </c>
      <c r="O413" s="6">
        <v>0</v>
      </c>
      <c r="P413" s="6">
        <v>0</v>
      </c>
      <c r="Q413" s="6">
        <v>0</v>
      </c>
      <c r="R413" s="6">
        <v>0</v>
      </c>
      <c r="S413" s="6">
        <v>100</v>
      </c>
    </row>
    <row r="414" spans="1:19" ht="15" x14ac:dyDescent="0.25">
      <c r="A414" s="7" t="s">
        <v>16</v>
      </c>
      <c r="B414" s="7" t="s">
        <v>17</v>
      </c>
      <c r="C414" s="7" t="s">
        <v>18</v>
      </c>
      <c r="D414" s="3">
        <v>9605231000284</v>
      </c>
      <c r="E414" s="8" t="s">
        <v>559</v>
      </c>
      <c r="F414" s="8" t="s">
        <v>331</v>
      </c>
      <c r="G414" s="8" t="s">
        <v>253</v>
      </c>
      <c r="H414" s="8" t="s">
        <v>795</v>
      </c>
      <c r="I414" s="3">
        <v>2</v>
      </c>
      <c r="J414" s="8" t="s">
        <v>720</v>
      </c>
      <c r="K414" s="8" t="s">
        <v>721</v>
      </c>
      <c r="L414" s="8" t="s">
        <v>723</v>
      </c>
      <c r="M414" s="1" t="s">
        <v>784</v>
      </c>
      <c r="N414" s="8" t="s">
        <v>785</v>
      </c>
      <c r="O414" s="6">
        <v>0</v>
      </c>
      <c r="P414" s="6">
        <v>0</v>
      </c>
      <c r="Q414" s="6">
        <v>0</v>
      </c>
      <c r="R414" s="6">
        <v>0</v>
      </c>
      <c r="S414" s="6">
        <v>100</v>
      </c>
    </row>
    <row r="415" spans="1:19" ht="15" x14ac:dyDescent="0.25">
      <c r="A415" s="7" t="s">
        <v>16</v>
      </c>
      <c r="B415" s="7" t="s">
        <v>17</v>
      </c>
      <c r="C415" s="7" t="s">
        <v>18</v>
      </c>
      <c r="D415" s="3">
        <v>1517626000132</v>
      </c>
      <c r="E415" s="8" t="s">
        <v>257</v>
      </c>
      <c r="F415" s="8" t="s">
        <v>258</v>
      </c>
      <c r="G415" s="8" t="s">
        <v>259</v>
      </c>
      <c r="H415" s="8" t="s">
        <v>795</v>
      </c>
      <c r="I415" s="3">
        <v>2</v>
      </c>
      <c r="J415" s="8" t="s">
        <v>754</v>
      </c>
      <c r="K415" s="8" t="s">
        <v>755</v>
      </c>
      <c r="L415" s="8" t="s">
        <v>730</v>
      </c>
      <c r="M415" s="1" t="s">
        <v>784</v>
      </c>
      <c r="N415" s="8" t="s">
        <v>785</v>
      </c>
      <c r="O415" s="6">
        <v>0</v>
      </c>
      <c r="P415" s="6">
        <v>0</v>
      </c>
      <c r="Q415" s="6">
        <v>0</v>
      </c>
      <c r="R415" s="6">
        <v>12</v>
      </c>
      <c r="S415" s="6">
        <v>0</v>
      </c>
    </row>
    <row r="416" spans="1:19" ht="15" x14ac:dyDescent="0.25">
      <c r="A416" s="7" t="s">
        <v>16</v>
      </c>
      <c r="B416" s="7" t="s">
        <v>17</v>
      </c>
      <c r="C416" s="7" t="s">
        <v>18</v>
      </c>
      <c r="D416" s="3">
        <v>1517626000132</v>
      </c>
      <c r="E416" s="8" t="s">
        <v>257</v>
      </c>
      <c r="F416" s="8" t="s">
        <v>258</v>
      </c>
      <c r="G416" s="8" t="s">
        <v>259</v>
      </c>
      <c r="H416" s="8" t="s">
        <v>795</v>
      </c>
      <c r="I416" s="3">
        <v>2</v>
      </c>
      <c r="J416" s="8" t="s">
        <v>735</v>
      </c>
      <c r="K416" s="8" t="s">
        <v>736</v>
      </c>
      <c r="L416" s="8" t="s">
        <v>723</v>
      </c>
      <c r="M416" s="1" t="s">
        <v>784</v>
      </c>
      <c r="N416" s="8" t="s">
        <v>785</v>
      </c>
      <c r="O416" s="6">
        <v>0</v>
      </c>
      <c r="P416" s="6">
        <v>0</v>
      </c>
      <c r="Q416" s="6">
        <v>0</v>
      </c>
      <c r="R416" s="6">
        <v>0</v>
      </c>
      <c r="S416" s="6">
        <v>0</v>
      </c>
    </row>
    <row r="417" spans="1:19" ht="15" x14ac:dyDescent="0.25">
      <c r="A417" s="7" t="s">
        <v>16</v>
      </c>
      <c r="B417" s="7" t="s">
        <v>17</v>
      </c>
      <c r="C417" s="7" t="s">
        <v>18</v>
      </c>
      <c r="D417" s="3">
        <v>85377174000392</v>
      </c>
      <c r="E417" s="8" t="s">
        <v>390</v>
      </c>
      <c r="F417" s="8" t="s">
        <v>258</v>
      </c>
      <c r="G417" s="8" t="s">
        <v>259</v>
      </c>
      <c r="H417" s="8" t="s">
        <v>795</v>
      </c>
      <c r="I417" s="3">
        <v>2</v>
      </c>
      <c r="J417" s="8" t="s">
        <v>754</v>
      </c>
      <c r="K417" s="8" t="s">
        <v>755</v>
      </c>
      <c r="L417" s="8" t="s">
        <v>730</v>
      </c>
      <c r="M417" s="1" t="s">
        <v>784</v>
      </c>
      <c r="N417" s="8" t="s">
        <v>785</v>
      </c>
      <c r="O417" s="6">
        <v>0</v>
      </c>
      <c r="P417" s="6">
        <v>0</v>
      </c>
      <c r="Q417" s="6">
        <v>0</v>
      </c>
      <c r="R417" s="6">
        <v>15</v>
      </c>
      <c r="S417" s="6">
        <v>0</v>
      </c>
    </row>
    <row r="418" spans="1:19" ht="15" x14ac:dyDescent="0.25">
      <c r="A418" s="7" t="s">
        <v>16</v>
      </c>
      <c r="B418" s="7" t="s">
        <v>17</v>
      </c>
      <c r="C418" s="7" t="s">
        <v>18</v>
      </c>
      <c r="D418" s="3">
        <v>85377174000392</v>
      </c>
      <c r="E418" s="8" t="s">
        <v>390</v>
      </c>
      <c r="F418" s="8" t="s">
        <v>258</v>
      </c>
      <c r="G418" s="8" t="s">
        <v>259</v>
      </c>
      <c r="H418" s="8" t="s">
        <v>795</v>
      </c>
      <c r="I418" s="3">
        <v>2</v>
      </c>
      <c r="J418" s="8" t="s">
        <v>735</v>
      </c>
      <c r="K418" s="8" t="s">
        <v>736</v>
      </c>
      <c r="L418" s="8" t="s">
        <v>723</v>
      </c>
      <c r="M418" s="1" t="s">
        <v>784</v>
      </c>
      <c r="N418" s="8" t="s">
        <v>785</v>
      </c>
      <c r="O418" s="6">
        <v>0</v>
      </c>
      <c r="P418" s="6">
        <v>0</v>
      </c>
      <c r="Q418" s="6">
        <v>0</v>
      </c>
      <c r="R418" s="6">
        <v>0</v>
      </c>
      <c r="S418" s="6">
        <v>0</v>
      </c>
    </row>
    <row r="419" spans="1:19" ht="15" x14ac:dyDescent="0.25">
      <c r="A419" s="7" t="s">
        <v>16</v>
      </c>
      <c r="B419" s="7" t="s">
        <v>17</v>
      </c>
      <c r="C419" s="7" t="s">
        <v>18</v>
      </c>
      <c r="D419" s="3">
        <v>60922168005226</v>
      </c>
      <c r="E419" s="8" t="s">
        <v>379</v>
      </c>
      <c r="F419" s="8" t="s">
        <v>380</v>
      </c>
      <c r="G419" s="8" t="s">
        <v>259</v>
      </c>
      <c r="H419" s="8" t="s">
        <v>795</v>
      </c>
      <c r="I419" s="3">
        <v>2</v>
      </c>
      <c r="J419" s="8" t="s">
        <v>754</v>
      </c>
      <c r="K419" s="8" t="s">
        <v>755</v>
      </c>
      <c r="L419" s="8" t="s">
        <v>730</v>
      </c>
      <c r="M419" s="1" t="s">
        <v>784</v>
      </c>
      <c r="N419" s="8" t="s">
        <v>785</v>
      </c>
      <c r="O419" s="6">
        <v>0</v>
      </c>
      <c r="P419" s="6">
        <v>0</v>
      </c>
      <c r="Q419" s="6">
        <v>0</v>
      </c>
      <c r="R419" s="6">
        <v>0</v>
      </c>
      <c r="S419" s="6">
        <v>0</v>
      </c>
    </row>
    <row r="420" spans="1:19" ht="15" x14ac:dyDescent="0.25">
      <c r="A420" s="7" t="s">
        <v>16</v>
      </c>
      <c r="B420" s="7" t="s">
        <v>17</v>
      </c>
      <c r="C420" s="7" t="s">
        <v>18</v>
      </c>
      <c r="D420" s="3">
        <v>60922168005226</v>
      </c>
      <c r="E420" s="8" t="s">
        <v>379</v>
      </c>
      <c r="F420" s="8" t="s">
        <v>380</v>
      </c>
      <c r="G420" s="8" t="s">
        <v>259</v>
      </c>
      <c r="H420" s="8" t="s">
        <v>795</v>
      </c>
      <c r="I420" s="3">
        <v>2</v>
      </c>
      <c r="J420" s="8" t="s">
        <v>735</v>
      </c>
      <c r="K420" s="8" t="s">
        <v>736</v>
      </c>
      <c r="L420" s="8" t="s">
        <v>723</v>
      </c>
      <c r="M420" s="1" t="s">
        <v>784</v>
      </c>
      <c r="N420" s="8" t="s">
        <v>785</v>
      </c>
      <c r="O420" s="6">
        <v>0</v>
      </c>
      <c r="P420" s="6">
        <v>1</v>
      </c>
      <c r="Q420" s="6">
        <v>0</v>
      </c>
      <c r="R420" s="6">
        <v>0</v>
      </c>
      <c r="S420" s="6">
        <v>0</v>
      </c>
    </row>
    <row r="421" spans="1:19" ht="15" x14ac:dyDescent="0.25">
      <c r="A421" s="7" t="s">
        <v>16</v>
      </c>
      <c r="B421" s="7" t="s">
        <v>17</v>
      </c>
      <c r="C421" s="7" t="s">
        <v>18</v>
      </c>
      <c r="D421" s="3">
        <v>82624776000651</v>
      </c>
      <c r="E421" s="8" t="s">
        <v>589</v>
      </c>
      <c r="F421" s="8" t="s">
        <v>380</v>
      </c>
      <c r="G421" s="8" t="s">
        <v>259</v>
      </c>
      <c r="H421" s="8" t="s">
        <v>795</v>
      </c>
      <c r="I421" s="3">
        <v>2</v>
      </c>
      <c r="J421" s="8" t="s">
        <v>754</v>
      </c>
      <c r="K421" s="8" t="s">
        <v>755</v>
      </c>
      <c r="L421" s="8" t="s">
        <v>730</v>
      </c>
      <c r="M421" s="1" t="s">
        <v>784</v>
      </c>
      <c r="N421" s="8" t="s">
        <v>785</v>
      </c>
      <c r="O421" s="6">
        <v>0</v>
      </c>
      <c r="P421" s="6">
        <v>0</v>
      </c>
      <c r="Q421" s="6">
        <v>0</v>
      </c>
      <c r="R421" s="6">
        <v>0</v>
      </c>
      <c r="S421" s="6">
        <v>450</v>
      </c>
    </row>
    <row r="422" spans="1:19" ht="15" x14ac:dyDescent="0.25">
      <c r="A422" s="7" t="s">
        <v>16</v>
      </c>
      <c r="B422" s="7" t="s">
        <v>17</v>
      </c>
      <c r="C422" s="7" t="s">
        <v>18</v>
      </c>
      <c r="D422" s="3">
        <v>82624776000651</v>
      </c>
      <c r="E422" s="8" t="s">
        <v>589</v>
      </c>
      <c r="F422" s="8" t="s">
        <v>380</v>
      </c>
      <c r="G422" s="8" t="s">
        <v>259</v>
      </c>
      <c r="H422" s="8" t="s">
        <v>795</v>
      </c>
      <c r="I422" s="3">
        <v>2</v>
      </c>
      <c r="J422" s="8" t="s">
        <v>735</v>
      </c>
      <c r="K422" s="8" t="s">
        <v>736</v>
      </c>
      <c r="L422" s="8" t="s">
        <v>723</v>
      </c>
      <c r="M422" s="1" t="s">
        <v>784</v>
      </c>
      <c r="N422" s="8" t="s">
        <v>785</v>
      </c>
      <c r="O422" s="6">
        <v>0</v>
      </c>
      <c r="P422" s="6">
        <v>0</v>
      </c>
      <c r="Q422" s="6">
        <v>0</v>
      </c>
      <c r="R422" s="6">
        <v>0</v>
      </c>
      <c r="S422" s="6">
        <v>450</v>
      </c>
    </row>
    <row r="423" spans="1:19" ht="15" x14ac:dyDescent="0.25">
      <c r="A423" s="7" t="s">
        <v>16</v>
      </c>
      <c r="B423" s="7" t="s">
        <v>17</v>
      </c>
      <c r="C423" s="7" t="s">
        <v>18</v>
      </c>
      <c r="D423" s="3">
        <v>1554266000300</v>
      </c>
      <c r="E423" s="8" t="s">
        <v>534</v>
      </c>
      <c r="F423" s="8" t="s">
        <v>512</v>
      </c>
      <c r="G423" s="8" t="s">
        <v>259</v>
      </c>
      <c r="H423" s="8" t="s">
        <v>795</v>
      </c>
      <c r="I423" s="3">
        <v>2</v>
      </c>
      <c r="J423" s="8" t="s">
        <v>754</v>
      </c>
      <c r="K423" s="8" t="s">
        <v>755</v>
      </c>
      <c r="L423" s="8" t="s">
        <v>730</v>
      </c>
      <c r="M423" s="1" t="s">
        <v>784</v>
      </c>
      <c r="N423" s="8" t="s">
        <v>785</v>
      </c>
      <c r="O423" s="6">
        <v>0</v>
      </c>
      <c r="P423" s="6">
        <v>0</v>
      </c>
      <c r="Q423" s="6">
        <v>0</v>
      </c>
      <c r="R423" s="6">
        <v>0</v>
      </c>
      <c r="S423" s="6">
        <v>35</v>
      </c>
    </row>
    <row r="424" spans="1:19" ht="15" x14ac:dyDescent="0.25">
      <c r="A424" s="7" t="s">
        <v>16</v>
      </c>
      <c r="B424" s="7" t="s">
        <v>17</v>
      </c>
      <c r="C424" s="7" t="s">
        <v>18</v>
      </c>
      <c r="D424" s="3">
        <v>1554266000300</v>
      </c>
      <c r="E424" s="8" t="s">
        <v>534</v>
      </c>
      <c r="F424" s="8" t="s">
        <v>512</v>
      </c>
      <c r="G424" s="8" t="s">
        <v>259</v>
      </c>
      <c r="H424" s="8" t="s">
        <v>795</v>
      </c>
      <c r="I424" s="3">
        <v>2</v>
      </c>
      <c r="J424" s="8" t="s">
        <v>735</v>
      </c>
      <c r="K424" s="8" t="s">
        <v>736</v>
      </c>
      <c r="L424" s="8" t="s">
        <v>723</v>
      </c>
      <c r="M424" s="1" t="s">
        <v>784</v>
      </c>
      <c r="N424" s="8" t="s">
        <v>785</v>
      </c>
      <c r="O424" s="6">
        <v>0</v>
      </c>
      <c r="P424" s="6">
        <v>0</v>
      </c>
      <c r="Q424" s="6">
        <v>0</v>
      </c>
      <c r="R424" s="6">
        <v>0</v>
      </c>
      <c r="S424" s="6">
        <v>35</v>
      </c>
    </row>
    <row r="425" spans="1:19" ht="15" x14ac:dyDescent="0.25">
      <c r="A425" s="7" t="s">
        <v>16</v>
      </c>
      <c r="B425" s="7" t="s">
        <v>17</v>
      </c>
      <c r="C425" s="7" t="s">
        <v>18</v>
      </c>
      <c r="D425" s="3">
        <v>1125832000105</v>
      </c>
      <c r="E425" s="8" t="s">
        <v>529</v>
      </c>
      <c r="F425" s="8" t="s">
        <v>388</v>
      </c>
      <c r="G425" s="8" t="s">
        <v>259</v>
      </c>
      <c r="H425" s="8" t="s">
        <v>795</v>
      </c>
      <c r="I425" s="3">
        <v>2</v>
      </c>
      <c r="J425" s="8" t="s">
        <v>754</v>
      </c>
      <c r="K425" s="8" t="s">
        <v>755</v>
      </c>
      <c r="L425" s="8" t="s">
        <v>730</v>
      </c>
      <c r="M425" s="1" t="s">
        <v>784</v>
      </c>
      <c r="N425" s="8" t="s">
        <v>785</v>
      </c>
      <c r="O425" s="6">
        <v>0</v>
      </c>
      <c r="P425" s="6">
        <v>0</v>
      </c>
      <c r="Q425" s="6">
        <v>0</v>
      </c>
      <c r="R425" s="6">
        <v>0</v>
      </c>
      <c r="S425" s="6">
        <v>120</v>
      </c>
    </row>
    <row r="426" spans="1:19" ht="15" x14ac:dyDescent="0.25">
      <c r="A426" s="7" t="s">
        <v>16</v>
      </c>
      <c r="B426" s="7" t="s">
        <v>17</v>
      </c>
      <c r="C426" s="7" t="s">
        <v>18</v>
      </c>
      <c r="D426" s="3">
        <v>1125832000105</v>
      </c>
      <c r="E426" s="8" t="s">
        <v>529</v>
      </c>
      <c r="F426" s="8" t="s">
        <v>388</v>
      </c>
      <c r="G426" s="8" t="s">
        <v>259</v>
      </c>
      <c r="H426" s="8" t="s">
        <v>795</v>
      </c>
      <c r="I426" s="3">
        <v>2</v>
      </c>
      <c r="J426" s="8" t="s">
        <v>735</v>
      </c>
      <c r="K426" s="8" t="s">
        <v>736</v>
      </c>
      <c r="L426" s="8" t="s">
        <v>723</v>
      </c>
      <c r="M426" s="1" t="s">
        <v>784</v>
      </c>
      <c r="N426" s="8" t="s">
        <v>785</v>
      </c>
      <c r="O426" s="6">
        <v>0</v>
      </c>
      <c r="P426" s="6">
        <v>0</v>
      </c>
      <c r="Q426" s="6">
        <v>0</v>
      </c>
      <c r="R426" s="6">
        <v>0</v>
      </c>
      <c r="S426" s="6">
        <v>120</v>
      </c>
    </row>
    <row r="427" spans="1:19" ht="15" x14ac:dyDescent="0.25">
      <c r="A427" s="7" t="s">
        <v>16</v>
      </c>
      <c r="B427" s="7" t="s">
        <v>17</v>
      </c>
      <c r="C427" s="7" t="s">
        <v>18</v>
      </c>
      <c r="D427" s="3">
        <v>80673411000187</v>
      </c>
      <c r="E427" s="8" t="s">
        <v>387</v>
      </c>
      <c r="F427" s="8" t="s">
        <v>388</v>
      </c>
      <c r="G427" s="8" t="s">
        <v>259</v>
      </c>
      <c r="H427" s="8" t="s">
        <v>795</v>
      </c>
      <c r="I427" s="3">
        <v>2</v>
      </c>
      <c r="J427" s="8" t="s">
        <v>754</v>
      </c>
      <c r="K427" s="8" t="s">
        <v>755</v>
      </c>
      <c r="L427" s="8" t="s">
        <v>730</v>
      </c>
      <c r="M427" s="1" t="s">
        <v>784</v>
      </c>
      <c r="N427" s="8" t="s">
        <v>785</v>
      </c>
      <c r="O427" s="6">
        <v>74</v>
      </c>
      <c r="P427" s="6">
        <v>0</v>
      </c>
      <c r="Q427" s="6">
        <v>0</v>
      </c>
      <c r="R427" s="6">
        <v>0</v>
      </c>
      <c r="S427" s="6">
        <v>240</v>
      </c>
    </row>
    <row r="428" spans="1:19" ht="15" x14ac:dyDescent="0.25">
      <c r="A428" s="7" t="s">
        <v>16</v>
      </c>
      <c r="B428" s="7" t="s">
        <v>17</v>
      </c>
      <c r="C428" s="7" t="s">
        <v>18</v>
      </c>
      <c r="D428" s="3">
        <v>80673411000187</v>
      </c>
      <c r="E428" s="8" t="s">
        <v>387</v>
      </c>
      <c r="F428" s="8" t="s">
        <v>388</v>
      </c>
      <c r="G428" s="8" t="s">
        <v>259</v>
      </c>
      <c r="H428" s="8" t="s">
        <v>795</v>
      </c>
      <c r="I428" s="3">
        <v>2</v>
      </c>
      <c r="J428" s="8" t="s">
        <v>735</v>
      </c>
      <c r="K428" s="8" t="s">
        <v>736</v>
      </c>
      <c r="L428" s="8" t="s">
        <v>723</v>
      </c>
      <c r="M428" s="1" t="s">
        <v>784</v>
      </c>
      <c r="N428" s="8" t="s">
        <v>785</v>
      </c>
      <c r="O428" s="6">
        <v>0</v>
      </c>
      <c r="P428" s="6">
        <v>0</v>
      </c>
      <c r="Q428" s="6">
        <v>0</v>
      </c>
      <c r="R428" s="6">
        <v>0</v>
      </c>
      <c r="S428" s="6">
        <v>240</v>
      </c>
    </row>
    <row r="429" spans="1:19" ht="15" x14ac:dyDescent="0.25">
      <c r="A429" s="7" t="s">
        <v>16</v>
      </c>
      <c r="B429" s="7" t="s">
        <v>17</v>
      </c>
      <c r="C429" s="7" t="s">
        <v>18</v>
      </c>
      <c r="D429" s="3">
        <v>83899526000425</v>
      </c>
      <c r="E429" s="8" t="s">
        <v>389</v>
      </c>
      <c r="F429" s="8" t="s">
        <v>388</v>
      </c>
      <c r="G429" s="8" t="s">
        <v>259</v>
      </c>
      <c r="H429" s="8" t="s">
        <v>795</v>
      </c>
      <c r="I429" s="3">
        <v>2</v>
      </c>
      <c r="J429" s="8" t="s">
        <v>754</v>
      </c>
      <c r="K429" s="8" t="s">
        <v>755</v>
      </c>
      <c r="L429" s="8" t="s">
        <v>730</v>
      </c>
      <c r="M429" s="1" t="s">
        <v>784</v>
      </c>
      <c r="N429" s="8" t="s">
        <v>785</v>
      </c>
      <c r="O429" s="6">
        <v>0</v>
      </c>
      <c r="P429" s="6">
        <v>0</v>
      </c>
      <c r="Q429" s="6">
        <v>0</v>
      </c>
      <c r="R429" s="6">
        <v>0</v>
      </c>
      <c r="S429" s="6">
        <v>0</v>
      </c>
    </row>
    <row r="430" spans="1:19" ht="15" x14ac:dyDescent="0.25">
      <c r="A430" s="7" t="s">
        <v>16</v>
      </c>
      <c r="B430" s="7" t="s">
        <v>17</v>
      </c>
      <c r="C430" s="7" t="s">
        <v>18</v>
      </c>
      <c r="D430" s="3">
        <v>83899526000425</v>
      </c>
      <c r="E430" s="8" t="s">
        <v>389</v>
      </c>
      <c r="F430" s="8" t="s">
        <v>388</v>
      </c>
      <c r="G430" s="8" t="s">
        <v>259</v>
      </c>
      <c r="H430" s="8" t="s">
        <v>795</v>
      </c>
      <c r="I430" s="3">
        <v>2</v>
      </c>
      <c r="J430" s="8" t="s">
        <v>735</v>
      </c>
      <c r="K430" s="8" t="s">
        <v>736</v>
      </c>
      <c r="L430" s="8" t="s">
        <v>723</v>
      </c>
      <c r="M430" s="1" t="s">
        <v>784</v>
      </c>
      <c r="N430" s="8" t="s">
        <v>785</v>
      </c>
      <c r="O430" s="6">
        <v>0</v>
      </c>
      <c r="P430" s="6">
        <v>0</v>
      </c>
      <c r="Q430" s="6">
        <v>17</v>
      </c>
      <c r="R430" s="6">
        <v>0</v>
      </c>
      <c r="S430" s="6">
        <v>0</v>
      </c>
    </row>
    <row r="431" spans="1:19" ht="15" x14ac:dyDescent="0.25">
      <c r="A431" s="7" t="s">
        <v>16</v>
      </c>
      <c r="B431" s="7" t="s">
        <v>17</v>
      </c>
      <c r="C431" s="7" t="s">
        <v>18</v>
      </c>
      <c r="D431" s="3">
        <v>83884999000106</v>
      </c>
      <c r="E431" s="8" t="s">
        <v>591</v>
      </c>
      <c r="F431" s="8" t="s">
        <v>388</v>
      </c>
      <c r="G431" s="8" t="s">
        <v>259</v>
      </c>
      <c r="H431" s="8" t="s">
        <v>795</v>
      </c>
      <c r="I431" s="3">
        <v>2</v>
      </c>
      <c r="J431" s="8" t="s">
        <v>754</v>
      </c>
      <c r="K431" s="8" t="s">
        <v>755</v>
      </c>
      <c r="L431" s="8" t="s">
        <v>730</v>
      </c>
      <c r="M431" s="1" t="s">
        <v>784</v>
      </c>
      <c r="N431" s="8" t="s">
        <v>785</v>
      </c>
      <c r="O431" s="6">
        <v>0</v>
      </c>
      <c r="P431" s="6">
        <v>0</v>
      </c>
      <c r="Q431" s="6">
        <v>0</v>
      </c>
      <c r="R431" s="6">
        <v>0</v>
      </c>
      <c r="S431" s="6">
        <v>300</v>
      </c>
    </row>
    <row r="432" spans="1:19" ht="15" x14ac:dyDescent="0.25">
      <c r="A432" s="7" t="s">
        <v>16</v>
      </c>
      <c r="B432" s="7" t="s">
        <v>17</v>
      </c>
      <c r="C432" s="7" t="s">
        <v>18</v>
      </c>
      <c r="D432" s="3">
        <v>83884999000106</v>
      </c>
      <c r="E432" s="8" t="s">
        <v>591</v>
      </c>
      <c r="F432" s="8" t="s">
        <v>388</v>
      </c>
      <c r="G432" s="8" t="s">
        <v>259</v>
      </c>
      <c r="H432" s="8" t="s">
        <v>795</v>
      </c>
      <c r="I432" s="3">
        <v>2</v>
      </c>
      <c r="J432" s="8" t="s">
        <v>735</v>
      </c>
      <c r="K432" s="8" t="s">
        <v>736</v>
      </c>
      <c r="L432" s="8" t="s">
        <v>723</v>
      </c>
      <c r="M432" s="1" t="s">
        <v>784</v>
      </c>
      <c r="N432" s="8" t="s">
        <v>785</v>
      </c>
      <c r="O432" s="6">
        <v>0</v>
      </c>
      <c r="P432" s="6">
        <v>0</v>
      </c>
      <c r="Q432" s="6">
        <v>0</v>
      </c>
      <c r="R432" s="6">
        <v>0</v>
      </c>
      <c r="S432" s="6">
        <v>300</v>
      </c>
    </row>
    <row r="433" spans="1:19" ht="15" x14ac:dyDescent="0.25">
      <c r="A433" s="7" t="s">
        <v>16</v>
      </c>
      <c r="B433" s="7" t="s">
        <v>17</v>
      </c>
      <c r="C433" s="7" t="s">
        <v>18</v>
      </c>
      <c r="D433" s="3">
        <v>4670913000176</v>
      </c>
      <c r="E433" s="8" t="s">
        <v>515</v>
      </c>
      <c r="F433" s="8" t="s">
        <v>388</v>
      </c>
      <c r="G433" s="8" t="s">
        <v>259</v>
      </c>
      <c r="H433" s="8" t="s">
        <v>795</v>
      </c>
      <c r="I433" s="3">
        <v>2</v>
      </c>
      <c r="J433" s="8" t="s">
        <v>754</v>
      </c>
      <c r="K433" s="8" t="s">
        <v>755</v>
      </c>
      <c r="L433" s="8" t="s">
        <v>730</v>
      </c>
      <c r="M433" s="1" t="s">
        <v>784</v>
      </c>
      <c r="N433" s="8" t="s">
        <v>785</v>
      </c>
      <c r="O433" s="6">
        <v>0</v>
      </c>
      <c r="P433" s="6">
        <v>0</v>
      </c>
      <c r="Q433" s="6">
        <v>0</v>
      </c>
      <c r="R433" s="6">
        <v>0</v>
      </c>
      <c r="S433" s="6">
        <v>215</v>
      </c>
    </row>
    <row r="434" spans="1:19" ht="15" x14ac:dyDescent="0.25">
      <c r="A434" s="7" t="s">
        <v>16</v>
      </c>
      <c r="B434" s="7" t="s">
        <v>17</v>
      </c>
      <c r="C434" s="7" t="s">
        <v>18</v>
      </c>
      <c r="D434" s="3">
        <v>4670913000176</v>
      </c>
      <c r="E434" s="8" t="s">
        <v>515</v>
      </c>
      <c r="F434" s="8" t="s">
        <v>388</v>
      </c>
      <c r="G434" s="8" t="s">
        <v>259</v>
      </c>
      <c r="H434" s="8" t="s">
        <v>795</v>
      </c>
      <c r="I434" s="3">
        <v>2</v>
      </c>
      <c r="J434" s="8" t="s">
        <v>735</v>
      </c>
      <c r="K434" s="8" t="s">
        <v>736</v>
      </c>
      <c r="L434" s="8" t="s">
        <v>723</v>
      </c>
      <c r="M434" s="1" t="s">
        <v>784</v>
      </c>
      <c r="N434" s="8" t="s">
        <v>785</v>
      </c>
      <c r="O434" s="6">
        <v>0</v>
      </c>
      <c r="P434" s="6">
        <v>0</v>
      </c>
      <c r="Q434" s="6">
        <v>0</v>
      </c>
      <c r="R434" s="6">
        <v>0</v>
      </c>
      <c r="S434" s="6">
        <v>215</v>
      </c>
    </row>
    <row r="435" spans="1:19" ht="15" x14ac:dyDescent="0.25">
      <c r="A435" s="7" t="s">
        <v>16</v>
      </c>
      <c r="B435" s="7" t="s">
        <v>17</v>
      </c>
      <c r="C435" s="7" t="s">
        <v>18</v>
      </c>
      <c r="D435" s="3">
        <v>17034086000176</v>
      </c>
      <c r="E435" s="8" t="s">
        <v>343</v>
      </c>
      <c r="F435" s="8" t="s">
        <v>344</v>
      </c>
      <c r="G435" s="8" t="s">
        <v>259</v>
      </c>
      <c r="H435" s="8" t="s">
        <v>795</v>
      </c>
      <c r="I435" s="3">
        <v>2</v>
      </c>
      <c r="J435" s="8" t="s">
        <v>754</v>
      </c>
      <c r="K435" s="8" t="s">
        <v>755</v>
      </c>
      <c r="L435" s="8" t="s">
        <v>730</v>
      </c>
      <c r="M435" s="1" t="s">
        <v>784</v>
      </c>
      <c r="N435" s="8" t="s">
        <v>785</v>
      </c>
      <c r="O435" s="6">
        <v>0</v>
      </c>
      <c r="P435" s="6">
        <v>0</v>
      </c>
      <c r="Q435" s="6">
        <v>0</v>
      </c>
      <c r="R435" s="6">
        <v>0</v>
      </c>
      <c r="S435" s="6">
        <v>0</v>
      </c>
    </row>
    <row r="436" spans="1:19" ht="15" x14ac:dyDescent="0.25">
      <c r="A436" s="7" t="s">
        <v>16</v>
      </c>
      <c r="B436" s="7" t="s">
        <v>17</v>
      </c>
      <c r="C436" s="7" t="s">
        <v>18</v>
      </c>
      <c r="D436" s="3">
        <v>17034086000176</v>
      </c>
      <c r="E436" s="8" t="s">
        <v>343</v>
      </c>
      <c r="F436" s="8" t="s">
        <v>344</v>
      </c>
      <c r="G436" s="8" t="s">
        <v>259</v>
      </c>
      <c r="H436" s="8" t="s">
        <v>795</v>
      </c>
      <c r="I436" s="3">
        <v>2</v>
      </c>
      <c r="J436" s="8" t="s">
        <v>735</v>
      </c>
      <c r="K436" s="8" t="s">
        <v>736</v>
      </c>
      <c r="L436" s="8" t="s">
        <v>723</v>
      </c>
      <c r="M436" s="1" t="s">
        <v>784</v>
      </c>
      <c r="N436" s="8" t="s">
        <v>785</v>
      </c>
      <c r="O436" s="6">
        <v>0</v>
      </c>
      <c r="P436" s="6">
        <v>5</v>
      </c>
      <c r="Q436" s="6">
        <v>0</v>
      </c>
      <c r="R436" s="6">
        <v>0</v>
      </c>
      <c r="S436" s="6">
        <v>0</v>
      </c>
    </row>
    <row r="437" spans="1:19" ht="15" x14ac:dyDescent="0.25">
      <c r="A437" s="7" t="s">
        <v>16</v>
      </c>
      <c r="B437" s="7" t="s">
        <v>17</v>
      </c>
      <c r="C437" s="7" t="s">
        <v>18</v>
      </c>
      <c r="D437" s="3">
        <v>77858611001414</v>
      </c>
      <c r="E437" s="8" t="s">
        <v>460</v>
      </c>
      <c r="F437" s="8" t="s">
        <v>344</v>
      </c>
      <c r="G437" s="8" t="s">
        <v>259</v>
      </c>
      <c r="H437" s="8" t="s">
        <v>795</v>
      </c>
      <c r="I437" s="3">
        <v>2</v>
      </c>
      <c r="J437" s="8" t="s">
        <v>754</v>
      </c>
      <c r="K437" s="8" t="s">
        <v>755</v>
      </c>
      <c r="L437" s="8" t="s">
        <v>730</v>
      </c>
      <c r="M437" s="1" t="s">
        <v>784</v>
      </c>
      <c r="N437" s="8" t="s">
        <v>785</v>
      </c>
      <c r="O437" s="6">
        <v>0</v>
      </c>
      <c r="P437" s="6">
        <v>0</v>
      </c>
      <c r="Q437" s="6">
        <v>0</v>
      </c>
      <c r="R437" s="6">
        <v>0</v>
      </c>
      <c r="S437" s="6">
        <v>200</v>
      </c>
    </row>
    <row r="438" spans="1:19" ht="15" x14ac:dyDescent="0.25">
      <c r="A438" s="7" t="s">
        <v>16</v>
      </c>
      <c r="B438" s="7" t="s">
        <v>17</v>
      </c>
      <c r="C438" s="7" t="s">
        <v>18</v>
      </c>
      <c r="D438" s="3">
        <v>77858611001414</v>
      </c>
      <c r="E438" s="8" t="s">
        <v>460</v>
      </c>
      <c r="F438" s="8" t="s">
        <v>344</v>
      </c>
      <c r="G438" s="8" t="s">
        <v>259</v>
      </c>
      <c r="H438" s="8" t="s">
        <v>795</v>
      </c>
      <c r="I438" s="3">
        <v>2</v>
      </c>
      <c r="J438" s="8" t="s">
        <v>735</v>
      </c>
      <c r="K438" s="8" t="s">
        <v>736</v>
      </c>
      <c r="L438" s="8" t="s">
        <v>723</v>
      </c>
      <c r="M438" s="1" t="s">
        <v>784</v>
      </c>
      <c r="N438" s="8" t="s">
        <v>785</v>
      </c>
      <c r="O438" s="6">
        <v>0</v>
      </c>
      <c r="P438" s="6">
        <v>0</v>
      </c>
      <c r="Q438" s="6">
        <v>0</v>
      </c>
      <c r="R438" s="6">
        <v>0</v>
      </c>
      <c r="S438" s="6">
        <v>200</v>
      </c>
    </row>
    <row r="439" spans="1:19" ht="15" x14ac:dyDescent="0.25">
      <c r="A439" s="7" t="s">
        <v>16</v>
      </c>
      <c r="B439" s="7" t="s">
        <v>17</v>
      </c>
      <c r="C439" s="7" t="s">
        <v>18</v>
      </c>
      <c r="D439" s="3">
        <v>80490618000116</v>
      </c>
      <c r="E439" s="8" t="s">
        <v>588</v>
      </c>
      <c r="F439" s="8" t="s">
        <v>524</v>
      </c>
      <c r="G439" s="8" t="s">
        <v>259</v>
      </c>
      <c r="H439" s="8" t="s">
        <v>795</v>
      </c>
      <c r="I439" s="3">
        <v>2</v>
      </c>
      <c r="J439" s="8" t="s">
        <v>754</v>
      </c>
      <c r="K439" s="8" t="s">
        <v>755</v>
      </c>
      <c r="L439" s="8" t="s">
        <v>730</v>
      </c>
      <c r="M439" s="1" t="s">
        <v>784</v>
      </c>
      <c r="N439" s="8" t="s">
        <v>785</v>
      </c>
      <c r="O439" s="6">
        <v>0</v>
      </c>
      <c r="P439" s="6">
        <v>0</v>
      </c>
      <c r="Q439" s="6">
        <v>0</v>
      </c>
      <c r="R439" s="6">
        <v>0</v>
      </c>
      <c r="S439" s="6">
        <v>80</v>
      </c>
    </row>
    <row r="440" spans="1:19" ht="15" x14ac:dyDescent="0.25">
      <c r="A440" s="7" t="s">
        <v>16</v>
      </c>
      <c r="B440" s="7" t="s">
        <v>17</v>
      </c>
      <c r="C440" s="7" t="s">
        <v>18</v>
      </c>
      <c r="D440" s="3">
        <v>80490618000116</v>
      </c>
      <c r="E440" s="8" t="s">
        <v>588</v>
      </c>
      <c r="F440" s="8" t="s">
        <v>524</v>
      </c>
      <c r="G440" s="8" t="s">
        <v>259</v>
      </c>
      <c r="H440" s="8" t="s">
        <v>795</v>
      </c>
      <c r="I440" s="3">
        <v>2</v>
      </c>
      <c r="J440" s="8" t="s">
        <v>735</v>
      </c>
      <c r="K440" s="8" t="s">
        <v>736</v>
      </c>
      <c r="L440" s="8" t="s">
        <v>723</v>
      </c>
      <c r="M440" s="1" t="s">
        <v>784</v>
      </c>
      <c r="N440" s="8" t="s">
        <v>785</v>
      </c>
      <c r="O440" s="6">
        <v>0</v>
      </c>
      <c r="P440" s="6">
        <v>0</v>
      </c>
      <c r="Q440" s="6">
        <v>0</v>
      </c>
      <c r="R440" s="6">
        <v>0</v>
      </c>
      <c r="S440" s="6">
        <v>80</v>
      </c>
    </row>
    <row r="441" spans="1:19" ht="15" x14ac:dyDescent="0.25">
      <c r="A441" s="7" t="s">
        <v>16</v>
      </c>
      <c r="B441" s="7" t="s">
        <v>17</v>
      </c>
      <c r="C441" s="7" t="s">
        <v>18</v>
      </c>
      <c r="D441" s="3">
        <v>12361267000517</v>
      </c>
      <c r="E441" s="8" t="s">
        <v>486</v>
      </c>
      <c r="F441" s="8" t="s">
        <v>317</v>
      </c>
      <c r="G441" s="8" t="s">
        <v>318</v>
      </c>
      <c r="H441" s="8" t="s">
        <v>795</v>
      </c>
      <c r="I441" s="3">
        <v>2</v>
      </c>
      <c r="J441" s="8" t="s">
        <v>778</v>
      </c>
      <c r="K441" s="8" t="s">
        <v>779</v>
      </c>
      <c r="L441" s="8" t="s">
        <v>730</v>
      </c>
      <c r="M441" s="1" t="s">
        <v>790</v>
      </c>
      <c r="N441" s="8" t="s">
        <v>791</v>
      </c>
      <c r="O441" s="6">
        <v>0</v>
      </c>
      <c r="P441" s="6">
        <v>0</v>
      </c>
      <c r="Q441" s="6">
        <v>0</v>
      </c>
      <c r="R441" s="6">
        <v>0</v>
      </c>
      <c r="S441" s="6">
        <v>20</v>
      </c>
    </row>
    <row r="442" spans="1:19" ht="15" x14ac:dyDescent="0.25">
      <c r="A442" s="7" t="s">
        <v>16</v>
      </c>
      <c r="B442" s="7" t="s">
        <v>17</v>
      </c>
      <c r="C442" s="7" t="s">
        <v>18</v>
      </c>
      <c r="D442" s="3">
        <v>12361267000517</v>
      </c>
      <c r="E442" s="8" t="s">
        <v>486</v>
      </c>
      <c r="F442" s="8" t="s">
        <v>317</v>
      </c>
      <c r="G442" s="8" t="s">
        <v>318</v>
      </c>
      <c r="H442" s="8" t="s">
        <v>795</v>
      </c>
      <c r="I442" s="3">
        <v>2</v>
      </c>
      <c r="J442" s="8" t="s">
        <v>746</v>
      </c>
      <c r="K442" s="8" t="s">
        <v>747</v>
      </c>
      <c r="L442" s="8" t="s">
        <v>723</v>
      </c>
      <c r="M442" s="1" t="s">
        <v>790</v>
      </c>
      <c r="N442" s="8" t="s">
        <v>791</v>
      </c>
      <c r="O442" s="6">
        <v>0</v>
      </c>
      <c r="P442" s="6">
        <v>0</v>
      </c>
      <c r="Q442" s="6">
        <v>0</v>
      </c>
      <c r="R442" s="6">
        <v>0</v>
      </c>
      <c r="S442" s="6">
        <v>20</v>
      </c>
    </row>
    <row r="443" spans="1:19" ht="15" x14ac:dyDescent="0.25">
      <c r="A443" s="7" t="s">
        <v>16</v>
      </c>
      <c r="B443" s="7" t="s">
        <v>17</v>
      </c>
      <c r="C443" s="7" t="s">
        <v>18</v>
      </c>
      <c r="D443" s="3">
        <v>13016332000106</v>
      </c>
      <c r="E443" s="8" t="s">
        <v>316</v>
      </c>
      <c r="F443" s="8" t="s">
        <v>317</v>
      </c>
      <c r="G443" s="8" t="s">
        <v>318</v>
      </c>
      <c r="H443" s="8" t="s">
        <v>795</v>
      </c>
      <c r="I443" s="3">
        <v>2</v>
      </c>
      <c r="J443" s="8" t="s">
        <v>778</v>
      </c>
      <c r="K443" s="8" t="s">
        <v>779</v>
      </c>
      <c r="L443" s="8" t="s">
        <v>730</v>
      </c>
      <c r="M443" s="1" t="s">
        <v>790</v>
      </c>
      <c r="N443" s="8" t="s">
        <v>791</v>
      </c>
      <c r="O443" s="6">
        <v>0</v>
      </c>
      <c r="P443" s="6">
        <v>0</v>
      </c>
      <c r="Q443" s="6">
        <v>0</v>
      </c>
      <c r="R443" s="6">
        <v>0</v>
      </c>
      <c r="S443" s="6">
        <v>15</v>
      </c>
    </row>
    <row r="444" spans="1:19" ht="15" x14ac:dyDescent="0.25">
      <c r="A444" s="7" t="s">
        <v>16</v>
      </c>
      <c r="B444" s="7" t="s">
        <v>17</v>
      </c>
      <c r="C444" s="7" t="s">
        <v>18</v>
      </c>
      <c r="D444" s="3">
        <v>13016332000106</v>
      </c>
      <c r="E444" s="8" t="s">
        <v>316</v>
      </c>
      <c r="F444" s="8" t="s">
        <v>317</v>
      </c>
      <c r="G444" s="8" t="s">
        <v>318</v>
      </c>
      <c r="H444" s="8" t="s">
        <v>795</v>
      </c>
      <c r="I444" s="3">
        <v>2</v>
      </c>
      <c r="J444" s="8" t="s">
        <v>746</v>
      </c>
      <c r="K444" s="8" t="s">
        <v>747</v>
      </c>
      <c r="L444" s="8" t="s">
        <v>723</v>
      </c>
      <c r="M444" s="1" t="s">
        <v>790</v>
      </c>
      <c r="N444" s="8" t="s">
        <v>791</v>
      </c>
      <c r="O444" s="6">
        <v>0</v>
      </c>
      <c r="P444" s="6">
        <v>0</v>
      </c>
      <c r="Q444" s="6">
        <v>3</v>
      </c>
      <c r="R444" s="6">
        <v>0</v>
      </c>
      <c r="S444" s="6">
        <v>15</v>
      </c>
    </row>
    <row r="445" spans="1:19" ht="15" x14ac:dyDescent="0.25">
      <c r="A445" s="7" t="s">
        <v>16</v>
      </c>
      <c r="B445" s="7" t="s">
        <v>17</v>
      </c>
      <c r="C445" s="7" t="s">
        <v>18</v>
      </c>
      <c r="D445" s="3">
        <v>13131370000100</v>
      </c>
      <c r="E445" s="8" t="s">
        <v>319</v>
      </c>
      <c r="F445" s="8" t="s">
        <v>317</v>
      </c>
      <c r="G445" s="8" t="s">
        <v>318</v>
      </c>
      <c r="H445" s="8" t="s">
        <v>795</v>
      </c>
      <c r="I445" s="3">
        <v>2</v>
      </c>
      <c r="J445" s="8" t="s">
        <v>778</v>
      </c>
      <c r="K445" s="8" t="s">
        <v>779</v>
      </c>
      <c r="L445" s="8" t="s">
        <v>730</v>
      </c>
      <c r="M445" s="1" t="s">
        <v>790</v>
      </c>
      <c r="N445" s="8" t="s">
        <v>791</v>
      </c>
      <c r="O445" s="6">
        <v>0</v>
      </c>
      <c r="P445" s="6">
        <v>0</v>
      </c>
      <c r="Q445" s="6">
        <v>0</v>
      </c>
      <c r="R445" s="6">
        <v>60</v>
      </c>
      <c r="S445" s="6">
        <v>550</v>
      </c>
    </row>
    <row r="446" spans="1:19" ht="15" x14ac:dyDescent="0.25">
      <c r="A446" s="7" t="s">
        <v>16</v>
      </c>
      <c r="B446" s="7" t="s">
        <v>17</v>
      </c>
      <c r="C446" s="7" t="s">
        <v>18</v>
      </c>
      <c r="D446" s="3">
        <v>13131370000100</v>
      </c>
      <c r="E446" s="8" t="s">
        <v>319</v>
      </c>
      <c r="F446" s="8" t="s">
        <v>317</v>
      </c>
      <c r="G446" s="8" t="s">
        <v>318</v>
      </c>
      <c r="H446" s="8" t="s">
        <v>795</v>
      </c>
      <c r="I446" s="3">
        <v>2</v>
      </c>
      <c r="J446" s="8" t="s">
        <v>746</v>
      </c>
      <c r="K446" s="8" t="s">
        <v>747</v>
      </c>
      <c r="L446" s="8" t="s">
        <v>723</v>
      </c>
      <c r="M446" s="1" t="s">
        <v>790</v>
      </c>
      <c r="N446" s="8" t="s">
        <v>791</v>
      </c>
      <c r="O446" s="6">
        <v>0</v>
      </c>
      <c r="P446" s="6">
        <v>0</v>
      </c>
      <c r="Q446" s="6">
        <v>0</v>
      </c>
      <c r="R446" s="6">
        <v>0</v>
      </c>
      <c r="S446" s="6">
        <v>550</v>
      </c>
    </row>
    <row r="447" spans="1:19" ht="15" x14ac:dyDescent="0.25">
      <c r="A447" s="7" t="s">
        <v>16</v>
      </c>
      <c r="B447" s="7" t="s">
        <v>17</v>
      </c>
      <c r="C447" s="7" t="s">
        <v>18</v>
      </c>
      <c r="D447" s="3">
        <v>15592785000106</v>
      </c>
      <c r="E447" s="8" t="s">
        <v>566</v>
      </c>
      <c r="F447" s="8" t="s">
        <v>317</v>
      </c>
      <c r="G447" s="8" t="s">
        <v>318</v>
      </c>
      <c r="H447" s="8" t="s">
        <v>795</v>
      </c>
      <c r="I447" s="3">
        <v>2</v>
      </c>
      <c r="J447" s="8" t="s">
        <v>778</v>
      </c>
      <c r="K447" s="8" t="s">
        <v>779</v>
      </c>
      <c r="L447" s="8" t="s">
        <v>730</v>
      </c>
      <c r="M447" s="1" t="s">
        <v>790</v>
      </c>
      <c r="N447" s="8" t="s">
        <v>791</v>
      </c>
      <c r="O447" s="6">
        <v>0</v>
      </c>
      <c r="P447" s="6">
        <v>0</v>
      </c>
      <c r="Q447" s="6">
        <v>0</v>
      </c>
      <c r="R447" s="6">
        <v>0</v>
      </c>
      <c r="S447" s="6">
        <v>100</v>
      </c>
    </row>
    <row r="448" spans="1:19" ht="15" x14ac:dyDescent="0.25">
      <c r="A448" s="7" t="s">
        <v>16</v>
      </c>
      <c r="B448" s="7" t="s">
        <v>17</v>
      </c>
      <c r="C448" s="7" t="s">
        <v>18</v>
      </c>
      <c r="D448" s="3">
        <v>15592785000106</v>
      </c>
      <c r="E448" s="8" t="s">
        <v>566</v>
      </c>
      <c r="F448" s="8" t="s">
        <v>317</v>
      </c>
      <c r="G448" s="8" t="s">
        <v>318</v>
      </c>
      <c r="H448" s="8" t="s">
        <v>795</v>
      </c>
      <c r="I448" s="3">
        <v>2</v>
      </c>
      <c r="J448" s="8" t="s">
        <v>746</v>
      </c>
      <c r="K448" s="8" t="s">
        <v>747</v>
      </c>
      <c r="L448" s="8" t="s">
        <v>723</v>
      </c>
      <c r="M448" s="1" t="s">
        <v>790</v>
      </c>
      <c r="N448" s="8" t="s">
        <v>791</v>
      </c>
      <c r="O448" s="6">
        <v>0</v>
      </c>
      <c r="P448" s="6">
        <v>0</v>
      </c>
      <c r="Q448" s="6">
        <v>0</v>
      </c>
      <c r="R448" s="6">
        <v>0</v>
      </c>
      <c r="S448" s="6">
        <v>100</v>
      </c>
    </row>
    <row r="449" spans="1:19" ht="15" x14ac:dyDescent="0.25">
      <c r="A449" s="7" t="s">
        <v>16</v>
      </c>
      <c r="B449" s="7" t="s">
        <v>17</v>
      </c>
      <c r="C449" s="7" t="s">
        <v>18</v>
      </c>
      <c r="D449" s="3">
        <v>13356779000124</v>
      </c>
      <c r="E449" s="8" t="s">
        <v>320</v>
      </c>
      <c r="F449" s="8" t="s">
        <v>317</v>
      </c>
      <c r="G449" s="8" t="s">
        <v>318</v>
      </c>
      <c r="H449" s="8" t="s">
        <v>795</v>
      </c>
      <c r="I449" s="3">
        <v>2</v>
      </c>
      <c r="J449" s="8" t="s">
        <v>778</v>
      </c>
      <c r="K449" s="8" t="s">
        <v>779</v>
      </c>
      <c r="L449" s="8" t="s">
        <v>730</v>
      </c>
      <c r="M449" s="1" t="s">
        <v>790</v>
      </c>
      <c r="N449" s="8" t="s">
        <v>791</v>
      </c>
      <c r="O449" s="6">
        <v>0</v>
      </c>
      <c r="P449" s="6">
        <v>0</v>
      </c>
      <c r="Q449" s="6">
        <v>0</v>
      </c>
      <c r="R449" s="6">
        <v>0</v>
      </c>
      <c r="S449" s="6">
        <v>0</v>
      </c>
    </row>
    <row r="450" spans="1:19" ht="15" x14ac:dyDescent="0.25">
      <c r="A450" s="7" t="s">
        <v>16</v>
      </c>
      <c r="B450" s="7" t="s">
        <v>17</v>
      </c>
      <c r="C450" s="7" t="s">
        <v>18</v>
      </c>
      <c r="D450" s="3">
        <v>13356779000124</v>
      </c>
      <c r="E450" s="8" t="s">
        <v>320</v>
      </c>
      <c r="F450" s="8" t="s">
        <v>317</v>
      </c>
      <c r="G450" s="8" t="s">
        <v>318</v>
      </c>
      <c r="H450" s="8" t="s">
        <v>795</v>
      </c>
      <c r="I450" s="3">
        <v>2</v>
      </c>
      <c r="J450" s="8" t="s">
        <v>746</v>
      </c>
      <c r="K450" s="8" t="s">
        <v>747</v>
      </c>
      <c r="L450" s="8" t="s">
        <v>723</v>
      </c>
      <c r="M450" s="1" t="s">
        <v>790</v>
      </c>
      <c r="N450" s="8" t="s">
        <v>791</v>
      </c>
      <c r="O450" s="6">
        <v>0</v>
      </c>
      <c r="P450" s="6">
        <v>0</v>
      </c>
      <c r="Q450" s="6">
        <v>4</v>
      </c>
      <c r="R450" s="6">
        <v>0</v>
      </c>
      <c r="S450" s="6">
        <v>0</v>
      </c>
    </row>
    <row r="451" spans="1:19" ht="15" x14ac:dyDescent="0.25">
      <c r="A451" s="7" t="s">
        <v>16</v>
      </c>
      <c r="B451" s="7" t="s">
        <v>17</v>
      </c>
      <c r="C451" s="7" t="s">
        <v>18</v>
      </c>
      <c r="D451" s="3">
        <v>25026561000190</v>
      </c>
      <c r="E451" s="8" t="s">
        <v>126</v>
      </c>
      <c r="F451" s="8" t="s">
        <v>127</v>
      </c>
      <c r="G451" s="8" t="s">
        <v>21</v>
      </c>
      <c r="H451" s="8" t="s">
        <v>795</v>
      </c>
      <c r="I451" s="3">
        <v>2</v>
      </c>
      <c r="J451" s="8" t="s">
        <v>728</v>
      </c>
      <c r="K451" s="8" t="s">
        <v>729</v>
      </c>
      <c r="L451" s="8" t="s">
        <v>730</v>
      </c>
      <c r="M451" s="1" t="s">
        <v>786</v>
      </c>
      <c r="N451" s="8" t="s">
        <v>787</v>
      </c>
      <c r="O451" s="6">
        <v>0</v>
      </c>
      <c r="P451" s="6">
        <v>0</v>
      </c>
      <c r="Q451" s="6">
        <v>0</v>
      </c>
      <c r="R451" s="6">
        <v>0</v>
      </c>
      <c r="S451" s="6">
        <v>25</v>
      </c>
    </row>
    <row r="452" spans="1:19" ht="15" x14ac:dyDescent="0.25">
      <c r="A452" s="7" t="s">
        <v>16</v>
      </c>
      <c r="B452" s="7" t="s">
        <v>17</v>
      </c>
      <c r="C452" s="7" t="s">
        <v>18</v>
      </c>
      <c r="D452" s="3">
        <v>25026561000190</v>
      </c>
      <c r="E452" s="8" t="s">
        <v>126</v>
      </c>
      <c r="F452" s="8" t="s">
        <v>127</v>
      </c>
      <c r="G452" s="8" t="s">
        <v>21</v>
      </c>
      <c r="H452" s="8" t="s">
        <v>795</v>
      </c>
      <c r="I452" s="3">
        <v>2</v>
      </c>
      <c r="J452" s="8" t="s">
        <v>726</v>
      </c>
      <c r="K452" s="8" t="s">
        <v>727</v>
      </c>
      <c r="L452" s="8" t="s">
        <v>723</v>
      </c>
      <c r="M452" s="1" t="s">
        <v>786</v>
      </c>
      <c r="N452" s="8" t="s">
        <v>787</v>
      </c>
      <c r="O452" s="6">
        <v>0</v>
      </c>
      <c r="P452" s="6">
        <v>0</v>
      </c>
      <c r="Q452" s="6">
        <v>0</v>
      </c>
      <c r="R452" s="6">
        <v>0</v>
      </c>
      <c r="S452" s="6">
        <v>25</v>
      </c>
    </row>
    <row r="453" spans="1:19" ht="15" x14ac:dyDescent="0.25">
      <c r="A453" s="7" t="s">
        <v>16</v>
      </c>
      <c r="B453" s="7" t="s">
        <v>17</v>
      </c>
      <c r="C453" s="7" t="s">
        <v>18</v>
      </c>
      <c r="D453" s="3">
        <v>54012406000385</v>
      </c>
      <c r="E453" s="8" t="s">
        <v>167</v>
      </c>
      <c r="F453" s="8" t="s">
        <v>168</v>
      </c>
      <c r="G453" s="8" t="s">
        <v>21</v>
      </c>
      <c r="H453" s="8" t="s">
        <v>795</v>
      </c>
      <c r="I453" s="3">
        <v>2</v>
      </c>
      <c r="J453" s="8" t="s">
        <v>728</v>
      </c>
      <c r="K453" s="8" t="s">
        <v>729</v>
      </c>
      <c r="L453" s="8" t="s">
        <v>730</v>
      </c>
      <c r="M453" s="1" t="s">
        <v>786</v>
      </c>
      <c r="N453" s="8" t="s">
        <v>787</v>
      </c>
      <c r="O453" s="6">
        <v>0</v>
      </c>
      <c r="P453" s="6">
        <v>0</v>
      </c>
      <c r="Q453" s="6">
        <v>0</v>
      </c>
      <c r="R453" s="6">
        <v>0</v>
      </c>
      <c r="S453" s="6">
        <v>70</v>
      </c>
    </row>
    <row r="454" spans="1:19" ht="15" x14ac:dyDescent="0.25">
      <c r="A454" s="7" t="s">
        <v>16</v>
      </c>
      <c r="B454" s="7" t="s">
        <v>17</v>
      </c>
      <c r="C454" s="7" t="s">
        <v>18</v>
      </c>
      <c r="D454" s="3">
        <v>54012406000385</v>
      </c>
      <c r="E454" s="8" t="s">
        <v>167</v>
      </c>
      <c r="F454" s="8" t="s">
        <v>168</v>
      </c>
      <c r="G454" s="8" t="s">
        <v>21</v>
      </c>
      <c r="H454" s="8" t="s">
        <v>795</v>
      </c>
      <c r="I454" s="3">
        <v>2</v>
      </c>
      <c r="J454" s="8" t="s">
        <v>726</v>
      </c>
      <c r="K454" s="8" t="s">
        <v>727</v>
      </c>
      <c r="L454" s="8" t="s">
        <v>723</v>
      </c>
      <c r="M454" s="1" t="s">
        <v>786</v>
      </c>
      <c r="N454" s="8" t="s">
        <v>787</v>
      </c>
      <c r="O454" s="6">
        <v>0</v>
      </c>
      <c r="P454" s="6">
        <v>0</v>
      </c>
      <c r="Q454" s="6">
        <v>0</v>
      </c>
      <c r="R454" s="6">
        <v>0</v>
      </c>
      <c r="S454" s="6">
        <v>70</v>
      </c>
    </row>
    <row r="455" spans="1:19" ht="15" x14ac:dyDescent="0.25">
      <c r="A455" s="7" t="s">
        <v>16</v>
      </c>
      <c r="B455" s="7" t="s">
        <v>17</v>
      </c>
      <c r="C455" s="7" t="s">
        <v>18</v>
      </c>
      <c r="D455" s="3">
        <v>4275687000129</v>
      </c>
      <c r="E455" s="8" t="s">
        <v>112</v>
      </c>
      <c r="F455" s="8" t="s">
        <v>113</v>
      </c>
      <c r="G455" s="8" t="s">
        <v>21</v>
      </c>
      <c r="H455" s="8" t="s">
        <v>795</v>
      </c>
      <c r="I455" s="3">
        <v>2</v>
      </c>
      <c r="J455" s="8" t="s">
        <v>728</v>
      </c>
      <c r="K455" s="8" t="s">
        <v>729</v>
      </c>
      <c r="L455" s="8" t="s">
        <v>730</v>
      </c>
      <c r="M455" s="1" t="s">
        <v>786</v>
      </c>
      <c r="N455" s="8" t="s">
        <v>787</v>
      </c>
      <c r="O455" s="6">
        <v>0</v>
      </c>
      <c r="P455" s="6">
        <v>0</v>
      </c>
      <c r="Q455" s="6">
        <v>0</v>
      </c>
      <c r="R455" s="6">
        <v>36</v>
      </c>
      <c r="S455" s="6">
        <v>0</v>
      </c>
    </row>
    <row r="456" spans="1:19" ht="15" x14ac:dyDescent="0.25">
      <c r="A456" s="7" t="s">
        <v>16</v>
      </c>
      <c r="B456" s="7" t="s">
        <v>17</v>
      </c>
      <c r="C456" s="7" t="s">
        <v>18</v>
      </c>
      <c r="D456" s="3">
        <v>4275687000129</v>
      </c>
      <c r="E456" s="8" t="s">
        <v>112</v>
      </c>
      <c r="F456" s="8" t="s">
        <v>113</v>
      </c>
      <c r="G456" s="8" t="s">
        <v>21</v>
      </c>
      <c r="H456" s="8" t="s">
        <v>795</v>
      </c>
      <c r="I456" s="3">
        <v>2</v>
      </c>
      <c r="J456" s="8" t="s">
        <v>726</v>
      </c>
      <c r="K456" s="8" t="s">
        <v>727</v>
      </c>
      <c r="L456" s="8" t="s">
        <v>723</v>
      </c>
      <c r="M456" s="1" t="s">
        <v>786</v>
      </c>
      <c r="N456" s="8" t="s">
        <v>787</v>
      </c>
      <c r="O456" s="6">
        <v>0</v>
      </c>
      <c r="P456" s="6">
        <v>0</v>
      </c>
      <c r="Q456" s="6">
        <v>0</v>
      </c>
      <c r="R456" s="6">
        <v>0</v>
      </c>
      <c r="S456" s="6">
        <v>0</v>
      </c>
    </row>
    <row r="457" spans="1:19" ht="15" x14ac:dyDescent="0.25">
      <c r="A457" s="7" t="s">
        <v>16</v>
      </c>
      <c r="B457" s="7" t="s">
        <v>17</v>
      </c>
      <c r="C457" s="7" t="s">
        <v>18</v>
      </c>
      <c r="D457" s="3">
        <v>44456036000311</v>
      </c>
      <c r="E457" s="8" t="s">
        <v>135</v>
      </c>
      <c r="F457" s="8" t="s">
        <v>136</v>
      </c>
      <c r="G457" s="8" t="s">
        <v>21</v>
      </c>
      <c r="H457" s="8" t="s">
        <v>795</v>
      </c>
      <c r="I457" s="3">
        <v>2</v>
      </c>
      <c r="J457" s="8" t="s">
        <v>728</v>
      </c>
      <c r="K457" s="8" t="s">
        <v>729</v>
      </c>
      <c r="L457" s="8" t="s">
        <v>730</v>
      </c>
      <c r="M457" s="1" t="s">
        <v>786</v>
      </c>
      <c r="N457" s="8" t="s">
        <v>787</v>
      </c>
      <c r="O457" s="6">
        <v>0</v>
      </c>
      <c r="P457" s="6">
        <v>0</v>
      </c>
      <c r="Q457" s="6">
        <v>0</v>
      </c>
      <c r="R457" s="6">
        <v>0</v>
      </c>
      <c r="S457" s="6">
        <v>0</v>
      </c>
    </row>
    <row r="458" spans="1:19" ht="15" x14ac:dyDescent="0.25">
      <c r="A458" s="7" t="s">
        <v>16</v>
      </c>
      <c r="B458" s="7" t="s">
        <v>17</v>
      </c>
      <c r="C458" s="7" t="s">
        <v>18</v>
      </c>
      <c r="D458" s="3">
        <v>44456036000311</v>
      </c>
      <c r="E458" s="8" t="s">
        <v>135</v>
      </c>
      <c r="F458" s="8" t="s">
        <v>136</v>
      </c>
      <c r="G458" s="8" t="s">
        <v>21</v>
      </c>
      <c r="H458" s="8" t="s">
        <v>795</v>
      </c>
      <c r="I458" s="3">
        <v>2</v>
      </c>
      <c r="J458" s="8" t="s">
        <v>726</v>
      </c>
      <c r="K458" s="8" t="s">
        <v>727</v>
      </c>
      <c r="L458" s="8" t="s">
        <v>723</v>
      </c>
      <c r="M458" s="1" t="s">
        <v>786</v>
      </c>
      <c r="N458" s="8" t="s">
        <v>787</v>
      </c>
      <c r="O458" s="6">
        <v>0</v>
      </c>
      <c r="P458" s="6">
        <v>2</v>
      </c>
      <c r="Q458" s="6">
        <v>8</v>
      </c>
      <c r="R458" s="6">
        <v>0</v>
      </c>
      <c r="S458" s="6">
        <v>0</v>
      </c>
    </row>
    <row r="459" spans="1:19" ht="15" x14ac:dyDescent="0.25">
      <c r="A459" s="7" t="s">
        <v>16</v>
      </c>
      <c r="B459" s="7" t="s">
        <v>17</v>
      </c>
      <c r="C459" s="7" t="s">
        <v>18</v>
      </c>
      <c r="D459" s="3">
        <v>46020301000269</v>
      </c>
      <c r="E459" s="8" t="s">
        <v>155</v>
      </c>
      <c r="F459" s="8" t="s">
        <v>123</v>
      </c>
      <c r="G459" s="8" t="s">
        <v>21</v>
      </c>
      <c r="H459" s="8" t="s">
        <v>795</v>
      </c>
      <c r="I459" s="3">
        <v>2</v>
      </c>
      <c r="J459" s="8" t="s">
        <v>728</v>
      </c>
      <c r="K459" s="8" t="s">
        <v>729</v>
      </c>
      <c r="L459" s="8" t="s">
        <v>730</v>
      </c>
      <c r="M459" s="1" t="s">
        <v>786</v>
      </c>
      <c r="N459" s="8" t="s">
        <v>787</v>
      </c>
      <c r="O459" s="6">
        <v>0</v>
      </c>
      <c r="P459" s="6">
        <v>0</v>
      </c>
      <c r="Q459" s="6">
        <v>0</v>
      </c>
      <c r="R459" s="6">
        <v>50</v>
      </c>
      <c r="S459" s="6">
        <v>0</v>
      </c>
    </row>
    <row r="460" spans="1:19" ht="15" x14ac:dyDescent="0.25">
      <c r="A460" s="7" t="s">
        <v>16</v>
      </c>
      <c r="B460" s="7" t="s">
        <v>17</v>
      </c>
      <c r="C460" s="7" t="s">
        <v>18</v>
      </c>
      <c r="D460" s="3">
        <v>46020301000269</v>
      </c>
      <c r="E460" s="8" t="s">
        <v>155</v>
      </c>
      <c r="F460" s="8" t="s">
        <v>123</v>
      </c>
      <c r="G460" s="8" t="s">
        <v>21</v>
      </c>
      <c r="H460" s="8" t="s">
        <v>795</v>
      </c>
      <c r="I460" s="3">
        <v>2</v>
      </c>
      <c r="J460" s="8" t="s">
        <v>726</v>
      </c>
      <c r="K460" s="8" t="s">
        <v>727</v>
      </c>
      <c r="L460" s="8" t="s">
        <v>723</v>
      </c>
      <c r="M460" s="1" t="s">
        <v>786</v>
      </c>
      <c r="N460" s="8" t="s">
        <v>787</v>
      </c>
      <c r="O460" s="6">
        <v>0</v>
      </c>
      <c r="P460" s="6">
        <v>0</v>
      </c>
      <c r="Q460" s="6">
        <v>0</v>
      </c>
      <c r="R460" s="6">
        <v>0</v>
      </c>
      <c r="S460" s="6">
        <v>0</v>
      </c>
    </row>
    <row r="461" spans="1:19" ht="15" x14ac:dyDescent="0.25">
      <c r="A461" s="7" t="s">
        <v>16</v>
      </c>
      <c r="B461" s="7" t="s">
        <v>17</v>
      </c>
      <c r="C461" s="7" t="s">
        <v>18</v>
      </c>
      <c r="D461" s="3">
        <v>46009718000140</v>
      </c>
      <c r="E461" s="8" t="s">
        <v>154</v>
      </c>
      <c r="F461" s="8" t="s">
        <v>123</v>
      </c>
      <c r="G461" s="8" t="s">
        <v>21</v>
      </c>
      <c r="H461" s="8" t="s">
        <v>795</v>
      </c>
      <c r="I461" s="3">
        <v>2</v>
      </c>
      <c r="J461" s="8" t="s">
        <v>728</v>
      </c>
      <c r="K461" s="8" t="s">
        <v>729</v>
      </c>
      <c r="L461" s="8" t="s">
        <v>730</v>
      </c>
      <c r="M461" s="1" t="s">
        <v>786</v>
      </c>
      <c r="N461" s="8" t="s">
        <v>787</v>
      </c>
      <c r="O461" s="6">
        <v>0</v>
      </c>
      <c r="P461" s="6">
        <v>0</v>
      </c>
      <c r="Q461" s="6">
        <v>0</v>
      </c>
      <c r="R461" s="6">
        <v>34</v>
      </c>
      <c r="S461" s="6">
        <v>860</v>
      </c>
    </row>
    <row r="462" spans="1:19" ht="15" x14ac:dyDescent="0.25">
      <c r="A462" s="7" t="s">
        <v>16</v>
      </c>
      <c r="B462" s="7" t="s">
        <v>17</v>
      </c>
      <c r="C462" s="7" t="s">
        <v>18</v>
      </c>
      <c r="D462" s="3">
        <v>46009718000140</v>
      </c>
      <c r="E462" s="8" t="s">
        <v>154</v>
      </c>
      <c r="F462" s="8" t="s">
        <v>123</v>
      </c>
      <c r="G462" s="8" t="s">
        <v>21</v>
      </c>
      <c r="H462" s="8" t="s">
        <v>795</v>
      </c>
      <c r="I462" s="3">
        <v>2</v>
      </c>
      <c r="J462" s="8" t="s">
        <v>726</v>
      </c>
      <c r="K462" s="8" t="s">
        <v>727</v>
      </c>
      <c r="L462" s="8" t="s">
        <v>723</v>
      </c>
      <c r="M462" s="1" t="s">
        <v>786</v>
      </c>
      <c r="N462" s="8" t="s">
        <v>787</v>
      </c>
      <c r="O462" s="6">
        <v>0</v>
      </c>
      <c r="P462" s="6">
        <v>0</v>
      </c>
      <c r="Q462" s="6">
        <v>0</v>
      </c>
      <c r="R462" s="6">
        <v>0</v>
      </c>
      <c r="S462" s="6">
        <v>860</v>
      </c>
    </row>
    <row r="463" spans="1:19" ht="15" x14ac:dyDescent="0.25">
      <c r="A463" s="7" t="s">
        <v>16</v>
      </c>
      <c r="B463" s="7" t="s">
        <v>17</v>
      </c>
      <c r="C463" s="7" t="s">
        <v>18</v>
      </c>
      <c r="D463" s="3">
        <v>51877926000109</v>
      </c>
      <c r="E463" s="8" t="s">
        <v>165</v>
      </c>
      <c r="F463" s="8" t="s">
        <v>123</v>
      </c>
      <c r="G463" s="8" t="s">
        <v>21</v>
      </c>
      <c r="H463" s="8" t="s">
        <v>795</v>
      </c>
      <c r="I463" s="3">
        <v>2</v>
      </c>
      <c r="J463" s="8" t="s">
        <v>728</v>
      </c>
      <c r="K463" s="8" t="s">
        <v>729</v>
      </c>
      <c r="L463" s="8" t="s">
        <v>730</v>
      </c>
      <c r="M463" s="1" t="s">
        <v>786</v>
      </c>
      <c r="N463" s="8" t="s">
        <v>787</v>
      </c>
      <c r="O463" s="6">
        <v>0</v>
      </c>
      <c r="P463" s="6">
        <v>0</v>
      </c>
      <c r="Q463" s="6">
        <v>0</v>
      </c>
      <c r="R463" s="6">
        <v>0</v>
      </c>
      <c r="S463" s="6">
        <v>165</v>
      </c>
    </row>
    <row r="464" spans="1:19" ht="15" x14ac:dyDescent="0.25">
      <c r="A464" s="7" t="s">
        <v>16</v>
      </c>
      <c r="B464" s="7" t="s">
        <v>17</v>
      </c>
      <c r="C464" s="7" t="s">
        <v>18</v>
      </c>
      <c r="D464" s="3">
        <v>51877926000109</v>
      </c>
      <c r="E464" s="8" t="s">
        <v>165</v>
      </c>
      <c r="F464" s="8" t="s">
        <v>123</v>
      </c>
      <c r="G464" s="8" t="s">
        <v>21</v>
      </c>
      <c r="H464" s="8" t="s">
        <v>795</v>
      </c>
      <c r="I464" s="3">
        <v>2</v>
      </c>
      <c r="J464" s="8" t="s">
        <v>726</v>
      </c>
      <c r="K464" s="8" t="s">
        <v>727</v>
      </c>
      <c r="L464" s="8" t="s">
        <v>723</v>
      </c>
      <c r="M464" s="1" t="s">
        <v>786</v>
      </c>
      <c r="N464" s="8" t="s">
        <v>787</v>
      </c>
      <c r="O464" s="6">
        <v>0</v>
      </c>
      <c r="P464" s="6">
        <v>0</v>
      </c>
      <c r="Q464" s="6">
        <v>0</v>
      </c>
      <c r="R464" s="6">
        <v>0</v>
      </c>
      <c r="S464" s="6">
        <v>165</v>
      </c>
    </row>
    <row r="465" spans="1:19" ht="15" x14ac:dyDescent="0.25">
      <c r="A465" s="7" t="s">
        <v>16</v>
      </c>
      <c r="B465" s="7" t="s">
        <v>17</v>
      </c>
      <c r="C465" s="7" t="s">
        <v>18</v>
      </c>
      <c r="D465" s="3">
        <v>44649812019238</v>
      </c>
      <c r="E465" s="8" t="s">
        <v>139</v>
      </c>
      <c r="F465" s="8" t="s">
        <v>123</v>
      </c>
      <c r="G465" s="8" t="s">
        <v>21</v>
      </c>
      <c r="H465" s="8" t="s">
        <v>795</v>
      </c>
      <c r="I465" s="3">
        <v>2</v>
      </c>
      <c r="J465" s="8" t="s">
        <v>728</v>
      </c>
      <c r="K465" s="8" t="s">
        <v>729</v>
      </c>
      <c r="L465" s="8" t="s">
        <v>730</v>
      </c>
      <c r="M465" s="1" t="s">
        <v>786</v>
      </c>
      <c r="N465" s="8" t="s">
        <v>787</v>
      </c>
      <c r="O465" s="6">
        <v>0</v>
      </c>
      <c r="P465" s="6">
        <v>0</v>
      </c>
      <c r="Q465" s="6">
        <v>0</v>
      </c>
      <c r="R465" s="6">
        <v>8</v>
      </c>
      <c r="S465" s="6">
        <v>0</v>
      </c>
    </row>
    <row r="466" spans="1:19" ht="15" x14ac:dyDescent="0.25">
      <c r="A466" s="7" t="s">
        <v>16</v>
      </c>
      <c r="B466" s="7" t="s">
        <v>17</v>
      </c>
      <c r="C466" s="7" t="s">
        <v>18</v>
      </c>
      <c r="D466" s="3">
        <v>44649812019238</v>
      </c>
      <c r="E466" s="8" t="s">
        <v>139</v>
      </c>
      <c r="F466" s="8" t="s">
        <v>123</v>
      </c>
      <c r="G466" s="8" t="s">
        <v>21</v>
      </c>
      <c r="H466" s="8" t="s">
        <v>795</v>
      </c>
      <c r="I466" s="3">
        <v>2</v>
      </c>
      <c r="J466" s="8" t="s">
        <v>726</v>
      </c>
      <c r="K466" s="8" t="s">
        <v>727</v>
      </c>
      <c r="L466" s="8" t="s">
        <v>723</v>
      </c>
      <c r="M466" s="1" t="s">
        <v>786</v>
      </c>
      <c r="N466" s="8" t="s">
        <v>787</v>
      </c>
      <c r="O466" s="6">
        <v>0</v>
      </c>
      <c r="P466" s="6">
        <v>0</v>
      </c>
      <c r="Q466" s="6">
        <v>0</v>
      </c>
      <c r="R466" s="6">
        <v>0</v>
      </c>
      <c r="S466" s="6">
        <v>0</v>
      </c>
    </row>
    <row r="467" spans="1:19" ht="15" x14ac:dyDescent="0.25">
      <c r="A467" s="7" t="s">
        <v>16</v>
      </c>
      <c r="B467" s="7" t="s">
        <v>17</v>
      </c>
      <c r="C467" s="7" t="s">
        <v>18</v>
      </c>
      <c r="D467" s="3">
        <v>51885242000140</v>
      </c>
      <c r="E467" s="8" t="s">
        <v>166</v>
      </c>
      <c r="F467" s="8" t="s">
        <v>123</v>
      </c>
      <c r="G467" s="8" t="s">
        <v>21</v>
      </c>
      <c r="H467" s="8" t="s">
        <v>795</v>
      </c>
      <c r="I467" s="3">
        <v>2</v>
      </c>
      <c r="J467" s="8" t="s">
        <v>728</v>
      </c>
      <c r="K467" s="8" t="s">
        <v>729</v>
      </c>
      <c r="L467" s="8" t="s">
        <v>730</v>
      </c>
      <c r="M467" s="1" t="s">
        <v>786</v>
      </c>
      <c r="N467" s="8" t="s">
        <v>787</v>
      </c>
      <c r="O467" s="6">
        <v>0</v>
      </c>
      <c r="P467" s="6">
        <v>0</v>
      </c>
      <c r="Q467" s="6">
        <v>0</v>
      </c>
      <c r="R467" s="6">
        <v>240</v>
      </c>
      <c r="S467" s="6">
        <v>0</v>
      </c>
    </row>
    <row r="468" spans="1:19" ht="15" x14ac:dyDescent="0.25">
      <c r="A468" s="7" t="s">
        <v>16</v>
      </c>
      <c r="B468" s="7" t="s">
        <v>17</v>
      </c>
      <c r="C468" s="7" t="s">
        <v>18</v>
      </c>
      <c r="D468" s="3">
        <v>51885242000140</v>
      </c>
      <c r="E468" s="8" t="s">
        <v>166</v>
      </c>
      <c r="F468" s="8" t="s">
        <v>123</v>
      </c>
      <c r="G468" s="8" t="s">
        <v>21</v>
      </c>
      <c r="H468" s="8" t="s">
        <v>795</v>
      </c>
      <c r="I468" s="3">
        <v>2</v>
      </c>
      <c r="J468" s="8" t="s">
        <v>726</v>
      </c>
      <c r="K468" s="8" t="s">
        <v>727</v>
      </c>
      <c r="L468" s="8" t="s">
        <v>723</v>
      </c>
      <c r="M468" s="1" t="s">
        <v>786</v>
      </c>
      <c r="N468" s="8" t="s">
        <v>787</v>
      </c>
      <c r="O468" s="6">
        <v>0</v>
      </c>
      <c r="P468" s="6">
        <v>0</v>
      </c>
      <c r="Q468" s="6">
        <v>0</v>
      </c>
      <c r="R468" s="6">
        <v>0</v>
      </c>
      <c r="S468" s="6">
        <v>0</v>
      </c>
    </row>
    <row r="469" spans="1:19" ht="15" x14ac:dyDescent="0.25">
      <c r="A469" s="7" t="s">
        <v>16</v>
      </c>
      <c r="B469" s="7" t="s">
        <v>17</v>
      </c>
      <c r="C469" s="7" t="s">
        <v>18</v>
      </c>
      <c r="D469" s="3">
        <v>29435005008456</v>
      </c>
      <c r="E469" s="8" t="s">
        <v>132</v>
      </c>
      <c r="F469" s="8" t="s">
        <v>123</v>
      </c>
      <c r="G469" s="8" t="s">
        <v>21</v>
      </c>
      <c r="H469" s="8" t="s">
        <v>795</v>
      </c>
      <c r="I469" s="3">
        <v>2</v>
      </c>
      <c r="J469" s="8" t="s">
        <v>728</v>
      </c>
      <c r="K469" s="8" t="s">
        <v>729</v>
      </c>
      <c r="L469" s="8" t="s">
        <v>730</v>
      </c>
      <c r="M469" s="1" t="s">
        <v>786</v>
      </c>
      <c r="N469" s="8" t="s">
        <v>787</v>
      </c>
      <c r="O469" s="6">
        <v>0</v>
      </c>
      <c r="P469" s="6">
        <v>0</v>
      </c>
      <c r="Q469" s="6">
        <v>0</v>
      </c>
      <c r="R469" s="6">
        <v>0</v>
      </c>
      <c r="S469" s="6">
        <v>125</v>
      </c>
    </row>
    <row r="470" spans="1:19" ht="15" x14ac:dyDescent="0.25">
      <c r="A470" s="7" t="s">
        <v>16</v>
      </c>
      <c r="B470" s="7" t="s">
        <v>17</v>
      </c>
      <c r="C470" s="7" t="s">
        <v>18</v>
      </c>
      <c r="D470" s="3">
        <v>29435005008456</v>
      </c>
      <c r="E470" s="8" t="s">
        <v>132</v>
      </c>
      <c r="F470" s="8" t="s">
        <v>123</v>
      </c>
      <c r="G470" s="8" t="s">
        <v>21</v>
      </c>
      <c r="H470" s="8" t="s">
        <v>795</v>
      </c>
      <c r="I470" s="3">
        <v>2</v>
      </c>
      <c r="J470" s="8" t="s">
        <v>726</v>
      </c>
      <c r="K470" s="8" t="s">
        <v>727</v>
      </c>
      <c r="L470" s="8" t="s">
        <v>723</v>
      </c>
      <c r="M470" s="1" t="s">
        <v>786</v>
      </c>
      <c r="N470" s="8" t="s">
        <v>787</v>
      </c>
      <c r="O470" s="6">
        <v>0</v>
      </c>
      <c r="P470" s="6">
        <v>0</v>
      </c>
      <c r="Q470" s="6">
        <v>0</v>
      </c>
      <c r="R470" s="6">
        <v>0</v>
      </c>
      <c r="S470" s="6">
        <v>125</v>
      </c>
    </row>
    <row r="471" spans="1:19" ht="15" x14ac:dyDescent="0.25">
      <c r="A471" s="7" t="s">
        <v>16</v>
      </c>
      <c r="B471" s="7" t="s">
        <v>17</v>
      </c>
      <c r="C471" s="7" t="s">
        <v>18</v>
      </c>
      <c r="D471" s="3">
        <v>46124624000111</v>
      </c>
      <c r="E471" s="8" t="s">
        <v>156</v>
      </c>
      <c r="F471" s="8" t="s">
        <v>123</v>
      </c>
      <c r="G471" s="8" t="s">
        <v>21</v>
      </c>
      <c r="H471" s="8" t="s">
        <v>795</v>
      </c>
      <c r="I471" s="3">
        <v>2</v>
      </c>
      <c r="J471" s="8" t="s">
        <v>728</v>
      </c>
      <c r="K471" s="8" t="s">
        <v>729</v>
      </c>
      <c r="L471" s="8" t="s">
        <v>730</v>
      </c>
      <c r="M471" s="1" t="s">
        <v>786</v>
      </c>
      <c r="N471" s="8" t="s">
        <v>787</v>
      </c>
      <c r="O471" s="6">
        <v>0</v>
      </c>
      <c r="P471" s="6">
        <v>0</v>
      </c>
      <c r="Q471" s="6">
        <v>0</v>
      </c>
      <c r="R471" s="6">
        <v>208</v>
      </c>
      <c r="S471" s="6">
        <v>545</v>
      </c>
    </row>
    <row r="472" spans="1:19" ht="15" x14ac:dyDescent="0.25">
      <c r="A472" s="7" t="s">
        <v>16</v>
      </c>
      <c r="B472" s="7" t="s">
        <v>17</v>
      </c>
      <c r="C472" s="7" t="s">
        <v>18</v>
      </c>
      <c r="D472" s="3">
        <v>46124624000111</v>
      </c>
      <c r="E472" s="8" t="s">
        <v>156</v>
      </c>
      <c r="F472" s="8" t="s">
        <v>123</v>
      </c>
      <c r="G472" s="8" t="s">
        <v>21</v>
      </c>
      <c r="H472" s="8" t="s">
        <v>795</v>
      </c>
      <c r="I472" s="3">
        <v>2</v>
      </c>
      <c r="J472" s="8" t="s">
        <v>726</v>
      </c>
      <c r="K472" s="8" t="s">
        <v>727</v>
      </c>
      <c r="L472" s="8" t="s">
        <v>723</v>
      </c>
      <c r="M472" s="1" t="s">
        <v>786</v>
      </c>
      <c r="N472" s="8" t="s">
        <v>787</v>
      </c>
      <c r="O472" s="6">
        <v>0</v>
      </c>
      <c r="P472" s="6">
        <v>0</v>
      </c>
      <c r="Q472" s="6">
        <v>0</v>
      </c>
      <c r="R472" s="6">
        <v>0</v>
      </c>
      <c r="S472" s="6">
        <v>545</v>
      </c>
    </row>
    <row r="473" spans="1:19" ht="15" x14ac:dyDescent="0.25">
      <c r="A473" s="7" t="s">
        <v>16</v>
      </c>
      <c r="B473" s="7" t="s">
        <v>17</v>
      </c>
      <c r="C473" s="7" t="s">
        <v>18</v>
      </c>
      <c r="D473" s="3">
        <v>10447300000177</v>
      </c>
      <c r="E473" s="8" t="s">
        <v>122</v>
      </c>
      <c r="F473" s="8" t="s">
        <v>804</v>
      </c>
      <c r="G473" s="8" t="s">
        <v>21</v>
      </c>
      <c r="H473" s="8" t="s">
        <v>795</v>
      </c>
      <c r="I473" s="3">
        <v>2</v>
      </c>
      <c r="J473" s="8" t="s">
        <v>728</v>
      </c>
      <c r="K473" s="8" t="s">
        <v>729</v>
      </c>
      <c r="L473" s="8" t="s">
        <v>730</v>
      </c>
      <c r="M473" s="1" t="s">
        <v>786</v>
      </c>
      <c r="N473" s="8" t="s">
        <v>787</v>
      </c>
      <c r="O473" s="6">
        <v>0</v>
      </c>
      <c r="P473" s="6">
        <v>0</v>
      </c>
      <c r="Q473" s="6">
        <v>0</v>
      </c>
      <c r="R473" s="6">
        <v>4</v>
      </c>
      <c r="S473" s="6">
        <v>0</v>
      </c>
    </row>
    <row r="474" spans="1:19" ht="15" x14ac:dyDescent="0.25">
      <c r="A474" s="7" t="s">
        <v>16</v>
      </c>
      <c r="B474" s="7" t="s">
        <v>17</v>
      </c>
      <c r="C474" s="7" t="s">
        <v>18</v>
      </c>
      <c r="D474" s="3">
        <v>10447300000177</v>
      </c>
      <c r="E474" s="8" t="s">
        <v>122</v>
      </c>
      <c r="F474" s="8" t="s">
        <v>804</v>
      </c>
      <c r="G474" s="8" t="s">
        <v>21</v>
      </c>
      <c r="H474" s="8" t="s">
        <v>795</v>
      </c>
      <c r="I474" s="3">
        <v>2</v>
      </c>
      <c r="J474" s="8" t="s">
        <v>726</v>
      </c>
      <c r="K474" s="8" t="s">
        <v>727</v>
      </c>
      <c r="L474" s="8" t="s">
        <v>723</v>
      </c>
      <c r="M474" s="1" t="s">
        <v>786</v>
      </c>
      <c r="N474" s="8" t="s">
        <v>787</v>
      </c>
      <c r="O474" s="6">
        <v>0</v>
      </c>
      <c r="P474" s="6">
        <v>0</v>
      </c>
      <c r="Q474" s="6">
        <v>0</v>
      </c>
      <c r="R474" s="6">
        <v>0</v>
      </c>
      <c r="S474" s="6">
        <v>0</v>
      </c>
    </row>
    <row r="475" spans="1:19" ht="15" x14ac:dyDescent="0.25">
      <c r="A475" s="7" t="s">
        <v>16</v>
      </c>
      <c r="B475" s="7" t="s">
        <v>17</v>
      </c>
      <c r="C475" s="7" t="s">
        <v>18</v>
      </c>
      <c r="D475" s="3">
        <v>47074851000819</v>
      </c>
      <c r="E475" s="8" t="s">
        <v>160</v>
      </c>
      <c r="F475" s="8" t="s">
        <v>145</v>
      </c>
      <c r="G475" s="8" t="s">
        <v>21</v>
      </c>
      <c r="H475" s="8" t="s">
        <v>795</v>
      </c>
      <c r="I475" s="3">
        <v>2</v>
      </c>
      <c r="J475" s="8" t="s">
        <v>728</v>
      </c>
      <c r="K475" s="8" t="s">
        <v>729</v>
      </c>
      <c r="L475" s="8" t="s">
        <v>730</v>
      </c>
      <c r="M475" s="1" t="s">
        <v>786</v>
      </c>
      <c r="N475" s="8" t="s">
        <v>787</v>
      </c>
      <c r="O475" s="6">
        <v>0</v>
      </c>
      <c r="P475" s="6">
        <v>0</v>
      </c>
      <c r="Q475" s="6">
        <v>0</v>
      </c>
      <c r="R475" s="6">
        <v>12</v>
      </c>
      <c r="S475" s="6">
        <v>40</v>
      </c>
    </row>
    <row r="476" spans="1:19" ht="15" x14ac:dyDescent="0.25">
      <c r="A476" s="7" t="s">
        <v>16</v>
      </c>
      <c r="B476" s="7" t="s">
        <v>17</v>
      </c>
      <c r="C476" s="7" t="s">
        <v>18</v>
      </c>
      <c r="D476" s="3">
        <v>47074851000819</v>
      </c>
      <c r="E476" s="8" t="s">
        <v>160</v>
      </c>
      <c r="F476" s="8" t="s">
        <v>145</v>
      </c>
      <c r="G476" s="8" t="s">
        <v>21</v>
      </c>
      <c r="H476" s="8" t="s">
        <v>795</v>
      </c>
      <c r="I476" s="3">
        <v>2</v>
      </c>
      <c r="J476" s="8" t="s">
        <v>726</v>
      </c>
      <c r="K476" s="8" t="s">
        <v>727</v>
      </c>
      <c r="L476" s="8" t="s">
        <v>723</v>
      </c>
      <c r="M476" s="1" t="s">
        <v>786</v>
      </c>
      <c r="N476" s="8" t="s">
        <v>787</v>
      </c>
      <c r="O476" s="6">
        <v>0</v>
      </c>
      <c r="P476" s="6">
        <v>0</v>
      </c>
      <c r="Q476" s="6">
        <v>0</v>
      </c>
      <c r="R476" s="6">
        <v>0</v>
      </c>
      <c r="S476" s="6">
        <v>40</v>
      </c>
    </row>
    <row r="477" spans="1:19" ht="15" x14ac:dyDescent="0.25">
      <c r="A477" s="7" t="s">
        <v>16</v>
      </c>
      <c r="B477" s="7" t="s">
        <v>17</v>
      </c>
      <c r="C477" s="7" t="s">
        <v>18</v>
      </c>
      <c r="D477" s="3">
        <v>45118429001279</v>
      </c>
      <c r="E477" s="8" t="s">
        <v>144</v>
      </c>
      <c r="F477" s="8" t="s">
        <v>145</v>
      </c>
      <c r="G477" s="8" t="s">
        <v>21</v>
      </c>
      <c r="H477" s="8" t="s">
        <v>795</v>
      </c>
      <c r="I477" s="3">
        <v>2</v>
      </c>
      <c r="J477" s="8" t="s">
        <v>728</v>
      </c>
      <c r="K477" s="8" t="s">
        <v>729</v>
      </c>
      <c r="L477" s="8" t="s">
        <v>730</v>
      </c>
      <c r="M477" s="1" t="s">
        <v>786</v>
      </c>
      <c r="N477" s="8" t="s">
        <v>787</v>
      </c>
      <c r="O477" s="6">
        <v>0</v>
      </c>
      <c r="P477" s="6">
        <v>0</v>
      </c>
      <c r="Q477" s="6">
        <v>0</v>
      </c>
      <c r="R477" s="6">
        <v>12</v>
      </c>
      <c r="S477" s="6">
        <v>100</v>
      </c>
    </row>
    <row r="478" spans="1:19" ht="15" x14ac:dyDescent="0.25">
      <c r="A478" s="7" t="s">
        <v>16</v>
      </c>
      <c r="B478" s="7" t="s">
        <v>17</v>
      </c>
      <c r="C478" s="7" t="s">
        <v>18</v>
      </c>
      <c r="D478" s="3">
        <v>45118429001279</v>
      </c>
      <c r="E478" s="8" t="s">
        <v>144</v>
      </c>
      <c r="F478" s="8" t="s">
        <v>145</v>
      </c>
      <c r="G478" s="8" t="s">
        <v>21</v>
      </c>
      <c r="H478" s="8" t="s">
        <v>795</v>
      </c>
      <c r="I478" s="3">
        <v>2</v>
      </c>
      <c r="J478" s="8" t="s">
        <v>726</v>
      </c>
      <c r="K478" s="8" t="s">
        <v>727</v>
      </c>
      <c r="L478" s="8" t="s">
        <v>723</v>
      </c>
      <c r="M478" s="1" t="s">
        <v>786</v>
      </c>
      <c r="N478" s="8" t="s">
        <v>787</v>
      </c>
      <c r="O478" s="6">
        <v>0</v>
      </c>
      <c r="P478" s="6">
        <v>0</v>
      </c>
      <c r="Q478" s="6">
        <v>0</v>
      </c>
      <c r="R478" s="6">
        <v>0</v>
      </c>
      <c r="S478" s="6">
        <v>100</v>
      </c>
    </row>
    <row r="479" spans="1:19" ht="15" x14ac:dyDescent="0.25">
      <c r="A479" s="7" t="s">
        <v>16</v>
      </c>
      <c r="B479" s="7" t="s">
        <v>17</v>
      </c>
      <c r="C479" s="7" t="s">
        <v>18</v>
      </c>
      <c r="D479" s="3">
        <v>50486026000160</v>
      </c>
      <c r="E479" s="8" t="s">
        <v>163</v>
      </c>
      <c r="F479" s="8" t="s">
        <v>164</v>
      </c>
      <c r="G479" s="8" t="s">
        <v>21</v>
      </c>
      <c r="H479" s="8" t="s">
        <v>795</v>
      </c>
      <c r="I479" s="3">
        <v>2</v>
      </c>
      <c r="J479" s="8" t="s">
        <v>728</v>
      </c>
      <c r="K479" s="8" t="s">
        <v>729</v>
      </c>
      <c r="L479" s="8" t="s">
        <v>730</v>
      </c>
      <c r="M479" s="1" t="s">
        <v>786</v>
      </c>
      <c r="N479" s="8" t="s">
        <v>787</v>
      </c>
      <c r="O479" s="6">
        <v>0</v>
      </c>
      <c r="P479" s="6">
        <v>0</v>
      </c>
      <c r="Q479" s="6">
        <v>0</v>
      </c>
      <c r="R479" s="6">
        <v>0</v>
      </c>
      <c r="S479" s="6">
        <v>100</v>
      </c>
    </row>
    <row r="480" spans="1:19" ht="15" x14ac:dyDescent="0.25">
      <c r="A480" s="7" t="s">
        <v>16</v>
      </c>
      <c r="B480" s="7" t="s">
        <v>17</v>
      </c>
      <c r="C480" s="7" t="s">
        <v>18</v>
      </c>
      <c r="D480" s="3">
        <v>50486026000160</v>
      </c>
      <c r="E480" s="8" t="s">
        <v>163</v>
      </c>
      <c r="F480" s="8" t="s">
        <v>164</v>
      </c>
      <c r="G480" s="8" t="s">
        <v>21</v>
      </c>
      <c r="H480" s="8" t="s">
        <v>795</v>
      </c>
      <c r="I480" s="3">
        <v>2</v>
      </c>
      <c r="J480" s="8" t="s">
        <v>726</v>
      </c>
      <c r="K480" s="8" t="s">
        <v>727</v>
      </c>
      <c r="L480" s="8" t="s">
        <v>723</v>
      </c>
      <c r="M480" s="1" t="s">
        <v>786</v>
      </c>
      <c r="N480" s="8" t="s">
        <v>787</v>
      </c>
      <c r="O480" s="6">
        <v>0</v>
      </c>
      <c r="P480" s="6">
        <v>0</v>
      </c>
      <c r="Q480" s="6">
        <v>0</v>
      </c>
      <c r="R480" s="6">
        <v>0</v>
      </c>
      <c r="S480" s="6">
        <v>100</v>
      </c>
    </row>
    <row r="481" spans="1:19" ht="15" x14ac:dyDescent="0.25">
      <c r="A481" s="7" t="s">
        <v>16</v>
      </c>
      <c r="B481" s="7" t="s">
        <v>17</v>
      </c>
      <c r="C481" s="7" t="s">
        <v>18</v>
      </c>
      <c r="D481" s="3">
        <v>48468284000171</v>
      </c>
      <c r="E481" s="8" t="s">
        <v>161</v>
      </c>
      <c r="F481" s="8" t="s">
        <v>162</v>
      </c>
      <c r="G481" s="8" t="s">
        <v>21</v>
      </c>
      <c r="H481" s="8" t="s">
        <v>795</v>
      </c>
      <c r="I481" s="3">
        <v>2</v>
      </c>
      <c r="J481" s="8" t="s">
        <v>728</v>
      </c>
      <c r="K481" s="8" t="s">
        <v>729</v>
      </c>
      <c r="L481" s="8" t="s">
        <v>730</v>
      </c>
      <c r="M481" s="1" t="s">
        <v>786</v>
      </c>
      <c r="N481" s="8" t="s">
        <v>787</v>
      </c>
      <c r="O481" s="6">
        <v>0</v>
      </c>
      <c r="P481" s="6">
        <v>0</v>
      </c>
      <c r="Q481" s="6">
        <v>0</v>
      </c>
      <c r="R481" s="6">
        <v>0</v>
      </c>
      <c r="S481" s="6">
        <v>100</v>
      </c>
    </row>
    <row r="482" spans="1:19" ht="15" x14ac:dyDescent="0.25">
      <c r="A482" s="7" t="s">
        <v>16</v>
      </c>
      <c r="B482" s="7" t="s">
        <v>17</v>
      </c>
      <c r="C482" s="7" t="s">
        <v>18</v>
      </c>
      <c r="D482" s="3">
        <v>48468284000171</v>
      </c>
      <c r="E482" s="8" t="s">
        <v>161</v>
      </c>
      <c r="F482" s="8" t="s">
        <v>162</v>
      </c>
      <c r="G482" s="8" t="s">
        <v>21</v>
      </c>
      <c r="H482" s="8" t="s">
        <v>795</v>
      </c>
      <c r="I482" s="3">
        <v>2</v>
      </c>
      <c r="J482" s="8" t="s">
        <v>726</v>
      </c>
      <c r="K482" s="8" t="s">
        <v>727</v>
      </c>
      <c r="L482" s="8" t="s">
        <v>723</v>
      </c>
      <c r="M482" s="1" t="s">
        <v>786</v>
      </c>
      <c r="N482" s="8" t="s">
        <v>787</v>
      </c>
      <c r="O482" s="6">
        <v>0</v>
      </c>
      <c r="P482" s="6">
        <v>0</v>
      </c>
      <c r="Q482" s="6">
        <v>0</v>
      </c>
      <c r="R482" s="6">
        <v>0</v>
      </c>
      <c r="S482" s="6">
        <v>100</v>
      </c>
    </row>
    <row r="483" spans="1:19" ht="15" x14ac:dyDescent="0.25">
      <c r="A483" s="7" t="s">
        <v>16</v>
      </c>
      <c r="B483" s="7" t="s">
        <v>17</v>
      </c>
      <c r="C483" s="7" t="s">
        <v>18</v>
      </c>
      <c r="D483" s="3">
        <v>29435005008294</v>
      </c>
      <c r="E483" s="8" t="s">
        <v>130</v>
      </c>
      <c r="F483" s="8" t="s">
        <v>131</v>
      </c>
      <c r="G483" s="8" t="s">
        <v>21</v>
      </c>
      <c r="H483" s="8" t="s">
        <v>795</v>
      </c>
      <c r="I483" s="3">
        <v>2</v>
      </c>
      <c r="J483" s="8" t="s">
        <v>740</v>
      </c>
      <c r="K483" s="8" t="s">
        <v>741</v>
      </c>
      <c r="L483" s="8" t="s">
        <v>730</v>
      </c>
      <c r="M483" s="1" t="s">
        <v>786</v>
      </c>
      <c r="N483" s="8" t="s">
        <v>787</v>
      </c>
      <c r="O483" s="6">
        <v>0</v>
      </c>
      <c r="P483" s="6">
        <v>0</v>
      </c>
      <c r="Q483" s="6">
        <v>0</v>
      </c>
      <c r="R483" s="6">
        <v>0</v>
      </c>
      <c r="S483" s="6">
        <v>245</v>
      </c>
    </row>
    <row r="484" spans="1:19" ht="15" x14ac:dyDescent="0.25">
      <c r="A484" s="7" t="s">
        <v>16</v>
      </c>
      <c r="B484" s="7" t="s">
        <v>17</v>
      </c>
      <c r="C484" s="7" t="s">
        <v>18</v>
      </c>
      <c r="D484" s="3">
        <v>29435005008294</v>
      </c>
      <c r="E484" s="8" t="s">
        <v>130</v>
      </c>
      <c r="F484" s="8" t="s">
        <v>131</v>
      </c>
      <c r="G484" s="8" t="s">
        <v>21</v>
      </c>
      <c r="H484" s="8" t="s">
        <v>795</v>
      </c>
      <c r="I484" s="3">
        <v>2</v>
      </c>
      <c r="J484" s="8" t="s">
        <v>724</v>
      </c>
      <c r="K484" s="8" t="s">
        <v>725</v>
      </c>
      <c r="L484" s="8" t="s">
        <v>723</v>
      </c>
      <c r="M484" s="1" t="s">
        <v>786</v>
      </c>
      <c r="N484" s="8" t="s">
        <v>787</v>
      </c>
      <c r="O484" s="6">
        <v>0</v>
      </c>
      <c r="P484" s="6">
        <v>0</v>
      </c>
      <c r="Q484" s="6">
        <v>0</v>
      </c>
      <c r="R484" s="6">
        <v>0</v>
      </c>
      <c r="S484" s="6">
        <v>245</v>
      </c>
    </row>
    <row r="485" spans="1:19" ht="15" x14ac:dyDescent="0.25">
      <c r="A485" s="7" t="s">
        <v>16</v>
      </c>
      <c r="B485" s="7" t="s">
        <v>17</v>
      </c>
      <c r="C485" s="7" t="s">
        <v>18</v>
      </c>
      <c r="D485" s="3">
        <v>6209132000104</v>
      </c>
      <c r="E485" s="8" t="s">
        <v>120</v>
      </c>
      <c r="F485" s="8" t="s">
        <v>121</v>
      </c>
      <c r="G485" s="8" t="s">
        <v>21</v>
      </c>
      <c r="H485" s="8" t="s">
        <v>795</v>
      </c>
      <c r="I485" s="3">
        <v>2</v>
      </c>
      <c r="J485" s="8" t="s">
        <v>728</v>
      </c>
      <c r="K485" s="8" t="s">
        <v>729</v>
      </c>
      <c r="L485" s="8" t="s">
        <v>730</v>
      </c>
      <c r="M485" s="1" t="s">
        <v>786</v>
      </c>
      <c r="N485" s="8" t="s">
        <v>787</v>
      </c>
      <c r="O485" s="6">
        <v>0</v>
      </c>
      <c r="P485" s="6">
        <v>0</v>
      </c>
      <c r="Q485" s="6">
        <v>0</v>
      </c>
      <c r="R485" s="6">
        <v>0</v>
      </c>
      <c r="S485" s="6">
        <v>75</v>
      </c>
    </row>
    <row r="486" spans="1:19" ht="15" x14ac:dyDescent="0.25">
      <c r="A486" s="7" t="s">
        <v>16</v>
      </c>
      <c r="B486" s="7" t="s">
        <v>17</v>
      </c>
      <c r="C486" s="7" t="s">
        <v>18</v>
      </c>
      <c r="D486" s="3">
        <v>6209132000104</v>
      </c>
      <c r="E486" s="8" t="s">
        <v>120</v>
      </c>
      <c r="F486" s="8" t="s">
        <v>121</v>
      </c>
      <c r="G486" s="8" t="s">
        <v>21</v>
      </c>
      <c r="H486" s="8" t="s">
        <v>795</v>
      </c>
      <c r="I486" s="3">
        <v>2</v>
      </c>
      <c r="J486" s="8" t="s">
        <v>726</v>
      </c>
      <c r="K486" s="8" t="s">
        <v>727</v>
      </c>
      <c r="L486" s="8" t="s">
        <v>723</v>
      </c>
      <c r="M486" s="1" t="s">
        <v>786</v>
      </c>
      <c r="N486" s="8" t="s">
        <v>787</v>
      </c>
      <c r="O486" s="6">
        <v>0</v>
      </c>
      <c r="P486" s="6">
        <v>0</v>
      </c>
      <c r="Q486" s="6">
        <v>0</v>
      </c>
      <c r="R486" s="6">
        <v>0</v>
      </c>
      <c r="S486" s="6">
        <v>75</v>
      </c>
    </row>
    <row r="487" spans="1:19" ht="15" x14ac:dyDescent="0.25">
      <c r="A487" s="7" t="s">
        <v>16</v>
      </c>
      <c r="B487" s="7" t="s">
        <v>17</v>
      </c>
      <c r="C487" s="7" t="s">
        <v>18</v>
      </c>
      <c r="D487" s="3">
        <v>45780103000150</v>
      </c>
      <c r="E487" s="8" t="s">
        <v>152</v>
      </c>
      <c r="F487" s="8" t="s">
        <v>153</v>
      </c>
      <c r="G487" s="8" t="s">
        <v>21</v>
      </c>
      <c r="H487" s="8" t="s">
        <v>795</v>
      </c>
      <c r="I487" s="3">
        <v>2</v>
      </c>
      <c r="J487" s="8" t="s">
        <v>728</v>
      </c>
      <c r="K487" s="8" t="s">
        <v>729</v>
      </c>
      <c r="L487" s="8" t="s">
        <v>730</v>
      </c>
      <c r="M487" s="1" t="s">
        <v>786</v>
      </c>
      <c r="N487" s="8" t="s">
        <v>787</v>
      </c>
      <c r="O487" s="6">
        <v>0</v>
      </c>
      <c r="P487" s="6">
        <v>0</v>
      </c>
      <c r="Q487" s="6">
        <v>0</v>
      </c>
      <c r="R487" s="6">
        <v>0</v>
      </c>
      <c r="S487" s="6">
        <v>730</v>
      </c>
    </row>
    <row r="488" spans="1:19" ht="15" x14ac:dyDescent="0.25">
      <c r="A488" s="7" t="s">
        <v>16</v>
      </c>
      <c r="B488" s="7" t="s">
        <v>17</v>
      </c>
      <c r="C488" s="7" t="s">
        <v>18</v>
      </c>
      <c r="D488" s="3">
        <v>45780103000150</v>
      </c>
      <c r="E488" s="8" t="s">
        <v>152</v>
      </c>
      <c r="F488" s="8" t="s">
        <v>153</v>
      </c>
      <c r="G488" s="8" t="s">
        <v>21</v>
      </c>
      <c r="H488" s="8" t="s">
        <v>795</v>
      </c>
      <c r="I488" s="3">
        <v>2</v>
      </c>
      <c r="J488" s="8" t="s">
        <v>726</v>
      </c>
      <c r="K488" s="8" t="s">
        <v>727</v>
      </c>
      <c r="L488" s="8" t="s">
        <v>723</v>
      </c>
      <c r="M488" s="1" t="s">
        <v>786</v>
      </c>
      <c r="N488" s="8" t="s">
        <v>787</v>
      </c>
      <c r="O488" s="6">
        <v>0</v>
      </c>
      <c r="P488" s="6">
        <v>0</v>
      </c>
      <c r="Q488" s="6">
        <v>0</v>
      </c>
      <c r="R488" s="6">
        <v>0</v>
      </c>
      <c r="S488" s="6">
        <v>730</v>
      </c>
    </row>
    <row r="489" spans="1:19" ht="15" x14ac:dyDescent="0.25">
      <c r="A489" s="7" t="s">
        <v>16</v>
      </c>
      <c r="B489" s="7" t="s">
        <v>17</v>
      </c>
      <c r="C489" s="7" t="s">
        <v>18</v>
      </c>
      <c r="D489" s="3">
        <v>44531788000138</v>
      </c>
      <c r="E489" s="8" t="s">
        <v>137</v>
      </c>
      <c r="F489" s="8" t="s">
        <v>138</v>
      </c>
      <c r="G489" s="8" t="s">
        <v>21</v>
      </c>
      <c r="H489" s="8" t="s">
        <v>795</v>
      </c>
      <c r="I489" s="3">
        <v>2</v>
      </c>
      <c r="J489" s="8" t="s">
        <v>728</v>
      </c>
      <c r="K489" s="8" t="s">
        <v>729</v>
      </c>
      <c r="L489" s="8" t="s">
        <v>730</v>
      </c>
      <c r="M489" s="1" t="s">
        <v>786</v>
      </c>
      <c r="N489" s="8" t="s">
        <v>787</v>
      </c>
      <c r="O489" s="6">
        <v>0</v>
      </c>
      <c r="P489" s="6">
        <v>0</v>
      </c>
      <c r="Q489" s="6">
        <v>0</v>
      </c>
      <c r="R489" s="6">
        <v>120</v>
      </c>
      <c r="S489" s="6">
        <v>0</v>
      </c>
    </row>
    <row r="490" spans="1:19" ht="15" x14ac:dyDescent="0.25">
      <c r="A490" s="7" t="s">
        <v>16</v>
      </c>
      <c r="B490" s="7" t="s">
        <v>17</v>
      </c>
      <c r="C490" s="7" t="s">
        <v>18</v>
      </c>
      <c r="D490" s="3">
        <v>44531788000138</v>
      </c>
      <c r="E490" s="8" t="s">
        <v>137</v>
      </c>
      <c r="F490" s="8" t="s">
        <v>138</v>
      </c>
      <c r="G490" s="8" t="s">
        <v>21</v>
      </c>
      <c r="H490" s="8" t="s">
        <v>795</v>
      </c>
      <c r="I490" s="3">
        <v>2</v>
      </c>
      <c r="J490" s="8" t="s">
        <v>726</v>
      </c>
      <c r="K490" s="8" t="s">
        <v>727</v>
      </c>
      <c r="L490" s="8" t="s">
        <v>723</v>
      </c>
      <c r="M490" s="1" t="s">
        <v>786</v>
      </c>
      <c r="N490" s="8" t="s">
        <v>787</v>
      </c>
      <c r="O490" s="6">
        <v>0</v>
      </c>
      <c r="P490" s="6">
        <v>0</v>
      </c>
      <c r="Q490" s="6">
        <v>0</v>
      </c>
      <c r="R490" s="6">
        <v>0</v>
      </c>
      <c r="S490" s="6">
        <v>0</v>
      </c>
    </row>
    <row r="491" spans="1:19" ht="15" x14ac:dyDescent="0.25">
      <c r="A491" s="7" t="s">
        <v>16</v>
      </c>
      <c r="B491" s="7" t="s">
        <v>17</v>
      </c>
      <c r="C491" s="7" t="s">
        <v>18</v>
      </c>
      <c r="D491" s="3">
        <v>6047087007656</v>
      </c>
      <c r="E491" s="8" t="s">
        <v>118</v>
      </c>
      <c r="F491" s="8" t="s">
        <v>119</v>
      </c>
      <c r="G491" s="8" t="s">
        <v>21</v>
      </c>
      <c r="H491" s="8" t="s">
        <v>795</v>
      </c>
      <c r="I491" s="3">
        <v>2</v>
      </c>
      <c r="J491" s="8" t="s">
        <v>770</v>
      </c>
      <c r="K491" s="8" t="s">
        <v>771</v>
      </c>
      <c r="L491" s="8" t="s">
        <v>730</v>
      </c>
      <c r="M491" s="1" t="s">
        <v>786</v>
      </c>
      <c r="N491" s="8" t="s">
        <v>787</v>
      </c>
      <c r="O491" s="6">
        <v>0</v>
      </c>
      <c r="P491" s="6">
        <v>0</v>
      </c>
      <c r="Q491" s="6">
        <v>0</v>
      </c>
      <c r="R491" s="6">
        <v>0</v>
      </c>
      <c r="S491" s="6">
        <v>0</v>
      </c>
    </row>
    <row r="492" spans="1:19" ht="15" x14ac:dyDescent="0.25">
      <c r="A492" s="7" t="s">
        <v>16</v>
      </c>
      <c r="B492" s="7" t="s">
        <v>17</v>
      </c>
      <c r="C492" s="7" t="s">
        <v>18</v>
      </c>
      <c r="D492" s="3">
        <v>6047087007656</v>
      </c>
      <c r="E492" s="8" t="s">
        <v>118</v>
      </c>
      <c r="F492" s="8" t="s">
        <v>119</v>
      </c>
      <c r="G492" s="8" t="s">
        <v>21</v>
      </c>
      <c r="H492" s="8" t="s">
        <v>795</v>
      </c>
      <c r="I492" s="3">
        <v>2</v>
      </c>
      <c r="J492" s="8" t="s">
        <v>724</v>
      </c>
      <c r="K492" s="8" t="s">
        <v>725</v>
      </c>
      <c r="L492" s="8" t="s">
        <v>723</v>
      </c>
      <c r="M492" s="1" t="s">
        <v>786</v>
      </c>
      <c r="N492" s="8" t="s">
        <v>787</v>
      </c>
      <c r="O492" s="6">
        <v>0</v>
      </c>
      <c r="P492" s="6">
        <v>0</v>
      </c>
      <c r="Q492" s="6">
        <v>9</v>
      </c>
      <c r="R492" s="6">
        <v>0</v>
      </c>
      <c r="S492" s="6">
        <v>0</v>
      </c>
    </row>
    <row r="493" spans="1:19" ht="15" x14ac:dyDescent="0.25">
      <c r="A493" s="7" t="s">
        <v>16</v>
      </c>
      <c r="B493" s="7" t="s">
        <v>17</v>
      </c>
      <c r="C493" s="7" t="s">
        <v>18</v>
      </c>
      <c r="D493" s="3">
        <v>44803922000293</v>
      </c>
      <c r="E493" s="8" t="s">
        <v>142</v>
      </c>
      <c r="F493" s="8" t="s">
        <v>143</v>
      </c>
      <c r="G493" s="8" t="s">
        <v>21</v>
      </c>
      <c r="H493" s="8" t="s">
        <v>795</v>
      </c>
      <c r="I493" s="3">
        <v>2</v>
      </c>
      <c r="J493" s="8" t="s">
        <v>728</v>
      </c>
      <c r="K493" s="8" t="s">
        <v>729</v>
      </c>
      <c r="L493" s="8" t="s">
        <v>730</v>
      </c>
      <c r="M493" s="1" t="s">
        <v>786</v>
      </c>
      <c r="N493" s="8" t="s">
        <v>787</v>
      </c>
      <c r="O493" s="6">
        <v>0</v>
      </c>
      <c r="P493" s="6">
        <v>0</v>
      </c>
      <c r="Q493" s="6">
        <v>0</v>
      </c>
      <c r="R493" s="6">
        <v>6</v>
      </c>
      <c r="S493" s="6">
        <v>0</v>
      </c>
    </row>
    <row r="494" spans="1:19" ht="15" x14ac:dyDescent="0.25">
      <c r="A494" s="7" t="s">
        <v>16</v>
      </c>
      <c r="B494" s="7" t="s">
        <v>17</v>
      </c>
      <c r="C494" s="7" t="s">
        <v>18</v>
      </c>
      <c r="D494" s="3">
        <v>44803922000293</v>
      </c>
      <c r="E494" s="8" t="s">
        <v>142</v>
      </c>
      <c r="F494" s="8" t="s">
        <v>143</v>
      </c>
      <c r="G494" s="8" t="s">
        <v>21</v>
      </c>
      <c r="H494" s="8" t="s">
        <v>795</v>
      </c>
      <c r="I494" s="3">
        <v>2</v>
      </c>
      <c r="J494" s="8" t="s">
        <v>726</v>
      </c>
      <c r="K494" s="8" t="s">
        <v>727</v>
      </c>
      <c r="L494" s="8" t="s">
        <v>723</v>
      </c>
      <c r="M494" s="1" t="s">
        <v>786</v>
      </c>
      <c r="N494" s="8" t="s">
        <v>787</v>
      </c>
      <c r="O494" s="6">
        <v>0</v>
      </c>
      <c r="P494" s="6">
        <v>0</v>
      </c>
      <c r="Q494" s="6">
        <v>0</v>
      </c>
      <c r="R494" s="6">
        <v>0</v>
      </c>
      <c r="S494" s="6">
        <v>0</v>
      </c>
    </row>
    <row r="495" spans="1:19" ht="15" x14ac:dyDescent="0.25">
      <c r="A495" s="7" t="s">
        <v>16</v>
      </c>
      <c r="B495" s="7" t="s">
        <v>17</v>
      </c>
      <c r="C495" s="7" t="s">
        <v>18</v>
      </c>
      <c r="D495" s="3">
        <v>840048000450</v>
      </c>
      <c r="E495" s="8" t="s">
        <v>106</v>
      </c>
      <c r="F495" s="8" t="s">
        <v>107</v>
      </c>
      <c r="G495" s="8" t="s">
        <v>21</v>
      </c>
      <c r="H495" s="8" t="s">
        <v>795</v>
      </c>
      <c r="I495" s="3">
        <v>2</v>
      </c>
      <c r="J495" s="8" t="s">
        <v>728</v>
      </c>
      <c r="K495" s="8" t="s">
        <v>729</v>
      </c>
      <c r="L495" s="8" t="s">
        <v>730</v>
      </c>
      <c r="M495" s="1" t="s">
        <v>786</v>
      </c>
      <c r="N495" s="8" t="s">
        <v>787</v>
      </c>
      <c r="O495" s="6">
        <v>0</v>
      </c>
      <c r="P495" s="6">
        <v>0</v>
      </c>
      <c r="Q495" s="6">
        <v>0</v>
      </c>
      <c r="R495" s="6">
        <v>0</v>
      </c>
      <c r="S495" s="6">
        <v>85</v>
      </c>
    </row>
    <row r="496" spans="1:19" ht="15" x14ac:dyDescent="0.25">
      <c r="A496" s="7" t="s">
        <v>16</v>
      </c>
      <c r="B496" s="7" t="s">
        <v>17</v>
      </c>
      <c r="C496" s="7" t="s">
        <v>18</v>
      </c>
      <c r="D496" s="3">
        <v>840048000450</v>
      </c>
      <c r="E496" s="8" t="s">
        <v>106</v>
      </c>
      <c r="F496" s="8" t="s">
        <v>107</v>
      </c>
      <c r="G496" s="8" t="s">
        <v>21</v>
      </c>
      <c r="H496" s="8" t="s">
        <v>795</v>
      </c>
      <c r="I496" s="3">
        <v>2</v>
      </c>
      <c r="J496" s="8" t="s">
        <v>726</v>
      </c>
      <c r="K496" s="8" t="s">
        <v>727</v>
      </c>
      <c r="L496" s="8" t="s">
        <v>723</v>
      </c>
      <c r="M496" s="1" t="s">
        <v>786</v>
      </c>
      <c r="N496" s="8" t="s">
        <v>787</v>
      </c>
      <c r="O496" s="6">
        <v>0</v>
      </c>
      <c r="P496" s="6">
        <v>0</v>
      </c>
      <c r="Q496" s="6">
        <v>0</v>
      </c>
      <c r="R496" s="6">
        <v>0</v>
      </c>
      <c r="S496" s="6">
        <v>85</v>
      </c>
    </row>
    <row r="497" spans="1:19" ht="15" x14ac:dyDescent="0.25">
      <c r="A497" s="7" t="s">
        <v>16</v>
      </c>
      <c r="B497" s="7" t="s">
        <v>17</v>
      </c>
      <c r="C497" s="7" t="s">
        <v>18</v>
      </c>
      <c r="D497" s="3">
        <v>57722118000302</v>
      </c>
      <c r="E497" s="8" t="s">
        <v>170</v>
      </c>
      <c r="F497" s="8" t="s">
        <v>109</v>
      </c>
      <c r="G497" s="8" t="s">
        <v>21</v>
      </c>
      <c r="H497" s="8" t="s">
        <v>795</v>
      </c>
      <c r="I497" s="3">
        <v>2</v>
      </c>
      <c r="J497" s="8" t="s">
        <v>728</v>
      </c>
      <c r="K497" s="8" t="s">
        <v>729</v>
      </c>
      <c r="L497" s="8" t="s">
        <v>730</v>
      </c>
      <c r="M497" s="1" t="s">
        <v>786</v>
      </c>
      <c r="N497" s="8" t="s">
        <v>787</v>
      </c>
      <c r="O497" s="6">
        <v>0</v>
      </c>
      <c r="P497" s="6">
        <v>0</v>
      </c>
      <c r="Q497" s="6">
        <v>0</v>
      </c>
      <c r="R497" s="6">
        <v>0</v>
      </c>
      <c r="S497" s="6">
        <v>1650</v>
      </c>
    </row>
    <row r="498" spans="1:19" ht="15" x14ac:dyDescent="0.25">
      <c r="A498" s="7" t="s">
        <v>16</v>
      </c>
      <c r="B498" s="7" t="s">
        <v>17</v>
      </c>
      <c r="C498" s="7" t="s">
        <v>18</v>
      </c>
      <c r="D498" s="3">
        <v>57722118000302</v>
      </c>
      <c r="E498" s="8" t="s">
        <v>170</v>
      </c>
      <c r="F498" s="8" t="s">
        <v>109</v>
      </c>
      <c r="G498" s="8" t="s">
        <v>21</v>
      </c>
      <c r="H498" s="8" t="s">
        <v>795</v>
      </c>
      <c r="I498" s="3">
        <v>2</v>
      </c>
      <c r="J498" s="8" t="s">
        <v>726</v>
      </c>
      <c r="K498" s="8" t="s">
        <v>727</v>
      </c>
      <c r="L498" s="8" t="s">
        <v>723</v>
      </c>
      <c r="M498" s="1" t="s">
        <v>786</v>
      </c>
      <c r="N498" s="8" t="s">
        <v>787</v>
      </c>
      <c r="O498" s="6">
        <v>0</v>
      </c>
      <c r="P498" s="6">
        <v>0</v>
      </c>
      <c r="Q498" s="6">
        <v>0</v>
      </c>
      <c r="R498" s="6">
        <v>0</v>
      </c>
      <c r="S498" s="6">
        <v>1650</v>
      </c>
    </row>
    <row r="499" spans="1:19" ht="15" x14ac:dyDescent="0.25">
      <c r="A499" s="7" t="s">
        <v>16</v>
      </c>
      <c r="B499" s="7" t="s">
        <v>17</v>
      </c>
      <c r="C499" s="7" t="s">
        <v>18</v>
      </c>
      <c r="D499" s="3">
        <v>46374500003533</v>
      </c>
      <c r="E499" s="8" t="s">
        <v>159</v>
      </c>
      <c r="F499" s="8" t="s">
        <v>109</v>
      </c>
      <c r="G499" s="8" t="s">
        <v>21</v>
      </c>
      <c r="H499" s="8" t="s">
        <v>795</v>
      </c>
      <c r="I499" s="3">
        <v>2</v>
      </c>
      <c r="J499" s="8" t="s">
        <v>728</v>
      </c>
      <c r="K499" s="8" t="s">
        <v>729</v>
      </c>
      <c r="L499" s="8" t="s">
        <v>730</v>
      </c>
      <c r="M499" s="1" t="s">
        <v>786</v>
      </c>
      <c r="N499" s="8" t="s">
        <v>787</v>
      </c>
      <c r="O499" s="6">
        <v>0</v>
      </c>
      <c r="P499" s="6">
        <v>0</v>
      </c>
      <c r="Q499" s="6">
        <v>0</v>
      </c>
      <c r="R499" s="6">
        <v>0</v>
      </c>
      <c r="S499" s="6">
        <v>1000</v>
      </c>
    </row>
    <row r="500" spans="1:19" ht="15" x14ac:dyDescent="0.25">
      <c r="A500" s="7" t="s">
        <v>16</v>
      </c>
      <c r="B500" s="7" t="s">
        <v>17</v>
      </c>
      <c r="C500" s="7" t="s">
        <v>18</v>
      </c>
      <c r="D500" s="3">
        <v>46374500003533</v>
      </c>
      <c r="E500" s="8" t="s">
        <v>159</v>
      </c>
      <c r="F500" s="8" t="s">
        <v>109</v>
      </c>
      <c r="G500" s="8" t="s">
        <v>21</v>
      </c>
      <c r="H500" s="8" t="s">
        <v>795</v>
      </c>
      <c r="I500" s="3">
        <v>2</v>
      </c>
      <c r="J500" s="8" t="s">
        <v>726</v>
      </c>
      <c r="K500" s="8" t="s">
        <v>727</v>
      </c>
      <c r="L500" s="8" t="s">
        <v>723</v>
      </c>
      <c r="M500" s="1" t="s">
        <v>786</v>
      </c>
      <c r="N500" s="8" t="s">
        <v>787</v>
      </c>
      <c r="O500" s="6">
        <v>0</v>
      </c>
      <c r="P500" s="6">
        <v>0</v>
      </c>
      <c r="Q500" s="6">
        <v>0</v>
      </c>
      <c r="R500" s="6">
        <v>0</v>
      </c>
      <c r="S500" s="6">
        <v>1000</v>
      </c>
    </row>
    <row r="501" spans="1:19" ht="15" x14ac:dyDescent="0.25">
      <c r="A501" s="7" t="s">
        <v>16</v>
      </c>
      <c r="B501" s="7" t="s">
        <v>17</v>
      </c>
      <c r="C501" s="7" t="s">
        <v>18</v>
      </c>
      <c r="D501" s="3">
        <v>1613433006892</v>
      </c>
      <c r="E501" s="8" t="s">
        <v>108</v>
      </c>
      <c r="F501" s="8" t="s">
        <v>109</v>
      </c>
      <c r="G501" s="8" t="s">
        <v>21</v>
      </c>
      <c r="H501" s="8" t="s">
        <v>795</v>
      </c>
      <c r="I501" s="3">
        <v>2</v>
      </c>
      <c r="J501" s="8" t="s">
        <v>728</v>
      </c>
      <c r="K501" s="8" t="s">
        <v>729</v>
      </c>
      <c r="L501" s="8" t="s">
        <v>730</v>
      </c>
      <c r="M501" s="1" t="s">
        <v>786</v>
      </c>
      <c r="N501" s="8" t="s">
        <v>787</v>
      </c>
      <c r="O501" s="6">
        <v>0</v>
      </c>
      <c r="P501" s="6">
        <v>0</v>
      </c>
      <c r="Q501" s="6">
        <v>0</v>
      </c>
      <c r="R501" s="6">
        <v>0</v>
      </c>
      <c r="S501" s="6">
        <v>1200</v>
      </c>
    </row>
    <row r="502" spans="1:19" ht="15" x14ac:dyDescent="0.25">
      <c r="A502" s="7" t="s">
        <v>16</v>
      </c>
      <c r="B502" s="7" t="s">
        <v>17</v>
      </c>
      <c r="C502" s="7" t="s">
        <v>18</v>
      </c>
      <c r="D502" s="3">
        <v>1613433006892</v>
      </c>
      <c r="E502" s="8" t="s">
        <v>108</v>
      </c>
      <c r="F502" s="8" t="s">
        <v>109</v>
      </c>
      <c r="G502" s="8" t="s">
        <v>21</v>
      </c>
      <c r="H502" s="8" t="s">
        <v>795</v>
      </c>
      <c r="I502" s="3">
        <v>2</v>
      </c>
      <c r="J502" s="8" t="s">
        <v>726</v>
      </c>
      <c r="K502" s="8" t="s">
        <v>727</v>
      </c>
      <c r="L502" s="8" t="s">
        <v>723</v>
      </c>
      <c r="M502" s="1" t="s">
        <v>786</v>
      </c>
      <c r="N502" s="8" t="s">
        <v>787</v>
      </c>
      <c r="O502" s="6">
        <v>0</v>
      </c>
      <c r="P502" s="6">
        <v>0</v>
      </c>
      <c r="Q502" s="6">
        <v>0</v>
      </c>
      <c r="R502" s="6">
        <v>0</v>
      </c>
      <c r="S502" s="6">
        <v>1200</v>
      </c>
    </row>
    <row r="503" spans="1:19" ht="15" x14ac:dyDescent="0.25">
      <c r="A503" s="7" t="s">
        <v>16</v>
      </c>
      <c r="B503" s="7" t="s">
        <v>17</v>
      </c>
      <c r="C503" s="7" t="s">
        <v>18</v>
      </c>
      <c r="D503" s="3">
        <v>55980148000121</v>
      </c>
      <c r="E503" s="8" t="s">
        <v>169</v>
      </c>
      <c r="F503" s="8" t="s">
        <v>109</v>
      </c>
      <c r="G503" s="8" t="s">
        <v>21</v>
      </c>
      <c r="H503" s="8" t="s">
        <v>795</v>
      </c>
      <c r="I503" s="3">
        <v>2</v>
      </c>
      <c r="J503" s="8" t="s">
        <v>728</v>
      </c>
      <c r="K503" s="8" t="s">
        <v>729</v>
      </c>
      <c r="L503" s="8" t="s">
        <v>730</v>
      </c>
      <c r="M503" s="1" t="s">
        <v>786</v>
      </c>
      <c r="N503" s="8" t="s">
        <v>787</v>
      </c>
      <c r="O503" s="6">
        <v>0</v>
      </c>
      <c r="P503" s="6">
        <v>0</v>
      </c>
      <c r="Q503" s="6">
        <v>0</v>
      </c>
      <c r="R503" s="6">
        <v>1</v>
      </c>
      <c r="S503" s="6">
        <v>0</v>
      </c>
    </row>
    <row r="504" spans="1:19" ht="15" x14ac:dyDescent="0.25">
      <c r="A504" s="7" t="s">
        <v>16</v>
      </c>
      <c r="B504" s="7" t="s">
        <v>17</v>
      </c>
      <c r="C504" s="7" t="s">
        <v>18</v>
      </c>
      <c r="D504" s="3">
        <v>55980148000121</v>
      </c>
      <c r="E504" s="8" t="s">
        <v>169</v>
      </c>
      <c r="F504" s="8" t="s">
        <v>109</v>
      </c>
      <c r="G504" s="8" t="s">
        <v>21</v>
      </c>
      <c r="H504" s="8" t="s">
        <v>795</v>
      </c>
      <c r="I504" s="3">
        <v>2</v>
      </c>
      <c r="J504" s="8" t="s">
        <v>726</v>
      </c>
      <c r="K504" s="8" t="s">
        <v>727</v>
      </c>
      <c r="L504" s="8" t="s">
        <v>723</v>
      </c>
      <c r="M504" s="1" t="s">
        <v>786</v>
      </c>
      <c r="N504" s="8" t="s">
        <v>787</v>
      </c>
      <c r="O504" s="6">
        <v>0</v>
      </c>
      <c r="P504" s="6">
        <v>0</v>
      </c>
      <c r="Q504" s="6">
        <v>0</v>
      </c>
      <c r="R504" s="6">
        <v>0</v>
      </c>
      <c r="S504" s="6">
        <v>0</v>
      </c>
    </row>
    <row r="505" spans="1:19" ht="15" x14ac:dyDescent="0.25">
      <c r="A505" s="7" t="s">
        <v>16</v>
      </c>
      <c r="B505" s="7" t="s">
        <v>17</v>
      </c>
      <c r="C505" s="7" t="s">
        <v>18</v>
      </c>
      <c r="D505" s="3">
        <v>45232246000550</v>
      </c>
      <c r="E505" s="8" t="s">
        <v>147</v>
      </c>
      <c r="F505" s="8" t="s">
        <v>109</v>
      </c>
      <c r="G505" s="8" t="s">
        <v>21</v>
      </c>
      <c r="H505" s="8" t="s">
        <v>795</v>
      </c>
      <c r="I505" s="3">
        <v>2</v>
      </c>
      <c r="J505" s="8" t="s">
        <v>728</v>
      </c>
      <c r="K505" s="8" t="s">
        <v>729</v>
      </c>
      <c r="L505" s="8" t="s">
        <v>730</v>
      </c>
      <c r="M505" s="1" t="s">
        <v>786</v>
      </c>
      <c r="N505" s="8" t="s">
        <v>787</v>
      </c>
      <c r="O505" s="6">
        <v>0</v>
      </c>
      <c r="P505" s="6">
        <v>0</v>
      </c>
      <c r="Q505" s="6">
        <v>0</v>
      </c>
      <c r="R505" s="6">
        <v>35</v>
      </c>
      <c r="S505" s="6">
        <v>235</v>
      </c>
    </row>
    <row r="506" spans="1:19" ht="15" x14ac:dyDescent="0.25">
      <c r="A506" s="7" t="s">
        <v>16</v>
      </c>
      <c r="B506" s="7" t="s">
        <v>17</v>
      </c>
      <c r="C506" s="7" t="s">
        <v>18</v>
      </c>
      <c r="D506" s="3">
        <v>45232246000550</v>
      </c>
      <c r="E506" s="8" t="s">
        <v>147</v>
      </c>
      <c r="F506" s="8" t="s">
        <v>109</v>
      </c>
      <c r="G506" s="8" t="s">
        <v>21</v>
      </c>
      <c r="H506" s="8" t="s">
        <v>795</v>
      </c>
      <c r="I506" s="3">
        <v>2</v>
      </c>
      <c r="J506" s="8" t="s">
        <v>726</v>
      </c>
      <c r="K506" s="8" t="s">
        <v>727</v>
      </c>
      <c r="L506" s="8" t="s">
        <v>723</v>
      </c>
      <c r="M506" s="1" t="s">
        <v>786</v>
      </c>
      <c r="N506" s="8" t="s">
        <v>787</v>
      </c>
      <c r="O506" s="6">
        <v>0</v>
      </c>
      <c r="P506" s="6">
        <v>0</v>
      </c>
      <c r="Q506" s="6">
        <v>0</v>
      </c>
      <c r="R506" s="6">
        <v>0</v>
      </c>
      <c r="S506" s="6">
        <v>235</v>
      </c>
    </row>
    <row r="507" spans="1:19" ht="15" x14ac:dyDescent="0.25">
      <c r="A507" s="7" t="s">
        <v>16</v>
      </c>
      <c r="B507" s="7" t="s">
        <v>17</v>
      </c>
      <c r="C507" s="7" t="s">
        <v>18</v>
      </c>
      <c r="D507" s="3">
        <v>44663631000590</v>
      </c>
      <c r="E507" s="8" t="s">
        <v>140</v>
      </c>
      <c r="F507" s="8" t="s">
        <v>141</v>
      </c>
      <c r="G507" s="8" t="s">
        <v>21</v>
      </c>
      <c r="H507" s="8" t="s">
        <v>795</v>
      </c>
      <c r="I507" s="3">
        <v>2</v>
      </c>
      <c r="J507" s="8" t="s">
        <v>728</v>
      </c>
      <c r="K507" s="8" t="s">
        <v>729</v>
      </c>
      <c r="L507" s="8" t="s">
        <v>730</v>
      </c>
      <c r="M507" s="1" t="s">
        <v>786</v>
      </c>
      <c r="N507" s="8" t="s">
        <v>787</v>
      </c>
      <c r="O507" s="6">
        <v>0</v>
      </c>
      <c r="P507" s="6">
        <v>0</v>
      </c>
      <c r="Q507" s="6">
        <v>0</v>
      </c>
      <c r="R507" s="6">
        <v>32</v>
      </c>
      <c r="S507" s="6">
        <v>225</v>
      </c>
    </row>
    <row r="508" spans="1:19" ht="15" x14ac:dyDescent="0.25">
      <c r="A508" s="7" t="s">
        <v>16</v>
      </c>
      <c r="B508" s="7" t="s">
        <v>17</v>
      </c>
      <c r="C508" s="7" t="s">
        <v>18</v>
      </c>
      <c r="D508" s="3">
        <v>44663631000590</v>
      </c>
      <c r="E508" s="8" t="s">
        <v>140</v>
      </c>
      <c r="F508" s="8" t="s">
        <v>141</v>
      </c>
      <c r="G508" s="8" t="s">
        <v>21</v>
      </c>
      <c r="H508" s="8" t="s">
        <v>795</v>
      </c>
      <c r="I508" s="3">
        <v>2</v>
      </c>
      <c r="J508" s="8" t="s">
        <v>726</v>
      </c>
      <c r="K508" s="8" t="s">
        <v>727</v>
      </c>
      <c r="L508" s="8" t="s">
        <v>723</v>
      </c>
      <c r="M508" s="1" t="s">
        <v>786</v>
      </c>
      <c r="N508" s="8" t="s">
        <v>787</v>
      </c>
      <c r="O508" s="6">
        <v>0</v>
      </c>
      <c r="P508" s="6">
        <v>0</v>
      </c>
      <c r="Q508" s="6">
        <v>0</v>
      </c>
      <c r="R508" s="6">
        <v>0</v>
      </c>
      <c r="S508" s="6">
        <v>225</v>
      </c>
    </row>
    <row r="509" spans="1:19" ht="15" x14ac:dyDescent="0.25">
      <c r="A509" s="7" t="s">
        <v>16</v>
      </c>
      <c r="B509" s="7" t="s">
        <v>17</v>
      </c>
      <c r="C509" s="7" t="s">
        <v>18</v>
      </c>
      <c r="D509" s="3">
        <v>13718999001041</v>
      </c>
      <c r="E509" s="8" t="s">
        <v>124</v>
      </c>
      <c r="F509" s="8" t="s">
        <v>115</v>
      </c>
      <c r="G509" s="8" t="s">
        <v>21</v>
      </c>
      <c r="H509" s="8" t="s">
        <v>795</v>
      </c>
      <c r="I509" s="3">
        <v>2</v>
      </c>
      <c r="J509" s="8" t="s">
        <v>770</v>
      </c>
      <c r="K509" s="8" t="s">
        <v>771</v>
      </c>
      <c r="L509" s="8" t="s">
        <v>730</v>
      </c>
      <c r="M509" s="1" t="s">
        <v>786</v>
      </c>
      <c r="N509" s="8" t="s">
        <v>787</v>
      </c>
      <c r="O509" s="6">
        <v>0</v>
      </c>
      <c r="P509" s="6">
        <v>0</v>
      </c>
      <c r="Q509" s="6">
        <v>0</v>
      </c>
      <c r="R509" s="6">
        <v>4</v>
      </c>
      <c r="S509" s="6">
        <v>0</v>
      </c>
    </row>
    <row r="510" spans="1:19" ht="15" x14ac:dyDescent="0.25">
      <c r="A510" s="7" t="s">
        <v>16</v>
      </c>
      <c r="B510" s="7" t="s">
        <v>17</v>
      </c>
      <c r="C510" s="7" t="s">
        <v>18</v>
      </c>
      <c r="D510" s="3">
        <v>13718999001041</v>
      </c>
      <c r="E510" s="8" t="s">
        <v>124</v>
      </c>
      <c r="F510" s="8" t="s">
        <v>115</v>
      </c>
      <c r="G510" s="8" t="s">
        <v>21</v>
      </c>
      <c r="H510" s="8" t="s">
        <v>795</v>
      </c>
      <c r="I510" s="3">
        <v>2</v>
      </c>
      <c r="J510" s="8" t="s">
        <v>724</v>
      </c>
      <c r="K510" s="8" t="s">
        <v>725</v>
      </c>
      <c r="L510" s="8" t="s">
        <v>723</v>
      </c>
      <c r="M510" s="1" t="s">
        <v>786</v>
      </c>
      <c r="N510" s="8" t="s">
        <v>787</v>
      </c>
      <c r="O510" s="6">
        <v>0</v>
      </c>
      <c r="P510" s="6">
        <v>0</v>
      </c>
      <c r="Q510" s="6">
        <v>0</v>
      </c>
      <c r="R510" s="6">
        <v>0</v>
      </c>
      <c r="S510" s="6">
        <v>0</v>
      </c>
    </row>
    <row r="511" spans="1:19" ht="15" x14ac:dyDescent="0.25">
      <c r="A511" s="7" t="s">
        <v>16</v>
      </c>
      <c r="B511" s="7" t="s">
        <v>17</v>
      </c>
      <c r="C511" s="7" t="s">
        <v>18</v>
      </c>
      <c r="D511" s="3">
        <v>6033403000113</v>
      </c>
      <c r="E511" s="8" t="s">
        <v>114</v>
      </c>
      <c r="F511" s="8" t="s">
        <v>115</v>
      </c>
      <c r="G511" s="8" t="s">
        <v>21</v>
      </c>
      <c r="H511" s="8" t="s">
        <v>795</v>
      </c>
      <c r="I511" s="3">
        <v>2</v>
      </c>
      <c r="J511" s="8" t="s">
        <v>740</v>
      </c>
      <c r="K511" s="8" t="s">
        <v>741</v>
      </c>
      <c r="L511" s="8" t="s">
        <v>730</v>
      </c>
      <c r="M511" s="1" t="s">
        <v>786</v>
      </c>
      <c r="N511" s="8" t="s">
        <v>787</v>
      </c>
      <c r="O511" s="6">
        <v>0</v>
      </c>
      <c r="P511" s="6">
        <v>0</v>
      </c>
      <c r="Q511" s="6">
        <v>0</v>
      </c>
      <c r="R511" s="6">
        <v>0</v>
      </c>
      <c r="S511" s="6">
        <v>20</v>
      </c>
    </row>
    <row r="512" spans="1:19" ht="15" x14ac:dyDescent="0.25">
      <c r="A512" s="7" t="s">
        <v>16</v>
      </c>
      <c r="B512" s="7" t="s">
        <v>17</v>
      </c>
      <c r="C512" s="7" t="s">
        <v>18</v>
      </c>
      <c r="D512" s="3">
        <v>6033403000113</v>
      </c>
      <c r="E512" s="8" t="s">
        <v>114</v>
      </c>
      <c r="F512" s="8" t="s">
        <v>115</v>
      </c>
      <c r="G512" s="8" t="s">
        <v>21</v>
      </c>
      <c r="H512" s="8" t="s">
        <v>795</v>
      </c>
      <c r="I512" s="3">
        <v>2</v>
      </c>
      <c r="J512" s="8" t="s">
        <v>724</v>
      </c>
      <c r="K512" s="8" t="s">
        <v>725</v>
      </c>
      <c r="L512" s="8" t="s">
        <v>723</v>
      </c>
      <c r="M512" s="1" t="s">
        <v>786</v>
      </c>
      <c r="N512" s="8" t="s">
        <v>787</v>
      </c>
      <c r="O512" s="6">
        <v>0</v>
      </c>
      <c r="P512" s="6">
        <v>0</v>
      </c>
      <c r="Q512" s="6">
        <v>0</v>
      </c>
      <c r="R512" s="6">
        <v>0</v>
      </c>
      <c r="S512" s="6">
        <v>20</v>
      </c>
    </row>
    <row r="513" spans="1:19" ht="15" x14ac:dyDescent="0.25">
      <c r="A513" s="7" t="s">
        <v>16</v>
      </c>
      <c r="B513" s="7" t="s">
        <v>17</v>
      </c>
      <c r="C513" s="7" t="s">
        <v>18</v>
      </c>
      <c r="D513" s="3">
        <v>29435005008022</v>
      </c>
      <c r="E513" s="8" t="s">
        <v>128</v>
      </c>
      <c r="F513" s="8" t="s">
        <v>129</v>
      </c>
      <c r="G513" s="8" t="s">
        <v>21</v>
      </c>
      <c r="H513" s="8" t="s">
        <v>795</v>
      </c>
      <c r="I513" s="3">
        <v>2</v>
      </c>
      <c r="J513" s="8" t="s">
        <v>770</v>
      </c>
      <c r="K513" s="8" t="s">
        <v>771</v>
      </c>
      <c r="L513" s="8" t="s">
        <v>730</v>
      </c>
      <c r="M513" s="1" t="s">
        <v>786</v>
      </c>
      <c r="N513" s="8" t="s">
        <v>787</v>
      </c>
      <c r="O513" s="6">
        <v>0</v>
      </c>
      <c r="P513" s="6">
        <v>0</v>
      </c>
      <c r="Q513" s="6">
        <v>0</v>
      </c>
      <c r="R513" s="6">
        <v>0</v>
      </c>
      <c r="S513" s="6">
        <v>60</v>
      </c>
    </row>
    <row r="514" spans="1:19" ht="15" x14ac:dyDescent="0.25">
      <c r="A514" s="7" t="s">
        <v>16</v>
      </c>
      <c r="B514" s="7" t="s">
        <v>17</v>
      </c>
      <c r="C514" s="7" t="s">
        <v>18</v>
      </c>
      <c r="D514" s="3">
        <v>29435005008022</v>
      </c>
      <c r="E514" s="8" t="s">
        <v>128</v>
      </c>
      <c r="F514" s="8" t="s">
        <v>129</v>
      </c>
      <c r="G514" s="8" t="s">
        <v>21</v>
      </c>
      <c r="H514" s="8" t="s">
        <v>795</v>
      </c>
      <c r="I514" s="3">
        <v>2</v>
      </c>
      <c r="J514" s="8" t="s">
        <v>724</v>
      </c>
      <c r="K514" s="8" t="s">
        <v>725</v>
      </c>
      <c r="L514" s="8" t="s">
        <v>723</v>
      </c>
      <c r="M514" s="1" t="s">
        <v>786</v>
      </c>
      <c r="N514" s="8" t="s">
        <v>787</v>
      </c>
      <c r="O514" s="6">
        <v>0</v>
      </c>
      <c r="P514" s="6">
        <v>0</v>
      </c>
      <c r="Q514" s="6">
        <v>0</v>
      </c>
      <c r="R514" s="6">
        <v>0</v>
      </c>
      <c r="S514" s="6">
        <v>60</v>
      </c>
    </row>
    <row r="515" spans="1:19" ht="15" x14ac:dyDescent="0.25">
      <c r="A515" s="7" t="s">
        <v>16</v>
      </c>
      <c r="B515" s="7" t="s">
        <v>17</v>
      </c>
      <c r="C515" s="7" t="s">
        <v>18</v>
      </c>
      <c r="D515" s="3">
        <v>58229691001070</v>
      </c>
      <c r="E515" s="8" t="s">
        <v>171</v>
      </c>
      <c r="F515" s="8" t="s">
        <v>129</v>
      </c>
      <c r="G515" s="8" t="s">
        <v>21</v>
      </c>
      <c r="H515" s="8" t="s">
        <v>795</v>
      </c>
      <c r="I515" s="3">
        <v>2</v>
      </c>
      <c r="J515" s="8" t="s">
        <v>770</v>
      </c>
      <c r="K515" s="8" t="s">
        <v>771</v>
      </c>
      <c r="L515" s="8" t="s">
        <v>730</v>
      </c>
      <c r="M515" s="1" t="s">
        <v>786</v>
      </c>
      <c r="N515" s="8" t="s">
        <v>787</v>
      </c>
      <c r="O515" s="6">
        <v>0</v>
      </c>
      <c r="P515" s="6">
        <v>0</v>
      </c>
      <c r="Q515" s="6">
        <v>0</v>
      </c>
      <c r="R515" s="6">
        <v>48</v>
      </c>
      <c r="S515" s="6">
        <v>0</v>
      </c>
    </row>
    <row r="516" spans="1:19" ht="15" x14ac:dyDescent="0.25">
      <c r="A516" s="7" t="s">
        <v>16</v>
      </c>
      <c r="B516" s="7" t="s">
        <v>17</v>
      </c>
      <c r="C516" s="7" t="s">
        <v>18</v>
      </c>
      <c r="D516" s="3">
        <v>58229691001070</v>
      </c>
      <c r="E516" s="8" t="s">
        <v>171</v>
      </c>
      <c r="F516" s="8" t="s">
        <v>129</v>
      </c>
      <c r="G516" s="8" t="s">
        <v>21</v>
      </c>
      <c r="H516" s="8" t="s">
        <v>795</v>
      </c>
      <c r="I516" s="3">
        <v>2</v>
      </c>
      <c r="J516" s="8" t="s">
        <v>724</v>
      </c>
      <c r="K516" s="8" t="s">
        <v>725</v>
      </c>
      <c r="L516" s="8" t="s">
        <v>723</v>
      </c>
      <c r="M516" s="1" t="s">
        <v>786</v>
      </c>
      <c r="N516" s="8" t="s">
        <v>787</v>
      </c>
      <c r="O516" s="6">
        <v>0</v>
      </c>
      <c r="P516" s="6">
        <v>0</v>
      </c>
      <c r="Q516" s="6">
        <v>0</v>
      </c>
      <c r="R516" s="6">
        <v>0</v>
      </c>
      <c r="S516" s="6">
        <v>0</v>
      </c>
    </row>
    <row r="517" spans="1:19" ht="15" x14ac:dyDescent="0.25">
      <c r="A517" s="7" t="s">
        <v>16</v>
      </c>
      <c r="B517" s="7" t="s">
        <v>17</v>
      </c>
      <c r="C517" s="7" t="s">
        <v>18</v>
      </c>
      <c r="D517" s="3">
        <v>43293604002120</v>
      </c>
      <c r="E517" s="8" t="s">
        <v>133</v>
      </c>
      <c r="F517" s="8" t="s">
        <v>134</v>
      </c>
      <c r="G517" s="8" t="s">
        <v>21</v>
      </c>
      <c r="H517" s="8" t="s">
        <v>795</v>
      </c>
      <c r="I517" s="3">
        <v>2</v>
      </c>
      <c r="J517" s="8" t="s">
        <v>770</v>
      </c>
      <c r="K517" s="8" t="s">
        <v>771</v>
      </c>
      <c r="L517" s="8" t="s">
        <v>730</v>
      </c>
      <c r="M517" s="1" t="s">
        <v>786</v>
      </c>
      <c r="N517" s="8" t="s">
        <v>787</v>
      </c>
      <c r="O517" s="6">
        <v>0</v>
      </c>
      <c r="P517" s="6">
        <v>0</v>
      </c>
      <c r="Q517" s="6">
        <v>0</v>
      </c>
      <c r="R517" s="6">
        <v>0</v>
      </c>
      <c r="S517" s="6">
        <v>120</v>
      </c>
    </row>
    <row r="518" spans="1:19" ht="15" x14ac:dyDescent="0.25">
      <c r="A518" s="7" t="s">
        <v>16</v>
      </c>
      <c r="B518" s="7" t="s">
        <v>17</v>
      </c>
      <c r="C518" s="7" t="s">
        <v>18</v>
      </c>
      <c r="D518" s="3">
        <v>43293604002120</v>
      </c>
      <c r="E518" s="8" t="s">
        <v>133</v>
      </c>
      <c r="F518" s="8" t="s">
        <v>134</v>
      </c>
      <c r="G518" s="8" t="s">
        <v>21</v>
      </c>
      <c r="H518" s="8" t="s">
        <v>795</v>
      </c>
      <c r="I518" s="3">
        <v>2</v>
      </c>
      <c r="J518" s="8" t="s">
        <v>724</v>
      </c>
      <c r="K518" s="8" t="s">
        <v>725</v>
      </c>
      <c r="L518" s="8" t="s">
        <v>723</v>
      </c>
      <c r="M518" s="1" t="s">
        <v>786</v>
      </c>
      <c r="N518" s="8" t="s">
        <v>787</v>
      </c>
      <c r="O518" s="6">
        <v>0</v>
      </c>
      <c r="P518" s="6">
        <v>0</v>
      </c>
      <c r="Q518" s="6">
        <v>0</v>
      </c>
      <c r="R518" s="6">
        <v>0</v>
      </c>
      <c r="S518" s="6">
        <v>120</v>
      </c>
    </row>
    <row r="519" spans="1:19" ht="15" x14ac:dyDescent="0.25">
      <c r="A519" s="7" t="s">
        <v>16</v>
      </c>
      <c r="B519" s="7" t="s">
        <v>17</v>
      </c>
      <c r="C519" s="7" t="s">
        <v>18</v>
      </c>
      <c r="D519" s="3">
        <v>45359213000576</v>
      </c>
      <c r="E519" s="8" t="s">
        <v>148</v>
      </c>
      <c r="F519" s="8" t="s">
        <v>149</v>
      </c>
      <c r="G519" s="8" t="s">
        <v>21</v>
      </c>
      <c r="H519" s="8" t="s">
        <v>795</v>
      </c>
      <c r="I519" s="3">
        <v>2</v>
      </c>
      <c r="J519" s="8" t="s">
        <v>728</v>
      </c>
      <c r="K519" s="8" t="s">
        <v>729</v>
      </c>
      <c r="L519" s="8" t="s">
        <v>730</v>
      </c>
      <c r="M519" s="1" t="s">
        <v>786</v>
      </c>
      <c r="N519" s="8" t="s">
        <v>787</v>
      </c>
      <c r="O519" s="6">
        <v>0</v>
      </c>
      <c r="P519" s="6">
        <v>0</v>
      </c>
      <c r="Q519" s="6">
        <v>0</v>
      </c>
      <c r="R519" s="6">
        <v>40</v>
      </c>
      <c r="S519" s="6">
        <v>0</v>
      </c>
    </row>
    <row r="520" spans="1:19" ht="15" x14ac:dyDescent="0.25">
      <c r="A520" s="7" t="s">
        <v>16</v>
      </c>
      <c r="B520" s="7" t="s">
        <v>17</v>
      </c>
      <c r="C520" s="7" t="s">
        <v>18</v>
      </c>
      <c r="D520" s="3">
        <v>45359213000576</v>
      </c>
      <c r="E520" s="8" t="s">
        <v>148</v>
      </c>
      <c r="F520" s="8" t="s">
        <v>149</v>
      </c>
      <c r="G520" s="8" t="s">
        <v>21</v>
      </c>
      <c r="H520" s="8" t="s">
        <v>795</v>
      </c>
      <c r="I520" s="3">
        <v>2</v>
      </c>
      <c r="J520" s="8" t="s">
        <v>726</v>
      </c>
      <c r="K520" s="8" t="s">
        <v>727</v>
      </c>
      <c r="L520" s="8" t="s">
        <v>723</v>
      </c>
      <c r="M520" s="1" t="s">
        <v>786</v>
      </c>
      <c r="N520" s="8" t="s">
        <v>787</v>
      </c>
      <c r="O520" s="6">
        <v>0</v>
      </c>
      <c r="P520" s="6">
        <v>0</v>
      </c>
      <c r="Q520" s="6">
        <v>0</v>
      </c>
      <c r="R520" s="6">
        <v>0</v>
      </c>
      <c r="S520" s="6">
        <v>0</v>
      </c>
    </row>
    <row r="521" spans="1:19" ht="15" x14ac:dyDescent="0.25">
      <c r="A521" s="7" t="s">
        <v>16</v>
      </c>
      <c r="B521" s="7" t="s">
        <v>17</v>
      </c>
      <c r="C521" s="7" t="s">
        <v>18</v>
      </c>
      <c r="D521" s="3">
        <v>59970947000178</v>
      </c>
      <c r="E521" s="8" t="s">
        <v>172</v>
      </c>
      <c r="F521" s="8" t="s">
        <v>111</v>
      </c>
      <c r="G521" s="8" t="s">
        <v>21</v>
      </c>
      <c r="H521" s="8" t="s">
        <v>795</v>
      </c>
      <c r="I521" s="3">
        <v>2</v>
      </c>
      <c r="J521" s="8" t="s">
        <v>728</v>
      </c>
      <c r="K521" s="8" t="s">
        <v>729</v>
      </c>
      <c r="L521" s="8" t="s">
        <v>730</v>
      </c>
      <c r="M521" s="1" t="s">
        <v>786</v>
      </c>
      <c r="N521" s="8" t="s">
        <v>787</v>
      </c>
      <c r="O521" s="6">
        <v>0</v>
      </c>
      <c r="P521" s="6">
        <v>0</v>
      </c>
      <c r="Q521" s="6">
        <v>0</v>
      </c>
      <c r="R521" s="6">
        <v>0</v>
      </c>
      <c r="S521" s="6">
        <v>0</v>
      </c>
    </row>
    <row r="522" spans="1:19" ht="15" x14ac:dyDescent="0.25">
      <c r="A522" s="7" t="s">
        <v>16</v>
      </c>
      <c r="B522" s="7" t="s">
        <v>17</v>
      </c>
      <c r="C522" s="7" t="s">
        <v>18</v>
      </c>
      <c r="D522" s="3">
        <v>59970947000178</v>
      </c>
      <c r="E522" s="8" t="s">
        <v>172</v>
      </c>
      <c r="F522" s="8" t="s">
        <v>111</v>
      </c>
      <c r="G522" s="8" t="s">
        <v>21</v>
      </c>
      <c r="H522" s="8" t="s">
        <v>795</v>
      </c>
      <c r="I522" s="3">
        <v>2</v>
      </c>
      <c r="J522" s="8" t="s">
        <v>726</v>
      </c>
      <c r="K522" s="8" t="s">
        <v>727</v>
      </c>
      <c r="L522" s="8" t="s">
        <v>723</v>
      </c>
      <c r="M522" s="1" t="s">
        <v>786</v>
      </c>
      <c r="N522" s="8" t="s">
        <v>787</v>
      </c>
      <c r="O522" s="6">
        <v>0</v>
      </c>
      <c r="P522" s="6">
        <v>0</v>
      </c>
      <c r="Q522" s="6">
        <v>1</v>
      </c>
      <c r="R522" s="6">
        <v>0</v>
      </c>
      <c r="S522" s="6">
        <v>0</v>
      </c>
    </row>
    <row r="523" spans="1:19" ht="15" x14ac:dyDescent="0.25">
      <c r="A523" s="7" t="s">
        <v>16</v>
      </c>
      <c r="B523" s="7" t="s">
        <v>17</v>
      </c>
      <c r="C523" s="7" t="s">
        <v>18</v>
      </c>
      <c r="D523" s="3">
        <v>2643405000173</v>
      </c>
      <c r="E523" s="8" t="s">
        <v>110</v>
      </c>
      <c r="F523" s="8" t="s">
        <v>111</v>
      </c>
      <c r="G523" s="8" t="s">
        <v>21</v>
      </c>
      <c r="H523" s="8" t="s">
        <v>795</v>
      </c>
      <c r="I523" s="3">
        <v>2</v>
      </c>
      <c r="J523" s="8" t="s">
        <v>728</v>
      </c>
      <c r="K523" s="8" t="s">
        <v>729</v>
      </c>
      <c r="L523" s="8" t="s">
        <v>730</v>
      </c>
      <c r="M523" s="1" t="s">
        <v>786</v>
      </c>
      <c r="N523" s="8" t="s">
        <v>787</v>
      </c>
      <c r="O523" s="6">
        <v>0</v>
      </c>
      <c r="P523" s="6">
        <v>0</v>
      </c>
      <c r="Q523" s="6">
        <v>0</v>
      </c>
      <c r="R523" s="6">
        <v>6</v>
      </c>
      <c r="S523" s="6">
        <v>0</v>
      </c>
    </row>
    <row r="524" spans="1:19" ht="15" x14ac:dyDescent="0.25">
      <c r="A524" s="7" t="s">
        <v>16</v>
      </c>
      <c r="B524" s="7" t="s">
        <v>17</v>
      </c>
      <c r="C524" s="7" t="s">
        <v>18</v>
      </c>
      <c r="D524" s="3">
        <v>2643405000173</v>
      </c>
      <c r="E524" s="8" t="s">
        <v>110</v>
      </c>
      <c r="F524" s="8" t="s">
        <v>111</v>
      </c>
      <c r="G524" s="8" t="s">
        <v>21</v>
      </c>
      <c r="H524" s="8" t="s">
        <v>795</v>
      </c>
      <c r="I524" s="3">
        <v>2</v>
      </c>
      <c r="J524" s="8" t="s">
        <v>726</v>
      </c>
      <c r="K524" s="8" t="s">
        <v>727</v>
      </c>
      <c r="L524" s="8" t="s">
        <v>723</v>
      </c>
      <c r="M524" s="1" t="s">
        <v>786</v>
      </c>
      <c r="N524" s="8" t="s">
        <v>787</v>
      </c>
      <c r="O524" s="6">
        <v>0</v>
      </c>
      <c r="P524" s="6">
        <v>0</v>
      </c>
      <c r="Q524" s="6">
        <v>0</v>
      </c>
      <c r="R524" s="6">
        <v>0</v>
      </c>
      <c r="S524" s="6">
        <v>0</v>
      </c>
    </row>
    <row r="525" spans="1:19" ht="15" x14ac:dyDescent="0.25">
      <c r="A525" s="7" t="s">
        <v>16</v>
      </c>
      <c r="B525" s="7" t="s">
        <v>17</v>
      </c>
      <c r="C525" s="7" t="s">
        <v>18</v>
      </c>
      <c r="D525" s="3">
        <v>60003761000129</v>
      </c>
      <c r="E525" s="8" t="s">
        <v>174</v>
      </c>
      <c r="F525" s="8" t="s">
        <v>111</v>
      </c>
      <c r="G525" s="8" t="s">
        <v>21</v>
      </c>
      <c r="H525" s="8" t="s">
        <v>795</v>
      </c>
      <c r="I525" s="3">
        <v>2</v>
      </c>
      <c r="J525" s="8" t="s">
        <v>728</v>
      </c>
      <c r="K525" s="8" t="s">
        <v>729</v>
      </c>
      <c r="L525" s="8" t="s">
        <v>730</v>
      </c>
      <c r="M525" s="1" t="s">
        <v>786</v>
      </c>
      <c r="N525" s="8" t="s">
        <v>787</v>
      </c>
      <c r="O525" s="6">
        <v>0</v>
      </c>
      <c r="P525" s="6">
        <v>0</v>
      </c>
      <c r="Q525" s="6">
        <v>0</v>
      </c>
      <c r="R525" s="6">
        <v>0</v>
      </c>
      <c r="S525" s="6">
        <v>0</v>
      </c>
    </row>
    <row r="526" spans="1:19" ht="15" x14ac:dyDescent="0.25">
      <c r="A526" s="7" t="s">
        <v>16</v>
      </c>
      <c r="B526" s="7" t="s">
        <v>17</v>
      </c>
      <c r="C526" s="7" t="s">
        <v>18</v>
      </c>
      <c r="D526" s="3">
        <v>60003761000129</v>
      </c>
      <c r="E526" s="8" t="s">
        <v>174</v>
      </c>
      <c r="F526" s="8" t="s">
        <v>111</v>
      </c>
      <c r="G526" s="8" t="s">
        <v>21</v>
      </c>
      <c r="H526" s="8" t="s">
        <v>795</v>
      </c>
      <c r="I526" s="3">
        <v>2</v>
      </c>
      <c r="J526" s="8" t="s">
        <v>726</v>
      </c>
      <c r="K526" s="8" t="s">
        <v>727</v>
      </c>
      <c r="L526" s="8" t="s">
        <v>723</v>
      </c>
      <c r="M526" s="1" t="s">
        <v>786</v>
      </c>
      <c r="N526" s="8" t="s">
        <v>787</v>
      </c>
      <c r="O526" s="6">
        <v>0</v>
      </c>
      <c r="P526" s="6">
        <v>10</v>
      </c>
      <c r="Q526" s="6">
        <v>0</v>
      </c>
      <c r="R526" s="6">
        <v>0</v>
      </c>
      <c r="S526" s="6">
        <v>0</v>
      </c>
    </row>
    <row r="527" spans="1:19" ht="15" x14ac:dyDescent="0.25">
      <c r="A527" s="7" t="s">
        <v>16</v>
      </c>
      <c r="B527" s="7" t="s">
        <v>17</v>
      </c>
      <c r="C527" s="7" t="s">
        <v>18</v>
      </c>
      <c r="D527" s="3">
        <v>59972307000105</v>
      </c>
      <c r="E527" s="8" t="s">
        <v>173</v>
      </c>
      <c r="F527" s="8" t="s">
        <v>111</v>
      </c>
      <c r="G527" s="8" t="s">
        <v>21</v>
      </c>
      <c r="H527" s="8" t="s">
        <v>795</v>
      </c>
      <c r="I527" s="3">
        <v>2</v>
      </c>
      <c r="J527" s="8" t="s">
        <v>728</v>
      </c>
      <c r="K527" s="8" t="s">
        <v>729</v>
      </c>
      <c r="L527" s="8" t="s">
        <v>730</v>
      </c>
      <c r="M527" s="1" t="s">
        <v>786</v>
      </c>
      <c r="N527" s="8" t="s">
        <v>787</v>
      </c>
      <c r="O527" s="6">
        <v>0</v>
      </c>
      <c r="P527" s="6">
        <v>0</v>
      </c>
      <c r="Q527" s="6">
        <v>0</v>
      </c>
      <c r="R527" s="6">
        <v>0</v>
      </c>
      <c r="S527" s="6">
        <v>0</v>
      </c>
    </row>
    <row r="528" spans="1:19" ht="15" x14ac:dyDescent="0.25">
      <c r="A528" s="7" t="s">
        <v>16</v>
      </c>
      <c r="B528" s="7" t="s">
        <v>17</v>
      </c>
      <c r="C528" s="7" t="s">
        <v>18</v>
      </c>
      <c r="D528" s="3">
        <v>59972307000105</v>
      </c>
      <c r="E528" s="8" t="s">
        <v>173</v>
      </c>
      <c r="F528" s="8" t="s">
        <v>111</v>
      </c>
      <c r="G528" s="8" t="s">
        <v>21</v>
      </c>
      <c r="H528" s="8" t="s">
        <v>795</v>
      </c>
      <c r="I528" s="3">
        <v>2</v>
      </c>
      <c r="J528" s="8" t="s">
        <v>726</v>
      </c>
      <c r="K528" s="8" t="s">
        <v>727</v>
      </c>
      <c r="L528" s="8" t="s">
        <v>723</v>
      </c>
      <c r="M528" s="1" t="s">
        <v>786</v>
      </c>
      <c r="N528" s="8" t="s">
        <v>787</v>
      </c>
      <c r="O528" s="6">
        <v>0</v>
      </c>
      <c r="P528" s="6">
        <v>2</v>
      </c>
      <c r="Q528" s="6">
        <v>0</v>
      </c>
      <c r="R528" s="6">
        <v>0</v>
      </c>
      <c r="S528" s="6">
        <v>0</v>
      </c>
    </row>
    <row r="529" spans="1:19" ht="15" x14ac:dyDescent="0.25">
      <c r="A529" s="7" t="s">
        <v>16</v>
      </c>
      <c r="B529" s="7" t="s">
        <v>17</v>
      </c>
      <c r="C529" s="7" t="s">
        <v>18</v>
      </c>
      <c r="D529" s="3">
        <v>45184066000117</v>
      </c>
      <c r="E529" s="8" t="s">
        <v>146</v>
      </c>
      <c r="F529" s="8" t="s">
        <v>117</v>
      </c>
      <c r="G529" s="8" t="s">
        <v>21</v>
      </c>
      <c r="H529" s="8" t="s">
        <v>795</v>
      </c>
      <c r="I529" s="3">
        <v>2</v>
      </c>
      <c r="J529" s="8" t="s">
        <v>740</v>
      </c>
      <c r="K529" s="8" t="s">
        <v>741</v>
      </c>
      <c r="L529" s="8" t="s">
        <v>730</v>
      </c>
      <c r="M529" s="1" t="s">
        <v>786</v>
      </c>
      <c r="N529" s="8" t="s">
        <v>787</v>
      </c>
      <c r="O529" s="6">
        <v>0</v>
      </c>
      <c r="P529" s="6">
        <v>0</v>
      </c>
      <c r="Q529" s="6">
        <v>0</v>
      </c>
      <c r="R529" s="6">
        <v>14</v>
      </c>
      <c r="S529" s="6">
        <v>0</v>
      </c>
    </row>
    <row r="530" spans="1:19" ht="15" x14ac:dyDescent="0.25">
      <c r="A530" s="7" t="s">
        <v>16</v>
      </c>
      <c r="B530" s="7" t="s">
        <v>17</v>
      </c>
      <c r="C530" s="7" t="s">
        <v>18</v>
      </c>
      <c r="D530" s="3">
        <v>45184066000117</v>
      </c>
      <c r="E530" s="8" t="s">
        <v>146</v>
      </c>
      <c r="F530" s="8" t="s">
        <v>117</v>
      </c>
      <c r="G530" s="8" t="s">
        <v>21</v>
      </c>
      <c r="H530" s="8" t="s">
        <v>795</v>
      </c>
      <c r="I530" s="3">
        <v>2</v>
      </c>
      <c r="J530" s="8" t="s">
        <v>762</v>
      </c>
      <c r="K530" s="8" t="s">
        <v>763</v>
      </c>
      <c r="L530" s="8" t="s">
        <v>723</v>
      </c>
      <c r="M530" s="1" t="s">
        <v>786</v>
      </c>
      <c r="N530" s="8" t="s">
        <v>787</v>
      </c>
      <c r="O530" s="6">
        <v>0</v>
      </c>
      <c r="P530" s="6">
        <v>0</v>
      </c>
      <c r="Q530" s="6">
        <v>0</v>
      </c>
      <c r="R530" s="6">
        <v>0</v>
      </c>
      <c r="S530" s="6">
        <v>0</v>
      </c>
    </row>
    <row r="531" spans="1:19" ht="15" x14ac:dyDescent="0.25">
      <c r="A531" s="7" t="s">
        <v>16</v>
      </c>
      <c r="B531" s="7" t="s">
        <v>17</v>
      </c>
      <c r="C531" s="7" t="s">
        <v>18</v>
      </c>
      <c r="D531" s="3">
        <v>60214517001691</v>
      </c>
      <c r="E531" s="8" t="s">
        <v>176</v>
      </c>
      <c r="F531" s="8" t="s">
        <v>117</v>
      </c>
      <c r="G531" s="8" t="s">
        <v>21</v>
      </c>
      <c r="H531" s="8" t="s">
        <v>795</v>
      </c>
      <c r="I531" s="3">
        <v>2</v>
      </c>
      <c r="J531" s="8" t="s">
        <v>740</v>
      </c>
      <c r="K531" s="8" t="s">
        <v>741</v>
      </c>
      <c r="L531" s="8" t="s">
        <v>730</v>
      </c>
      <c r="M531" s="1" t="s">
        <v>786</v>
      </c>
      <c r="N531" s="8" t="s">
        <v>787</v>
      </c>
      <c r="O531" s="6">
        <v>0</v>
      </c>
      <c r="P531" s="6">
        <v>0</v>
      </c>
      <c r="Q531" s="6">
        <v>0</v>
      </c>
      <c r="R531" s="6">
        <v>0</v>
      </c>
      <c r="S531" s="6">
        <v>150</v>
      </c>
    </row>
    <row r="532" spans="1:19" ht="15" x14ac:dyDescent="0.25">
      <c r="A532" s="7" t="s">
        <v>16</v>
      </c>
      <c r="B532" s="7" t="s">
        <v>17</v>
      </c>
      <c r="C532" s="7" t="s">
        <v>18</v>
      </c>
      <c r="D532" s="3">
        <v>60214517001691</v>
      </c>
      <c r="E532" s="8" t="s">
        <v>176</v>
      </c>
      <c r="F532" s="8" t="s">
        <v>117</v>
      </c>
      <c r="G532" s="8" t="s">
        <v>21</v>
      </c>
      <c r="H532" s="8" t="s">
        <v>795</v>
      </c>
      <c r="I532" s="3">
        <v>2</v>
      </c>
      <c r="J532" s="8" t="s">
        <v>762</v>
      </c>
      <c r="K532" s="8" t="s">
        <v>763</v>
      </c>
      <c r="L532" s="8" t="s">
        <v>723</v>
      </c>
      <c r="M532" s="1" t="s">
        <v>786</v>
      </c>
      <c r="N532" s="8" t="s">
        <v>787</v>
      </c>
      <c r="O532" s="6">
        <v>0</v>
      </c>
      <c r="P532" s="6">
        <v>0</v>
      </c>
      <c r="Q532" s="6">
        <v>0</v>
      </c>
      <c r="R532" s="6">
        <v>0</v>
      </c>
      <c r="S532" s="6">
        <v>150</v>
      </c>
    </row>
    <row r="533" spans="1:19" ht="15" x14ac:dyDescent="0.25">
      <c r="A533" s="7" t="s">
        <v>16</v>
      </c>
      <c r="B533" s="7" t="s">
        <v>17</v>
      </c>
      <c r="C533" s="7" t="s">
        <v>18</v>
      </c>
      <c r="D533" s="3">
        <v>6047087003073</v>
      </c>
      <c r="E533" s="8" t="s">
        <v>116</v>
      </c>
      <c r="F533" s="8" t="s">
        <v>117</v>
      </c>
      <c r="G533" s="8" t="s">
        <v>21</v>
      </c>
      <c r="H533" s="8" t="s">
        <v>795</v>
      </c>
      <c r="I533" s="3">
        <v>2</v>
      </c>
      <c r="J533" s="8" t="s">
        <v>740</v>
      </c>
      <c r="K533" s="8" t="s">
        <v>741</v>
      </c>
      <c r="L533" s="8" t="s">
        <v>730</v>
      </c>
      <c r="M533" s="1" t="s">
        <v>786</v>
      </c>
      <c r="N533" s="8" t="s">
        <v>787</v>
      </c>
      <c r="O533" s="6">
        <v>2</v>
      </c>
      <c r="P533" s="6">
        <v>0</v>
      </c>
      <c r="Q533" s="6">
        <v>0</v>
      </c>
      <c r="R533" s="6">
        <v>48</v>
      </c>
      <c r="S533" s="6">
        <v>250</v>
      </c>
    </row>
    <row r="534" spans="1:19" ht="15" x14ac:dyDescent="0.25">
      <c r="A534" s="7" t="s">
        <v>16</v>
      </c>
      <c r="B534" s="7" t="s">
        <v>17</v>
      </c>
      <c r="C534" s="7" t="s">
        <v>18</v>
      </c>
      <c r="D534" s="3">
        <v>6047087003073</v>
      </c>
      <c r="E534" s="8" t="s">
        <v>116</v>
      </c>
      <c r="F534" s="8" t="s">
        <v>117</v>
      </c>
      <c r="G534" s="8" t="s">
        <v>21</v>
      </c>
      <c r="H534" s="8" t="s">
        <v>795</v>
      </c>
      <c r="I534" s="3">
        <v>2</v>
      </c>
      <c r="J534" s="8" t="s">
        <v>762</v>
      </c>
      <c r="K534" s="8" t="s">
        <v>763</v>
      </c>
      <c r="L534" s="8" t="s">
        <v>723</v>
      </c>
      <c r="M534" s="1" t="s">
        <v>786</v>
      </c>
      <c r="N534" s="8" t="s">
        <v>787</v>
      </c>
      <c r="O534" s="6">
        <v>0</v>
      </c>
      <c r="P534" s="6">
        <v>0</v>
      </c>
      <c r="Q534" s="6">
        <v>0</v>
      </c>
      <c r="R534" s="6">
        <v>0</v>
      </c>
      <c r="S534" s="6">
        <v>250</v>
      </c>
    </row>
    <row r="535" spans="1:19" ht="15" x14ac:dyDescent="0.25">
      <c r="A535" s="7" t="s">
        <v>16</v>
      </c>
      <c r="B535" s="7" t="s">
        <v>17</v>
      </c>
      <c r="C535" s="7" t="s">
        <v>18</v>
      </c>
      <c r="D535" s="3">
        <v>60214517000962</v>
      </c>
      <c r="E535" s="8" t="s">
        <v>175</v>
      </c>
      <c r="F535" s="8" t="s">
        <v>117</v>
      </c>
      <c r="G535" s="8" t="s">
        <v>21</v>
      </c>
      <c r="H535" s="8" t="s">
        <v>795</v>
      </c>
      <c r="I535" s="3">
        <v>2</v>
      </c>
      <c r="J535" s="8" t="s">
        <v>740</v>
      </c>
      <c r="K535" s="8" t="s">
        <v>741</v>
      </c>
      <c r="L535" s="8" t="s">
        <v>730</v>
      </c>
      <c r="M535" s="1" t="s">
        <v>786</v>
      </c>
      <c r="N535" s="8" t="s">
        <v>787</v>
      </c>
      <c r="O535" s="6">
        <v>0</v>
      </c>
      <c r="P535" s="6">
        <v>0</v>
      </c>
      <c r="Q535" s="6">
        <v>0</v>
      </c>
      <c r="R535" s="6">
        <v>0</v>
      </c>
      <c r="S535" s="6">
        <v>90</v>
      </c>
    </row>
    <row r="536" spans="1:19" ht="15" x14ac:dyDescent="0.25">
      <c r="A536" s="7" t="s">
        <v>16</v>
      </c>
      <c r="B536" s="7" t="s">
        <v>17</v>
      </c>
      <c r="C536" s="7" t="s">
        <v>18</v>
      </c>
      <c r="D536" s="3">
        <v>60214517000962</v>
      </c>
      <c r="E536" s="8" t="s">
        <v>175</v>
      </c>
      <c r="F536" s="8" t="s">
        <v>117</v>
      </c>
      <c r="G536" s="8" t="s">
        <v>21</v>
      </c>
      <c r="H536" s="8" t="s">
        <v>795</v>
      </c>
      <c r="I536" s="3">
        <v>2</v>
      </c>
      <c r="J536" s="8" t="s">
        <v>762</v>
      </c>
      <c r="K536" s="8" t="s">
        <v>763</v>
      </c>
      <c r="L536" s="8" t="s">
        <v>723</v>
      </c>
      <c r="M536" s="1" t="s">
        <v>786</v>
      </c>
      <c r="N536" s="8" t="s">
        <v>787</v>
      </c>
      <c r="O536" s="6">
        <v>0</v>
      </c>
      <c r="P536" s="6">
        <v>0</v>
      </c>
      <c r="Q536" s="6">
        <v>0</v>
      </c>
      <c r="R536" s="6">
        <v>0</v>
      </c>
      <c r="S536" s="6">
        <v>90</v>
      </c>
    </row>
    <row r="537" spans="1:19" ht="15" x14ac:dyDescent="0.25">
      <c r="A537" s="7" t="s">
        <v>16</v>
      </c>
      <c r="B537" s="7" t="s">
        <v>17</v>
      </c>
      <c r="C537" s="7" t="s">
        <v>18</v>
      </c>
      <c r="D537" s="3">
        <v>18321477000134</v>
      </c>
      <c r="E537" s="8" t="s">
        <v>125</v>
      </c>
      <c r="F537" s="8" t="s">
        <v>805</v>
      </c>
      <c r="G537" s="8" t="s">
        <v>21</v>
      </c>
      <c r="H537" s="8" t="s">
        <v>795</v>
      </c>
      <c r="I537" s="3">
        <v>2</v>
      </c>
      <c r="J537" s="8" t="s">
        <v>740</v>
      </c>
      <c r="K537" s="8" t="s">
        <v>741</v>
      </c>
      <c r="L537" s="8" t="s">
        <v>730</v>
      </c>
      <c r="M537" s="1" t="s">
        <v>786</v>
      </c>
      <c r="N537" s="8" t="s">
        <v>787</v>
      </c>
      <c r="O537" s="6">
        <v>0</v>
      </c>
      <c r="P537" s="6">
        <v>0</v>
      </c>
      <c r="Q537" s="6">
        <v>0</v>
      </c>
      <c r="R537" s="6">
        <v>48</v>
      </c>
      <c r="S537" s="6">
        <v>0</v>
      </c>
    </row>
    <row r="538" spans="1:19" ht="15" x14ac:dyDescent="0.25">
      <c r="A538" s="7" t="s">
        <v>16</v>
      </c>
      <c r="B538" s="7" t="s">
        <v>17</v>
      </c>
      <c r="C538" s="7" t="s">
        <v>18</v>
      </c>
      <c r="D538" s="3">
        <v>18321477000134</v>
      </c>
      <c r="E538" s="8" t="s">
        <v>125</v>
      </c>
      <c r="F538" s="8" t="s">
        <v>805</v>
      </c>
      <c r="G538" s="8" t="s">
        <v>21</v>
      </c>
      <c r="H538" s="8" t="s">
        <v>795</v>
      </c>
      <c r="I538" s="3">
        <v>2</v>
      </c>
      <c r="J538" s="8" t="s">
        <v>762</v>
      </c>
      <c r="K538" s="8" t="s">
        <v>763</v>
      </c>
      <c r="L538" s="8" t="s">
        <v>723</v>
      </c>
      <c r="M538" s="1" t="s">
        <v>786</v>
      </c>
      <c r="N538" s="8" t="s">
        <v>787</v>
      </c>
      <c r="O538" s="6">
        <v>0</v>
      </c>
      <c r="P538" s="6">
        <v>0</v>
      </c>
      <c r="Q538" s="6">
        <v>0</v>
      </c>
      <c r="R538" s="6">
        <v>0</v>
      </c>
      <c r="S538" s="6">
        <v>0</v>
      </c>
    </row>
    <row r="539" spans="1:19" ht="15" x14ac:dyDescent="0.25">
      <c r="A539" s="7" t="s">
        <v>16</v>
      </c>
      <c r="B539" s="7" t="s">
        <v>17</v>
      </c>
      <c r="C539" s="7" t="s">
        <v>18</v>
      </c>
      <c r="D539" s="3">
        <v>60961968000106</v>
      </c>
      <c r="E539" s="8" t="s">
        <v>50</v>
      </c>
      <c r="F539" s="8" t="s">
        <v>20</v>
      </c>
      <c r="G539" s="8" t="s">
        <v>21</v>
      </c>
      <c r="H539" s="8" t="s">
        <v>795</v>
      </c>
      <c r="I539" s="3">
        <v>2</v>
      </c>
      <c r="J539" s="8" t="s">
        <v>770</v>
      </c>
      <c r="K539" s="8" t="s">
        <v>771</v>
      </c>
      <c r="L539" s="8" t="s">
        <v>730</v>
      </c>
      <c r="M539" s="1" t="s">
        <v>786</v>
      </c>
      <c r="N539" s="8" t="s">
        <v>787</v>
      </c>
      <c r="O539" s="6">
        <v>0</v>
      </c>
      <c r="P539" s="6">
        <v>0</v>
      </c>
      <c r="Q539" s="6">
        <v>0</v>
      </c>
      <c r="R539" s="6">
        <v>0</v>
      </c>
      <c r="S539" s="6">
        <v>1825</v>
      </c>
    </row>
    <row r="540" spans="1:19" ht="15" x14ac:dyDescent="0.25">
      <c r="A540" s="7" t="s">
        <v>16</v>
      </c>
      <c r="B540" s="7" t="s">
        <v>17</v>
      </c>
      <c r="C540" s="7" t="s">
        <v>18</v>
      </c>
      <c r="D540" s="3">
        <v>60961968000106</v>
      </c>
      <c r="E540" s="8" t="s">
        <v>50</v>
      </c>
      <c r="F540" s="8" t="s">
        <v>20</v>
      </c>
      <c r="G540" s="8" t="s">
        <v>21</v>
      </c>
      <c r="H540" s="8" t="s">
        <v>795</v>
      </c>
      <c r="I540" s="3">
        <v>2</v>
      </c>
      <c r="J540" s="8" t="s">
        <v>756</v>
      </c>
      <c r="K540" s="8" t="s">
        <v>757</v>
      </c>
      <c r="L540" s="8" t="s">
        <v>723</v>
      </c>
      <c r="M540" s="1" t="s">
        <v>786</v>
      </c>
      <c r="N540" s="8" t="s">
        <v>787</v>
      </c>
      <c r="O540" s="6">
        <v>0</v>
      </c>
      <c r="P540" s="6">
        <v>0</v>
      </c>
      <c r="Q540" s="6">
        <v>0</v>
      </c>
      <c r="R540" s="6">
        <v>0</v>
      </c>
      <c r="S540" s="6">
        <v>1825</v>
      </c>
    </row>
    <row r="541" spans="1:19" ht="15" x14ac:dyDescent="0.25">
      <c r="A541" s="7" t="s">
        <v>16</v>
      </c>
      <c r="B541" s="7" t="s">
        <v>17</v>
      </c>
      <c r="C541" s="7" t="s">
        <v>18</v>
      </c>
      <c r="D541" s="3">
        <v>51722957010226</v>
      </c>
      <c r="E541" s="8" t="s">
        <v>39</v>
      </c>
      <c r="F541" s="8" t="s">
        <v>20</v>
      </c>
      <c r="G541" s="8" t="s">
        <v>21</v>
      </c>
      <c r="H541" s="8" t="s">
        <v>795</v>
      </c>
      <c r="I541" s="3">
        <v>2</v>
      </c>
      <c r="J541" s="8" t="s">
        <v>740</v>
      </c>
      <c r="K541" s="8" t="s">
        <v>741</v>
      </c>
      <c r="L541" s="8" t="s">
        <v>730</v>
      </c>
      <c r="M541" s="1" t="s">
        <v>786</v>
      </c>
      <c r="N541" s="8" t="s">
        <v>787</v>
      </c>
      <c r="O541" s="6">
        <v>0</v>
      </c>
      <c r="P541" s="6">
        <v>0</v>
      </c>
      <c r="Q541" s="6">
        <v>0</v>
      </c>
      <c r="R541" s="6">
        <v>7</v>
      </c>
      <c r="S541" s="6">
        <v>535</v>
      </c>
    </row>
    <row r="542" spans="1:19" ht="15" x14ac:dyDescent="0.25">
      <c r="A542" s="7" t="s">
        <v>16</v>
      </c>
      <c r="B542" s="7" t="s">
        <v>17</v>
      </c>
      <c r="C542" s="7" t="s">
        <v>18</v>
      </c>
      <c r="D542" s="3">
        <v>51722957010226</v>
      </c>
      <c r="E542" s="8" t="s">
        <v>39</v>
      </c>
      <c r="F542" s="8" t="s">
        <v>20</v>
      </c>
      <c r="G542" s="8" t="s">
        <v>21</v>
      </c>
      <c r="H542" s="8" t="s">
        <v>795</v>
      </c>
      <c r="I542" s="3">
        <v>2</v>
      </c>
      <c r="J542" s="8" t="s">
        <v>762</v>
      </c>
      <c r="K542" s="8" t="s">
        <v>763</v>
      </c>
      <c r="L542" s="8" t="s">
        <v>723</v>
      </c>
      <c r="M542" s="1" t="s">
        <v>786</v>
      </c>
      <c r="N542" s="8" t="s">
        <v>787</v>
      </c>
      <c r="O542" s="6">
        <v>0</v>
      </c>
      <c r="P542" s="6">
        <v>0</v>
      </c>
      <c r="Q542" s="6">
        <v>0</v>
      </c>
      <c r="R542" s="6">
        <v>0</v>
      </c>
      <c r="S542" s="6">
        <v>535</v>
      </c>
    </row>
    <row r="543" spans="1:19" ht="15" x14ac:dyDescent="0.25">
      <c r="A543" s="7" t="s">
        <v>16</v>
      </c>
      <c r="B543" s="7" t="s">
        <v>17</v>
      </c>
      <c r="C543" s="7" t="s">
        <v>18</v>
      </c>
      <c r="D543" s="3">
        <v>18180008000142</v>
      </c>
      <c r="E543" s="8" t="s">
        <v>80</v>
      </c>
      <c r="F543" s="8" t="s">
        <v>20</v>
      </c>
      <c r="G543" s="8" t="s">
        <v>21</v>
      </c>
      <c r="H543" s="8" t="s">
        <v>795</v>
      </c>
      <c r="I543" s="3">
        <v>2</v>
      </c>
      <c r="J543" s="8" t="s">
        <v>740</v>
      </c>
      <c r="K543" s="8" t="s">
        <v>741</v>
      </c>
      <c r="L543" s="8" t="s">
        <v>730</v>
      </c>
      <c r="M543" s="1" t="s">
        <v>786</v>
      </c>
      <c r="N543" s="8" t="s">
        <v>787</v>
      </c>
      <c r="O543" s="6">
        <v>0</v>
      </c>
      <c r="P543" s="6">
        <v>0</v>
      </c>
      <c r="Q543" s="6">
        <v>0</v>
      </c>
      <c r="R543" s="6">
        <v>0</v>
      </c>
      <c r="S543" s="6">
        <v>0</v>
      </c>
    </row>
    <row r="544" spans="1:19" ht="15" x14ac:dyDescent="0.25">
      <c r="A544" s="7" t="s">
        <v>16</v>
      </c>
      <c r="B544" s="7" t="s">
        <v>17</v>
      </c>
      <c r="C544" s="7" t="s">
        <v>18</v>
      </c>
      <c r="D544" s="3">
        <v>18180008000142</v>
      </c>
      <c r="E544" s="8" t="s">
        <v>80</v>
      </c>
      <c r="F544" s="8" t="s">
        <v>20</v>
      </c>
      <c r="G544" s="8" t="s">
        <v>21</v>
      </c>
      <c r="H544" s="8" t="s">
        <v>795</v>
      </c>
      <c r="I544" s="3">
        <v>2</v>
      </c>
      <c r="J544" s="8" t="s">
        <v>756</v>
      </c>
      <c r="K544" s="8" t="s">
        <v>757</v>
      </c>
      <c r="L544" s="8" t="s">
        <v>723</v>
      </c>
      <c r="M544" s="1" t="s">
        <v>786</v>
      </c>
      <c r="N544" s="8" t="s">
        <v>787</v>
      </c>
      <c r="O544" s="6">
        <v>0</v>
      </c>
      <c r="P544" s="6">
        <v>2</v>
      </c>
      <c r="Q544" s="6">
        <v>0</v>
      </c>
      <c r="R544" s="6">
        <v>0</v>
      </c>
      <c r="S544" s="6">
        <v>0</v>
      </c>
    </row>
    <row r="545" spans="1:19" ht="15" x14ac:dyDescent="0.25">
      <c r="A545" s="7" t="s">
        <v>16</v>
      </c>
      <c r="B545" s="7" t="s">
        <v>17</v>
      </c>
      <c r="C545" s="7" t="s">
        <v>18</v>
      </c>
      <c r="D545" s="3">
        <v>2383508000494</v>
      </c>
      <c r="E545" s="8" t="s">
        <v>56</v>
      </c>
      <c r="F545" s="8" t="s">
        <v>20</v>
      </c>
      <c r="G545" s="8" t="s">
        <v>21</v>
      </c>
      <c r="H545" s="8" t="s">
        <v>795</v>
      </c>
      <c r="I545" s="3">
        <v>2</v>
      </c>
      <c r="J545" s="8" t="s">
        <v>740</v>
      </c>
      <c r="K545" s="8" t="s">
        <v>741</v>
      </c>
      <c r="L545" s="8" t="s">
        <v>730</v>
      </c>
      <c r="M545" s="1" t="s">
        <v>786</v>
      </c>
      <c r="N545" s="8" t="s">
        <v>787</v>
      </c>
      <c r="O545" s="6">
        <v>0</v>
      </c>
      <c r="P545" s="6">
        <v>0</v>
      </c>
      <c r="Q545" s="6">
        <v>0</v>
      </c>
      <c r="R545" s="6">
        <v>31</v>
      </c>
      <c r="S545" s="6">
        <v>0</v>
      </c>
    </row>
    <row r="546" spans="1:19" ht="15" x14ac:dyDescent="0.25">
      <c r="A546" s="7" t="s">
        <v>16</v>
      </c>
      <c r="B546" s="7" t="s">
        <v>17</v>
      </c>
      <c r="C546" s="7" t="s">
        <v>18</v>
      </c>
      <c r="D546" s="3">
        <v>2383508000494</v>
      </c>
      <c r="E546" s="8" t="s">
        <v>56</v>
      </c>
      <c r="F546" s="8" t="s">
        <v>20</v>
      </c>
      <c r="G546" s="8" t="s">
        <v>21</v>
      </c>
      <c r="H546" s="8" t="s">
        <v>795</v>
      </c>
      <c r="I546" s="3">
        <v>2</v>
      </c>
      <c r="J546" s="8" t="s">
        <v>724</v>
      </c>
      <c r="K546" s="8" t="s">
        <v>725</v>
      </c>
      <c r="L546" s="8" t="s">
        <v>723</v>
      </c>
      <c r="M546" s="1" t="s">
        <v>786</v>
      </c>
      <c r="N546" s="8" t="s">
        <v>787</v>
      </c>
      <c r="O546" s="6">
        <v>0</v>
      </c>
      <c r="P546" s="6">
        <v>0</v>
      </c>
      <c r="Q546" s="6">
        <v>0</v>
      </c>
      <c r="R546" s="6">
        <v>0</v>
      </c>
      <c r="S546" s="6">
        <v>0</v>
      </c>
    </row>
    <row r="547" spans="1:19" ht="15" x14ac:dyDescent="0.25">
      <c r="A547" s="7" t="s">
        <v>16</v>
      </c>
      <c r="B547" s="7" t="s">
        <v>17</v>
      </c>
      <c r="C547" s="7" t="s">
        <v>18</v>
      </c>
      <c r="D547" s="3">
        <v>43643139000409</v>
      </c>
      <c r="E547" s="8" t="s">
        <v>37</v>
      </c>
      <c r="F547" s="8" t="s">
        <v>20</v>
      </c>
      <c r="G547" s="8" t="s">
        <v>21</v>
      </c>
      <c r="H547" s="8" t="s">
        <v>795</v>
      </c>
      <c r="I547" s="3">
        <v>2</v>
      </c>
      <c r="J547" s="8" t="s">
        <v>740</v>
      </c>
      <c r="K547" s="8" t="s">
        <v>741</v>
      </c>
      <c r="L547" s="8" t="s">
        <v>730</v>
      </c>
      <c r="M547" s="1" t="s">
        <v>786</v>
      </c>
      <c r="N547" s="8" t="s">
        <v>787</v>
      </c>
      <c r="O547" s="6">
        <v>0</v>
      </c>
      <c r="P547" s="6">
        <v>0</v>
      </c>
      <c r="Q547" s="6">
        <v>0</v>
      </c>
      <c r="R547" s="6">
        <v>0</v>
      </c>
      <c r="S547" s="6">
        <v>160</v>
      </c>
    </row>
    <row r="548" spans="1:19" ht="15" x14ac:dyDescent="0.25">
      <c r="A548" s="7" t="s">
        <v>16</v>
      </c>
      <c r="B548" s="7" t="s">
        <v>17</v>
      </c>
      <c r="C548" s="7" t="s">
        <v>18</v>
      </c>
      <c r="D548" s="3">
        <v>43643139000409</v>
      </c>
      <c r="E548" s="8" t="s">
        <v>37</v>
      </c>
      <c r="F548" s="8" t="s">
        <v>20</v>
      </c>
      <c r="G548" s="8" t="s">
        <v>21</v>
      </c>
      <c r="H548" s="8" t="s">
        <v>795</v>
      </c>
      <c r="I548" s="3">
        <v>2</v>
      </c>
      <c r="J548" s="8" t="s">
        <v>724</v>
      </c>
      <c r="K548" s="8" t="s">
        <v>725</v>
      </c>
      <c r="L548" s="8" t="s">
        <v>723</v>
      </c>
      <c r="M548" s="1" t="s">
        <v>786</v>
      </c>
      <c r="N548" s="8" t="s">
        <v>787</v>
      </c>
      <c r="O548" s="6">
        <v>0</v>
      </c>
      <c r="P548" s="6">
        <v>0</v>
      </c>
      <c r="Q548" s="6">
        <v>0</v>
      </c>
      <c r="R548" s="6">
        <v>0</v>
      </c>
      <c r="S548" s="6">
        <v>160</v>
      </c>
    </row>
    <row r="549" spans="1:19" ht="15" x14ac:dyDescent="0.25">
      <c r="A549" s="7" t="s">
        <v>16</v>
      </c>
      <c r="B549" s="7" t="s">
        <v>17</v>
      </c>
      <c r="C549" s="7" t="s">
        <v>18</v>
      </c>
      <c r="D549" s="3">
        <v>8871521000126</v>
      </c>
      <c r="E549" s="8" t="s">
        <v>28</v>
      </c>
      <c r="F549" s="8" t="s">
        <v>20</v>
      </c>
      <c r="G549" s="8" t="s">
        <v>21</v>
      </c>
      <c r="H549" s="8" t="s">
        <v>795</v>
      </c>
      <c r="I549" s="3">
        <v>2</v>
      </c>
      <c r="J549" s="8" t="s">
        <v>770</v>
      </c>
      <c r="K549" s="8" t="s">
        <v>771</v>
      </c>
      <c r="L549" s="8" t="s">
        <v>730</v>
      </c>
      <c r="M549" s="1" t="s">
        <v>786</v>
      </c>
      <c r="N549" s="8" t="s">
        <v>787</v>
      </c>
      <c r="O549" s="6">
        <v>0</v>
      </c>
      <c r="P549" s="6">
        <v>0</v>
      </c>
      <c r="Q549" s="6">
        <v>0</v>
      </c>
      <c r="R549" s="6">
        <v>0</v>
      </c>
      <c r="S549" s="6">
        <v>60</v>
      </c>
    </row>
    <row r="550" spans="1:19" ht="15" x14ac:dyDescent="0.25">
      <c r="A550" s="7" t="s">
        <v>16</v>
      </c>
      <c r="B550" s="7" t="s">
        <v>17</v>
      </c>
      <c r="C550" s="7" t="s">
        <v>18</v>
      </c>
      <c r="D550" s="3">
        <v>8871521000126</v>
      </c>
      <c r="E550" s="8" t="s">
        <v>28</v>
      </c>
      <c r="F550" s="8" t="s">
        <v>20</v>
      </c>
      <c r="G550" s="8" t="s">
        <v>21</v>
      </c>
      <c r="H550" s="8" t="s">
        <v>795</v>
      </c>
      <c r="I550" s="3">
        <v>2</v>
      </c>
      <c r="J550" s="8" t="s">
        <v>756</v>
      </c>
      <c r="K550" s="8" t="s">
        <v>757</v>
      </c>
      <c r="L550" s="8" t="s">
        <v>723</v>
      </c>
      <c r="M550" s="1" t="s">
        <v>786</v>
      </c>
      <c r="N550" s="8" t="s">
        <v>787</v>
      </c>
      <c r="O550" s="6">
        <v>0</v>
      </c>
      <c r="P550" s="6">
        <v>0</v>
      </c>
      <c r="Q550" s="6">
        <v>0</v>
      </c>
      <c r="R550" s="6">
        <v>0</v>
      </c>
      <c r="S550" s="6">
        <v>60</v>
      </c>
    </row>
    <row r="551" spans="1:19" ht="15" x14ac:dyDescent="0.25">
      <c r="A551" s="7" t="s">
        <v>16</v>
      </c>
      <c r="B551" s="7" t="s">
        <v>17</v>
      </c>
      <c r="C551" s="7" t="s">
        <v>18</v>
      </c>
      <c r="D551" s="3">
        <v>59481028000130</v>
      </c>
      <c r="E551" s="8" t="s">
        <v>42</v>
      </c>
      <c r="F551" s="8" t="s">
        <v>20</v>
      </c>
      <c r="G551" s="8" t="s">
        <v>21</v>
      </c>
      <c r="H551" s="8" t="s">
        <v>795</v>
      </c>
      <c r="I551" s="3">
        <v>2</v>
      </c>
      <c r="J551" s="8" t="s">
        <v>740</v>
      </c>
      <c r="K551" s="8" t="s">
        <v>741</v>
      </c>
      <c r="L551" s="8" t="s">
        <v>730</v>
      </c>
      <c r="M551" s="1" t="s">
        <v>786</v>
      </c>
      <c r="N551" s="8" t="s">
        <v>787</v>
      </c>
      <c r="O551" s="6">
        <v>0</v>
      </c>
      <c r="P551" s="6">
        <v>0</v>
      </c>
      <c r="Q551" s="6">
        <v>0</v>
      </c>
      <c r="R551" s="6">
        <v>0</v>
      </c>
      <c r="S551" s="6">
        <v>10</v>
      </c>
    </row>
    <row r="552" spans="1:19" ht="15" x14ac:dyDescent="0.25">
      <c r="A552" s="7" t="s">
        <v>16</v>
      </c>
      <c r="B552" s="7" t="s">
        <v>17</v>
      </c>
      <c r="C552" s="7" t="s">
        <v>18</v>
      </c>
      <c r="D552" s="3">
        <v>59481028000130</v>
      </c>
      <c r="E552" s="8" t="s">
        <v>42</v>
      </c>
      <c r="F552" s="8" t="s">
        <v>20</v>
      </c>
      <c r="G552" s="8" t="s">
        <v>21</v>
      </c>
      <c r="H552" s="8" t="s">
        <v>795</v>
      </c>
      <c r="I552" s="3">
        <v>2</v>
      </c>
      <c r="J552" s="8" t="s">
        <v>724</v>
      </c>
      <c r="K552" s="8" t="s">
        <v>725</v>
      </c>
      <c r="L552" s="8" t="s">
        <v>723</v>
      </c>
      <c r="M552" s="1" t="s">
        <v>786</v>
      </c>
      <c r="N552" s="8" t="s">
        <v>787</v>
      </c>
      <c r="O552" s="6">
        <v>0</v>
      </c>
      <c r="P552" s="6">
        <v>0</v>
      </c>
      <c r="Q552" s="6">
        <v>0</v>
      </c>
      <c r="R552" s="6">
        <v>0</v>
      </c>
      <c r="S552" s="6">
        <v>10</v>
      </c>
    </row>
    <row r="553" spans="1:19" ht="15" x14ac:dyDescent="0.25">
      <c r="A553" s="7" t="s">
        <v>16</v>
      </c>
      <c r="B553" s="7" t="s">
        <v>17</v>
      </c>
      <c r="C553" s="7" t="s">
        <v>18</v>
      </c>
      <c r="D553" s="3">
        <v>10468341000220</v>
      </c>
      <c r="E553" s="8" t="s">
        <v>30</v>
      </c>
      <c r="F553" s="8" t="s">
        <v>20</v>
      </c>
      <c r="G553" s="8" t="s">
        <v>21</v>
      </c>
      <c r="H553" s="8" t="s">
        <v>795</v>
      </c>
      <c r="I553" s="3">
        <v>2</v>
      </c>
      <c r="J553" s="8" t="s">
        <v>740</v>
      </c>
      <c r="K553" s="8" t="s">
        <v>741</v>
      </c>
      <c r="L553" s="8" t="s">
        <v>730</v>
      </c>
      <c r="M553" s="1" t="s">
        <v>786</v>
      </c>
      <c r="N553" s="8" t="s">
        <v>787</v>
      </c>
      <c r="O553" s="6">
        <v>0</v>
      </c>
      <c r="P553" s="6">
        <v>0</v>
      </c>
      <c r="Q553" s="6">
        <v>0</v>
      </c>
      <c r="R553" s="6">
        <v>12</v>
      </c>
      <c r="S553" s="6">
        <v>635</v>
      </c>
    </row>
    <row r="554" spans="1:19" ht="15" x14ac:dyDescent="0.25">
      <c r="A554" s="7" t="s">
        <v>16</v>
      </c>
      <c r="B554" s="7" t="s">
        <v>17</v>
      </c>
      <c r="C554" s="7" t="s">
        <v>18</v>
      </c>
      <c r="D554" s="3">
        <v>10468341000220</v>
      </c>
      <c r="E554" s="8" t="s">
        <v>30</v>
      </c>
      <c r="F554" s="8" t="s">
        <v>20</v>
      </c>
      <c r="G554" s="8" t="s">
        <v>21</v>
      </c>
      <c r="H554" s="8" t="s">
        <v>795</v>
      </c>
      <c r="I554" s="3">
        <v>2</v>
      </c>
      <c r="J554" s="8" t="s">
        <v>762</v>
      </c>
      <c r="K554" s="8" t="s">
        <v>763</v>
      </c>
      <c r="L554" s="8" t="s">
        <v>723</v>
      </c>
      <c r="M554" s="1" t="s">
        <v>786</v>
      </c>
      <c r="N554" s="8" t="s">
        <v>787</v>
      </c>
      <c r="O554" s="6">
        <v>0</v>
      </c>
      <c r="P554" s="6">
        <v>0</v>
      </c>
      <c r="Q554" s="6">
        <v>0</v>
      </c>
      <c r="R554" s="6">
        <v>0</v>
      </c>
      <c r="S554" s="6">
        <v>635</v>
      </c>
    </row>
    <row r="555" spans="1:19" ht="15" x14ac:dyDescent="0.25">
      <c r="A555" s="7" t="s">
        <v>16</v>
      </c>
      <c r="B555" s="7" t="s">
        <v>17</v>
      </c>
      <c r="C555" s="7" t="s">
        <v>18</v>
      </c>
      <c r="D555" s="3">
        <v>10468341000140</v>
      </c>
      <c r="E555" s="8" t="s">
        <v>29</v>
      </c>
      <c r="F555" s="8" t="s">
        <v>20</v>
      </c>
      <c r="G555" s="8" t="s">
        <v>21</v>
      </c>
      <c r="H555" s="8" t="s">
        <v>795</v>
      </c>
      <c r="I555" s="3">
        <v>2</v>
      </c>
      <c r="J555" s="8" t="s">
        <v>740</v>
      </c>
      <c r="K555" s="8" t="s">
        <v>741</v>
      </c>
      <c r="L555" s="8" t="s">
        <v>730</v>
      </c>
      <c r="M555" s="1" t="s">
        <v>786</v>
      </c>
      <c r="N555" s="8" t="s">
        <v>787</v>
      </c>
      <c r="O555" s="6">
        <v>0</v>
      </c>
      <c r="P555" s="6">
        <v>0</v>
      </c>
      <c r="Q555" s="6">
        <v>0</v>
      </c>
      <c r="R555" s="6">
        <v>36</v>
      </c>
      <c r="S555" s="6">
        <v>2065</v>
      </c>
    </row>
    <row r="556" spans="1:19" ht="15" x14ac:dyDescent="0.25">
      <c r="A556" s="7" t="s">
        <v>16</v>
      </c>
      <c r="B556" s="7" t="s">
        <v>17</v>
      </c>
      <c r="C556" s="7" t="s">
        <v>18</v>
      </c>
      <c r="D556" s="3">
        <v>10468341000140</v>
      </c>
      <c r="E556" s="8" t="s">
        <v>29</v>
      </c>
      <c r="F556" s="8" t="s">
        <v>20</v>
      </c>
      <c r="G556" s="8" t="s">
        <v>21</v>
      </c>
      <c r="H556" s="8" t="s">
        <v>795</v>
      </c>
      <c r="I556" s="3">
        <v>2</v>
      </c>
      <c r="J556" s="8" t="s">
        <v>762</v>
      </c>
      <c r="K556" s="8" t="s">
        <v>763</v>
      </c>
      <c r="L556" s="8" t="s">
        <v>723</v>
      </c>
      <c r="M556" s="1" t="s">
        <v>786</v>
      </c>
      <c r="N556" s="8" t="s">
        <v>787</v>
      </c>
      <c r="O556" s="6">
        <v>0</v>
      </c>
      <c r="P556" s="6">
        <v>0</v>
      </c>
      <c r="Q556" s="6">
        <v>0</v>
      </c>
      <c r="R556" s="6">
        <v>0</v>
      </c>
      <c r="S556" s="6">
        <v>2065</v>
      </c>
    </row>
    <row r="557" spans="1:19" ht="15" x14ac:dyDescent="0.25">
      <c r="A557" s="7" t="s">
        <v>16</v>
      </c>
      <c r="B557" s="7" t="s">
        <v>17</v>
      </c>
      <c r="C557" s="7" t="s">
        <v>18</v>
      </c>
      <c r="D557" s="3">
        <v>29435005009932</v>
      </c>
      <c r="E557" s="8" t="s">
        <v>36</v>
      </c>
      <c r="F557" s="8" t="s">
        <v>20</v>
      </c>
      <c r="G557" s="8" t="s">
        <v>21</v>
      </c>
      <c r="H557" s="8" t="s">
        <v>795</v>
      </c>
      <c r="I557" s="3">
        <v>2</v>
      </c>
      <c r="J557" s="8" t="s">
        <v>770</v>
      </c>
      <c r="K557" s="8" t="s">
        <v>771</v>
      </c>
      <c r="L557" s="8" t="s">
        <v>730</v>
      </c>
      <c r="M557" s="1" t="s">
        <v>786</v>
      </c>
      <c r="N557" s="8" t="s">
        <v>787</v>
      </c>
      <c r="O557" s="6">
        <v>0</v>
      </c>
      <c r="P557" s="6">
        <v>0</v>
      </c>
      <c r="Q557" s="6">
        <v>0</v>
      </c>
      <c r="R557" s="6">
        <v>0</v>
      </c>
      <c r="S557" s="6">
        <v>350</v>
      </c>
    </row>
    <row r="558" spans="1:19" ht="15" x14ac:dyDescent="0.25">
      <c r="A558" s="7" t="s">
        <v>16</v>
      </c>
      <c r="B558" s="7" t="s">
        <v>17</v>
      </c>
      <c r="C558" s="7" t="s">
        <v>18</v>
      </c>
      <c r="D558" s="3">
        <v>29435005009932</v>
      </c>
      <c r="E558" s="8" t="s">
        <v>36</v>
      </c>
      <c r="F558" s="8" t="s">
        <v>20</v>
      </c>
      <c r="G558" s="8" t="s">
        <v>21</v>
      </c>
      <c r="H558" s="8" t="s">
        <v>795</v>
      </c>
      <c r="I558" s="3">
        <v>2</v>
      </c>
      <c r="J558" s="8" t="s">
        <v>724</v>
      </c>
      <c r="K558" s="8" t="s">
        <v>725</v>
      </c>
      <c r="L558" s="8" t="s">
        <v>723</v>
      </c>
      <c r="M558" s="1" t="s">
        <v>786</v>
      </c>
      <c r="N558" s="8" t="s">
        <v>787</v>
      </c>
      <c r="O558" s="6">
        <v>0</v>
      </c>
      <c r="P558" s="6">
        <v>4</v>
      </c>
      <c r="Q558" s="6">
        <v>6</v>
      </c>
      <c r="R558" s="6">
        <v>0</v>
      </c>
      <c r="S558" s="6">
        <v>350</v>
      </c>
    </row>
    <row r="559" spans="1:19" ht="15" x14ac:dyDescent="0.25">
      <c r="A559" s="7" t="s">
        <v>16</v>
      </c>
      <c r="B559" s="7" t="s">
        <v>17</v>
      </c>
      <c r="C559" s="7" t="s">
        <v>18</v>
      </c>
      <c r="D559" s="3">
        <v>10323381000101</v>
      </c>
      <c r="E559" s="8" t="s">
        <v>78</v>
      </c>
      <c r="F559" s="8" t="s">
        <v>20</v>
      </c>
      <c r="G559" s="8" t="s">
        <v>21</v>
      </c>
      <c r="H559" s="8" t="s">
        <v>795</v>
      </c>
      <c r="I559" s="3">
        <v>2</v>
      </c>
      <c r="J559" s="8" t="s">
        <v>740</v>
      </c>
      <c r="K559" s="8" t="s">
        <v>741</v>
      </c>
      <c r="L559" s="8" t="s">
        <v>730</v>
      </c>
      <c r="M559" s="1" t="s">
        <v>786</v>
      </c>
      <c r="N559" s="8" t="s">
        <v>787</v>
      </c>
      <c r="O559" s="6">
        <v>0</v>
      </c>
      <c r="P559" s="6">
        <v>0</v>
      </c>
      <c r="Q559" s="6">
        <v>0</v>
      </c>
      <c r="R559" s="6">
        <v>3</v>
      </c>
      <c r="S559" s="6">
        <v>0</v>
      </c>
    </row>
    <row r="560" spans="1:19" ht="15" x14ac:dyDescent="0.25">
      <c r="A560" s="7" t="s">
        <v>16</v>
      </c>
      <c r="B560" s="7" t="s">
        <v>17</v>
      </c>
      <c r="C560" s="7" t="s">
        <v>18</v>
      </c>
      <c r="D560" s="3">
        <v>10323381000101</v>
      </c>
      <c r="E560" s="8" t="s">
        <v>78</v>
      </c>
      <c r="F560" s="8" t="s">
        <v>20</v>
      </c>
      <c r="G560" s="8" t="s">
        <v>21</v>
      </c>
      <c r="H560" s="8" t="s">
        <v>795</v>
      </c>
      <c r="I560" s="3">
        <v>2</v>
      </c>
      <c r="J560" s="8" t="s">
        <v>724</v>
      </c>
      <c r="K560" s="8" t="s">
        <v>725</v>
      </c>
      <c r="L560" s="8" t="s">
        <v>723</v>
      </c>
      <c r="M560" s="1" t="s">
        <v>786</v>
      </c>
      <c r="N560" s="8" t="s">
        <v>787</v>
      </c>
      <c r="O560" s="6">
        <v>0</v>
      </c>
      <c r="P560" s="6">
        <v>0</v>
      </c>
      <c r="Q560" s="6">
        <v>0</v>
      </c>
      <c r="R560" s="6">
        <v>0</v>
      </c>
      <c r="S560" s="6">
        <v>0</v>
      </c>
    </row>
    <row r="561" spans="1:19" ht="15" x14ac:dyDescent="0.25">
      <c r="A561" s="7" t="s">
        <v>16</v>
      </c>
      <c r="B561" s="7" t="s">
        <v>17</v>
      </c>
      <c r="C561" s="7" t="s">
        <v>18</v>
      </c>
      <c r="D561" s="3">
        <v>28290788000307</v>
      </c>
      <c r="E561" s="8" t="s">
        <v>83</v>
      </c>
      <c r="F561" s="8" t="s">
        <v>20</v>
      </c>
      <c r="G561" s="8" t="s">
        <v>21</v>
      </c>
      <c r="H561" s="8" t="s">
        <v>795</v>
      </c>
      <c r="I561" s="3">
        <v>2</v>
      </c>
      <c r="J561" s="8" t="s">
        <v>770</v>
      </c>
      <c r="K561" s="8" t="s">
        <v>771</v>
      </c>
      <c r="L561" s="8" t="s">
        <v>730</v>
      </c>
      <c r="M561" s="1" t="s">
        <v>786</v>
      </c>
      <c r="N561" s="8" t="s">
        <v>787</v>
      </c>
      <c r="O561" s="6">
        <v>0</v>
      </c>
      <c r="P561" s="6">
        <v>0</v>
      </c>
      <c r="Q561" s="6">
        <v>0</v>
      </c>
      <c r="R561" s="6">
        <v>24</v>
      </c>
      <c r="S561" s="6">
        <v>0</v>
      </c>
    </row>
    <row r="562" spans="1:19" ht="15" x14ac:dyDescent="0.25">
      <c r="A562" s="7" t="s">
        <v>16</v>
      </c>
      <c r="B562" s="7" t="s">
        <v>17</v>
      </c>
      <c r="C562" s="7" t="s">
        <v>18</v>
      </c>
      <c r="D562" s="3">
        <v>28290788000307</v>
      </c>
      <c r="E562" s="8" t="s">
        <v>83</v>
      </c>
      <c r="F562" s="8" t="s">
        <v>20</v>
      </c>
      <c r="G562" s="8" t="s">
        <v>21</v>
      </c>
      <c r="H562" s="8" t="s">
        <v>795</v>
      </c>
      <c r="I562" s="3">
        <v>2</v>
      </c>
      <c r="J562" s="8" t="s">
        <v>724</v>
      </c>
      <c r="K562" s="8" t="s">
        <v>725</v>
      </c>
      <c r="L562" s="8" t="s">
        <v>723</v>
      </c>
      <c r="M562" s="1" t="s">
        <v>786</v>
      </c>
      <c r="N562" s="8" t="s">
        <v>787</v>
      </c>
      <c r="O562" s="6">
        <v>0</v>
      </c>
      <c r="P562" s="6">
        <v>0</v>
      </c>
      <c r="Q562" s="6">
        <v>0</v>
      </c>
      <c r="R562" s="6">
        <v>0</v>
      </c>
      <c r="S562" s="6">
        <v>0</v>
      </c>
    </row>
    <row r="563" spans="1:19" ht="15" x14ac:dyDescent="0.25">
      <c r="A563" s="7" t="s">
        <v>16</v>
      </c>
      <c r="B563" s="7" t="s">
        <v>17</v>
      </c>
      <c r="C563" s="7" t="s">
        <v>18</v>
      </c>
      <c r="D563" s="3">
        <v>3872790000193</v>
      </c>
      <c r="E563" s="8" t="s">
        <v>71</v>
      </c>
      <c r="F563" s="8" t="s">
        <v>20</v>
      </c>
      <c r="G563" s="8" t="s">
        <v>21</v>
      </c>
      <c r="H563" s="8" t="s">
        <v>795</v>
      </c>
      <c r="I563" s="3">
        <v>2</v>
      </c>
      <c r="J563" s="8" t="s">
        <v>740</v>
      </c>
      <c r="K563" s="8" t="s">
        <v>741</v>
      </c>
      <c r="L563" s="8" t="s">
        <v>730</v>
      </c>
      <c r="M563" s="1" t="s">
        <v>786</v>
      </c>
      <c r="N563" s="8" t="s">
        <v>787</v>
      </c>
      <c r="O563" s="6">
        <v>0</v>
      </c>
      <c r="P563" s="6">
        <v>0</v>
      </c>
      <c r="Q563" s="6">
        <v>0</v>
      </c>
      <c r="R563" s="6">
        <v>8</v>
      </c>
      <c r="S563" s="6">
        <v>0</v>
      </c>
    </row>
    <row r="564" spans="1:19" ht="15" x14ac:dyDescent="0.25">
      <c r="A564" s="7" t="s">
        <v>16</v>
      </c>
      <c r="B564" s="7" t="s">
        <v>17</v>
      </c>
      <c r="C564" s="7" t="s">
        <v>18</v>
      </c>
      <c r="D564" s="3">
        <v>3872790000193</v>
      </c>
      <c r="E564" s="8" t="s">
        <v>71</v>
      </c>
      <c r="F564" s="8" t="s">
        <v>20</v>
      </c>
      <c r="G564" s="8" t="s">
        <v>21</v>
      </c>
      <c r="H564" s="8" t="s">
        <v>795</v>
      </c>
      <c r="I564" s="3">
        <v>2</v>
      </c>
      <c r="J564" s="8" t="s">
        <v>724</v>
      </c>
      <c r="K564" s="8" t="s">
        <v>725</v>
      </c>
      <c r="L564" s="8" t="s">
        <v>723</v>
      </c>
      <c r="M564" s="1" t="s">
        <v>786</v>
      </c>
      <c r="N564" s="8" t="s">
        <v>787</v>
      </c>
      <c r="O564" s="6">
        <v>0</v>
      </c>
      <c r="P564" s="6">
        <v>0</v>
      </c>
      <c r="Q564" s="6">
        <v>0</v>
      </c>
      <c r="R564" s="6">
        <v>0</v>
      </c>
      <c r="S564" s="6">
        <v>0</v>
      </c>
    </row>
    <row r="565" spans="1:19" ht="15" x14ac:dyDescent="0.25">
      <c r="A565" s="7" t="s">
        <v>16</v>
      </c>
      <c r="B565" s="7" t="s">
        <v>17</v>
      </c>
      <c r="C565" s="7" t="s">
        <v>18</v>
      </c>
      <c r="D565" s="3">
        <v>61849980001087</v>
      </c>
      <c r="E565" s="8" t="s">
        <v>54</v>
      </c>
      <c r="F565" s="8" t="s">
        <v>20</v>
      </c>
      <c r="G565" s="8" t="s">
        <v>21</v>
      </c>
      <c r="H565" s="8" t="s">
        <v>795</v>
      </c>
      <c r="I565" s="3">
        <v>2</v>
      </c>
      <c r="J565" s="8" t="s">
        <v>740</v>
      </c>
      <c r="K565" s="8" t="s">
        <v>741</v>
      </c>
      <c r="L565" s="8" t="s">
        <v>730</v>
      </c>
      <c r="M565" s="1" t="s">
        <v>786</v>
      </c>
      <c r="N565" s="8" t="s">
        <v>787</v>
      </c>
      <c r="O565" s="6">
        <v>0</v>
      </c>
      <c r="P565" s="6">
        <v>0</v>
      </c>
      <c r="Q565" s="6">
        <v>0</v>
      </c>
      <c r="R565" s="6">
        <v>0</v>
      </c>
      <c r="S565" s="6">
        <v>40</v>
      </c>
    </row>
    <row r="566" spans="1:19" ht="15" x14ac:dyDescent="0.25">
      <c r="A566" s="7" t="s">
        <v>16</v>
      </c>
      <c r="B566" s="7" t="s">
        <v>17</v>
      </c>
      <c r="C566" s="7" t="s">
        <v>18</v>
      </c>
      <c r="D566" s="3">
        <v>61849980001087</v>
      </c>
      <c r="E566" s="8" t="s">
        <v>54</v>
      </c>
      <c r="F566" s="8" t="s">
        <v>20</v>
      </c>
      <c r="G566" s="8" t="s">
        <v>21</v>
      </c>
      <c r="H566" s="8" t="s">
        <v>795</v>
      </c>
      <c r="I566" s="3">
        <v>2</v>
      </c>
      <c r="J566" s="8" t="s">
        <v>724</v>
      </c>
      <c r="K566" s="8" t="s">
        <v>725</v>
      </c>
      <c r="L566" s="8" t="s">
        <v>723</v>
      </c>
      <c r="M566" s="1" t="s">
        <v>786</v>
      </c>
      <c r="N566" s="8" t="s">
        <v>787</v>
      </c>
      <c r="O566" s="6">
        <v>0</v>
      </c>
      <c r="P566" s="6">
        <v>0</v>
      </c>
      <c r="Q566" s="6">
        <v>0</v>
      </c>
      <c r="R566" s="6">
        <v>0</v>
      </c>
      <c r="S566" s="6">
        <v>40</v>
      </c>
    </row>
    <row r="567" spans="1:19" ht="15" x14ac:dyDescent="0.25">
      <c r="A567" s="7" t="s">
        <v>16</v>
      </c>
      <c r="B567" s="7" t="s">
        <v>17</v>
      </c>
      <c r="C567" s="7" t="s">
        <v>18</v>
      </c>
      <c r="D567" s="3">
        <v>8100676000835</v>
      </c>
      <c r="E567" s="8" t="s">
        <v>26</v>
      </c>
      <c r="F567" s="8" t="s">
        <v>20</v>
      </c>
      <c r="G567" s="8" t="s">
        <v>21</v>
      </c>
      <c r="H567" s="8" t="s">
        <v>795</v>
      </c>
      <c r="I567" s="3">
        <v>2</v>
      </c>
      <c r="J567" s="8" t="s">
        <v>740</v>
      </c>
      <c r="K567" s="8" t="s">
        <v>741</v>
      </c>
      <c r="L567" s="8" t="s">
        <v>730</v>
      </c>
      <c r="M567" s="1" t="s">
        <v>786</v>
      </c>
      <c r="N567" s="8" t="s">
        <v>787</v>
      </c>
      <c r="O567" s="6">
        <v>0</v>
      </c>
      <c r="P567" s="6">
        <v>0</v>
      </c>
      <c r="Q567" s="6">
        <v>0</v>
      </c>
      <c r="R567" s="6">
        <v>0</v>
      </c>
      <c r="S567" s="6">
        <v>25</v>
      </c>
    </row>
    <row r="568" spans="1:19" ht="15" x14ac:dyDescent="0.25">
      <c r="A568" s="7" t="s">
        <v>16</v>
      </c>
      <c r="B568" s="7" t="s">
        <v>17</v>
      </c>
      <c r="C568" s="7" t="s">
        <v>18</v>
      </c>
      <c r="D568" s="3">
        <v>8100676000835</v>
      </c>
      <c r="E568" s="8" t="s">
        <v>26</v>
      </c>
      <c r="F568" s="8" t="s">
        <v>20</v>
      </c>
      <c r="G568" s="8" t="s">
        <v>21</v>
      </c>
      <c r="H568" s="8" t="s">
        <v>795</v>
      </c>
      <c r="I568" s="3">
        <v>2</v>
      </c>
      <c r="J568" s="8" t="s">
        <v>762</v>
      </c>
      <c r="K568" s="8" t="s">
        <v>763</v>
      </c>
      <c r="L568" s="8" t="s">
        <v>723</v>
      </c>
      <c r="M568" s="1" t="s">
        <v>786</v>
      </c>
      <c r="N568" s="8" t="s">
        <v>787</v>
      </c>
      <c r="O568" s="6">
        <v>0</v>
      </c>
      <c r="P568" s="6">
        <v>0</v>
      </c>
      <c r="Q568" s="6">
        <v>0</v>
      </c>
      <c r="R568" s="6">
        <v>0</v>
      </c>
      <c r="S568" s="6">
        <v>25</v>
      </c>
    </row>
    <row r="569" spans="1:19" ht="15" x14ac:dyDescent="0.25">
      <c r="A569" s="7" t="s">
        <v>16</v>
      </c>
      <c r="B569" s="7" t="s">
        <v>17</v>
      </c>
      <c r="C569" s="7" t="s">
        <v>18</v>
      </c>
      <c r="D569" s="3">
        <v>10475230000160</v>
      </c>
      <c r="E569" s="8" t="s">
        <v>31</v>
      </c>
      <c r="F569" s="8" t="s">
        <v>20</v>
      </c>
      <c r="G569" s="8" t="s">
        <v>21</v>
      </c>
      <c r="H569" s="8" t="s">
        <v>795</v>
      </c>
      <c r="I569" s="3">
        <v>2</v>
      </c>
      <c r="J569" s="8" t="s">
        <v>740</v>
      </c>
      <c r="K569" s="8" t="s">
        <v>741</v>
      </c>
      <c r="L569" s="8" t="s">
        <v>730</v>
      </c>
      <c r="M569" s="1" t="s">
        <v>786</v>
      </c>
      <c r="N569" s="8" t="s">
        <v>787</v>
      </c>
      <c r="O569" s="6">
        <v>0</v>
      </c>
      <c r="P569" s="6">
        <v>0</v>
      </c>
      <c r="Q569" s="6">
        <v>0</v>
      </c>
      <c r="R569" s="6">
        <v>0</v>
      </c>
      <c r="S569" s="6">
        <v>45</v>
      </c>
    </row>
    <row r="570" spans="1:19" ht="15" x14ac:dyDescent="0.25">
      <c r="A570" s="7" t="s">
        <v>16</v>
      </c>
      <c r="B570" s="7" t="s">
        <v>17</v>
      </c>
      <c r="C570" s="7" t="s">
        <v>18</v>
      </c>
      <c r="D570" s="3">
        <v>10475230000160</v>
      </c>
      <c r="E570" s="8" t="s">
        <v>31</v>
      </c>
      <c r="F570" s="8" t="s">
        <v>20</v>
      </c>
      <c r="G570" s="8" t="s">
        <v>21</v>
      </c>
      <c r="H570" s="8" t="s">
        <v>795</v>
      </c>
      <c r="I570" s="3">
        <v>2</v>
      </c>
      <c r="J570" s="8" t="s">
        <v>756</v>
      </c>
      <c r="K570" s="8" t="s">
        <v>757</v>
      </c>
      <c r="L570" s="8" t="s">
        <v>723</v>
      </c>
      <c r="M570" s="1" t="s">
        <v>786</v>
      </c>
      <c r="N570" s="8" t="s">
        <v>787</v>
      </c>
      <c r="O570" s="6">
        <v>0</v>
      </c>
      <c r="P570" s="6">
        <v>0</v>
      </c>
      <c r="Q570" s="6">
        <v>0</v>
      </c>
      <c r="R570" s="6">
        <v>0</v>
      </c>
      <c r="S570" s="6">
        <v>45</v>
      </c>
    </row>
    <row r="571" spans="1:19" ht="15" x14ac:dyDescent="0.25">
      <c r="A571" s="7" t="s">
        <v>16</v>
      </c>
      <c r="B571" s="7" t="s">
        <v>17</v>
      </c>
      <c r="C571" s="7" t="s">
        <v>18</v>
      </c>
      <c r="D571" s="3">
        <v>8438844000392</v>
      </c>
      <c r="E571" s="8" t="s">
        <v>76</v>
      </c>
      <c r="F571" s="8" t="s">
        <v>20</v>
      </c>
      <c r="G571" s="8" t="s">
        <v>21</v>
      </c>
      <c r="H571" s="8" t="s">
        <v>795</v>
      </c>
      <c r="I571" s="3">
        <v>2</v>
      </c>
      <c r="J571" s="8" t="s">
        <v>740</v>
      </c>
      <c r="K571" s="8" t="s">
        <v>741</v>
      </c>
      <c r="L571" s="8" t="s">
        <v>730</v>
      </c>
      <c r="M571" s="1" t="s">
        <v>786</v>
      </c>
      <c r="N571" s="8" t="s">
        <v>787</v>
      </c>
      <c r="O571" s="6">
        <v>0</v>
      </c>
      <c r="P571" s="6">
        <v>0</v>
      </c>
      <c r="Q571" s="6">
        <v>0</v>
      </c>
      <c r="R571" s="6">
        <v>2</v>
      </c>
      <c r="S571" s="6">
        <v>0</v>
      </c>
    </row>
    <row r="572" spans="1:19" ht="15" x14ac:dyDescent="0.25">
      <c r="A572" s="7" t="s">
        <v>16</v>
      </c>
      <c r="B572" s="7" t="s">
        <v>17</v>
      </c>
      <c r="C572" s="7" t="s">
        <v>18</v>
      </c>
      <c r="D572" s="3">
        <v>8438844000392</v>
      </c>
      <c r="E572" s="8" t="s">
        <v>76</v>
      </c>
      <c r="F572" s="8" t="s">
        <v>20</v>
      </c>
      <c r="G572" s="8" t="s">
        <v>21</v>
      </c>
      <c r="H572" s="8" t="s">
        <v>795</v>
      </c>
      <c r="I572" s="3">
        <v>2</v>
      </c>
      <c r="J572" s="8" t="s">
        <v>762</v>
      </c>
      <c r="K572" s="8" t="s">
        <v>763</v>
      </c>
      <c r="L572" s="8" t="s">
        <v>723</v>
      </c>
      <c r="M572" s="1" t="s">
        <v>786</v>
      </c>
      <c r="N572" s="8" t="s">
        <v>787</v>
      </c>
      <c r="O572" s="6">
        <v>0</v>
      </c>
      <c r="P572" s="6">
        <v>0</v>
      </c>
      <c r="Q572" s="6">
        <v>0</v>
      </c>
      <c r="R572" s="6">
        <v>0</v>
      </c>
      <c r="S572" s="6">
        <v>0</v>
      </c>
    </row>
    <row r="573" spans="1:19" ht="15" x14ac:dyDescent="0.25">
      <c r="A573" s="7" t="s">
        <v>16</v>
      </c>
      <c r="B573" s="7" t="s">
        <v>17</v>
      </c>
      <c r="C573" s="7" t="s">
        <v>18</v>
      </c>
      <c r="D573" s="3">
        <v>6047087000139</v>
      </c>
      <c r="E573" s="8" t="s">
        <v>72</v>
      </c>
      <c r="F573" s="8" t="s">
        <v>20</v>
      </c>
      <c r="G573" s="8" t="s">
        <v>21</v>
      </c>
      <c r="H573" s="8" t="s">
        <v>795</v>
      </c>
      <c r="I573" s="3">
        <v>2</v>
      </c>
      <c r="J573" s="8" t="s">
        <v>740</v>
      </c>
      <c r="K573" s="8" t="s">
        <v>741</v>
      </c>
      <c r="L573" s="8" t="s">
        <v>730</v>
      </c>
      <c r="M573" s="1" t="s">
        <v>786</v>
      </c>
      <c r="N573" s="8" t="s">
        <v>787</v>
      </c>
      <c r="O573" s="6">
        <v>0</v>
      </c>
      <c r="P573" s="6">
        <v>0</v>
      </c>
      <c r="Q573" s="6">
        <v>0</v>
      </c>
      <c r="R573" s="6">
        <v>0</v>
      </c>
      <c r="S573" s="6">
        <v>0</v>
      </c>
    </row>
    <row r="574" spans="1:19" ht="15" x14ac:dyDescent="0.25">
      <c r="A574" s="7" t="s">
        <v>16</v>
      </c>
      <c r="B574" s="7" t="s">
        <v>17</v>
      </c>
      <c r="C574" s="7" t="s">
        <v>18</v>
      </c>
      <c r="D574" s="3">
        <v>6047087000139</v>
      </c>
      <c r="E574" s="8" t="s">
        <v>72</v>
      </c>
      <c r="F574" s="8" t="s">
        <v>20</v>
      </c>
      <c r="G574" s="8" t="s">
        <v>21</v>
      </c>
      <c r="H574" s="8" t="s">
        <v>795</v>
      </c>
      <c r="I574" s="3">
        <v>2</v>
      </c>
      <c r="J574" s="8" t="s">
        <v>724</v>
      </c>
      <c r="K574" s="8" t="s">
        <v>725</v>
      </c>
      <c r="L574" s="8" t="s">
        <v>723</v>
      </c>
      <c r="M574" s="1" t="s">
        <v>786</v>
      </c>
      <c r="N574" s="8" t="s">
        <v>787</v>
      </c>
      <c r="O574" s="6">
        <v>0</v>
      </c>
      <c r="P574" s="6">
        <v>2</v>
      </c>
      <c r="Q574" s="6">
        <v>0</v>
      </c>
      <c r="R574" s="6">
        <v>0</v>
      </c>
      <c r="S574" s="6">
        <v>0</v>
      </c>
    </row>
    <row r="575" spans="1:19" ht="15" x14ac:dyDescent="0.25">
      <c r="A575" s="7" t="s">
        <v>16</v>
      </c>
      <c r="B575" s="7" t="s">
        <v>17</v>
      </c>
      <c r="C575" s="7" t="s">
        <v>18</v>
      </c>
      <c r="D575" s="3">
        <v>60884855000316</v>
      </c>
      <c r="E575" s="8" t="s">
        <v>46</v>
      </c>
      <c r="F575" s="8" t="s">
        <v>20</v>
      </c>
      <c r="G575" s="8" t="s">
        <v>21</v>
      </c>
      <c r="H575" s="8" t="s">
        <v>795</v>
      </c>
      <c r="I575" s="3">
        <v>2</v>
      </c>
      <c r="J575" s="8" t="s">
        <v>770</v>
      </c>
      <c r="K575" s="8" t="s">
        <v>771</v>
      </c>
      <c r="L575" s="8" t="s">
        <v>730</v>
      </c>
      <c r="M575" s="1" t="s">
        <v>786</v>
      </c>
      <c r="N575" s="8" t="s">
        <v>787</v>
      </c>
      <c r="O575" s="6">
        <v>0</v>
      </c>
      <c r="P575" s="6">
        <v>0</v>
      </c>
      <c r="Q575" s="6">
        <v>0</v>
      </c>
      <c r="R575" s="6">
        <v>0</v>
      </c>
      <c r="S575" s="6">
        <v>1930</v>
      </c>
    </row>
    <row r="576" spans="1:19" ht="15" x14ac:dyDescent="0.25">
      <c r="A576" s="7" t="s">
        <v>16</v>
      </c>
      <c r="B576" s="7" t="s">
        <v>17</v>
      </c>
      <c r="C576" s="7" t="s">
        <v>18</v>
      </c>
      <c r="D576" s="3">
        <v>60884855000316</v>
      </c>
      <c r="E576" s="8" t="s">
        <v>46</v>
      </c>
      <c r="F576" s="8" t="s">
        <v>20</v>
      </c>
      <c r="G576" s="8" t="s">
        <v>21</v>
      </c>
      <c r="H576" s="8" t="s">
        <v>795</v>
      </c>
      <c r="I576" s="3">
        <v>2</v>
      </c>
      <c r="J576" s="8" t="s">
        <v>762</v>
      </c>
      <c r="K576" s="8" t="s">
        <v>763</v>
      </c>
      <c r="L576" s="8" t="s">
        <v>723</v>
      </c>
      <c r="M576" s="1" t="s">
        <v>786</v>
      </c>
      <c r="N576" s="8" t="s">
        <v>787</v>
      </c>
      <c r="O576" s="6">
        <v>0</v>
      </c>
      <c r="P576" s="6">
        <v>8</v>
      </c>
      <c r="Q576" s="6">
        <v>38</v>
      </c>
      <c r="R576" s="6">
        <v>0</v>
      </c>
      <c r="S576" s="6">
        <v>1930</v>
      </c>
    </row>
    <row r="577" spans="1:19" ht="15" x14ac:dyDescent="0.25">
      <c r="A577" s="7" t="s">
        <v>16</v>
      </c>
      <c r="B577" s="7" t="s">
        <v>17</v>
      </c>
      <c r="C577" s="7" t="s">
        <v>18</v>
      </c>
      <c r="D577" s="3">
        <v>60726502000126</v>
      </c>
      <c r="E577" s="8" t="s">
        <v>44</v>
      </c>
      <c r="F577" s="8" t="s">
        <v>20</v>
      </c>
      <c r="G577" s="8" t="s">
        <v>21</v>
      </c>
      <c r="H577" s="8" t="s">
        <v>795</v>
      </c>
      <c r="I577" s="3">
        <v>2</v>
      </c>
      <c r="J577" s="8" t="s">
        <v>770</v>
      </c>
      <c r="K577" s="8" t="s">
        <v>771</v>
      </c>
      <c r="L577" s="8" t="s">
        <v>730</v>
      </c>
      <c r="M577" s="1" t="s">
        <v>786</v>
      </c>
      <c r="N577" s="8" t="s">
        <v>787</v>
      </c>
      <c r="O577" s="6">
        <v>0</v>
      </c>
      <c r="P577" s="6">
        <v>0</v>
      </c>
      <c r="Q577" s="6">
        <v>0</v>
      </c>
      <c r="R577" s="6">
        <v>0</v>
      </c>
      <c r="S577" s="6">
        <v>390</v>
      </c>
    </row>
    <row r="578" spans="1:19" ht="15" x14ac:dyDescent="0.25">
      <c r="A578" s="7" t="s">
        <v>16</v>
      </c>
      <c r="B578" s="7" t="s">
        <v>17</v>
      </c>
      <c r="C578" s="7" t="s">
        <v>18</v>
      </c>
      <c r="D578" s="3">
        <v>60726502000126</v>
      </c>
      <c r="E578" s="8" t="s">
        <v>44</v>
      </c>
      <c r="F578" s="8" t="s">
        <v>20</v>
      </c>
      <c r="G578" s="8" t="s">
        <v>21</v>
      </c>
      <c r="H578" s="8" t="s">
        <v>795</v>
      </c>
      <c r="I578" s="3">
        <v>2</v>
      </c>
      <c r="J578" s="8" t="s">
        <v>762</v>
      </c>
      <c r="K578" s="8" t="s">
        <v>763</v>
      </c>
      <c r="L578" s="8" t="s">
        <v>723</v>
      </c>
      <c r="M578" s="1" t="s">
        <v>786</v>
      </c>
      <c r="N578" s="8" t="s">
        <v>787</v>
      </c>
      <c r="O578" s="6">
        <v>0</v>
      </c>
      <c r="P578" s="6">
        <v>3</v>
      </c>
      <c r="Q578" s="6">
        <v>6</v>
      </c>
      <c r="R578" s="6">
        <v>0</v>
      </c>
      <c r="S578" s="6">
        <v>390</v>
      </c>
    </row>
    <row r="579" spans="1:19" ht="15" x14ac:dyDescent="0.25">
      <c r="A579" s="7" t="s">
        <v>16</v>
      </c>
      <c r="B579" s="7" t="s">
        <v>17</v>
      </c>
      <c r="C579" s="7" t="s">
        <v>18</v>
      </c>
      <c r="D579" s="3">
        <v>60726502000711</v>
      </c>
      <c r="E579" s="8" t="s">
        <v>87</v>
      </c>
      <c r="F579" s="8" t="s">
        <v>20</v>
      </c>
      <c r="G579" s="8" t="s">
        <v>21</v>
      </c>
      <c r="H579" s="8" t="s">
        <v>795</v>
      </c>
      <c r="I579" s="3">
        <v>2</v>
      </c>
      <c r="J579" s="8" t="s">
        <v>770</v>
      </c>
      <c r="K579" s="8" t="s">
        <v>771</v>
      </c>
      <c r="L579" s="8" t="s">
        <v>730</v>
      </c>
      <c r="M579" s="1" t="s">
        <v>786</v>
      </c>
      <c r="N579" s="8" t="s">
        <v>787</v>
      </c>
      <c r="O579" s="6">
        <v>0</v>
      </c>
      <c r="P579" s="6">
        <v>0</v>
      </c>
      <c r="Q579" s="6">
        <v>0</v>
      </c>
      <c r="R579" s="6">
        <v>0</v>
      </c>
      <c r="S579" s="6">
        <v>0</v>
      </c>
    </row>
    <row r="580" spans="1:19" ht="15" x14ac:dyDescent="0.25">
      <c r="A580" s="7" t="s">
        <v>16</v>
      </c>
      <c r="B580" s="7" t="s">
        <v>17</v>
      </c>
      <c r="C580" s="7" t="s">
        <v>18</v>
      </c>
      <c r="D580" s="3">
        <v>60726502000711</v>
      </c>
      <c r="E580" s="8" t="s">
        <v>87</v>
      </c>
      <c r="F580" s="8" t="s">
        <v>20</v>
      </c>
      <c r="G580" s="8" t="s">
        <v>21</v>
      </c>
      <c r="H580" s="8" t="s">
        <v>795</v>
      </c>
      <c r="I580" s="3">
        <v>2</v>
      </c>
      <c r="J580" s="8" t="s">
        <v>762</v>
      </c>
      <c r="K580" s="8" t="s">
        <v>763</v>
      </c>
      <c r="L580" s="8" t="s">
        <v>723</v>
      </c>
      <c r="M580" s="1" t="s">
        <v>786</v>
      </c>
      <c r="N580" s="8" t="s">
        <v>787</v>
      </c>
      <c r="O580" s="6">
        <v>0</v>
      </c>
      <c r="P580" s="6">
        <v>0</v>
      </c>
      <c r="Q580" s="6">
        <v>5</v>
      </c>
      <c r="R580" s="6">
        <v>0</v>
      </c>
      <c r="S580" s="6">
        <v>0</v>
      </c>
    </row>
    <row r="581" spans="1:19" ht="15" x14ac:dyDescent="0.25">
      <c r="A581" s="7" t="s">
        <v>16</v>
      </c>
      <c r="B581" s="7" t="s">
        <v>17</v>
      </c>
      <c r="C581" s="7" t="s">
        <v>18</v>
      </c>
      <c r="D581" s="3">
        <v>8100676000592</v>
      </c>
      <c r="E581" s="8" t="s">
        <v>25</v>
      </c>
      <c r="F581" s="8" t="s">
        <v>20</v>
      </c>
      <c r="G581" s="8" t="s">
        <v>21</v>
      </c>
      <c r="H581" s="8" t="s">
        <v>795</v>
      </c>
      <c r="I581" s="3">
        <v>2</v>
      </c>
      <c r="J581" s="8" t="s">
        <v>740</v>
      </c>
      <c r="K581" s="8" t="s">
        <v>741</v>
      </c>
      <c r="L581" s="8" t="s">
        <v>730</v>
      </c>
      <c r="M581" s="1" t="s">
        <v>786</v>
      </c>
      <c r="N581" s="8" t="s">
        <v>787</v>
      </c>
      <c r="O581" s="6">
        <v>0</v>
      </c>
      <c r="P581" s="6">
        <v>0</v>
      </c>
      <c r="Q581" s="6">
        <v>0</v>
      </c>
      <c r="R581" s="6">
        <v>0</v>
      </c>
      <c r="S581" s="6">
        <v>130</v>
      </c>
    </row>
    <row r="582" spans="1:19" ht="15" x14ac:dyDescent="0.25">
      <c r="A582" s="7" t="s">
        <v>16</v>
      </c>
      <c r="B582" s="7" t="s">
        <v>17</v>
      </c>
      <c r="C582" s="7" t="s">
        <v>18</v>
      </c>
      <c r="D582" s="3">
        <v>8100676000592</v>
      </c>
      <c r="E582" s="8" t="s">
        <v>25</v>
      </c>
      <c r="F582" s="8" t="s">
        <v>20</v>
      </c>
      <c r="G582" s="8" t="s">
        <v>21</v>
      </c>
      <c r="H582" s="8" t="s">
        <v>795</v>
      </c>
      <c r="I582" s="3">
        <v>2</v>
      </c>
      <c r="J582" s="8" t="s">
        <v>762</v>
      </c>
      <c r="K582" s="8" t="s">
        <v>763</v>
      </c>
      <c r="L582" s="8" t="s">
        <v>723</v>
      </c>
      <c r="M582" s="1" t="s">
        <v>786</v>
      </c>
      <c r="N582" s="8" t="s">
        <v>787</v>
      </c>
      <c r="O582" s="6">
        <v>0</v>
      </c>
      <c r="P582" s="6">
        <v>0</v>
      </c>
      <c r="Q582" s="6">
        <v>0</v>
      </c>
      <c r="R582" s="6">
        <v>0</v>
      </c>
      <c r="S582" s="6">
        <v>130</v>
      </c>
    </row>
    <row r="583" spans="1:19" ht="15" x14ac:dyDescent="0.25">
      <c r="A583" s="7" t="s">
        <v>16</v>
      </c>
      <c r="B583" s="7" t="s">
        <v>17</v>
      </c>
      <c r="C583" s="7" t="s">
        <v>18</v>
      </c>
      <c r="D583" s="3">
        <v>8100676002455</v>
      </c>
      <c r="E583" s="8" t="s">
        <v>27</v>
      </c>
      <c r="F583" s="8" t="s">
        <v>20</v>
      </c>
      <c r="G583" s="8" t="s">
        <v>21</v>
      </c>
      <c r="H583" s="8" t="s">
        <v>795</v>
      </c>
      <c r="I583" s="3">
        <v>2</v>
      </c>
      <c r="J583" s="8" t="s">
        <v>740</v>
      </c>
      <c r="K583" s="8" t="s">
        <v>741</v>
      </c>
      <c r="L583" s="8" t="s">
        <v>730</v>
      </c>
      <c r="M583" s="1" t="s">
        <v>786</v>
      </c>
      <c r="N583" s="8" t="s">
        <v>787</v>
      </c>
      <c r="O583" s="6">
        <v>0</v>
      </c>
      <c r="P583" s="6">
        <v>0</v>
      </c>
      <c r="Q583" s="6">
        <v>0</v>
      </c>
      <c r="R583" s="6">
        <v>0</v>
      </c>
      <c r="S583" s="6">
        <v>340</v>
      </c>
    </row>
    <row r="584" spans="1:19" ht="15" x14ac:dyDescent="0.25">
      <c r="A584" s="7" t="s">
        <v>16</v>
      </c>
      <c r="B584" s="7" t="s">
        <v>17</v>
      </c>
      <c r="C584" s="7" t="s">
        <v>18</v>
      </c>
      <c r="D584" s="3">
        <v>8100676002455</v>
      </c>
      <c r="E584" s="8" t="s">
        <v>27</v>
      </c>
      <c r="F584" s="8" t="s">
        <v>20</v>
      </c>
      <c r="G584" s="8" t="s">
        <v>21</v>
      </c>
      <c r="H584" s="8" t="s">
        <v>795</v>
      </c>
      <c r="I584" s="3">
        <v>2</v>
      </c>
      <c r="J584" s="8" t="s">
        <v>762</v>
      </c>
      <c r="K584" s="8" t="s">
        <v>763</v>
      </c>
      <c r="L584" s="8" t="s">
        <v>723</v>
      </c>
      <c r="M584" s="1" t="s">
        <v>786</v>
      </c>
      <c r="N584" s="8" t="s">
        <v>787</v>
      </c>
      <c r="O584" s="6">
        <v>0</v>
      </c>
      <c r="P584" s="6">
        <v>3</v>
      </c>
      <c r="Q584" s="6">
        <v>0</v>
      </c>
      <c r="R584" s="6">
        <v>0</v>
      </c>
      <c r="S584" s="6">
        <v>340</v>
      </c>
    </row>
    <row r="585" spans="1:19" ht="15" x14ac:dyDescent="0.25">
      <c r="A585" s="7" t="s">
        <v>16</v>
      </c>
      <c r="B585" s="7" t="s">
        <v>17</v>
      </c>
      <c r="C585" s="7" t="s">
        <v>18</v>
      </c>
      <c r="D585" s="3">
        <v>60922168004335</v>
      </c>
      <c r="E585" s="8" t="s">
        <v>48</v>
      </c>
      <c r="F585" s="8" t="s">
        <v>20</v>
      </c>
      <c r="G585" s="8" t="s">
        <v>21</v>
      </c>
      <c r="H585" s="8" t="s">
        <v>795</v>
      </c>
      <c r="I585" s="3">
        <v>2</v>
      </c>
      <c r="J585" s="8" t="s">
        <v>740</v>
      </c>
      <c r="K585" s="8" t="s">
        <v>741</v>
      </c>
      <c r="L585" s="8" t="s">
        <v>730</v>
      </c>
      <c r="M585" s="1" t="s">
        <v>786</v>
      </c>
      <c r="N585" s="8" t="s">
        <v>787</v>
      </c>
      <c r="O585" s="6">
        <v>0</v>
      </c>
      <c r="P585" s="6">
        <v>0</v>
      </c>
      <c r="Q585" s="6">
        <v>0</v>
      </c>
      <c r="R585" s="6">
        <v>0</v>
      </c>
      <c r="S585" s="6">
        <v>5</v>
      </c>
    </row>
    <row r="586" spans="1:19" ht="15" x14ac:dyDescent="0.25">
      <c r="A586" s="7" t="s">
        <v>16</v>
      </c>
      <c r="B586" s="7" t="s">
        <v>17</v>
      </c>
      <c r="C586" s="7" t="s">
        <v>18</v>
      </c>
      <c r="D586" s="3">
        <v>60922168004335</v>
      </c>
      <c r="E586" s="8" t="s">
        <v>48</v>
      </c>
      <c r="F586" s="8" t="s">
        <v>20</v>
      </c>
      <c r="G586" s="8" t="s">
        <v>21</v>
      </c>
      <c r="H586" s="8" t="s">
        <v>795</v>
      </c>
      <c r="I586" s="3">
        <v>2</v>
      </c>
      <c r="J586" s="8" t="s">
        <v>762</v>
      </c>
      <c r="K586" s="8" t="s">
        <v>763</v>
      </c>
      <c r="L586" s="8" t="s">
        <v>723</v>
      </c>
      <c r="M586" s="1" t="s">
        <v>786</v>
      </c>
      <c r="N586" s="8" t="s">
        <v>787</v>
      </c>
      <c r="O586" s="6">
        <v>0</v>
      </c>
      <c r="P586" s="6">
        <v>0</v>
      </c>
      <c r="Q586" s="6">
        <v>0</v>
      </c>
      <c r="R586" s="6">
        <v>0</v>
      </c>
      <c r="S586" s="6">
        <v>5</v>
      </c>
    </row>
    <row r="587" spans="1:19" ht="15" x14ac:dyDescent="0.25">
      <c r="A587" s="7" t="s">
        <v>16</v>
      </c>
      <c r="B587" s="7" t="s">
        <v>17</v>
      </c>
      <c r="C587" s="7" t="s">
        <v>18</v>
      </c>
      <c r="D587" s="3">
        <v>21371777000132</v>
      </c>
      <c r="E587" s="8" t="s">
        <v>33</v>
      </c>
      <c r="F587" s="8" t="s">
        <v>20</v>
      </c>
      <c r="G587" s="8" t="s">
        <v>21</v>
      </c>
      <c r="H587" s="8" t="s">
        <v>795</v>
      </c>
      <c r="I587" s="3">
        <v>2</v>
      </c>
      <c r="J587" s="8" t="s">
        <v>740</v>
      </c>
      <c r="K587" s="8" t="s">
        <v>741</v>
      </c>
      <c r="L587" s="8" t="s">
        <v>730</v>
      </c>
      <c r="M587" s="1" t="s">
        <v>786</v>
      </c>
      <c r="N587" s="8" t="s">
        <v>787</v>
      </c>
      <c r="O587" s="6">
        <v>0</v>
      </c>
      <c r="P587" s="6">
        <v>0</v>
      </c>
      <c r="Q587" s="6">
        <v>0</v>
      </c>
      <c r="R587" s="6">
        <v>0</v>
      </c>
      <c r="S587" s="6">
        <v>175</v>
      </c>
    </row>
    <row r="588" spans="1:19" ht="15" x14ac:dyDescent="0.25">
      <c r="A588" s="7" t="s">
        <v>16</v>
      </c>
      <c r="B588" s="7" t="s">
        <v>17</v>
      </c>
      <c r="C588" s="7" t="s">
        <v>18</v>
      </c>
      <c r="D588" s="3">
        <v>21371777000132</v>
      </c>
      <c r="E588" s="8" t="s">
        <v>33</v>
      </c>
      <c r="F588" s="8" t="s">
        <v>20</v>
      </c>
      <c r="G588" s="8" t="s">
        <v>21</v>
      </c>
      <c r="H588" s="8" t="s">
        <v>795</v>
      </c>
      <c r="I588" s="3">
        <v>2</v>
      </c>
      <c r="J588" s="8" t="s">
        <v>762</v>
      </c>
      <c r="K588" s="8" t="s">
        <v>763</v>
      </c>
      <c r="L588" s="8" t="s">
        <v>723</v>
      </c>
      <c r="M588" s="1" t="s">
        <v>786</v>
      </c>
      <c r="N588" s="8" t="s">
        <v>787</v>
      </c>
      <c r="O588" s="6">
        <v>0</v>
      </c>
      <c r="P588" s="6">
        <v>0</v>
      </c>
      <c r="Q588" s="6">
        <v>8</v>
      </c>
      <c r="R588" s="6">
        <v>0</v>
      </c>
      <c r="S588" s="6">
        <v>175</v>
      </c>
    </row>
    <row r="589" spans="1:19" ht="15" x14ac:dyDescent="0.25">
      <c r="A589" s="7" t="s">
        <v>16</v>
      </c>
      <c r="B589" s="7" t="s">
        <v>17</v>
      </c>
      <c r="C589" s="7" t="s">
        <v>18</v>
      </c>
      <c r="D589" s="3">
        <v>60448040000122</v>
      </c>
      <c r="E589" s="8" t="s">
        <v>85</v>
      </c>
      <c r="F589" s="8" t="s">
        <v>20</v>
      </c>
      <c r="G589" s="8" t="s">
        <v>21</v>
      </c>
      <c r="H589" s="8" t="s">
        <v>795</v>
      </c>
      <c r="I589" s="3">
        <v>2</v>
      </c>
      <c r="J589" s="8" t="s">
        <v>770</v>
      </c>
      <c r="K589" s="8" t="s">
        <v>771</v>
      </c>
      <c r="L589" s="8" t="s">
        <v>730</v>
      </c>
      <c r="M589" s="1" t="s">
        <v>786</v>
      </c>
      <c r="N589" s="8" t="s">
        <v>787</v>
      </c>
      <c r="O589" s="6">
        <v>0</v>
      </c>
      <c r="P589" s="6">
        <v>0</v>
      </c>
      <c r="Q589" s="6">
        <v>0</v>
      </c>
      <c r="R589" s="6">
        <v>0</v>
      </c>
      <c r="S589" s="6">
        <v>0</v>
      </c>
    </row>
    <row r="590" spans="1:19" ht="15" x14ac:dyDescent="0.25">
      <c r="A590" s="7" t="s">
        <v>16</v>
      </c>
      <c r="B590" s="7" t="s">
        <v>17</v>
      </c>
      <c r="C590" s="7" t="s">
        <v>18</v>
      </c>
      <c r="D590" s="3">
        <v>60448040000122</v>
      </c>
      <c r="E590" s="8" t="s">
        <v>85</v>
      </c>
      <c r="F590" s="8" t="s">
        <v>20</v>
      </c>
      <c r="G590" s="8" t="s">
        <v>21</v>
      </c>
      <c r="H590" s="8" t="s">
        <v>795</v>
      </c>
      <c r="I590" s="3">
        <v>2</v>
      </c>
      <c r="J590" s="8" t="s">
        <v>756</v>
      </c>
      <c r="K590" s="8" t="s">
        <v>757</v>
      </c>
      <c r="L590" s="8" t="s">
        <v>723</v>
      </c>
      <c r="M590" s="1" t="s">
        <v>786</v>
      </c>
      <c r="N590" s="8" t="s">
        <v>787</v>
      </c>
      <c r="O590" s="6">
        <v>0</v>
      </c>
      <c r="P590" s="6">
        <v>60</v>
      </c>
      <c r="Q590" s="6">
        <v>55</v>
      </c>
      <c r="R590" s="6">
        <v>0</v>
      </c>
      <c r="S590" s="6">
        <v>0</v>
      </c>
    </row>
    <row r="591" spans="1:19" ht="15" x14ac:dyDescent="0.25">
      <c r="A591" s="7" t="s">
        <v>16</v>
      </c>
      <c r="B591" s="7" t="s">
        <v>17</v>
      </c>
      <c r="C591" s="7" t="s">
        <v>18</v>
      </c>
      <c r="D591" s="3">
        <v>60453024000390</v>
      </c>
      <c r="E591" s="8" t="s">
        <v>86</v>
      </c>
      <c r="F591" s="8" t="s">
        <v>20</v>
      </c>
      <c r="G591" s="8" t="s">
        <v>21</v>
      </c>
      <c r="H591" s="8" t="s">
        <v>795</v>
      </c>
      <c r="I591" s="3">
        <v>2</v>
      </c>
      <c r="J591" s="8" t="s">
        <v>740</v>
      </c>
      <c r="K591" s="8" t="s">
        <v>741</v>
      </c>
      <c r="L591" s="8" t="s">
        <v>730</v>
      </c>
      <c r="M591" s="1" t="s">
        <v>786</v>
      </c>
      <c r="N591" s="8" t="s">
        <v>787</v>
      </c>
      <c r="O591" s="6">
        <v>0</v>
      </c>
      <c r="P591" s="6">
        <v>0</v>
      </c>
      <c r="Q591" s="6">
        <v>0</v>
      </c>
      <c r="R591" s="6">
        <v>0</v>
      </c>
      <c r="S591" s="6">
        <v>0</v>
      </c>
    </row>
    <row r="592" spans="1:19" ht="15" x14ac:dyDescent="0.25">
      <c r="A592" s="7" t="s">
        <v>16</v>
      </c>
      <c r="B592" s="7" t="s">
        <v>17</v>
      </c>
      <c r="C592" s="7" t="s">
        <v>18</v>
      </c>
      <c r="D592" s="3">
        <v>60453024000390</v>
      </c>
      <c r="E592" s="8" t="s">
        <v>86</v>
      </c>
      <c r="F592" s="8" t="s">
        <v>20</v>
      </c>
      <c r="G592" s="8" t="s">
        <v>21</v>
      </c>
      <c r="H592" s="8" t="s">
        <v>795</v>
      </c>
      <c r="I592" s="3">
        <v>2</v>
      </c>
      <c r="J592" s="8" t="s">
        <v>756</v>
      </c>
      <c r="K592" s="8" t="s">
        <v>757</v>
      </c>
      <c r="L592" s="8" t="s">
        <v>723</v>
      </c>
      <c r="M592" s="1" t="s">
        <v>786</v>
      </c>
      <c r="N592" s="8" t="s">
        <v>787</v>
      </c>
      <c r="O592" s="6">
        <v>0</v>
      </c>
      <c r="P592" s="6">
        <v>5</v>
      </c>
      <c r="Q592" s="6">
        <v>10</v>
      </c>
      <c r="R592" s="6">
        <v>0</v>
      </c>
      <c r="S592" s="6">
        <v>0</v>
      </c>
    </row>
    <row r="593" spans="1:19" ht="15" x14ac:dyDescent="0.25">
      <c r="A593" s="7" t="s">
        <v>16</v>
      </c>
      <c r="B593" s="7" t="s">
        <v>17</v>
      </c>
      <c r="C593" s="7" t="s">
        <v>18</v>
      </c>
      <c r="D593" s="3">
        <v>51722957012512</v>
      </c>
      <c r="E593" s="8" t="s">
        <v>40</v>
      </c>
      <c r="F593" s="8" t="s">
        <v>20</v>
      </c>
      <c r="G593" s="8" t="s">
        <v>21</v>
      </c>
      <c r="H593" s="8" t="s">
        <v>795</v>
      </c>
      <c r="I593" s="3">
        <v>2</v>
      </c>
      <c r="J593" s="8" t="s">
        <v>740</v>
      </c>
      <c r="K593" s="8" t="s">
        <v>741</v>
      </c>
      <c r="L593" s="8" t="s">
        <v>730</v>
      </c>
      <c r="M593" s="1" t="s">
        <v>786</v>
      </c>
      <c r="N593" s="8" t="s">
        <v>787</v>
      </c>
      <c r="O593" s="6">
        <v>0</v>
      </c>
      <c r="P593" s="6">
        <v>0</v>
      </c>
      <c r="Q593" s="6">
        <v>0</v>
      </c>
      <c r="R593" s="6">
        <v>0</v>
      </c>
      <c r="S593" s="6">
        <v>65</v>
      </c>
    </row>
    <row r="594" spans="1:19" ht="15" x14ac:dyDescent="0.25">
      <c r="A594" s="7" t="s">
        <v>16</v>
      </c>
      <c r="B594" s="7" t="s">
        <v>17</v>
      </c>
      <c r="C594" s="7" t="s">
        <v>18</v>
      </c>
      <c r="D594" s="3">
        <v>51722957012512</v>
      </c>
      <c r="E594" s="8" t="s">
        <v>40</v>
      </c>
      <c r="F594" s="8" t="s">
        <v>20</v>
      </c>
      <c r="G594" s="8" t="s">
        <v>21</v>
      </c>
      <c r="H594" s="8" t="s">
        <v>795</v>
      </c>
      <c r="I594" s="3">
        <v>2</v>
      </c>
      <c r="J594" s="8" t="s">
        <v>762</v>
      </c>
      <c r="K594" s="8" t="s">
        <v>763</v>
      </c>
      <c r="L594" s="8" t="s">
        <v>723</v>
      </c>
      <c r="M594" s="1" t="s">
        <v>786</v>
      </c>
      <c r="N594" s="8" t="s">
        <v>787</v>
      </c>
      <c r="O594" s="6">
        <v>0</v>
      </c>
      <c r="P594" s="6">
        <v>0</v>
      </c>
      <c r="Q594" s="6">
        <v>0</v>
      </c>
      <c r="R594" s="6">
        <v>0</v>
      </c>
      <c r="S594" s="6">
        <v>65</v>
      </c>
    </row>
    <row r="595" spans="1:19" ht="15" x14ac:dyDescent="0.25">
      <c r="A595" s="7" t="s">
        <v>16</v>
      </c>
      <c r="B595" s="7" t="s">
        <v>17</v>
      </c>
      <c r="C595" s="7" t="s">
        <v>18</v>
      </c>
      <c r="D595" s="3">
        <v>60678604000113</v>
      </c>
      <c r="E595" s="8" t="s">
        <v>64</v>
      </c>
      <c r="F595" s="8" t="s">
        <v>20</v>
      </c>
      <c r="G595" s="8" t="s">
        <v>21</v>
      </c>
      <c r="H595" s="8" t="s">
        <v>795</v>
      </c>
      <c r="I595" s="3">
        <v>2</v>
      </c>
      <c r="J595" s="8" t="s">
        <v>740</v>
      </c>
      <c r="K595" s="8" t="s">
        <v>741</v>
      </c>
      <c r="L595" s="8" t="s">
        <v>730</v>
      </c>
      <c r="M595" s="1" t="s">
        <v>786</v>
      </c>
      <c r="N595" s="8" t="s">
        <v>787</v>
      </c>
      <c r="O595" s="6">
        <v>0</v>
      </c>
      <c r="P595" s="6">
        <v>0</v>
      </c>
      <c r="Q595" s="6">
        <v>0</v>
      </c>
      <c r="R595" s="6">
        <v>0</v>
      </c>
      <c r="S595" s="6">
        <v>0</v>
      </c>
    </row>
    <row r="596" spans="1:19" ht="15" x14ac:dyDescent="0.25">
      <c r="A596" s="7" t="s">
        <v>16</v>
      </c>
      <c r="B596" s="7" t="s">
        <v>17</v>
      </c>
      <c r="C596" s="7" t="s">
        <v>18</v>
      </c>
      <c r="D596" s="3">
        <v>60678604000113</v>
      </c>
      <c r="E596" s="8" t="s">
        <v>64</v>
      </c>
      <c r="F596" s="8" t="s">
        <v>20</v>
      </c>
      <c r="G596" s="8" t="s">
        <v>21</v>
      </c>
      <c r="H596" s="8" t="s">
        <v>795</v>
      </c>
      <c r="I596" s="3">
        <v>2</v>
      </c>
      <c r="J596" s="8" t="s">
        <v>724</v>
      </c>
      <c r="K596" s="8" t="s">
        <v>725</v>
      </c>
      <c r="L596" s="8" t="s">
        <v>723</v>
      </c>
      <c r="M596" s="1" t="s">
        <v>786</v>
      </c>
      <c r="N596" s="8" t="s">
        <v>787</v>
      </c>
      <c r="O596" s="6">
        <v>0</v>
      </c>
      <c r="P596" s="6">
        <v>2</v>
      </c>
      <c r="Q596" s="6">
        <v>42</v>
      </c>
      <c r="R596" s="6">
        <v>0</v>
      </c>
      <c r="S596" s="6">
        <v>0</v>
      </c>
    </row>
    <row r="597" spans="1:19" ht="15" x14ac:dyDescent="0.25">
      <c r="A597" s="7" t="s">
        <v>16</v>
      </c>
      <c r="B597" s="7" t="s">
        <v>17</v>
      </c>
      <c r="C597" s="7" t="s">
        <v>18</v>
      </c>
      <c r="D597" s="3">
        <v>62106505000192</v>
      </c>
      <c r="E597" s="8" t="s">
        <v>90</v>
      </c>
      <c r="F597" s="8" t="s">
        <v>20</v>
      </c>
      <c r="G597" s="8" t="s">
        <v>21</v>
      </c>
      <c r="H597" s="8" t="s">
        <v>795</v>
      </c>
      <c r="I597" s="3">
        <v>2</v>
      </c>
      <c r="J597" s="8" t="s">
        <v>740</v>
      </c>
      <c r="K597" s="8" t="s">
        <v>741</v>
      </c>
      <c r="L597" s="8" t="s">
        <v>730</v>
      </c>
      <c r="M597" s="1" t="s">
        <v>786</v>
      </c>
      <c r="N597" s="8" t="s">
        <v>787</v>
      </c>
      <c r="O597" s="6">
        <v>0</v>
      </c>
      <c r="P597" s="6">
        <v>0</v>
      </c>
      <c r="Q597" s="6">
        <v>0</v>
      </c>
      <c r="R597" s="6">
        <v>0</v>
      </c>
      <c r="S597" s="6">
        <v>0</v>
      </c>
    </row>
    <row r="598" spans="1:19" ht="15" x14ac:dyDescent="0.25">
      <c r="A598" s="7" t="s">
        <v>16</v>
      </c>
      <c r="B598" s="7" t="s">
        <v>17</v>
      </c>
      <c r="C598" s="7" t="s">
        <v>18</v>
      </c>
      <c r="D598" s="3">
        <v>62106505000192</v>
      </c>
      <c r="E598" s="8" t="s">
        <v>90</v>
      </c>
      <c r="F598" s="8" t="s">
        <v>20</v>
      </c>
      <c r="G598" s="8" t="s">
        <v>21</v>
      </c>
      <c r="H598" s="8" t="s">
        <v>795</v>
      </c>
      <c r="I598" s="3">
        <v>2</v>
      </c>
      <c r="J598" s="8" t="s">
        <v>724</v>
      </c>
      <c r="K598" s="8" t="s">
        <v>725</v>
      </c>
      <c r="L598" s="8" t="s">
        <v>723</v>
      </c>
      <c r="M598" s="1" t="s">
        <v>786</v>
      </c>
      <c r="N598" s="8" t="s">
        <v>787</v>
      </c>
      <c r="O598" s="6">
        <v>0</v>
      </c>
      <c r="P598" s="6">
        <v>0</v>
      </c>
      <c r="Q598" s="6">
        <v>2</v>
      </c>
      <c r="R598" s="6">
        <v>0</v>
      </c>
      <c r="S598" s="6">
        <v>0</v>
      </c>
    </row>
    <row r="599" spans="1:19" ht="15" x14ac:dyDescent="0.25">
      <c r="A599" s="7" t="s">
        <v>16</v>
      </c>
      <c r="B599" s="7" t="s">
        <v>17</v>
      </c>
      <c r="C599" s="7" t="s">
        <v>18</v>
      </c>
      <c r="D599" s="3">
        <v>60975174000363</v>
      </c>
      <c r="E599" s="8" t="s">
        <v>51</v>
      </c>
      <c r="F599" s="8" t="s">
        <v>20</v>
      </c>
      <c r="G599" s="8" t="s">
        <v>21</v>
      </c>
      <c r="H599" s="8" t="s">
        <v>795</v>
      </c>
      <c r="I599" s="3">
        <v>2</v>
      </c>
      <c r="J599" s="8" t="s">
        <v>740</v>
      </c>
      <c r="K599" s="8" t="s">
        <v>741</v>
      </c>
      <c r="L599" s="8" t="s">
        <v>730</v>
      </c>
      <c r="M599" s="1" t="s">
        <v>786</v>
      </c>
      <c r="N599" s="8" t="s">
        <v>787</v>
      </c>
      <c r="O599" s="6">
        <v>0</v>
      </c>
      <c r="P599" s="6">
        <v>0</v>
      </c>
      <c r="Q599" s="6">
        <v>0</v>
      </c>
      <c r="R599" s="6">
        <v>0</v>
      </c>
      <c r="S599" s="6">
        <v>150</v>
      </c>
    </row>
    <row r="600" spans="1:19" ht="15" x14ac:dyDescent="0.25">
      <c r="A600" s="7" t="s">
        <v>16</v>
      </c>
      <c r="B600" s="7" t="s">
        <v>17</v>
      </c>
      <c r="C600" s="7" t="s">
        <v>18</v>
      </c>
      <c r="D600" s="3">
        <v>60975174000363</v>
      </c>
      <c r="E600" s="8" t="s">
        <v>51</v>
      </c>
      <c r="F600" s="8" t="s">
        <v>20</v>
      </c>
      <c r="G600" s="8" t="s">
        <v>21</v>
      </c>
      <c r="H600" s="8" t="s">
        <v>795</v>
      </c>
      <c r="I600" s="3">
        <v>2</v>
      </c>
      <c r="J600" s="8" t="s">
        <v>724</v>
      </c>
      <c r="K600" s="8" t="s">
        <v>725</v>
      </c>
      <c r="L600" s="8" t="s">
        <v>723</v>
      </c>
      <c r="M600" s="1" t="s">
        <v>786</v>
      </c>
      <c r="N600" s="8" t="s">
        <v>787</v>
      </c>
      <c r="O600" s="6">
        <v>0</v>
      </c>
      <c r="P600" s="6">
        <v>0</v>
      </c>
      <c r="Q600" s="6">
        <v>0</v>
      </c>
      <c r="R600" s="6">
        <v>0</v>
      </c>
      <c r="S600" s="6">
        <v>150</v>
      </c>
    </row>
    <row r="601" spans="1:19" ht="15" x14ac:dyDescent="0.25">
      <c r="A601" s="7" t="s">
        <v>16</v>
      </c>
      <c r="B601" s="7" t="s">
        <v>17</v>
      </c>
      <c r="C601" s="7" t="s">
        <v>18</v>
      </c>
      <c r="D601" s="3">
        <v>29435005004540</v>
      </c>
      <c r="E601" s="8" t="s">
        <v>35</v>
      </c>
      <c r="F601" s="8" t="s">
        <v>20</v>
      </c>
      <c r="G601" s="8" t="s">
        <v>21</v>
      </c>
      <c r="H601" s="8" t="s">
        <v>795</v>
      </c>
      <c r="I601" s="3">
        <v>2</v>
      </c>
      <c r="J601" s="8" t="s">
        <v>740</v>
      </c>
      <c r="K601" s="8" t="s">
        <v>741</v>
      </c>
      <c r="L601" s="8" t="s">
        <v>730</v>
      </c>
      <c r="M601" s="1" t="s">
        <v>786</v>
      </c>
      <c r="N601" s="8" t="s">
        <v>787</v>
      </c>
      <c r="O601" s="6">
        <v>0</v>
      </c>
      <c r="P601" s="6">
        <v>0</v>
      </c>
      <c r="Q601" s="6">
        <v>0</v>
      </c>
      <c r="R601" s="6">
        <v>0</v>
      </c>
      <c r="S601" s="6">
        <v>500</v>
      </c>
    </row>
    <row r="602" spans="1:19" ht="15" x14ac:dyDescent="0.25">
      <c r="A602" s="7" t="s">
        <v>16</v>
      </c>
      <c r="B602" s="7" t="s">
        <v>17</v>
      </c>
      <c r="C602" s="7" t="s">
        <v>18</v>
      </c>
      <c r="D602" s="3">
        <v>29435005004540</v>
      </c>
      <c r="E602" s="8" t="s">
        <v>35</v>
      </c>
      <c r="F602" s="8" t="s">
        <v>20</v>
      </c>
      <c r="G602" s="8" t="s">
        <v>21</v>
      </c>
      <c r="H602" s="8" t="s">
        <v>795</v>
      </c>
      <c r="I602" s="3">
        <v>2</v>
      </c>
      <c r="J602" s="8" t="s">
        <v>762</v>
      </c>
      <c r="K602" s="8" t="s">
        <v>763</v>
      </c>
      <c r="L602" s="8" t="s">
        <v>723</v>
      </c>
      <c r="M602" s="1" t="s">
        <v>786</v>
      </c>
      <c r="N602" s="8" t="s">
        <v>787</v>
      </c>
      <c r="O602" s="6">
        <v>0</v>
      </c>
      <c r="P602" s="6">
        <v>0</v>
      </c>
      <c r="Q602" s="6">
        <v>0</v>
      </c>
      <c r="R602" s="6">
        <v>0</v>
      </c>
      <c r="S602" s="6">
        <v>500</v>
      </c>
    </row>
    <row r="603" spans="1:19" ht="15" x14ac:dyDescent="0.25">
      <c r="A603" s="7" t="s">
        <v>16</v>
      </c>
      <c r="B603" s="7" t="s">
        <v>17</v>
      </c>
      <c r="C603" s="7" t="s">
        <v>18</v>
      </c>
      <c r="D603" s="3">
        <v>61213674000240</v>
      </c>
      <c r="E603" s="8" t="s">
        <v>52</v>
      </c>
      <c r="F603" s="8" t="s">
        <v>20</v>
      </c>
      <c r="G603" s="8" t="s">
        <v>21</v>
      </c>
      <c r="H603" s="8" t="s">
        <v>795</v>
      </c>
      <c r="I603" s="3">
        <v>2</v>
      </c>
      <c r="J603" s="8" t="s">
        <v>770</v>
      </c>
      <c r="K603" s="8" t="s">
        <v>771</v>
      </c>
      <c r="L603" s="8" t="s">
        <v>730</v>
      </c>
      <c r="M603" s="1" t="s">
        <v>786</v>
      </c>
      <c r="N603" s="8" t="s">
        <v>787</v>
      </c>
      <c r="O603" s="6">
        <v>0</v>
      </c>
      <c r="P603" s="6">
        <v>0</v>
      </c>
      <c r="Q603" s="6">
        <v>0</v>
      </c>
      <c r="R603" s="6">
        <v>49</v>
      </c>
      <c r="S603" s="6">
        <v>5</v>
      </c>
    </row>
    <row r="604" spans="1:19" ht="15" x14ac:dyDescent="0.25">
      <c r="A604" s="7" t="s">
        <v>16</v>
      </c>
      <c r="B604" s="7" t="s">
        <v>17</v>
      </c>
      <c r="C604" s="7" t="s">
        <v>18</v>
      </c>
      <c r="D604" s="3">
        <v>61213674000240</v>
      </c>
      <c r="E604" s="8" t="s">
        <v>52</v>
      </c>
      <c r="F604" s="8" t="s">
        <v>20</v>
      </c>
      <c r="G604" s="8" t="s">
        <v>21</v>
      </c>
      <c r="H604" s="8" t="s">
        <v>795</v>
      </c>
      <c r="I604" s="3">
        <v>2</v>
      </c>
      <c r="J604" s="8" t="s">
        <v>724</v>
      </c>
      <c r="K604" s="8" t="s">
        <v>725</v>
      </c>
      <c r="L604" s="8" t="s">
        <v>723</v>
      </c>
      <c r="M604" s="1" t="s">
        <v>786</v>
      </c>
      <c r="N604" s="8" t="s">
        <v>787</v>
      </c>
      <c r="O604" s="6">
        <v>0</v>
      </c>
      <c r="P604" s="6">
        <v>3</v>
      </c>
      <c r="Q604" s="6">
        <v>1</v>
      </c>
      <c r="R604" s="6">
        <v>0</v>
      </c>
      <c r="S604" s="6">
        <v>5</v>
      </c>
    </row>
    <row r="605" spans="1:19" ht="15" x14ac:dyDescent="0.25">
      <c r="A605" s="7" t="s">
        <v>16</v>
      </c>
      <c r="B605" s="7" t="s">
        <v>17</v>
      </c>
      <c r="C605" s="7" t="s">
        <v>18</v>
      </c>
      <c r="D605" s="3">
        <v>19803199000114</v>
      </c>
      <c r="E605" s="8" t="s">
        <v>32</v>
      </c>
      <c r="F605" s="8" t="s">
        <v>20</v>
      </c>
      <c r="G605" s="8" t="s">
        <v>21</v>
      </c>
      <c r="H605" s="8" t="s">
        <v>795</v>
      </c>
      <c r="I605" s="3">
        <v>2</v>
      </c>
      <c r="J605" s="8" t="s">
        <v>740</v>
      </c>
      <c r="K605" s="8" t="s">
        <v>741</v>
      </c>
      <c r="L605" s="8" t="s">
        <v>730</v>
      </c>
      <c r="M605" s="1" t="s">
        <v>786</v>
      </c>
      <c r="N605" s="8" t="s">
        <v>787</v>
      </c>
      <c r="O605" s="6">
        <v>0</v>
      </c>
      <c r="P605" s="6">
        <v>0</v>
      </c>
      <c r="Q605" s="6">
        <v>0</v>
      </c>
      <c r="R605" s="6">
        <v>0</v>
      </c>
      <c r="S605" s="6">
        <v>50</v>
      </c>
    </row>
    <row r="606" spans="1:19" ht="15" x14ac:dyDescent="0.25">
      <c r="A606" s="7" t="s">
        <v>16</v>
      </c>
      <c r="B606" s="7" t="s">
        <v>17</v>
      </c>
      <c r="C606" s="7" t="s">
        <v>18</v>
      </c>
      <c r="D606" s="3">
        <v>19803199000114</v>
      </c>
      <c r="E606" s="8" t="s">
        <v>32</v>
      </c>
      <c r="F606" s="8" t="s">
        <v>20</v>
      </c>
      <c r="G606" s="8" t="s">
        <v>21</v>
      </c>
      <c r="H606" s="8" t="s">
        <v>795</v>
      </c>
      <c r="I606" s="3">
        <v>2</v>
      </c>
      <c r="J606" s="8" t="s">
        <v>762</v>
      </c>
      <c r="K606" s="8" t="s">
        <v>763</v>
      </c>
      <c r="L606" s="8" t="s">
        <v>723</v>
      </c>
      <c r="M606" s="1" t="s">
        <v>786</v>
      </c>
      <c r="N606" s="8" t="s">
        <v>787</v>
      </c>
      <c r="O606" s="6">
        <v>0</v>
      </c>
      <c r="P606" s="6">
        <v>0</v>
      </c>
      <c r="Q606" s="6">
        <v>1</v>
      </c>
      <c r="R606" s="6">
        <v>0</v>
      </c>
      <c r="S606" s="6">
        <v>50</v>
      </c>
    </row>
    <row r="607" spans="1:19" ht="15" x14ac:dyDescent="0.25">
      <c r="A607" s="7" t="s">
        <v>16</v>
      </c>
      <c r="B607" s="7" t="s">
        <v>17</v>
      </c>
      <c r="C607" s="7" t="s">
        <v>18</v>
      </c>
      <c r="D607" s="3">
        <v>29435005002687</v>
      </c>
      <c r="E607" s="8" t="s">
        <v>34</v>
      </c>
      <c r="F607" s="8" t="s">
        <v>20</v>
      </c>
      <c r="G607" s="8" t="s">
        <v>21</v>
      </c>
      <c r="H607" s="8" t="s">
        <v>795</v>
      </c>
      <c r="I607" s="3">
        <v>2</v>
      </c>
      <c r="J607" s="8" t="s">
        <v>740</v>
      </c>
      <c r="K607" s="8" t="s">
        <v>741</v>
      </c>
      <c r="L607" s="8" t="s">
        <v>730</v>
      </c>
      <c r="M607" s="1" t="s">
        <v>786</v>
      </c>
      <c r="N607" s="8" t="s">
        <v>787</v>
      </c>
      <c r="O607" s="6">
        <v>0</v>
      </c>
      <c r="P607" s="6">
        <v>0</v>
      </c>
      <c r="Q607" s="6">
        <v>0</v>
      </c>
      <c r="R607" s="6">
        <v>0</v>
      </c>
      <c r="S607" s="6">
        <v>500</v>
      </c>
    </row>
    <row r="608" spans="1:19" ht="15" x14ac:dyDescent="0.25">
      <c r="A608" s="7" t="s">
        <v>16</v>
      </c>
      <c r="B608" s="7" t="s">
        <v>17</v>
      </c>
      <c r="C608" s="7" t="s">
        <v>18</v>
      </c>
      <c r="D608" s="3">
        <v>29435005002687</v>
      </c>
      <c r="E608" s="8" t="s">
        <v>34</v>
      </c>
      <c r="F608" s="8" t="s">
        <v>20</v>
      </c>
      <c r="G608" s="8" t="s">
        <v>21</v>
      </c>
      <c r="H608" s="8" t="s">
        <v>795</v>
      </c>
      <c r="I608" s="3">
        <v>2</v>
      </c>
      <c r="J608" s="8" t="s">
        <v>762</v>
      </c>
      <c r="K608" s="8" t="s">
        <v>763</v>
      </c>
      <c r="L608" s="8" t="s">
        <v>723</v>
      </c>
      <c r="M608" s="1" t="s">
        <v>786</v>
      </c>
      <c r="N608" s="8" t="s">
        <v>787</v>
      </c>
      <c r="O608" s="6">
        <v>0</v>
      </c>
      <c r="P608" s="6">
        <v>0</v>
      </c>
      <c r="Q608" s="6">
        <v>0</v>
      </c>
      <c r="R608" s="6">
        <v>0</v>
      </c>
      <c r="S608" s="6">
        <v>500</v>
      </c>
    </row>
    <row r="609" spans="1:19" ht="15" x14ac:dyDescent="0.25">
      <c r="A609" s="7" t="s">
        <v>16</v>
      </c>
      <c r="B609" s="7" t="s">
        <v>17</v>
      </c>
      <c r="C609" s="7" t="s">
        <v>18</v>
      </c>
      <c r="D609" s="3">
        <v>461479001992</v>
      </c>
      <c r="E609" s="8" t="s">
        <v>67</v>
      </c>
      <c r="F609" s="8" t="s">
        <v>20</v>
      </c>
      <c r="G609" s="8" t="s">
        <v>21</v>
      </c>
      <c r="H609" s="8" t="s">
        <v>795</v>
      </c>
      <c r="I609" s="3">
        <v>2</v>
      </c>
      <c r="J609" s="8" t="s">
        <v>740</v>
      </c>
      <c r="K609" s="8" t="s">
        <v>741</v>
      </c>
      <c r="L609" s="8" t="s">
        <v>730</v>
      </c>
      <c r="M609" s="1" t="s">
        <v>786</v>
      </c>
      <c r="N609" s="8" t="s">
        <v>787</v>
      </c>
      <c r="O609" s="6">
        <v>0</v>
      </c>
      <c r="P609" s="6">
        <v>0</v>
      </c>
      <c r="Q609" s="6">
        <v>0</v>
      </c>
      <c r="R609" s="6">
        <v>0</v>
      </c>
      <c r="S609" s="6">
        <v>0</v>
      </c>
    </row>
    <row r="610" spans="1:19" ht="15" x14ac:dyDescent="0.25">
      <c r="A610" s="7" t="s">
        <v>16</v>
      </c>
      <c r="B610" s="7" t="s">
        <v>17</v>
      </c>
      <c r="C610" s="7" t="s">
        <v>18</v>
      </c>
      <c r="D610" s="3">
        <v>461479001992</v>
      </c>
      <c r="E610" s="8" t="s">
        <v>67</v>
      </c>
      <c r="F610" s="8" t="s">
        <v>20</v>
      </c>
      <c r="G610" s="8" t="s">
        <v>21</v>
      </c>
      <c r="H610" s="8" t="s">
        <v>795</v>
      </c>
      <c r="I610" s="3">
        <v>2</v>
      </c>
      <c r="J610" s="8" t="s">
        <v>724</v>
      </c>
      <c r="K610" s="8" t="s">
        <v>725</v>
      </c>
      <c r="L610" s="8" t="s">
        <v>723</v>
      </c>
      <c r="M610" s="1" t="s">
        <v>786</v>
      </c>
      <c r="N610" s="8" t="s">
        <v>787</v>
      </c>
      <c r="O610" s="6">
        <v>0</v>
      </c>
      <c r="P610" s="6">
        <v>6</v>
      </c>
      <c r="Q610" s="6">
        <v>0</v>
      </c>
      <c r="R610" s="6">
        <v>0</v>
      </c>
      <c r="S610" s="6">
        <v>0</v>
      </c>
    </row>
    <row r="611" spans="1:19" ht="15" x14ac:dyDescent="0.25">
      <c r="A611" s="7" t="s">
        <v>16</v>
      </c>
      <c r="B611" s="7" t="s">
        <v>17</v>
      </c>
      <c r="C611" s="7" t="s">
        <v>18</v>
      </c>
      <c r="D611" s="3">
        <v>60922168000771</v>
      </c>
      <c r="E611" s="8" t="s">
        <v>47</v>
      </c>
      <c r="F611" s="8" t="s">
        <v>20</v>
      </c>
      <c r="G611" s="8" t="s">
        <v>21</v>
      </c>
      <c r="H611" s="8" t="s">
        <v>795</v>
      </c>
      <c r="I611" s="3">
        <v>2</v>
      </c>
      <c r="J611" s="8" t="s">
        <v>770</v>
      </c>
      <c r="K611" s="8" t="s">
        <v>771</v>
      </c>
      <c r="L611" s="8" t="s">
        <v>730</v>
      </c>
      <c r="M611" s="1" t="s">
        <v>786</v>
      </c>
      <c r="N611" s="8" t="s">
        <v>787</v>
      </c>
      <c r="O611" s="6">
        <v>0</v>
      </c>
      <c r="P611" s="6">
        <v>0</v>
      </c>
      <c r="Q611" s="6">
        <v>0</v>
      </c>
      <c r="R611" s="6">
        <v>16</v>
      </c>
      <c r="S611" s="6">
        <v>350</v>
      </c>
    </row>
    <row r="612" spans="1:19" ht="15" x14ac:dyDescent="0.25">
      <c r="A612" s="7" t="s">
        <v>16</v>
      </c>
      <c r="B612" s="7" t="s">
        <v>17</v>
      </c>
      <c r="C612" s="7" t="s">
        <v>18</v>
      </c>
      <c r="D612" s="3">
        <v>60922168000771</v>
      </c>
      <c r="E612" s="8" t="s">
        <v>47</v>
      </c>
      <c r="F612" s="8" t="s">
        <v>20</v>
      </c>
      <c r="G612" s="8" t="s">
        <v>21</v>
      </c>
      <c r="H612" s="8" t="s">
        <v>795</v>
      </c>
      <c r="I612" s="3">
        <v>2</v>
      </c>
      <c r="J612" s="8" t="s">
        <v>724</v>
      </c>
      <c r="K612" s="8" t="s">
        <v>725</v>
      </c>
      <c r="L612" s="8" t="s">
        <v>723</v>
      </c>
      <c r="M612" s="1" t="s">
        <v>786</v>
      </c>
      <c r="N612" s="8" t="s">
        <v>787</v>
      </c>
      <c r="O612" s="6">
        <v>0</v>
      </c>
      <c r="P612" s="6">
        <v>0</v>
      </c>
      <c r="Q612" s="6">
        <v>0</v>
      </c>
      <c r="R612" s="6">
        <v>0</v>
      </c>
      <c r="S612" s="6">
        <v>350</v>
      </c>
    </row>
    <row r="613" spans="1:19" ht="15" x14ac:dyDescent="0.25">
      <c r="A613" s="7" t="s">
        <v>16</v>
      </c>
      <c r="B613" s="7" t="s">
        <v>17</v>
      </c>
      <c r="C613" s="7" t="s">
        <v>18</v>
      </c>
      <c r="D613" s="3">
        <v>60552098000111</v>
      </c>
      <c r="E613" s="8" t="s">
        <v>43</v>
      </c>
      <c r="F613" s="8" t="s">
        <v>20</v>
      </c>
      <c r="G613" s="8" t="s">
        <v>21</v>
      </c>
      <c r="H613" s="8" t="s">
        <v>795</v>
      </c>
      <c r="I613" s="3">
        <v>2</v>
      </c>
      <c r="J613" s="8" t="s">
        <v>740</v>
      </c>
      <c r="K613" s="8" t="s">
        <v>741</v>
      </c>
      <c r="L613" s="8" t="s">
        <v>730</v>
      </c>
      <c r="M613" s="1" t="s">
        <v>786</v>
      </c>
      <c r="N613" s="8" t="s">
        <v>787</v>
      </c>
      <c r="O613" s="6">
        <v>0</v>
      </c>
      <c r="P613" s="6">
        <v>0</v>
      </c>
      <c r="Q613" s="6">
        <v>0</v>
      </c>
      <c r="R613" s="6">
        <v>0</v>
      </c>
      <c r="S613" s="6">
        <v>225</v>
      </c>
    </row>
    <row r="614" spans="1:19" ht="15" x14ac:dyDescent="0.25">
      <c r="A614" s="7" t="s">
        <v>16</v>
      </c>
      <c r="B614" s="7" t="s">
        <v>17</v>
      </c>
      <c r="C614" s="7" t="s">
        <v>18</v>
      </c>
      <c r="D614" s="3">
        <v>60552098000111</v>
      </c>
      <c r="E614" s="8" t="s">
        <v>43</v>
      </c>
      <c r="F614" s="8" t="s">
        <v>20</v>
      </c>
      <c r="G614" s="8" t="s">
        <v>21</v>
      </c>
      <c r="H614" s="8" t="s">
        <v>795</v>
      </c>
      <c r="I614" s="3">
        <v>2</v>
      </c>
      <c r="J614" s="8" t="s">
        <v>724</v>
      </c>
      <c r="K614" s="8" t="s">
        <v>725</v>
      </c>
      <c r="L614" s="8" t="s">
        <v>723</v>
      </c>
      <c r="M614" s="1" t="s">
        <v>786</v>
      </c>
      <c r="N614" s="8" t="s">
        <v>787</v>
      </c>
      <c r="O614" s="6">
        <v>0</v>
      </c>
      <c r="P614" s="6">
        <v>0</v>
      </c>
      <c r="Q614" s="6">
        <v>0</v>
      </c>
      <c r="R614" s="6">
        <v>0</v>
      </c>
      <c r="S614" s="6">
        <v>225</v>
      </c>
    </row>
    <row r="615" spans="1:19" ht="15" x14ac:dyDescent="0.25">
      <c r="A615" s="7" t="s">
        <v>16</v>
      </c>
      <c r="B615" s="7" t="s">
        <v>17</v>
      </c>
      <c r="C615" s="7" t="s">
        <v>18</v>
      </c>
      <c r="D615" s="3">
        <v>60777901000116</v>
      </c>
      <c r="E615" s="8" t="s">
        <v>45</v>
      </c>
      <c r="F615" s="8" t="s">
        <v>20</v>
      </c>
      <c r="G615" s="8" t="s">
        <v>21</v>
      </c>
      <c r="H615" s="8" t="s">
        <v>795</v>
      </c>
      <c r="I615" s="3">
        <v>2</v>
      </c>
      <c r="J615" s="8" t="s">
        <v>740</v>
      </c>
      <c r="K615" s="8" t="s">
        <v>741</v>
      </c>
      <c r="L615" s="8" t="s">
        <v>730</v>
      </c>
      <c r="M615" s="1" t="s">
        <v>786</v>
      </c>
      <c r="N615" s="8" t="s">
        <v>787</v>
      </c>
      <c r="O615" s="6">
        <v>0</v>
      </c>
      <c r="P615" s="6">
        <v>0</v>
      </c>
      <c r="Q615" s="6">
        <v>0</v>
      </c>
      <c r="R615" s="6">
        <v>0</v>
      </c>
      <c r="S615" s="6">
        <v>1650</v>
      </c>
    </row>
    <row r="616" spans="1:19" ht="15" x14ac:dyDescent="0.25">
      <c r="A616" s="7" t="s">
        <v>16</v>
      </c>
      <c r="B616" s="7" t="s">
        <v>17</v>
      </c>
      <c r="C616" s="7" t="s">
        <v>18</v>
      </c>
      <c r="D616" s="3">
        <v>60777901000116</v>
      </c>
      <c r="E616" s="8" t="s">
        <v>45</v>
      </c>
      <c r="F616" s="8" t="s">
        <v>20</v>
      </c>
      <c r="G616" s="8" t="s">
        <v>21</v>
      </c>
      <c r="H616" s="8" t="s">
        <v>795</v>
      </c>
      <c r="I616" s="3">
        <v>2</v>
      </c>
      <c r="J616" s="8" t="s">
        <v>762</v>
      </c>
      <c r="K616" s="8" t="s">
        <v>763</v>
      </c>
      <c r="L616" s="8" t="s">
        <v>723</v>
      </c>
      <c r="M616" s="1" t="s">
        <v>786</v>
      </c>
      <c r="N616" s="8" t="s">
        <v>787</v>
      </c>
      <c r="O616" s="6">
        <v>0</v>
      </c>
      <c r="P616" s="6">
        <v>0</v>
      </c>
      <c r="Q616" s="6">
        <v>0</v>
      </c>
      <c r="R616" s="6">
        <v>0</v>
      </c>
      <c r="S616" s="6">
        <v>1650</v>
      </c>
    </row>
    <row r="617" spans="1:19" ht="15" x14ac:dyDescent="0.25">
      <c r="A617" s="7" t="s">
        <v>16</v>
      </c>
      <c r="B617" s="7" t="s">
        <v>17</v>
      </c>
      <c r="C617" s="7" t="s">
        <v>18</v>
      </c>
      <c r="D617" s="3">
        <v>60975737001204</v>
      </c>
      <c r="E617" s="8" t="s">
        <v>88</v>
      </c>
      <c r="F617" s="8" t="s">
        <v>20</v>
      </c>
      <c r="G617" s="8" t="s">
        <v>21</v>
      </c>
      <c r="H617" s="8" t="s">
        <v>795</v>
      </c>
      <c r="I617" s="3">
        <v>2</v>
      </c>
      <c r="J617" s="8" t="s">
        <v>740</v>
      </c>
      <c r="K617" s="8" t="s">
        <v>741</v>
      </c>
      <c r="L617" s="8" t="s">
        <v>730</v>
      </c>
      <c r="M617" s="1" t="s">
        <v>786</v>
      </c>
      <c r="N617" s="8" t="s">
        <v>787</v>
      </c>
      <c r="O617" s="6">
        <v>0</v>
      </c>
      <c r="P617" s="6">
        <v>0</v>
      </c>
      <c r="Q617" s="6">
        <v>0</v>
      </c>
      <c r="R617" s="6">
        <v>0</v>
      </c>
      <c r="S617" s="6">
        <v>0</v>
      </c>
    </row>
    <row r="618" spans="1:19" ht="15" x14ac:dyDescent="0.25">
      <c r="A618" s="7" t="s">
        <v>16</v>
      </c>
      <c r="B618" s="7" t="s">
        <v>17</v>
      </c>
      <c r="C618" s="7" t="s">
        <v>18</v>
      </c>
      <c r="D618" s="3">
        <v>60975737001204</v>
      </c>
      <c r="E618" s="8" t="s">
        <v>88</v>
      </c>
      <c r="F618" s="8" t="s">
        <v>20</v>
      </c>
      <c r="G618" s="8" t="s">
        <v>21</v>
      </c>
      <c r="H618" s="8" t="s">
        <v>795</v>
      </c>
      <c r="I618" s="3">
        <v>2</v>
      </c>
      <c r="J618" s="8" t="s">
        <v>756</v>
      </c>
      <c r="K618" s="8" t="s">
        <v>757</v>
      </c>
      <c r="L618" s="8" t="s">
        <v>723</v>
      </c>
      <c r="M618" s="1" t="s">
        <v>786</v>
      </c>
      <c r="N618" s="8" t="s">
        <v>787</v>
      </c>
      <c r="O618" s="6">
        <v>0</v>
      </c>
      <c r="P618" s="6">
        <v>6</v>
      </c>
      <c r="Q618" s="6">
        <v>0</v>
      </c>
      <c r="R618" s="6">
        <v>0</v>
      </c>
      <c r="S618" s="6">
        <v>0</v>
      </c>
    </row>
    <row r="619" spans="1:19" ht="15" x14ac:dyDescent="0.25">
      <c r="A619" s="7" t="s">
        <v>16</v>
      </c>
      <c r="B619" s="7" t="s">
        <v>17</v>
      </c>
      <c r="C619" s="7" t="s">
        <v>18</v>
      </c>
      <c r="D619" s="3">
        <v>6047087003820</v>
      </c>
      <c r="E619" s="8" t="s">
        <v>75</v>
      </c>
      <c r="F619" s="8" t="s">
        <v>20</v>
      </c>
      <c r="G619" s="8" t="s">
        <v>21</v>
      </c>
      <c r="H619" s="8" t="s">
        <v>795</v>
      </c>
      <c r="I619" s="3">
        <v>2</v>
      </c>
      <c r="J619" s="8" t="s">
        <v>740</v>
      </c>
      <c r="K619" s="8" t="s">
        <v>741</v>
      </c>
      <c r="L619" s="8" t="s">
        <v>730</v>
      </c>
      <c r="M619" s="1" t="s">
        <v>786</v>
      </c>
      <c r="N619" s="8" t="s">
        <v>787</v>
      </c>
      <c r="O619" s="6">
        <v>0</v>
      </c>
      <c r="P619" s="6">
        <v>0</v>
      </c>
      <c r="Q619" s="6">
        <v>0</v>
      </c>
      <c r="R619" s="6">
        <v>0</v>
      </c>
      <c r="S619" s="6">
        <v>0</v>
      </c>
    </row>
    <row r="620" spans="1:19" ht="15" x14ac:dyDescent="0.25">
      <c r="A620" s="7" t="s">
        <v>16</v>
      </c>
      <c r="B620" s="7" t="s">
        <v>17</v>
      </c>
      <c r="C620" s="7" t="s">
        <v>18</v>
      </c>
      <c r="D620" s="3">
        <v>6047087003820</v>
      </c>
      <c r="E620" s="8" t="s">
        <v>75</v>
      </c>
      <c r="F620" s="8" t="s">
        <v>20</v>
      </c>
      <c r="G620" s="8" t="s">
        <v>21</v>
      </c>
      <c r="H620" s="8" t="s">
        <v>795</v>
      </c>
      <c r="I620" s="3">
        <v>2</v>
      </c>
      <c r="J620" s="8" t="s">
        <v>724</v>
      </c>
      <c r="K620" s="8" t="s">
        <v>725</v>
      </c>
      <c r="L620" s="8" t="s">
        <v>723</v>
      </c>
      <c r="M620" s="1" t="s">
        <v>786</v>
      </c>
      <c r="N620" s="8" t="s">
        <v>787</v>
      </c>
      <c r="O620" s="6">
        <v>0</v>
      </c>
      <c r="P620" s="6">
        <v>3</v>
      </c>
      <c r="Q620" s="6">
        <v>6</v>
      </c>
      <c r="R620" s="6">
        <v>0</v>
      </c>
      <c r="S620" s="6">
        <v>0</v>
      </c>
    </row>
    <row r="621" spans="1:19" ht="15" x14ac:dyDescent="0.25">
      <c r="A621" s="7" t="s">
        <v>16</v>
      </c>
      <c r="B621" s="7" t="s">
        <v>17</v>
      </c>
      <c r="C621" s="7" t="s">
        <v>18</v>
      </c>
      <c r="D621" s="3">
        <v>28290788000137</v>
      </c>
      <c r="E621" s="8" t="s">
        <v>82</v>
      </c>
      <c r="F621" s="8" t="s">
        <v>20</v>
      </c>
      <c r="G621" s="8" t="s">
        <v>21</v>
      </c>
      <c r="H621" s="8" t="s">
        <v>795</v>
      </c>
      <c r="I621" s="3">
        <v>2</v>
      </c>
      <c r="J621" s="8" t="s">
        <v>740</v>
      </c>
      <c r="K621" s="8" t="s">
        <v>741</v>
      </c>
      <c r="L621" s="8" t="s">
        <v>730</v>
      </c>
      <c r="M621" s="1" t="s">
        <v>786</v>
      </c>
      <c r="N621" s="8" t="s">
        <v>787</v>
      </c>
      <c r="O621" s="6">
        <v>0</v>
      </c>
      <c r="P621" s="6">
        <v>0</v>
      </c>
      <c r="Q621" s="6">
        <v>0</v>
      </c>
      <c r="R621" s="6">
        <v>0</v>
      </c>
      <c r="S621" s="6">
        <v>0</v>
      </c>
    </row>
    <row r="622" spans="1:19" ht="15" x14ac:dyDescent="0.25">
      <c r="A622" s="7" t="s">
        <v>16</v>
      </c>
      <c r="B622" s="7" t="s">
        <v>17</v>
      </c>
      <c r="C622" s="7" t="s">
        <v>18</v>
      </c>
      <c r="D622" s="3">
        <v>28290788000137</v>
      </c>
      <c r="E622" s="8" t="s">
        <v>82</v>
      </c>
      <c r="F622" s="8" t="s">
        <v>20</v>
      </c>
      <c r="G622" s="8" t="s">
        <v>21</v>
      </c>
      <c r="H622" s="8" t="s">
        <v>795</v>
      </c>
      <c r="I622" s="3">
        <v>2</v>
      </c>
      <c r="J622" s="8" t="s">
        <v>724</v>
      </c>
      <c r="K622" s="8" t="s">
        <v>725</v>
      </c>
      <c r="L622" s="8" t="s">
        <v>723</v>
      </c>
      <c r="M622" s="1" t="s">
        <v>786</v>
      </c>
      <c r="N622" s="8" t="s">
        <v>787</v>
      </c>
      <c r="O622" s="6">
        <v>0</v>
      </c>
      <c r="P622" s="6">
        <v>0</v>
      </c>
      <c r="Q622" s="6">
        <v>34</v>
      </c>
      <c r="R622" s="6">
        <v>0</v>
      </c>
      <c r="S622" s="6">
        <v>0</v>
      </c>
    </row>
    <row r="623" spans="1:19" ht="15" x14ac:dyDescent="0.25">
      <c r="A623" s="7" t="s">
        <v>16</v>
      </c>
      <c r="B623" s="7" t="s">
        <v>17</v>
      </c>
      <c r="C623" s="7" t="s">
        <v>18</v>
      </c>
      <c r="D623" s="3">
        <v>5831510000124</v>
      </c>
      <c r="E623" s="8" t="s">
        <v>24</v>
      </c>
      <c r="F623" s="8" t="s">
        <v>20</v>
      </c>
      <c r="G623" s="8" t="s">
        <v>21</v>
      </c>
      <c r="H623" s="8" t="s">
        <v>795</v>
      </c>
      <c r="I623" s="3">
        <v>2</v>
      </c>
      <c r="J623" s="8" t="s">
        <v>740</v>
      </c>
      <c r="K623" s="8" t="s">
        <v>741</v>
      </c>
      <c r="L623" s="8" t="s">
        <v>730</v>
      </c>
      <c r="M623" s="1" t="s">
        <v>786</v>
      </c>
      <c r="N623" s="8" t="s">
        <v>787</v>
      </c>
      <c r="O623" s="6">
        <v>0</v>
      </c>
      <c r="P623" s="6">
        <v>0</v>
      </c>
      <c r="Q623" s="6">
        <v>0</v>
      </c>
      <c r="R623" s="6">
        <v>0</v>
      </c>
      <c r="S623" s="6">
        <v>195</v>
      </c>
    </row>
    <row r="624" spans="1:19" ht="15" x14ac:dyDescent="0.25">
      <c r="A624" s="7" t="s">
        <v>16</v>
      </c>
      <c r="B624" s="7" t="s">
        <v>17</v>
      </c>
      <c r="C624" s="7" t="s">
        <v>18</v>
      </c>
      <c r="D624" s="3">
        <v>5831510000124</v>
      </c>
      <c r="E624" s="8" t="s">
        <v>24</v>
      </c>
      <c r="F624" s="8" t="s">
        <v>20</v>
      </c>
      <c r="G624" s="8" t="s">
        <v>21</v>
      </c>
      <c r="H624" s="8" t="s">
        <v>795</v>
      </c>
      <c r="I624" s="3">
        <v>2</v>
      </c>
      <c r="J624" s="8" t="s">
        <v>724</v>
      </c>
      <c r="K624" s="8" t="s">
        <v>725</v>
      </c>
      <c r="L624" s="8" t="s">
        <v>723</v>
      </c>
      <c r="M624" s="1" t="s">
        <v>786</v>
      </c>
      <c r="N624" s="8" t="s">
        <v>787</v>
      </c>
      <c r="O624" s="6">
        <v>0</v>
      </c>
      <c r="P624" s="6">
        <v>0</v>
      </c>
      <c r="Q624" s="6">
        <v>0</v>
      </c>
      <c r="R624" s="6">
        <v>0</v>
      </c>
      <c r="S624" s="6">
        <v>195</v>
      </c>
    </row>
    <row r="625" spans="1:19" ht="15" x14ac:dyDescent="0.25">
      <c r="A625" s="7" t="s">
        <v>16</v>
      </c>
      <c r="B625" s="7" t="s">
        <v>17</v>
      </c>
      <c r="C625" s="7" t="s">
        <v>18</v>
      </c>
      <c r="D625" s="3">
        <v>461479004584</v>
      </c>
      <c r="E625" s="8" t="s">
        <v>19</v>
      </c>
      <c r="F625" s="8" t="s">
        <v>20</v>
      </c>
      <c r="G625" s="8" t="s">
        <v>21</v>
      </c>
      <c r="H625" s="8" t="s">
        <v>795</v>
      </c>
      <c r="I625" s="3">
        <v>2</v>
      </c>
      <c r="J625" s="8" t="s">
        <v>740</v>
      </c>
      <c r="K625" s="8" t="s">
        <v>741</v>
      </c>
      <c r="L625" s="8" t="s">
        <v>730</v>
      </c>
      <c r="M625" s="1" t="s">
        <v>786</v>
      </c>
      <c r="N625" s="8" t="s">
        <v>787</v>
      </c>
      <c r="O625" s="6">
        <v>0</v>
      </c>
      <c r="P625" s="6">
        <v>0</v>
      </c>
      <c r="Q625" s="6">
        <v>0</v>
      </c>
      <c r="R625" s="6">
        <v>0</v>
      </c>
      <c r="S625" s="6">
        <v>225</v>
      </c>
    </row>
    <row r="626" spans="1:19" ht="15" x14ac:dyDescent="0.25">
      <c r="A626" s="7" t="s">
        <v>16</v>
      </c>
      <c r="B626" s="7" t="s">
        <v>17</v>
      </c>
      <c r="C626" s="7" t="s">
        <v>18</v>
      </c>
      <c r="D626" s="3">
        <v>461479004584</v>
      </c>
      <c r="E626" s="8" t="s">
        <v>19</v>
      </c>
      <c r="F626" s="8" t="s">
        <v>20</v>
      </c>
      <c r="G626" s="8" t="s">
        <v>21</v>
      </c>
      <c r="H626" s="8" t="s">
        <v>795</v>
      </c>
      <c r="I626" s="3">
        <v>2</v>
      </c>
      <c r="J626" s="8" t="s">
        <v>724</v>
      </c>
      <c r="K626" s="8" t="s">
        <v>725</v>
      </c>
      <c r="L626" s="8" t="s">
        <v>723</v>
      </c>
      <c r="M626" s="1" t="s">
        <v>786</v>
      </c>
      <c r="N626" s="8" t="s">
        <v>787</v>
      </c>
      <c r="O626" s="6">
        <v>0</v>
      </c>
      <c r="P626" s="6">
        <v>0</v>
      </c>
      <c r="Q626" s="6">
        <v>0</v>
      </c>
      <c r="R626" s="6">
        <v>0</v>
      </c>
      <c r="S626" s="6">
        <v>225</v>
      </c>
    </row>
    <row r="627" spans="1:19" ht="15" x14ac:dyDescent="0.25">
      <c r="A627" s="7" t="s">
        <v>16</v>
      </c>
      <c r="B627" s="7" t="s">
        <v>17</v>
      </c>
      <c r="C627" s="7" t="s">
        <v>18</v>
      </c>
      <c r="D627" s="3">
        <v>56577059000606</v>
      </c>
      <c r="E627" s="8" t="s">
        <v>84</v>
      </c>
      <c r="F627" s="8" t="s">
        <v>20</v>
      </c>
      <c r="G627" s="8" t="s">
        <v>21</v>
      </c>
      <c r="H627" s="8" t="s">
        <v>795</v>
      </c>
      <c r="I627" s="3">
        <v>2</v>
      </c>
      <c r="J627" s="8" t="s">
        <v>770</v>
      </c>
      <c r="K627" s="8" t="s">
        <v>771</v>
      </c>
      <c r="L627" s="8" t="s">
        <v>730</v>
      </c>
      <c r="M627" s="1" t="s">
        <v>786</v>
      </c>
      <c r="N627" s="8" t="s">
        <v>787</v>
      </c>
      <c r="O627" s="6">
        <v>0</v>
      </c>
      <c r="P627" s="6">
        <v>0</v>
      </c>
      <c r="Q627" s="6">
        <v>0</v>
      </c>
      <c r="R627" s="6">
        <v>0</v>
      </c>
      <c r="S627" s="6">
        <v>0</v>
      </c>
    </row>
    <row r="628" spans="1:19" ht="15" x14ac:dyDescent="0.25">
      <c r="A628" s="7" t="s">
        <v>16</v>
      </c>
      <c r="B628" s="7" t="s">
        <v>17</v>
      </c>
      <c r="C628" s="7" t="s">
        <v>18</v>
      </c>
      <c r="D628" s="3">
        <v>56577059000606</v>
      </c>
      <c r="E628" s="8" t="s">
        <v>84</v>
      </c>
      <c r="F628" s="8" t="s">
        <v>20</v>
      </c>
      <c r="G628" s="8" t="s">
        <v>21</v>
      </c>
      <c r="H628" s="8" t="s">
        <v>795</v>
      </c>
      <c r="I628" s="3">
        <v>2</v>
      </c>
      <c r="J628" s="8" t="s">
        <v>756</v>
      </c>
      <c r="K628" s="8" t="s">
        <v>757</v>
      </c>
      <c r="L628" s="8" t="s">
        <v>723</v>
      </c>
      <c r="M628" s="1" t="s">
        <v>786</v>
      </c>
      <c r="N628" s="8" t="s">
        <v>787</v>
      </c>
      <c r="O628" s="6">
        <v>0</v>
      </c>
      <c r="P628" s="6">
        <v>30</v>
      </c>
      <c r="Q628" s="6">
        <v>0</v>
      </c>
      <c r="R628" s="6">
        <v>0</v>
      </c>
      <c r="S628" s="6">
        <v>0</v>
      </c>
    </row>
    <row r="629" spans="1:19" ht="15" x14ac:dyDescent="0.25">
      <c r="A629" s="7" t="s">
        <v>16</v>
      </c>
      <c r="B629" s="7" t="s">
        <v>17</v>
      </c>
      <c r="C629" s="7" t="s">
        <v>18</v>
      </c>
      <c r="D629" s="3">
        <v>44649812005520</v>
      </c>
      <c r="E629" s="8" t="s">
        <v>38</v>
      </c>
      <c r="F629" s="8" t="s">
        <v>20</v>
      </c>
      <c r="G629" s="8" t="s">
        <v>21</v>
      </c>
      <c r="H629" s="8" t="s">
        <v>795</v>
      </c>
      <c r="I629" s="3">
        <v>2</v>
      </c>
      <c r="J629" s="8" t="s">
        <v>740</v>
      </c>
      <c r="K629" s="8" t="s">
        <v>741</v>
      </c>
      <c r="L629" s="8" t="s">
        <v>730</v>
      </c>
      <c r="M629" s="1" t="s">
        <v>786</v>
      </c>
      <c r="N629" s="8" t="s">
        <v>787</v>
      </c>
      <c r="O629" s="6">
        <v>0</v>
      </c>
      <c r="P629" s="6">
        <v>0</v>
      </c>
      <c r="Q629" s="6">
        <v>0</v>
      </c>
      <c r="R629" s="6">
        <v>0</v>
      </c>
      <c r="S629" s="6">
        <v>10</v>
      </c>
    </row>
    <row r="630" spans="1:19" ht="15" x14ac:dyDescent="0.25">
      <c r="A630" s="7" t="s">
        <v>16</v>
      </c>
      <c r="B630" s="7" t="s">
        <v>17</v>
      </c>
      <c r="C630" s="7" t="s">
        <v>18</v>
      </c>
      <c r="D630" s="3">
        <v>44649812005520</v>
      </c>
      <c r="E630" s="8" t="s">
        <v>38</v>
      </c>
      <c r="F630" s="8" t="s">
        <v>20</v>
      </c>
      <c r="G630" s="8" t="s">
        <v>21</v>
      </c>
      <c r="H630" s="8" t="s">
        <v>795</v>
      </c>
      <c r="I630" s="3">
        <v>2</v>
      </c>
      <c r="J630" s="8" t="s">
        <v>724</v>
      </c>
      <c r="K630" s="8" t="s">
        <v>725</v>
      </c>
      <c r="L630" s="8" t="s">
        <v>723</v>
      </c>
      <c r="M630" s="1" t="s">
        <v>786</v>
      </c>
      <c r="N630" s="8" t="s">
        <v>787</v>
      </c>
      <c r="O630" s="6">
        <v>0</v>
      </c>
      <c r="P630" s="6">
        <v>0</v>
      </c>
      <c r="Q630" s="6">
        <v>0</v>
      </c>
      <c r="R630" s="6">
        <v>0</v>
      </c>
      <c r="S630" s="6">
        <v>10</v>
      </c>
    </row>
    <row r="631" spans="1:19" ht="15" x14ac:dyDescent="0.25">
      <c r="A631" s="7" t="s">
        <v>16</v>
      </c>
      <c r="B631" s="7" t="s">
        <v>17</v>
      </c>
      <c r="C631" s="7" t="s">
        <v>18</v>
      </c>
      <c r="D631" s="3">
        <v>62779145000190</v>
      </c>
      <c r="E631" s="8" t="s">
        <v>91</v>
      </c>
      <c r="F631" s="8" t="s">
        <v>20</v>
      </c>
      <c r="G631" s="8" t="s">
        <v>21</v>
      </c>
      <c r="H631" s="8" t="s">
        <v>795</v>
      </c>
      <c r="I631" s="3">
        <v>2</v>
      </c>
      <c r="J631" s="8" t="s">
        <v>770</v>
      </c>
      <c r="K631" s="8" t="s">
        <v>771</v>
      </c>
      <c r="L631" s="8" t="s">
        <v>730</v>
      </c>
      <c r="M631" s="1" t="s">
        <v>786</v>
      </c>
      <c r="N631" s="8" t="s">
        <v>787</v>
      </c>
      <c r="O631" s="6">
        <v>0</v>
      </c>
      <c r="P631" s="6">
        <v>0</v>
      </c>
      <c r="Q631" s="6">
        <v>0</v>
      </c>
      <c r="R631" s="6">
        <v>0</v>
      </c>
      <c r="S631" s="6">
        <v>0</v>
      </c>
    </row>
    <row r="632" spans="1:19" ht="15" x14ac:dyDescent="0.25">
      <c r="A632" s="7" t="s">
        <v>16</v>
      </c>
      <c r="B632" s="7" t="s">
        <v>17</v>
      </c>
      <c r="C632" s="7" t="s">
        <v>18</v>
      </c>
      <c r="D632" s="3">
        <v>62779145000190</v>
      </c>
      <c r="E632" s="8" t="s">
        <v>91</v>
      </c>
      <c r="F632" s="8" t="s">
        <v>20</v>
      </c>
      <c r="G632" s="8" t="s">
        <v>21</v>
      </c>
      <c r="H632" s="8" t="s">
        <v>795</v>
      </c>
      <c r="I632" s="3">
        <v>2</v>
      </c>
      <c r="J632" s="8" t="s">
        <v>756</v>
      </c>
      <c r="K632" s="8" t="s">
        <v>757</v>
      </c>
      <c r="L632" s="8" t="s">
        <v>723</v>
      </c>
      <c r="M632" s="1" t="s">
        <v>786</v>
      </c>
      <c r="N632" s="8" t="s">
        <v>787</v>
      </c>
      <c r="O632" s="6">
        <v>0</v>
      </c>
      <c r="P632" s="6">
        <v>2</v>
      </c>
      <c r="Q632" s="6">
        <v>0</v>
      </c>
      <c r="R632" s="6">
        <v>0</v>
      </c>
      <c r="S632" s="6">
        <v>0</v>
      </c>
    </row>
    <row r="633" spans="1:19" ht="15" x14ac:dyDescent="0.25">
      <c r="A633" s="7" t="s">
        <v>16</v>
      </c>
      <c r="B633" s="7" t="s">
        <v>17</v>
      </c>
      <c r="C633" s="7" t="s">
        <v>18</v>
      </c>
      <c r="D633" s="3">
        <v>13718999000150</v>
      </c>
      <c r="E633" s="8" t="s">
        <v>79</v>
      </c>
      <c r="F633" s="8" t="s">
        <v>20</v>
      </c>
      <c r="G633" s="8" t="s">
        <v>21</v>
      </c>
      <c r="H633" s="8" t="s">
        <v>795</v>
      </c>
      <c r="I633" s="3">
        <v>2</v>
      </c>
      <c r="J633" s="8" t="s">
        <v>740</v>
      </c>
      <c r="K633" s="8" t="s">
        <v>741</v>
      </c>
      <c r="L633" s="8" t="s">
        <v>730</v>
      </c>
      <c r="M633" s="1" t="s">
        <v>786</v>
      </c>
      <c r="N633" s="8" t="s">
        <v>787</v>
      </c>
      <c r="O633" s="6">
        <v>0</v>
      </c>
      <c r="P633" s="6">
        <v>0</v>
      </c>
      <c r="Q633" s="6">
        <v>0</v>
      </c>
      <c r="R633" s="6">
        <v>4</v>
      </c>
      <c r="S633" s="6">
        <v>0</v>
      </c>
    </row>
    <row r="634" spans="1:19" ht="15" x14ac:dyDescent="0.25">
      <c r="A634" s="7" t="s">
        <v>16</v>
      </c>
      <c r="B634" s="7" t="s">
        <v>17</v>
      </c>
      <c r="C634" s="7" t="s">
        <v>18</v>
      </c>
      <c r="D634" s="3">
        <v>13718999000150</v>
      </c>
      <c r="E634" s="8" t="s">
        <v>79</v>
      </c>
      <c r="F634" s="8" t="s">
        <v>20</v>
      </c>
      <c r="G634" s="8" t="s">
        <v>21</v>
      </c>
      <c r="H634" s="8" t="s">
        <v>795</v>
      </c>
      <c r="I634" s="3">
        <v>2</v>
      </c>
      <c r="J634" s="8" t="s">
        <v>724</v>
      </c>
      <c r="K634" s="8" t="s">
        <v>725</v>
      </c>
      <c r="L634" s="8" t="s">
        <v>723</v>
      </c>
      <c r="M634" s="1" t="s">
        <v>786</v>
      </c>
      <c r="N634" s="8" t="s">
        <v>787</v>
      </c>
      <c r="O634" s="6">
        <v>0</v>
      </c>
      <c r="P634" s="6">
        <v>0</v>
      </c>
      <c r="Q634" s="6">
        <v>0</v>
      </c>
      <c r="R634" s="6">
        <v>0</v>
      </c>
      <c r="S634" s="6">
        <v>0</v>
      </c>
    </row>
    <row r="635" spans="1:19" ht="15" x14ac:dyDescent="0.25">
      <c r="A635" s="7" t="s">
        <v>16</v>
      </c>
      <c r="B635" s="7" t="s">
        <v>17</v>
      </c>
      <c r="C635" s="7" t="s">
        <v>18</v>
      </c>
      <c r="D635" s="3">
        <v>4036348000190</v>
      </c>
      <c r="E635" s="8" t="s">
        <v>23</v>
      </c>
      <c r="F635" s="8" t="s">
        <v>20</v>
      </c>
      <c r="G635" s="8" t="s">
        <v>21</v>
      </c>
      <c r="H635" s="8" t="s">
        <v>795</v>
      </c>
      <c r="I635" s="3">
        <v>2</v>
      </c>
      <c r="J635" s="8" t="s">
        <v>740</v>
      </c>
      <c r="K635" s="8" t="s">
        <v>741</v>
      </c>
      <c r="L635" s="8" t="s">
        <v>730</v>
      </c>
      <c r="M635" s="1" t="s">
        <v>786</v>
      </c>
      <c r="N635" s="8" t="s">
        <v>787</v>
      </c>
      <c r="O635" s="6">
        <v>0</v>
      </c>
      <c r="P635" s="6">
        <v>0</v>
      </c>
      <c r="Q635" s="6">
        <v>0</v>
      </c>
      <c r="R635" s="6">
        <v>0</v>
      </c>
      <c r="S635" s="6">
        <v>515</v>
      </c>
    </row>
    <row r="636" spans="1:19" ht="15" x14ac:dyDescent="0.25">
      <c r="A636" s="7" t="s">
        <v>16</v>
      </c>
      <c r="B636" s="7" t="s">
        <v>17</v>
      </c>
      <c r="C636" s="7" t="s">
        <v>18</v>
      </c>
      <c r="D636" s="3">
        <v>4036348000190</v>
      </c>
      <c r="E636" s="8" t="s">
        <v>23</v>
      </c>
      <c r="F636" s="8" t="s">
        <v>20</v>
      </c>
      <c r="G636" s="8" t="s">
        <v>21</v>
      </c>
      <c r="H636" s="8" t="s">
        <v>795</v>
      </c>
      <c r="I636" s="3">
        <v>2</v>
      </c>
      <c r="J636" s="8" t="s">
        <v>724</v>
      </c>
      <c r="K636" s="8" t="s">
        <v>725</v>
      </c>
      <c r="L636" s="8" t="s">
        <v>723</v>
      </c>
      <c r="M636" s="1" t="s">
        <v>786</v>
      </c>
      <c r="N636" s="8" t="s">
        <v>787</v>
      </c>
      <c r="O636" s="6">
        <v>0</v>
      </c>
      <c r="P636" s="6">
        <v>0</v>
      </c>
      <c r="Q636" s="6">
        <v>0</v>
      </c>
      <c r="R636" s="6">
        <v>0</v>
      </c>
      <c r="S636" s="6">
        <v>515</v>
      </c>
    </row>
    <row r="637" spans="1:19" ht="15" x14ac:dyDescent="0.25">
      <c r="A637" s="7" t="s">
        <v>16</v>
      </c>
      <c r="B637" s="7" t="s">
        <v>17</v>
      </c>
      <c r="C637" s="7" t="s">
        <v>18</v>
      </c>
      <c r="D637" s="3">
        <v>10211939000230</v>
      </c>
      <c r="E637" s="8" t="s">
        <v>77</v>
      </c>
      <c r="F637" s="8" t="s">
        <v>20</v>
      </c>
      <c r="G637" s="8" t="s">
        <v>21</v>
      </c>
      <c r="H637" s="8" t="s">
        <v>795</v>
      </c>
      <c r="I637" s="3">
        <v>2</v>
      </c>
      <c r="J637" s="8" t="s">
        <v>770</v>
      </c>
      <c r="K637" s="8" t="s">
        <v>771</v>
      </c>
      <c r="L637" s="8" t="s">
        <v>730</v>
      </c>
      <c r="M637" s="1" t="s">
        <v>786</v>
      </c>
      <c r="N637" s="8" t="s">
        <v>787</v>
      </c>
      <c r="O637" s="6">
        <v>0</v>
      </c>
      <c r="P637" s="6">
        <v>0</v>
      </c>
      <c r="Q637" s="6">
        <v>0</v>
      </c>
      <c r="R637" s="6">
        <v>8</v>
      </c>
      <c r="S637" s="6">
        <v>0</v>
      </c>
    </row>
    <row r="638" spans="1:19" ht="15" x14ac:dyDescent="0.25">
      <c r="A638" s="7" t="s">
        <v>16</v>
      </c>
      <c r="B638" s="7" t="s">
        <v>17</v>
      </c>
      <c r="C638" s="7" t="s">
        <v>18</v>
      </c>
      <c r="D638" s="3">
        <v>10211939000230</v>
      </c>
      <c r="E638" s="8" t="s">
        <v>77</v>
      </c>
      <c r="F638" s="8" t="s">
        <v>20</v>
      </c>
      <c r="G638" s="8" t="s">
        <v>21</v>
      </c>
      <c r="H638" s="8" t="s">
        <v>795</v>
      </c>
      <c r="I638" s="3">
        <v>2</v>
      </c>
      <c r="J638" s="8" t="s">
        <v>762</v>
      </c>
      <c r="K638" s="8" t="s">
        <v>763</v>
      </c>
      <c r="L638" s="8" t="s">
        <v>723</v>
      </c>
      <c r="M638" s="1" t="s">
        <v>786</v>
      </c>
      <c r="N638" s="8" t="s">
        <v>787</v>
      </c>
      <c r="O638" s="6">
        <v>0</v>
      </c>
      <c r="P638" s="6">
        <v>0</v>
      </c>
      <c r="Q638" s="6">
        <v>0</v>
      </c>
      <c r="R638" s="6">
        <v>0</v>
      </c>
      <c r="S638" s="6">
        <v>0</v>
      </c>
    </row>
    <row r="639" spans="1:19" ht="15" x14ac:dyDescent="0.25">
      <c r="A639" s="7" t="s">
        <v>16</v>
      </c>
      <c r="B639" s="7" t="s">
        <v>17</v>
      </c>
      <c r="C639" s="7" t="s">
        <v>18</v>
      </c>
      <c r="D639" s="3">
        <v>2837922000183</v>
      </c>
      <c r="E639" s="8" t="s">
        <v>70</v>
      </c>
      <c r="F639" s="8" t="s">
        <v>20</v>
      </c>
      <c r="G639" s="8" t="s">
        <v>21</v>
      </c>
      <c r="H639" s="8" t="s">
        <v>795</v>
      </c>
      <c r="I639" s="3">
        <v>2</v>
      </c>
      <c r="J639" s="8" t="s">
        <v>740</v>
      </c>
      <c r="K639" s="8" t="s">
        <v>741</v>
      </c>
      <c r="L639" s="8" t="s">
        <v>730</v>
      </c>
      <c r="M639" s="1" t="s">
        <v>786</v>
      </c>
      <c r="N639" s="8" t="s">
        <v>787</v>
      </c>
      <c r="O639" s="6">
        <v>0</v>
      </c>
      <c r="P639" s="6">
        <v>0</v>
      </c>
      <c r="Q639" s="6">
        <v>0</v>
      </c>
      <c r="R639" s="6">
        <v>100</v>
      </c>
      <c r="S639" s="6">
        <v>0</v>
      </c>
    </row>
    <row r="640" spans="1:19" ht="15" x14ac:dyDescent="0.25">
      <c r="A640" s="7" t="s">
        <v>16</v>
      </c>
      <c r="B640" s="7" t="s">
        <v>17</v>
      </c>
      <c r="C640" s="7" t="s">
        <v>18</v>
      </c>
      <c r="D640" s="3">
        <v>2837922000183</v>
      </c>
      <c r="E640" s="8" t="s">
        <v>70</v>
      </c>
      <c r="F640" s="8" t="s">
        <v>20</v>
      </c>
      <c r="G640" s="8" t="s">
        <v>21</v>
      </c>
      <c r="H640" s="8" t="s">
        <v>795</v>
      </c>
      <c r="I640" s="3">
        <v>2</v>
      </c>
      <c r="J640" s="8" t="s">
        <v>724</v>
      </c>
      <c r="K640" s="8" t="s">
        <v>725</v>
      </c>
      <c r="L640" s="8" t="s">
        <v>723</v>
      </c>
      <c r="M640" s="1" t="s">
        <v>786</v>
      </c>
      <c r="N640" s="8" t="s">
        <v>787</v>
      </c>
      <c r="O640" s="6">
        <v>0</v>
      </c>
      <c r="P640" s="6">
        <v>0</v>
      </c>
      <c r="Q640" s="6">
        <v>0</v>
      </c>
      <c r="R640" s="6">
        <v>0</v>
      </c>
      <c r="S640" s="6">
        <v>0</v>
      </c>
    </row>
    <row r="641" spans="1:19" ht="15" x14ac:dyDescent="0.25">
      <c r="A641" s="7" t="s">
        <v>16</v>
      </c>
      <c r="B641" s="7" t="s">
        <v>17</v>
      </c>
      <c r="C641" s="7" t="s">
        <v>18</v>
      </c>
      <c r="D641" s="3">
        <v>61599908000158</v>
      </c>
      <c r="E641" s="8" t="s">
        <v>89</v>
      </c>
      <c r="F641" s="8" t="s">
        <v>20</v>
      </c>
      <c r="G641" s="8" t="s">
        <v>21</v>
      </c>
      <c r="H641" s="8" t="s">
        <v>795</v>
      </c>
      <c r="I641" s="3">
        <v>2</v>
      </c>
      <c r="J641" s="8" t="s">
        <v>740</v>
      </c>
      <c r="K641" s="8" t="s">
        <v>741</v>
      </c>
      <c r="L641" s="8" t="s">
        <v>730</v>
      </c>
      <c r="M641" s="1" t="s">
        <v>786</v>
      </c>
      <c r="N641" s="8" t="s">
        <v>787</v>
      </c>
      <c r="O641" s="6">
        <v>0</v>
      </c>
      <c r="P641" s="6">
        <v>0</v>
      </c>
      <c r="Q641" s="6">
        <v>0</v>
      </c>
      <c r="R641" s="6">
        <v>0</v>
      </c>
      <c r="S641" s="6">
        <v>0</v>
      </c>
    </row>
    <row r="642" spans="1:19" ht="15" x14ac:dyDescent="0.25">
      <c r="A642" s="7" t="s">
        <v>16</v>
      </c>
      <c r="B642" s="7" t="s">
        <v>17</v>
      </c>
      <c r="C642" s="7" t="s">
        <v>18</v>
      </c>
      <c r="D642" s="3">
        <v>61599908000158</v>
      </c>
      <c r="E642" s="8" t="s">
        <v>89</v>
      </c>
      <c r="F642" s="8" t="s">
        <v>20</v>
      </c>
      <c r="G642" s="8" t="s">
        <v>21</v>
      </c>
      <c r="H642" s="8" t="s">
        <v>795</v>
      </c>
      <c r="I642" s="3">
        <v>2</v>
      </c>
      <c r="J642" s="8" t="s">
        <v>762</v>
      </c>
      <c r="K642" s="8" t="s">
        <v>763</v>
      </c>
      <c r="L642" s="8" t="s">
        <v>723</v>
      </c>
      <c r="M642" s="1" t="s">
        <v>786</v>
      </c>
      <c r="N642" s="8" t="s">
        <v>787</v>
      </c>
      <c r="O642" s="6">
        <v>0</v>
      </c>
      <c r="P642" s="6">
        <v>130</v>
      </c>
      <c r="Q642" s="6">
        <v>30</v>
      </c>
      <c r="R642" s="6">
        <v>0</v>
      </c>
      <c r="S642" s="6">
        <v>0</v>
      </c>
    </row>
    <row r="643" spans="1:19" ht="15" x14ac:dyDescent="0.25">
      <c r="A643" s="7" t="s">
        <v>16</v>
      </c>
      <c r="B643" s="7" t="s">
        <v>17</v>
      </c>
      <c r="C643" s="7" t="s">
        <v>18</v>
      </c>
      <c r="D643" s="3">
        <v>7045325000130</v>
      </c>
      <c r="E643" s="8" t="s">
        <v>57</v>
      </c>
      <c r="F643" s="8" t="s">
        <v>20</v>
      </c>
      <c r="G643" s="8" t="s">
        <v>21</v>
      </c>
      <c r="H643" s="8" t="s">
        <v>795</v>
      </c>
      <c r="I643" s="3">
        <v>2</v>
      </c>
      <c r="J643" s="8" t="s">
        <v>740</v>
      </c>
      <c r="K643" s="8" t="s">
        <v>741</v>
      </c>
      <c r="L643" s="8" t="s">
        <v>730</v>
      </c>
      <c r="M643" s="1" t="s">
        <v>786</v>
      </c>
      <c r="N643" s="8" t="s">
        <v>787</v>
      </c>
      <c r="O643" s="6">
        <v>0</v>
      </c>
      <c r="P643" s="6">
        <v>0</v>
      </c>
      <c r="Q643" s="6">
        <v>0</v>
      </c>
      <c r="R643" s="6">
        <v>96</v>
      </c>
      <c r="S643" s="6">
        <v>0</v>
      </c>
    </row>
    <row r="644" spans="1:19" ht="15" x14ac:dyDescent="0.25">
      <c r="A644" s="7" t="s">
        <v>16</v>
      </c>
      <c r="B644" s="7" t="s">
        <v>17</v>
      </c>
      <c r="C644" s="7" t="s">
        <v>18</v>
      </c>
      <c r="D644" s="3">
        <v>7045325000130</v>
      </c>
      <c r="E644" s="8" t="s">
        <v>57</v>
      </c>
      <c r="F644" s="8" t="s">
        <v>20</v>
      </c>
      <c r="G644" s="8" t="s">
        <v>21</v>
      </c>
      <c r="H644" s="8" t="s">
        <v>795</v>
      </c>
      <c r="I644" s="3">
        <v>2</v>
      </c>
      <c r="J644" s="8" t="s">
        <v>724</v>
      </c>
      <c r="K644" s="8" t="s">
        <v>725</v>
      </c>
      <c r="L644" s="8" t="s">
        <v>723</v>
      </c>
      <c r="M644" s="1" t="s">
        <v>786</v>
      </c>
      <c r="N644" s="8" t="s">
        <v>787</v>
      </c>
      <c r="O644" s="6">
        <v>0</v>
      </c>
      <c r="P644" s="6">
        <v>0</v>
      </c>
      <c r="Q644" s="6">
        <v>0</v>
      </c>
      <c r="R644" s="6">
        <v>0</v>
      </c>
      <c r="S644" s="6">
        <v>0</v>
      </c>
    </row>
    <row r="645" spans="1:19" ht="15" x14ac:dyDescent="0.25">
      <c r="A645" s="7" t="s">
        <v>16</v>
      </c>
      <c r="B645" s="7" t="s">
        <v>17</v>
      </c>
      <c r="C645" s="7" t="s">
        <v>18</v>
      </c>
      <c r="D645" s="3">
        <v>6047087000210</v>
      </c>
      <c r="E645" s="8" t="s">
        <v>73</v>
      </c>
      <c r="F645" s="8" t="s">
        <v>20</v>
      </c>
      <c r="G645" s="8" t="s">
        <v>21</v>
      </c>
      <c r="H645" s="8" t="s">
        <v>795</v>
      </c>
      <c r="I645" s="3">
        <v>2</v>
      </c>
      <c r="J645" s="8" t="s">
        <v>740</v>
      </c>
      <c r="K645" s="8" t="s">
        <v>741</v>
      </c>
      <c r="L645" s="8" t="s">
        <v>730</v>
      </c>
      <c r="M645" s="1" t="s">
        <v>786</v>
      </c>
      <c r="N645" s="8" t="s">
        <v>787</v>
      </c>
      <c r="O645" s="6">
        <v>0</v>
      </c>
      <c r="P645" s="6">
        <v>0</v>
      </c>
      <c r="Q645" s="6">
        <v>0</v>
      </c>
      <c r="R645" s="6">
        <v>0</v>
      </c>
      <c r="S645" s="6">
        <v>0</v>
      </c>
    </row>
    <row r="646" spans="1:19" ht="15" x14ac:dyDescent="0.25">
      <c r="A646" s="7" t="s">
        <v>16</v>
      </c>
      <c r="B646" s="7" t="s">
        <v>17</v>
      </c>
      <c r="C646" s="7" t="s">
        <v>18</v>
      </c>
      <c r="D646" s="3">
        <v>6047087000210</v>
      </c>
      <c r="E646" s="8" t="s">
        <v>73</v>
      </c>
      <c r="F646" s="8" t="s">
        <v>20</v>
      </c>
      <c r="G646" s="8" t="s">
        <v>21</v>
      </c>
      <c r="H646" s="8" t="s">
        <v>795</v>
      </c>
      <c r="I646" s="3">
        <v>2</v>
      </c>
      <c r="J646" s="8" t="s">
        <v>724</v>
      </c>
      <c r="K646" s="8" t="s">
        <v>725</v>
      </c>
      <c r="L646" s="8" t="s">
        <v>723</v>
      </c>
      <c r="M646" s="1" t="s">
        <v>786</v>
      </c>
      <c r="N646" s="8" t="s">
        <v>787</v>
      </c>
      <c r="O646" s="6">
        <v>0</v>
      </c>
      <c r="P646" s="6">
        <v>43</v>
      </c>
      <c r="Q646" s="6">
        <v>10</v>
      </c>
      <c r="R646" s="6">
        <v>0</v>
      </c>
      <c r="S646" s="6">
        <v>0</v>
      </c>
    </row>
    <row r="647" spans="1:19" ht="15" x14ac:dyDescent="0.25">
      <c r="A647" s="7" t="s">
        <v>16</v>
      </c>
      <c r="B647" s="7" t="s">
        <v>17</v>
      </c>
      <c r="C647" s="7" t="s">
        <v>18</v>
      </c>
      <c r="D647" s="3">
        <v>60961422000155</v>
      </c>
      <c r="E647" s="8" t="s">
        <v>49</v>
      </c>
      <c r="F647" s="8" t="s">
        <v>20</v>
      </c>
      <c r="G647" s="8" t="s">
        <v>21</v>
      </c>
      <c r="H647" s="8" t="s">
        <v>795</v>
      </c>
      <c r="I647" s="3">
        <v>2</v>
      </c>
      <c r="J647" s="8" t="s">
        <v>740</v>
      </c>
      <c r="K647" s="8" t="s">
        <v>741</v>
      </c>
      <c r="L647" s="8" t="s">
        <v>730</v>
      </c>
      <c r="M647" s="1" t="s">
        <v>786</v>
      </c>
      <c r="N647" s="8" t="s">
        <v>787</v>
      </c>
      <c r="O647" s="6">
        <v>0</v>
      </c>
      <c r="P647" s="6">
        <v>0</v>
      </c>
      <c r="Q647" s="6">
        <v>0</v>
      </c>
      <c r="R647" s="6">
        <v>0</v>
      </c>
      <c r="S647" s="6">
        <v>20</v>
      </c>
    </row>
    <row r="648" spans="1:19" ht="15" x14ac:dyDescent="0.25">
      <c r="A648" s="7" t="s">
        <v>16</v>
      </c>
      <c r="B648" s="7" t="s">
        <v>17</v>
      </c>
      <c r="C648" s="7" t="s">
        <v>18</v>
      </c>
      <c r="D648" s="3">
        <v>60961422000155</v>
      </c>
      <c r="E648" s="8" t="s">
        <v>49</v>
      </c>
      <c r="F648" s="8" t="s">
        <v>20</v>
      </c>
      <c r="G648" s="8" t="s">
        <v>21</v>
      </c>
      <c r="H648" s="8" t="s">
        <v>795</v>
      </c>
      <c r="I648" s="3">
        <v>2</v>
      </c>
      <c r="J648" s="8" t="s">
        <v>724</v>
      </c>
      <c r="K648" s="8" t="s">
        <v>725</v>
      </c>
      <c r="L648" s="8" t="s">
        <v>723</v>
      </c>
      <c r="M648" s="1" t="s">
        <v>786</v>
      </c>
      <c r="N648" s="8" t="s">
        <v>787</v>
      </c>
      <c r="O648" s="6">
        <v>0</v>
      </c>
      <c r="P648" s="6">
        <v>10</v>
      </c>
      <c r="Q648" s="6">
        <v>13</v>
      </c>
      <c r="R648" s="6">
        <v>0</v>
      </c>
      <c r="S648" s="6">
        <v>20</v>
      </c>
    </row>
    <row r="649" spans="1:19" ht="15" x14ac:dyDescent="0.25">
      <c r="A649" s="7" t="s">
        <v>16</v>
      </c>
      <c r="B649" s="7" t="s">
        <v>17</v>
      </c>
      <c r="C649" s="7" t="s">
        <v>18</v>
      </c>
      <c r="D649" s="3">
        <v>61590410000124</v>
      </c>
      <c r="E649" s="8" t="s">
        <v>53</v>
      </c>
      <c r="F649" s="8" t="s">
        <v>20</v>
      </c>
      <c r="G649" s="8" t="s">
        <v>21</v>
      </c>
      <c r="H649" s="8" t="s">
        <v>795</v>
      </c>
      <c r="I649" s="3">
        <v>2</v>
      </c>
      <c r="J649" s="8" t="s">
        <v>740</v>
      </c>
      <c r="K649" s="8" t="s">
        <v>741</v>
      </c>
      <c r="L649" s="8" t="s">
        <v>730</v>
      </c>
      <c r="M649" s="1" t="s">
        <v>786</v>
      </c>
      <c r="N649" s="8" t="s">
        <v>787</v>
      </c>
      <c r="O649" s="6">
        <v>0</v>
      </c>
      <c r="P649" s="6">
        <v>0</v>
      </c>
      <c r="Q649" s="6">
        <v>0</v>
      </c>
      <c r="R649" s="6">
        <v>0</v>
      </c>
      <c r="S649" s="6">
        <v>2360</v>
      </c>
    </row>
    <row r="650" spans="1:19" ht="15" x14ac:dyDescent="0.25">
      <c r="A650" s="7" t="s">
        <v>16</v>
      </c>
      <c r="B650" s="7" t="s">
        <v>17</v>
      </c>
      <c r="C650" s="7" t="s">
        <v>18</v>
      </c>
      <c r="D650" s="3">
        <v>61590410000124</v>
      </c>
      <c r="E650" s="8" t="s">
        <v>53</v>
      </c>
      <c r="F650" s="8" t="s">
        <v>20</v>
      </c>
      <c r="G650" s="8" t="s">
        <v>21</v>
      </c>
      <c r="H650" s="8" t="s">
        <v>795</v>
      </c>
      <c r="I650" s="3">
        <v>2</v>
      </c>
      <c r="J650" s="8" t="s">
        <v>756</v>
      </c>
      <c r="K650" s="8" t="s">
        <v>757</v>
      </c>
      <c r="L650" s="8" t="s">
        <v>723</v>
      </c>
      <c r="M650" s="1" t="s">
        <v>786</v>
      </c>
      <c r="N650" s="8" t="s">
        <v>787</v>
      </c>
      <c r="O650" s="6">
        <v>0</v>
      </c>
      <c r="P650" s="6">
        <v>0</v>
      </c>
      <c r="Q650" s="6">
        <v>0</v>
      </c>
      <c r="R650" s="6">
        <v>0</v>
      </c>
      <c r="S650" s="6">
        <v>2360</v>
      </c>
    </row>
    <row r="651" spans="1:19" ht="15" x14ac:dyDescent="0.25">
      <c r="A651" s="7" t="s">
        <v>16</v>
      </c>
      <c r="B651" s="7" t="s">
        <v>17</v>
      </c>
      <c r="C651" s="7" t="s">
        <v>18</v>
      </c>
      <c r="D651" s="3">
        <v>20812223000241</v>
      </c>
      <c r="E651" s="8" t="s">
        <v>81</v>
      </c>
      <c r="F651" s="8" t="s">
        <v>20</v>
      </c>
      <c r="G651" s="8" t="s">
        <v>21</v>
      </c>
      <c r="H651" s="8" t="s">
        <v>795</v>
      </c>
      <c r="I651" s="3">
        <v>2</v>
      </c>
      <c r="J651" s="8" t="s">
        <v>740</v>
      </c>
      <c r="K651" s="8" t="s">
        <v>741</v>
      </c>
      <c r="L651" s="8" t="s">
        <v>730</v>
      </c>
      <c r="M651" s="1" t="s">
        <v>786</v>
      </c>
      <c r="N651" s="8" t="s">
        <v>787</v>
      </c>
      <c r="O651" s="6">
        <v>0</v>
      </c>
      <c r="P651" s="6">
        <v>0</v>
      </c>
      <c r="Q651" s="6">
        <v>0</v>
      </c>
      <c r="R651" s="6">
        <v>10</v>
      </c>
      <c r="S651" s="6">
        <v>0</v>
      </c>
    </row>
    <row r="652" spans="1:19" ht="15" x14ac:dyDescent="0.25">
      <c r="A652" s="7" t="s">
        <v>16</v>
      </c>
      <c r="B652" s="7" t="s">
        <v>17</v>
      </c>
      <c r="C652" s="7" t="s">
        <v>18</v>
      </c>
      <c r="D652" s="3">
        <v>20812223000241</v>
      </c>
      <c r="E652" s="8" t="s">
        <v>81</v>
      </c>
      <c r="F652" s="8" t="s">
        <v>20</v>
      </c>
      <c r="G652" s="8" t="s">
        <v>21</v>
      </c>
      <c r="H652" s="8" t="s">
        <v>795</v>
      </c>
      <c r="I652" s="3">
        <v>2</v>
      </c>
      <c r="J652" s="8" t="s">
        <v>724</v>
      </c>
      <c r="K652" s="8" t="s">
        <v>725</v>
      </c>
      <c r="L652" s="8" t="s">
        <v>723</v>
      </c>
      <c r="M652" s="1" t="s">
        <v>786</v>
      </c>
      <c r="N652" s="8" t="s">
        <v>787</v>
      </c>
      <c r="O652" s="6">
        <v>0</v>
      </c>
      <c r="P652" s="6">
        <v>0</v>
      </c>
      <c r="Q652" s="6">
        <v>0</v>
      </c>
      <c r="R652" s="6">
        <v>0</v>
      </c>
      <c r="S652" s="6">
        <v>0</v>
      </c>
    </row>
    <row r="653" spans="1:19" ht="15" x14ac:dyDescent="0.25">
      <c r="A653" s="7" t="s">
        <v>16</v>
      </c>
      <c r="B653" s="7" t="s">
        <v>17</v>
      </c>
      <c r="C653" s="7" t="s">
        <v>18</v>
      </c>
      <c r="D653" s="3">
        <v>57394710000160</v>
      </c>
      <c r="E653" s="8" t="s">
        <v>41</v>
      </c>
      <c r="F653" s="8" t="s">
        <v>20</v>
      </c>
      <c r="G653" s="8" t="s">
        <v>21</v>
      </c>
      <c r="H653" s="8" t="s">
        <v>795</v>
      </c>
      <c r="I653" s="3">
        <v>2</v>
      </c>
      <c r="J653" s="8" t="s">
        <v>740</v>
      </c>
      <c r="K653" s="8" t="s">
        <v>741</v>
      </c>
      <c r="L653" s="8" t="s">
        <v>730</v>
      </c>
      <c r="M653" s="1" t="s">
        <v>786</v>
      </c>
      <c r="N653" s="8" t="s">
        <v>787</v>
      </c>
      <c r="O653" s="6">
        <v>0</v>
      </c>
      <c r="P653" s="6">
        <v>0</v>
      </c>
      <c r="Q653" s="6">
        <v>0</v>
      </c>
      <c r="R653" s="6">
        <v>0</v>
      </c>
      <c r="S653" s="6">
        <v>25</v>
      </c>
    </row>
    <row r="654" spans="1:19" ht="15" x14ac:dyDescent="0.25">
      <c r="A654" s="7" t="s">
        <v>16</v>
      </c>
      <c r="B654" s="7" t="s">
        <v>17</v>
      </c>
      <c r="C654" s="7" t="s">
        <v>18</v>
      </c>
      <c r="D654" s="3">
        <v>57394710000160</v>
      </c>
      <c r="E654" s="8" t="s">
        <v>41</v>
      </c>
      <c r="F654" s="8" t="s">
        <v>20</v>
      </c>
      <c r="G654" s="8" t="s">
        <v>21</v>
      </c>
      <c r="H654" s="8" t="s">
        <v>795</v>
      </c>
      <c r="I654" s="3">
        <v>2</v>
      </c>
      <c r="J654" s="8" t="s">
        <v>756</v>
      </c>
      <c r="K654" s="8" t="s">
        <v>757</v>
      </c>
      <c r="L654" s="8" t="s">
        <v>723</v>
      </c>
      <c r="M654" s="1" t="s">
        <v>786</v>
      </c>
      <c r="N654" s="8" t="s">
        <v>787</v>
      </c>
      <c r="O654" s="6">
        <v>0</v>
      </c>
      <c r="P654" s="6">
        <v>0</v>
      </c>
      <c r="Q654" s="6">
        <v>0</v>
      </c>
      <c r="R654" s="6">
        <v>0</v>
      </c>
      <c r="S654" s="6">
        <v>25</v>
      </c>
    </row>
    <row r="655" spans="1:19" ht="15" x14ac:dyDescent="0.25">
      <c r="A655" s="7" t="s">
        <v>16</v>
      </c>
      <c r="B655" s="7" t="s">
        <v>17</v>
      </c>
      <c r="C655" s="7" t="s">
        <v>18</v>
      </c>
      <c r="D655" s="3">
        <v>45399961000230</v>
      </c>
      <c r="E655" s="8" t="s">
        <v>150</v>
      </c>
      <c r="F655" s="8" t="s">
        <v>151</v>
      </c>
      <c r="G655" s="8" t="s">
        <v>21</v>
      </c>
      <c r="H655" s="8" t="s">
        <v>795</v>
      </c>
      <c r="I655" s="3">
        <v>2</v>
      </c>
      <c r="J655" s="8" t="s">
        <v>770</v>
      </c>
      <c r="K655" s="8" t="s">
        <v>771</v>
      </c>
      <c r="L655" s="8" t="s">
        <v>730</v>
      </c>
      <c r="M655" s="1" t="s">
        <v>786</v>
      </c>
      <c r="N655" s="8" t="s">
        <v>787</v>
      </c>
      <c r="O655" s="6">
        <v>0</v>
      </c>
      <c r="P655" s="6">
        <v>0</v>
      </c>
      <c r="Q655" s="6">
        <v>0</v>
      </c>
      <c r="R655" s="6">
        <v>0</v>
      </c>
      <c r="S655" s="6">
        <v>725</v>
      </c>
    </row>
    <row r="656" spans="1:19" ht="15" x14ac:dyDescent="0.25">
      <c r="A656" s="7" t="s">
        <v>16</v>
      </c>
      <c r="B656" s="7" t="s">
        <v>17</v>
      </c>
      <c r="C656" s="7" t="s">
        <v>18</v>
      </c>
      <c r="D656" s="3">
        <v>45399961000230</v>
      </c>
      <c r="E656" s="8" t="s">
        <v>150</v>
      </c>
      <c r="F656" s="8" t="s">
        <v>151</v>
      </c>
      <c r="G656" s="8" t="s">
        <v>21</v>
      </c>
      <c r="H656" s="8" t="s">
        <v>795</v>
      </c>
      <c r="I656" s="3">
        <v>2</v>
      </c>
      <c r="J656" s="8" t="s">
        <v>762</v>
      </c>
      <c r="K656" s="8" t="s">
        <v>763</v>
      </c>
      <c r="L656" s="8" t="s">
        <v>723</v>
      </c>
      <c r="M656" s="1" t="s">
        <v>786</v>
      </c>
      <c r="N656" s="8" t="s">
        <v>787</v>
      </c>
      <c r="O656" s="6">
        <v>0</v>
      </c>
      <c r="P656" s="6">
        <v>0</v>
      </c>
      <c r="Q656" s="6">
        <v>0</v>
      </c>
      <c r="R656" s="6">
        <v>0</v>
      </c>
      <c r="S656" s="6">
        <v>725</v>
      </c>
    </row>
    <row r="657" spans="1:19" ht="15" x14ac:dyDescent="0.25">
      <c r="A657" s="7" t="s">
        <v>16</v>
      </c>
      <c r="B657" s="7" t="s">
        <v>17</v>
      </c>
      <c r="C657" s="7" t="s">
        <v>18</v>
      </c>
      <c r="D657" s="3">
        <v>46124624002599</v>
      </c>
      <c r="E657" s="8" t="s">
        <v>157</v>
      </c>
      <c r="F657" s="8" t="s">
        <v>158</v>
      </c>
      <c r="G657" s="8" t="s">
        <v>21</v>
      </c>
      <c r="H657" s="8" t="s">
        <v>795</v>
      </c>
      <c r="I657" s="3">
        <v>2</v>
      </c>
      <c r="J657" s="8" t="s">
        <v>728</v>
      </c>
      <c r="K657" s="8" t="s">
        <v>729</v>
      </c>
      <c r="L657" s="8" t="s">
        <v>730</v>
      </c>
      <c r="M657" s="1" t="s">
        <v>786</v>
      </c>
      <c r="N657" s="8" t="s">
        <v>787</v>
      </c>
      <c r="O657" s="6">
        <v>0</v>
      </c>
      <c r="P657" s="6">
        <v>0</v>
      </c>
      <c r="Q657" s="6">
        <v>0</v>
      </c>
      <c r="R657" s="6">
        <v>120</v>
      </c>
      <c r="S657" s="6">
        <v>400</v>
      </c>
    </row>
    <row r="658" spans="1:19" ht="15" x14ac:dyDescent="0.25">
      <c r="A658" s="7" t="s">
        <v>16</v>
      </c>
      <c r="B658" s="7" t="s">
        <v>17</v>
      </c>
      <c r="C658" s="7" t="s">
        <v>18</v>
      </c>
      <c r="D658" s="3">
        <v>46124624002599</v>
      </c>
      <c r="E658" s="8" t="s">
        <v>157</v>
      </c>
      <c r="F658" s="8" t="s">
        <v>158</v>
      </c>
      <c r="G658" s="8" t="s">
        <v>21</v>
      </c>
      <c r="H658" s="8" t="s">
        <v>795</v>
      </c>
      <c r="I658" s="3">
        <v>2</v>
      </c>
      <c r="J658" s="8" t="s">
        <v>726</v>
      </c>
      <c r="K658" s="8" t="s">
        <v>727</v>
      </c>
      <c r="L658" s="8" t="s">
        <v>723</v>
      </c>
      <c r="M658" s="1" t="s">
        <v>786</v>
      </c>
      <c r="N658" s="8" t="s">
        <v>787</v>
      </c>
      <c r="O658" s="6">
        <v>0</v>
      </c>
      <c r="P658" s="6">
        <v>0</v>
      </c>
      <c r="Q658" s="6">
        <v>0</v>
      </c>
      <c r="R658" s="6">
        <v>0</v>
      </c>
      <c r="S658" s="6">
        <v>400</v>
      </c>
    </row>
    <row r="659" spans="1:19" ht="15" x14ac:dyDescent="0.25">
      <c r="A659" s="7" t="s">
        <v>16</v>
      </c>
      <c r="B659" s="7" t="s">
        <v>17</v>
      </c>
      <c r="C659" s="7" t="s">
        <v>18</v>
      </c>
      <c r="D659" s="3">
        <v>23941593838</v>
      </c>
      <c r="E659" s="8" t="s">
        <v>104</v>
      </c>
      <c r="F659" s="8" t="s">
        <v>105</v>
      </c>
      <c r="G659" s="8" t="s">
        <v>21</v>
      </c>
      <c r="H659" s="8" t="s">
        <v>795</v>
      </c>
      <c r="I659" s="3">
        <v>2</v>
      </c>
      <c r="J659" s="8" t="s">
        <v>770</v>
      </c>
      <c r="K659" s="8" t="s">
        <v>771</v>
      </c>
      <c r="L659" s="8" t="s">
        <v>730</v>
      </c>
      <c r="M659" s="1" t="s">
        <v>786</v>
      </c>
      <c r="N659" s="8" t="s">
        <v>787</v>
      </c>
      <c r="O659" s="6">
        <v>0</v>
      </c>
      <c r="P659" s="6">
        <v>0</v>
      </c>
      <c r="Q659" s="6">
        <v>0</v>
      </c>
      <c r="R659" s="6">
        <v>60</v>
      </c>
      <c r="S659" s="6">
        <v>0</v>
      </c>
    </row>
    <row r="660" spans="1:19" ht="15" x14ac:dyDescent="0.25">
      <c r="A660" s="7" t="s">
        <v>16</v>
      </c>
      <c r="B660" s="7" t="s">
        <v>17</v>
      </c>
      <c r="C660" s="7" t="s">
        <v>18</v>
      </c>
      <c r="D660" s="3">
        <v>23941593838</v>
      </c>
      <c r="E660" s="8" t="s">
        <v>104</v>
      </c>
      <c r="F660" s="8" t="s">
        <v>105</v>
      </c>
      <c r="G660" s="8" t="s">
        <v>21</v>
      </c>
      <c r="H660" s="8" t="s">
        <v>795</v>
      </c>
      <c r="I660" s="3">
        <v>2</v>
      </c>
      <c r="J660" s="8" t="s">
        <v>762</v>
      </c>
      <c r="K660" s="8" t="s">
        <v>763</v>
      </c>
      <c r="L660" s="8" t="s">
        <v>723</v>
      </c>
      <c r="M660" s="1" t="s">
        <v>786</v>
      </c>
      <c r="N660" s="8" t="s">
        <v>787</v>
      </c>
      <c r="O660" s="6">
        <v>0</v>
      </c>
      <c r="P660" s="6">
        <v>0</v>
      </c>
      <c r="Q660" s="6">
        <v>0</v>
      </c>
      <c r="R660" s="6">
        <v>0</v>
      </c>
      <c r="S660" s="6">
        <v>0</v>
      </c>
    </row>
    <row r="661" spans="1:19" ht="15" x14ac:dyDescent="0.25">
      <c r="A661" s="7" t="s">
        <v>16</v>
      </c>
      <c r="B661" s="7" t="s">
        <v>55</v>
      </c>
      <c r="C661" s="7" t="s">
        <v>18</v>
      </c>
      <c r="D661" s="3">
        <v>1454407000151</v>
      </c>
      <c r="E661" s="8" t="s">
        <v>533</v>
      </c>
      <c r="F661" s="8" t="s">
        <v>361</v>
      </c>
      <c r="G661" s="8" t="s">
        <v>362</v>
      </c>
      <c r="H661" s="8" t="s">
        <v>795</v>
      </c>
      <c r="I661" s="3">
        <v>2</v>
      </c>
      <c r="J661" s="8" t="s">
        <v>778</v>
      </c>
      <c r="K661" s="8" t="s">
        <v>779</v>
      </c>
      <c r="L661" s="8" t="s">
        <v>730</v>
      </c>
      <c r="M661" s="1" t="s">
        <v>790</v>
      </c>
      <c r="N661" s="8" t="s">
        <v>791</v>
      </c>
      <c r="O661" s="6">
        <v>0</v>
      </c>
      <c r="P661" s="6">
        <v>0</v>
      </c>
      <c r="Q661" s="6">
        <v>0</v>
      </c>
      <c r="R661" s="6">
        <v>0</v>
      </c>
      <c r="S661" s="6">
        <v>500</v>
      </c>
    </row>
    <row r="662" spans="1:19" ht="15" x14ac:dyDescent="0.25">
      <c r="A662" s="7" t="s">
        <v>16</v>
      </c>
      <c r="B662" s="7" t="s">
        <v>55</v>
      </c>
      <c r="C662" s="7" t="s">
        <v>18</v>
      </c>
      <c r="D662" s="3">
        <v>1454407000151</v>
      </c>
      <c r="E662" s="8" t="s">
        <v>533</v>
      </c>
      <c r="F662" s="8" t="s">
        <v>361</v>
      </c>
      <c r="G662" s="8" t="s">
        <v>362</v>
      </c>
      <c r="H662" s="8" t="s">
        <v>795</v>
      </c>
      <c r="I662" s="3">
        <v>2</v>
      </c>
      <c r="J662" s="8" t="s">
        <v>746</v>
      </c>
      <c r="K662" s="8" t="s">
        <v>747</v>
      </c>
      <c r="L662" s="8" t="s">
        <v>723</v>
      </c>
      <c r="M662" s="1" t="s">
        <v>790</v>
      </c>
      <c r="N662" s="8" t="s">
        <v>791</v>
      </c>
      <c r="O662" s="6">
        <v>0</v>
      </c>
      <c r="P662" s="6">
        <v>0</v>
      </c>
      <c r="Q662" s="6">
        <v>0</v>
      </c>
      <c r="R662" s="6">
        <v>0</v>
      </c>
      <c r="S662" s="6">
        <v>500</v>
      </c>
    </row>
    <row r="663" spans="1:19" ht="15" x14ac:dyDescent="0.25">
      <c r="A663" s="7" t="s">
        <v>16</v>
      </c>
      <c r="B663" s="7" t="s">
        <v>55</v>
      </c>
      <c r="C663" s="7" t="s">
        <v>18</v>
      </c>
      <c r="D663" s="3">
        <v>12442737000496</v>
      </c>
      <c r="E663" s="8" t="s">
        <v>437</v>
      </c>
      <c r="F663" s="8" t="s">
        <v>361</v>
      </c>
      <c r="G663" s="8" t="s">
        <v>362</v>
      </c>
      <c r="H663" s="8" t="s">
        <v>795</v>
      </c>
      <c r="I663" s="3">
        <v>2</v>
      </c>
      <c r="J663" s="8" t="s">
        <v>778</v>
      </c>
      <c r="K663" s="8" t="s">
        <v>779</v>
      </c>
      <c r="L663" s="8" t="s">
        <v>730</v>
      </c>
      <c r="M663" s="1" t="s">
        <v>790</v>
      </c>
      <c r="N663" s="8" t="s">
        <v>791</v>
      </c>
      <c r="O663" s="6">
        <v>0</v>
      </c>
      <c r="P663" s="6">
        <v>0</v>
      </c>
      <c r="Q663" s="6">
        <v>0</v>
      </c>
      <c r="R663" s="6">
        <v>0</v>
      </c>
      <c r="S663" s="6">
        <v>400</v>
      </c>
    </row>
    <row r="664" spans="1:19" ht="15" x14ac:dyDescent="0.25">
      <c r="A664" s="7" t="s">
        <v>16</v>
      </c>
      <c r="B664" s="7" t="s">
        <v>55</v>
      </c>
      <c r="C664" s="7" t="s">
        <v>18</v>
      </c>
      <c r="D664" s="3">
        <v>12442737000496</v>
      </c>
      <c r="E664" s="8" t="s">
        <v>437</v>
      </c>
      <c r="F664" s="8" t="s">
        <v>361</v>
      </c>
      <c r="G664" s="8" t="s">
        <v>362</v>
      </c>
      <c r="H664" s="8" t="s">
        <v>795</v>
      </c>
      <c r="I664" s="3">
        <v>2</v>
      </c>
      <c r="J664" s="8" t="s">
        <v>746</v>
      </c>
      <c r="K664" s="8" t="s">
        <v>747</v>
      </c>
      <c r="L664" s="8" t="s">
        <v>723</v>
      </c>
      <c r="M664" s="1" t="s">
        <v>790</v>
      </c>
      <c r="N664" s="8" t="s">
        <v>791</v>
      </c>
      <c r="O664" s="6">
        <v>0</v>
      </c>
      <c r="P664" s="6">
        <v>3</v>
      </c>
      <c r="Q664" s="6">
        <v>2</v>
      </c>
      <c r="R664" s="6">
        <v>0</v>
      </c>
      <c r="S664" s="6">
        <v>400</v>
      </c>
    </row>
    <row r="665" spans="1:19" ht="15" x14ac:dyDescent="0.25">
      <c r="A665" s="7" t="s">
        <v>16</v>
      </c>
      <c r="B665" s="7" t="s">
        <v>55</v>
      </c>
      <c r="C665" s="7" t="s">
        <v>18</v>
      </c>
      <c r="D665" s="3">
        <v>24464109000229</v>
      </c>
      <c r="E665" s="8" t="s">
        <v>360</v>
      </c>
      <c r="F665" s="8" t="s">
        <v>361</v>
      </c>
      <c r="G665" s="8" t="s">
        <v>362</v>
      </c>
      <c r="H665" s="8" t="s">
        <v>795</v>
      </c>
      <c r="I665" s="3">
        <v>2</v>
      </c>
      <c r="J665" s="8" t="s">
        <v>778</v>
      </c>
      <c r="K665" s="8" t="s">
        <v>779</v>
      </c>
      <c r="L665" s="8" t="s">
        <v>730</v>
      </c>
      <c r="M665" s="1" t="s">
        <v>790</v>
      </c>
      <c r="N665" s="8" t="s">
        <v>791</v>
      </c>
      <c r="O665" s="6">
        <v>4</v>
      </c>
      <c r="P665" s="6">
        <v>0</v>
      </c>
      <c r="Q665" s="6">
        <v>0</v>
      </c>
      <c r="R665" s="6">
        <v>0</v>
      </c>
      <c r="S665" s="6">
        <v>0</v>
      </c>
    </row>
    <row r="666" spans="1:19" ht="15" x14ac:dyDescent="0.25">
      <c r="A666" s="7" t="s">
        <v>16</v>
      </c>
      <c r="B666" s="7" t="s">
        <v>55</v>
      </c>
      <c r="C666" s="7" t="s">
        <v>18</v>
      </c>
      <c r="D666" s="3">
        <v>24464109000229</v>
      </c>
      <c r="E666" s="8" t="s">
        <v>360</v>
      </c>
      <c r="F666" s="8" t="s">
        <v>361</v>
      </c>
      <c r="G666" s="8" t="s">
        <v>362</v>
      </c>
      <c r="H666" s="8" t="s">
        <v>795</v>
      </c>
      <c r="I666" s="3">
        <v>2</v>
      </c>
      <c r="J666" s="8" t="s">
        <v>746</v>
      </c>
      <c r="K666" s="8" t="s">
        <v>747</v>
      </c>
      <c r="L666" s="8" t="s">
        <v>723</v>
      </c>
      <c r="M666" s="1" t="s">
        <v>790</v>
      </c>
      <c r="N666" s="8" t="s">
        <v>791</v>
      </c>
      <c r="O666" s="6">
        <v>0</v>
      </c>
      <c r="P666" s="6">
        <v>0</v>
      </c>
      <c r="Q666" s="6">
        <v>0</v>
      </c>
      <c r="R666" s="6">
        <v>0</v>
      </c>
      <c r="S666" s="6">
        <v>0</v>
      </c>
    </row>
    <row r="667" spans="1:19" ht="15" x14ac:dyDescent="0.25">
      <c r="A667" s="7" t="s">
        <v>16</v>
      </c>
      <c r="B667" s="7" t="s">
        <v>55</v>
      </c>
      <c r="C667" s="7" t="s">
        <v>18</v>
      </c>
      <c r="D667" s="3">
        <v>3866223000124</v>
      </c>
      <c r="E667" s="8" t="s">
        <v>599</v>
      </c>
      <c r="F667" s="8" t="s">
        <v>361</v>
      </c>
      <c r="G667" s="8" t="s">
        <v>362</v>
      </c>
      <c r="H667" s="8" t="s">
        <v>795</v>
      </c>
      <c r="I667" s="3">
        <v>2</v>
      </c>
      <c r="J667" s="8" t="s">
        <v>778</v>
      </c>
      <c r="K667" s="8" t="s">
        <v>779</v>
      </c>
      <c r="L667" s="8" t="s">
        <v>730</v>
      </c>
      <c r="M667" s="1" t="s">
        <v>790</v>
      </c>
      <c r="N667" s="8" t="s">
        <v>791</v>
      </c>
      <c r="O667" s="6">
        <v>0</v>
      </c>
      <c r="P667" s="6">
        <v>0</v>
      </c>
      <c r="Q667" s="6">
        <v>0</v>
      </c>
      <c r="R667" s="6">
        <v>0</v>
      </c>
      <c r="S667" s="6">
        <v>1740</v>
      </c>
    </row>
    <row r="668" spans="1:19" ht="15" x14ac:dyDescent="0.25">
      <c r="A668" s="7" t="s">
        <v>16</v>
      </c>
      <c r="B668" s="7" t="s">
        <v>55</v>
      </c>
      <c r="C668" s="7" t="s">
        <v>18</v>
      </c>
      <c r="D668" s="3">
        <v>3866223000124</v>
      </c>
      <c r="E668" s="8" t="s">
        <v>599</v>
      </c>
      <c r="F668" s="8" t="s">
        <v>361</v>
      </c>
      <c r="G668" s="8" t="s">
        <v>362</v>
      </c>
      <c r="H668" s="8" t="s">
        <v>795</v>
      </c>
      <c r="I668" s="3">
        <v>2</v>
      </c>
      <c r="J668" s="8" t="s">
        <v>746</v>
      </c>
      <c r="K668" s="8" t="s">
        <v>747</v>
      </c>
      <c r="L668" s="8" t="s">
        <v>723</v>
      </c>
      <c r="M668" s="1" t="s">
        <v>790</v>
      </c>
      <c r="N668" s="8" t="s">
        <v>791</v>
      </c>
      <c r="O668" s="6">
        <v>0</v>
      </c>
      <c r="P668" s="6">
        <v>0</v>
      </c>
      <c r="Q668" s="6">
        <v>0</v>
      </c>
      <c r="R668" s="6">
        <v>0</v>
      </c>
      <c r="S668" s="6">
        <v>1740</v>
      </c>
    </row>
    <row r="669" spans="1:19" ht="15" x14ac:dyDescent="0.25">
      <c r="A669" s="7" t="s">
        <v>16</v>
      </c>
      <c r="B669" s="7" t="s">
        <v>55</v>
      </c>
      <c r="C669" s="7" t="s">
        <v>18</v>
      </c>
      <c r="D669" s="3">
        <v>12361267010407</v>
      </c>
      <c r="E669" s="8" t="s">
        <v>495</v>
      </c>
      <c r="F669" s="8" t="s">
        <v>323</v>
      </c>
      <c r="G669" s="8" t="s">
        <v>276</v>
      </c>
      <c r="H669" s="8" t="s">
        <v>795</v>
      </c>
      <c r="I669" s="3">
        <v>2</v>
      </c>
      <c r="J669" s="8" t="s">
        <v>778</v>
      </c>
      <c r="K669" s="8" t="s">
        <v>779</v>
      </c>
      <c r="L669" s="8" t="s">
        <v>730</v>
      </c>
      <c r="M669" s="1" t="s">
        <v>790</v>
      </c>
      <c r="N669" s="8" t="s">
        <v>791</v>
      </c>
      <c r="O669" s="6">
        <v>0</v>
      </c>
      <c r="P669" s="6">
        <v>0</v>
      </c>
      <c r="Q669" s="6">
        <v>0</v>
      </c>
      <c r="R669" s="6">
        <v>0</v>
      </c>
      <c r="S669" s="6">
        <v>130</v>
      </c>
    </row>
    <row r="670" spans="1:19" ht="15" x14ac:dyDescent="0.25">
      <c r="A670" s="7" t="s">
        <v>16</v>
      </c>
      <c r="B670" s="7" t="s">
        <v>55</v>
      </c>
      <c r="C670" s="7" t="s">
        <v>18</v>
      </c>
      <c r="D670" s="3">
        <v>12361267010407</v>
      </c>
      <c r="E670" s="8" t="s">
        <v>495</v>
      </c>
      <c r="F670" s="8" t="s">
        <v>323</v>
      </c>
      <c r="G670" s="8" t="s">
        <v>276</v>
      </c>
      <c r="H670" s="8" t="s">
        <v>795</v>
      </c>
      <c r="I670" s="3">
        <v>2</v>
      </c>
      <c r="J670" s="8" t="s">
        <v>746</v>
      </c>
      <c r="K670" s="8" t="s">
        <v>747</v>
      </c>
      <c r="L670" s="8" t="s">
        <v>723</v>
      </c>
      <c r="M670" s="1" t="s">
        <v>790</v>
      </c>
      <c r="N670" s="8" t="s">
        <v>791</v>
      </c>
      <c r="O670" s="6">
        <v>0</v>
      </c>
      <c r="P670" s="6">
        <v>0</v>
      </c>
      <c r="Q670" s="6">
        <v>0</v>
      </c>
      <c r="R670" s="6">
        <v>0</v>
      </c>
      <c r="S670" s="6">
        <v>130</v>
      </c>
    </row>
    <row r="671" spans="1:19" ht="15" x14ac:dyDescent="0.25">
      <c r="A671" s="7" t="s">
        <v>16</v>
      </c>
      <c r="B671" s="7" t="s">
        <v>55</v>
      </c>
      <c r="C671" s="7" t="s">
        <v>18</v>
      </c>
      <c r="D671" s="3">
        <v>4602792000125</v>
      </c>
      <c r="E671" s="8" t="s">
        <v>274</v>
      </c>
      <c r="F671" s="8" t="s">
        <v>275</v>
      </c>
      <c r="G671" s="8" t="s">
        <v>276</v>
      </c>
      <c r="H671" s="8" t="s">
        <v>795</v>
      </c>
      <c r="I671" s="3">
        <v>2</v>
      </c>
      <c r="J671" s="8" t="s">
        <v>778</v>
      </c>
      <c r="K671" s="8" t="s">
        <v>779</v>
      </c>
      <c r="L671" s="8" t="s">
        <v>730</v>
      </c>
      <c r="M671" s="1" t="s">
        <v>790</v>
      </c>
      <c r="N671" s="8" t="s">
        <v>791</v>
      </c>
      <c r="O671" s="6">
        <v>0</v>
      </c>
      <c r="P671" s="6">
        <v>0</v>
      </c>
      <c r="Q671" s="6">
        <v>0</v>
      </c>
      <c r="R671" s="6">
        <v>0</v>
      </c>
      <c r="S671" s="6">
        <v>0</v>
      </c>
    </row>
    <row r="672" spans="1:19" ht="15" x14ac:dyDescent="0.25">
      <c r="A672" s="7" t="s">
        <v>16</v>
      </c>
      <c r="B672" s="7" t="s">
        <v>55</v>
      </c>
      <c r="C672" s="7" t="s">
        <v>18</v>
      </c>
      <c r="D672" s="3">
        <v>4602792000125</v>
      </c>
      <c r="E672" s="8" t="s">
        <v>274</v>
      </c>
      <c r="F672" s="8" t="s">
        <v>275</v>
      </c>
      <c r="G672" s="8" t="s">
        <v>276</v>
      </c>
      <c r="H672" s="8" t="s">
        <v>795</v>
      </c>
      <c r="I672" s="3">
        <v>2</v>
      </c>
      <c r="J672" s="8" t="s">
        <v>746</v>
      </c>
      <c r="K672" s="8" t="s">
        <v>747</v>
      </c>
      <c r="L672" s="8" t="s">
        <v>723</v>
      </c>
      <c r="M672" s="1" t="s">
        <v>790</v>
      </c>
      <c r="N672" s="8" t="s">
        <v>791</v>
      </c>
      <c r="O672" s="6">
        <v>0</v>
      </c>
      <c r="P672" s="6">
        <v>3</v>
      </c>
      <c r="Q672" s="6">
        <v>0</v>
      </c>
      <c r="R672" s="6">
        <v>0</v>
      </c>
      <c r="S672" s="6">
        <v>0</v>
      </c>
    </row>
    <row r="673" spans="1:19" ht="15" x14ac:dyDescent="0.25">
      <c r="A673" s="7" t="s">
        <v>16</v>
      </c>
      <c r="B673" s="7" t="s">
        <v>55</v>
      </c>
      <c r="C673" s="7" t="s">
        <v>18</v>
      </c>
      <c r="D673" s="3">
        <v>13952064000134</v>
      </c>
      <c r="E673" s="8" t="s">
        <v>321</v>
      </c>
      <c r="F673" s="8" t="s">
        <v>278</v>
      </c>
      <c r="G673" s="8" t="s">
        <v>276</v>
      </c>
      <c r="H673" s="8" t="s">
        <v>795</v>
      </c>
      <c r="I673" s="3">
        <v>2</v>
      </c>
      <c r="J673" s="8" t="s">
        <v>778</v>
      </c>
      <c r="K673" s="8" t="s">
        <v>779</v>
      </c>
      <c r="L673" s="8" t="s">
        <v>730</v>
      </c>
      <c r="M673" s="1" t="s">
        <v>790</v>
      </c>
      <c r="N673" s="8" t="s">
        <v>791</v>
      </c>
      <c r="O673" s="6">
        <v>0</v>
      </c>
      <c r="P673" s="6">
        <v>0</v>
      </c>
      <c r="Q673" s="6">
        <v>0</v>
      </c>
      <c r="R673" s="6">
        <v>0</v>
      </c>
      <c r="S673" s="6">
        <v>0</v>
      </c>
    </row>
    <row r="674" spans="1:19" ht="15" x14ac:dyDescent="0.25">
      <c r="A674" s="7" t="s">
        <v>16</v>
      </c>
      <c r="B674" s="7" t="s">
        <v>55</v>
      </c>
      <c r="C674" s="7" t="s">
        <v>18</v>
      </c>
      <c r="D674" s="3">
        <v>13952064000134</v>
      </c>
      <c r="E674" s="8" t="s">
        <v>321</v>
      </c>
      <c r="F674" s="8" t="s">
        <v>278</v>
      </c>
      <c r="G674" s="8" t="s">
        <v>276</v>
      </c>
      <c r="H674" s="8" t="s">
        <v>795</v>
      </c>
      <c r="I674" s="3">
        <v>2</v>
      </c>
      <c r="J674" s="8" t="s">
        <v>746</v>
      </c>
      <c r="K674" s="8" t="s">
        <v>747</v>
      </c>
      <c r="L674" s="8" t="s">
        <v>723</v>
      </c>
      <c r="M674" s="1" t="s">
        <v>790</v>
      </c>
      <c r="N674" s="8" t="s">
        <v>791</v>
      </c>
      <c r="O674" s="6">
        <v>0</v>
      </c>
      <c r="P674" s="6">
        <v>8</v>
      </c>
      <c r="Q674" s="6">
        <v>0</v>
      </c>
      <c r="R674" s="6">
        <v>0</v>
      </c>
      <c r="S674" s="6">
        <v>0</v>
      </c>
    </row>
    <row r="675" spans="1:19" ht="15" x14ac:dyDescent="0.25">
      <c r="A675" s="7" t="s">
        <v>16</v>
      </c>
      <c r="B675" s="7" t="s">
        <v>55</v>
      </c>
      <c r="C675" s="7" t="s">
        <v>18</v>
      </c>
      <c r="D675" s="3">
        <v>16475154000250</v>
      </c>
      <c r="E675" s="8" t="s">
        <v>442</v>
      </c>
      <c r="F675" s="8" t="s">
        <v>278</v>
      </c>
      <c r="G675" s="8" t="s">
        <v>276</v>
      </c>
      <c r="H675" s="8" t="s">
        <v>795</v>
      </c>
      <c r="I675" s="3">
        <v>2</v>
      </c>
      <c r="J675" s="8" t="s">
        <v>778</v>
      </c>
      <c r="K675" s="8" t="s">
        <v>779</v>
      </c>
      <c r="L675" s="8" t="s">
        <v>730</v>
      </c>
      <c r="M675" s="1" t="s">
        <v>790</v>
      </c>
      <c r="N675" s="8" t="s">
        <v>791</v>
      </c>
      <c r="O675" s="6">
        <v>0</v>
      </c>
      <c r="P675" s="6">
        <v>0</v>
      </c>
      <c r="Q675" s="6">
        <v>0</v>
      </c>
      <c r="R675" s="6">
        <v>0</v>
      </c>
      <c r="S675" s="6">
        <v>0</v>
      </c>
    </row>
    <row r="676" spans="1:19" ht="15" x14ac:dyDescent="0.25">
      <c r="A676" s="7" t="s">
        <v>16</v>
      </c>
      <c r="B676" s="7" t="s">
        <v>55</v>
      </c>
      <c r="C676" s="7" t="s">
        <v>18</v>
      </c>
      <c r="D676" s="3">
        <v>16475154000250</v>
      </c>
      <c r="E676" s="8" t="s">
        <v>442</v>
      </c>
      <c r="F676" s="8" t="s">
        <v>278</v>
      </c>
      <c r="G676" s="8" t="s">
        <v>276</v>
      </c>
      <c r="H676" s="8" t="s">
        <v>795</v>
      </c>
      <c r="I676" s="3">
        <v>2</v>
      </c>
      <c r="J676" s="8" t="s">
        <v>746</v>
      </c>
      <c r="K676" s="8" t="s">
        <v>747</v>
      </c>
      <c r="L676" s="8" t="s">
        <v>723</v>
      </c>
      <c r="M676" s="1" t="s">
        <v>790</v>
      </c>
      <c r="N676" s="8" t="s">
        <v>791</v>
      </c>
      <c r="O676" s="6">
        <v>0</v>
      </c>
      <c r="P676" s="6">
        <v>3</v>
      </c>
      <c r="Q676" s="6">
        <v>0</v>
      </c>
      <c r="R676" s="6">
        <v>0</v>
      </c>
      <c r="S676" s="6">
        <v>0</v>
      </c>
    </row>
    <row r="677" spans="1:19" ht="15" x14ac:dyDescent="0.25">
      <c r="A677" s="7" t="s">
        <v>16</v>
      </c>
      <c r="B677" s="7" t="s">
        <v>55</v>
      </c>
      <c r="C677" s="7" t="s">
        <v>18</v>
      </c>
      <c r="D677" s="3">
        <v>5816630000152</v>
      </c>
      <c r="E677" s="8" t="s">
        <v>279</v>
      </c>
      <c r="F677" s="8" t="s">
        <v>278</v>
      </c>
      <c r="G677" s="8" t="s">
        <v>276</v>
      </c>
      <c r="H677" s="8" t="s">
        <v>795</v>
      </c>
      <c r="I677" s="3">
        <v>2</v>
      </c>
      <c r="J677" s="8" t="s">
        <v>778</v>
      </c>
      <c r="K677" s="8" t="s">
        <v>779</v>
      </c>
      <c r="L677" s="8" t="s">
        <v>730</v>
      </c>
      <c r="M677" s="1" t="s">
        <v>790</v>
      </c>
      <c r="N677" s="8" t="s">
        <v>791</v>
      </c>
      <c r="O677" s="6">
        <v>0</v>
      </c>
      <c r="P677" s="6">
        <v>0</v>
      </c>
      <c r="Q677" s="6">
        <v>0</v>
      </c>
      <c r="R677" s="6">
        <v>0</v>
      </c>
      <c r="S677" s="6">
        <v>2960</v>
      </c>
    </row>
    <row r="678" spans="1:19" ht="15" x14ac:dyDescent="0.25">
      <c r="A678" s="7" t="s">
        <v>16</v>
      </c>
      <c r="B678" s="7" t="s">
        <v>55</v>
      </c>
      <c r="C678" s="7" t="s">
        <v>18</v>
      </c>
      <c r="D678" s="3">
        <v>5816630000152</v>
      </c>
      <c r="E678" s="8" t="s">
        <v>279</v>
      </c>
      <c r="F678" s="8" t="s">
        <v>278</v>
      </c>
      <c r="G678" s="8" t="s">
        <v>276</v>
      </c>
      <c r="H678" s="8" t="s">
        <v>795</v>
      </c>
      <c r="I678" s="3">
        <v>2</v>
      </c>
      <c r="J678" s="8" t="s">
        <v>746</v>
      </c>
      <c r="K678" s="8" t="s">
        <v>747</v>
      </c>
      <c r="L678" s="8" t="s">
        <v>723</v>
      </c>
      <c r="M678" s="1" t="s">
        <v>790</v>
      </c>
      <c r="N678" s="8" t="s">
        <v>791</v>
      </c>
      <c r="O678" s="6">
        <v>0</v>
      </c>
      <c r="P678" s="6">
        <v>15</v>
      </c>
      <c r="Q678" s="6">
        <v>5</v>
      </c>
      <c r="R678" s="6">
        <v>0</v>
      </c>
      <c r="S678" s="6">
        <v>2960</v>
      </c>
    </row>
    <row r="679" spans="1:19" ht="15" x14ac:dyDescent="0.25">
      <c r="A679" s="7" t="s">
        <v>16</v>
      </c>
      <c r="B679" s="7" t="s">
        <v>55</v>
      </c>
      <c r="C679" s="7" t="s">
        <v>18</v>
      </c>
      <c r="D679" s="3">
        <v>15194004000125</v>
      </c>
      <c r="E679" s="8" t="s">
        <v>339</v>
      </c>
      <c r="F679" s="8" t="s">
        <v>278</v>
      </c>
      <c r="G679" s="8" t="s">
        <v>276</v>
      </c>
      <c r="H679" s="8" t="s">
        <v>795</v>
      </c>
      <c r="I679" s="3">
        <v>2</v>
      </c>
      <c r="J679" s="8" t="s">
        <v>778</v>
      </c>
      <c r="K679" s="8" t="s">
        <v>779</v>
      </c>
      <c r="L679" s="8" t="s">
        <v>730</v>
      </c>
      <c r="M679" s="1" t="s">
        <v>790</v>
      </c>
      <c r="N679" s="8" t="s">
        <v>791</v>
      </c>
      <c r="O679" s="6">
        <v>0</v>
      </c>
      <c r="P679" s="6">
        <v>0</v>
      </c>
      <c r="Q679" s="6">
        <v>0</v>
      </c>
      <c r="R679" s="6">
        <v>0</v>
      </c>
      <c r="S679" s="6">
        <v>0</v>
      </c>
    </row>
    <row r="680" spans="1:19" ht="15" x14ac:dyDescent="0.25">
      <c r="A680" s="7" t="s">
        <v>16</v>
      </c>
      <c r="B680" s="7" t="s">
        <v>55</v>
      </c>
      <c r="C680" s="7" t="s">
        <v>18</v>
      </c>
      <c r="D680" s="3">
        <v>15194004000125</v>
      </c>
      <c r="E680" s="8" t="s">
        <v>339</v>
      </c>
      <c r="F680" s="8" t="s">
        <v>278</v>
      </c>
      <c r="G680" s="8" t="s">
        <v>276</v>
      </c>
      <c r="H680" s="8" t="s">
        <v>795</v>
      </c>
      <c r="I680" s="3">
        <v>2</v>
      </c>
      <c r="J680" s="8" t="s">
        <v>746</v>
      </c>
      <c r="K680" s="8" t="s">
        <v>747</v>
      </c>
      <c r="L680" s="8" t="s">
        <v>723</v>
      </c>
      <c r="M680" s="1" t="s">
        <v>790</v>
      </c>
      <c r="N680" s="8" t="s">
        <v>791</v>
      </c>
      <c r="O680" s="6">
        <v>0</v>
      </c>
      <c r="P680" s="6">
        <v>5</v>
      </c>
      <c r="Q680" s="6">
        <v>0</v>
      </c>
      <c r="R680" s="6">
        <v>0</v>
      </c>
      <c r="S680" s="6">
        <v>0</v>
      </c>
    </row>
    <row r="681" spans="1:19" ht="15" x14ac:dyDescent="0.25">
      <c r="A681" s="7" t="s">
        <v>16</v>
      </c>
      <c r="B681" s="7" t="s">
        <v>55</v>
      </c>
      <c r="C681" s="7" t="s">
        <v>18</v>
      </c>
      <c r="D681" s="3">
        <v>5469172000122</v>
      </c>
      <c r="E681" s="8" t="s">
        <v>277</v>
      </c>
      <c r="F681" s="8" t="s">
        <v>278</v>
      </c>
      <c r="G681" s="8" t="s">
        <v>276</v>
      </c>
      <c r="H681" s="8" t="s">
        <v>795</v>
      </c>
      <c r="I681" s="3">
        <v>2</v>
      </c>
      <c r="J681" s="8" t="s">
        <v>778</v>
      </c>
      <c r="K681" s="8" t="s">
        <v>779</v>
      </c>
      <c r="L681" s="8" t="s">
        <v>730</v>
      </c>
      <c r="M681" s="1" t="s">
        <v>790</v>
      </c>
      <c r="N681" s="8" t="s">
        <v>791</v>
      </c>
      <c r="O681" s="6">
        <v>0</v>
      </c>
      <c r="P681" s="6">
        <v>0</v>
      </c>
      <c r="Q681" s="6">
        <v>0</v>
      </c>
      <c r="R681" s="6">
        <v>0</v>
      </c>
      <c r="S681" s="6">
        <v>0</v>
      </c>
    </row>
    <row r="682" spans="1:19" ht="15" x14ac:dyDescent="0.25">
      <c r="A682" s="7" t="s">
        <v>16</v>
      </c>
      <c r="B682" s="7" t="s">
        <v>55</v>
      </c>
      <c r="C682" s="7" t="s">
        <v>18</v>
      </c>
      <c r="D682" s="3">
        <v>5469172000122</v>
      </c>
      <c r="E682" s="8" t="s">
        <v>277</v>
      </c>
      <c r="F682" s="8" t="s">
        <v>278</v>
      </c>
      <c r="G682" s="8" t="s">
        <v>276</v>
      </c>
      <c r="H682" s="8" t="s">
        <v>795</v>
      </c>
      <c r="I682" s="3">
        <v>2</v>
      </c>
      <c r="J682" s="8" t="s">
        <v>746</v>
      </c>
      <c r="K682" s="8" t="s">
        <v>747</v>
      </c>
      <c r="L682" s="8" t="s">
        <v>723</v>
      </c>
      <c r="M682" s="1" t="s">
        <v>790</v>
      </c>
      <c r="N682" s="8" t="s">
        <v>791</v>
      </c>
      <c r="O682" s="6">
        <v>0</v>
      </c>
      <c r="P682" s="6">
        <v>11</v>
      </c>
      <c r="Q682" s="6">
        <v>7</v>
      </c>
      <c r="R682" s="6">
        <v>0</v>
      </c>
      <c r="S682" s="6">
        <v>0</v>
      </c>
    </row>
    <row r="683" spans="1:19" ht="15" x14ac:dyDescent="0.25">
      <c r="A683" s="7" t="s">
        <v>16</v>
      </c>
      <c r="B683" s="7" t="s">
        <v>55</v>
      </c>
      <c r="C683" s="7" t="s">
        <v>18</v>
      </c>
      <c r="D683" s="3">
        <v>13016092000140</v>
      </c>
      <c r="E683" s="8" t="s">
        <v>315</v>
      </c>
      <c r="F683" s="8" t="s">
        <v>278</v>
      </c>
      <c r="G683" s="8" t="s">
        <v>276</v>
      </c>
      <c r="H683" s="8" t="s">
        <v>795</v>
      </c>
      <c r="I683" s="3">
        <v>2</v>
      </c>
      <c r="J683" s="8" t="s">
        <v>778</v>
      </c>
      <c r="K683" s="8" t="s">
        <v>779</v>
      </c>
      <c r="L683" s="8" t="s">
        <v>730</v>
      </c>
      <c r="M683" s="1" t="s">
        <v>790</v>
      </c>
      <c r="N683" s="8" t="s">
        <v>791</v>
      </c>
      <c r="O683" s="6">
        <v>0</v>
      </c>
      <c r="P683" s="6">
        <v>0</v>
      </c>
      <c r="Q683" s="6">
        <v>0</v>
      </c>
      <c r="R683" s="6">
        <v>0</v>
      </c>
      <c r="S683" s="6">
        <v>0</v>
      </c>
    </row>
    <row r="684" spans="1:19" ht="15" x14ac:dyDescent="0.25">
      <c r="A684" s="7" t="s">
        <v>16</v>
      </c>
      <c r="B684" s="7" t="s">
        <v>55</v>
      </c>
      <c r="C684" s="7" t="s">
        <v>18</v>
      </c>
      <c r="D684" s="3">
        <v>13016092000140</v>
      </c>
      <c r="E684" s="8" t="s">
        <v>315</v>
      </c>
      <c r="F684" s="8" t="s">
        <v>278</v>
      </c>
      <c r="G684" s="8" t="s">
        <v>276</v>
      </c>
      <c r="H684" s="8" t="s">
        <v>795</v>
      </c>
      <c r="I684" s="3">
        <v>2</v>
      </c>
      <c r="J684" s="8" t="s">
        <v>746</v>
      </c>
      <c r="K684" s="8" t="s">
        <v>747</v>
      </c>
      <c r="L684" s="8" t="s">
        <v>723</v>
      </c>
      <c r="M684" s="1" t="s">
        <v>790</v>
      </c>
      <c r="N684" s="8" t="s">
        <v>791</v>
      </c>
      <c r="O684" s="6">
        <v>0</v>
      </c>
      <c r="P684" s="6">
        <v>10</v>
      </c>
      <c r="Q684" s="6">
        <v>0</v>
      </c>
      <c r="R684" s="6">
        <v>0</v>
      </c>
      <c r="S684" s="6">
        <v>0</v>
      </c>
    </row>
    <row r="685" spans="1:19" ht="15" x14ac:dyDescent="0.25">
      <c r="A685" s="7" t="s">
        <v>16</v>
      </c>
      <c r="B685" s="7" t="s">
        <v>55</v>
      </c>
      <c r="C685" s="7" t="s">
        <v>18</v>
      </c>
      <c r="D685" s="3">
        <v>3376102000102</v>
      </c>
      <c r="E685" s="8" t="s">
        <v>415</v>
      </c>
      <c r="F685" s="8" t="s">
        <v>278</v>
      </c>
      <c r="G685" s="8" t="s">
        <v>276</v>
      </c>
      <c r="H685" s="8" t="s">
        <v>795</v>
      </c>
      <c r="I685" s="3">
        <v>2</v>
      </c>
      <c r="J685" s="8" t="s">
        <v>778</v>
      </c>
      <c r="K685" s="8" t="s">
        <v>779</v>
      </c>
      <c r="L685" s="8" t="s">
        <v>730</v>
      </c>
      <c r="M685" s="1" t="s">
        <v>790</v>
      </c>
      <c r="N685" s="8" t="s">
        <v>791</v>
      </c>
      <c r="O685" s="6">
        <v>0</v>
      </c>
      <c r="P685" s="6">
        <v>0</v>
      </c>
      <c r="Q685" s="6">
        <v>0</v>
      </c>
      <c r="R685" s="6">
        <v>0</v>
      </c>
      <c r="S685" s="6">
        <v>0</v>
      </c>
    </row>
    <row r="686" spans="1:19" ht="15" x14ac:dyDescent="0.25">
      <c r="A686" s="7" t="s">
        <v>16</v>
      </c>
      <c r="B686" s="7" t="s">
        <v>55</v>
      </c>
      <c r="C686" s="7" t="s">
        <v>18</v>
      </c>
      <c r="D686" s="3">
        <v>3376102000102</v>
      </c>
      <c r="E686" s="8" t="s">
        <v>415</v>
      </c>
      <c r="F686" s="8" t="s">
        <v>278</v>
      </c>
      <c r="G686" s="8" t="s">
        <v>276</v>
      </c>
      <c r="H686" s="8" t="s">
        <v>795</v>
      </c>
      <c r="I686" s="3">
        <v>2</v>
      </c>
      <c r="J686" s="8" t="s">
        <v>746</v>
      </c>
      <c r="K686" s="8" t="s">
        <v>747</v>
      </c>
      <c r="L686" s="8" t="s">
        <v>723</v>
      </c>
      <c r="M686" s="1" t="s">
        <v>790</v>
      </c>
      <c r="N686" s="8" t="s">
        <v>791</v>
      </c>
      <c r="O686" s="6">
        <v>0</v>
      </c>
      <c r="P686" s="6">
        <v>0</v>
      </c>
      <c r="Q686" s="6">
        <v>3</v>
      </c>
      <c r="R686" s="6">
        <v>0</v>
      </c>
      <c r="S686" s="6">
        <v>0</v>
      </c>
    </row>
    <row r="687" spans="1:19" ht="15" x14ac:dyDescent="0.25">
      <c r="A687" s="7" t="s">
        <v>16</v>
      </c>
      <c r="B687" s="7" t="s">
        <v>55</v>
      </c>
      <c r="C687" s="7" t="s">
        <v>18</v>
      </c>
      <c r="D687" s="3">
        <v>15153745002705</v>
      </c>
      <c r="E687" s="8" t="s">
        <v>333</v>
      </c>
      <c r="F687" s="8" t="s">
        <v>278</v>
      </c>
      <c r="G687" s="8" t="s">
        <v>276</v>
      </c>
      <c r="H687" s="8" t="s">
        <v>795</v>
      </c>
      <c r="I687" s="3">
        <v>2</v>
      </c>
      <c r="J687" s="8" t="s">
        <v>778</v>
      </c>
      <c r="K687" s="8" t="s">
        <v>779</v>
      </c>
      <c r="L687" s="8" t="s">
        <v>730</v>
      </c>
      <c r="M687" s="1" t="s">
        <v>790</v>
      </c>
      <c r="N687" s="8" t="s">
        <v>791</v>
      </c>
      <c r="O687" s="6">
        <v>0</v>
      </c>
      <c r="P687" s="6">
        <v>0</v>
      </c>
      <c r="Q687" s="6">
        <v>0</v>
      </c>
      <c r="R687" s="6">
        <v>0</v>
      </c>
      <c r="S687" s="6">
        <v>0</v>
      </c>
    </row>
    <row r="688" spans="1:19" ht="15" x14ac:dyDescent="0.25">
      <c r="A688" s="7" t="s">
        <v>16</v>
      </c>
      <c r="B688" s="7" t="s">
        <v>55</v>
      </c>
      <c r="C688" s="7" t="s">
        <v>18</v>
      </c>
      <c r="D688" s="3">
        <v>15153745002705</v>
      </c>
      <c r="E688" s="8" t="s">
        <v>333</v>
      </c>
      <c r="F688" s="8" t="s">
        <v>278</v>
      </c>
      <c r="G688" s="8" t="s">
        <v>276</v>
      </c>
      <c r="H688" s="8" t="s">
        <v>795</v>
      </c>
      <c r="I688" s="3">
        <v>2</v>
      </c>
      <c r="J688" s="8" t="s">
        <v>746</v>
      </c>
      <c r="K688" s="8" t="s">
        <v>747</v>
      </c>
      <c r="L688" s="8" t="s">
        <v>723</v>
      </c>
      <c r="M688" s="1" t="s">
        <v>790</v>
      </c>
      <c r="N688" s="8" t="s">
        <v>791</v>
      </c>
      <c r="O688" s="6">
        <v>0</v>
      </c>
      <c r="P688" s="6">
        <v>10</v>
      </c>
      <c r="Q688" s="6">
        <v>0</v>
      </c>
      <c r="R688" s="6">
        <v>0</v>
      </c>
      <c r="S688" s="6">
        <v>0</v>
      </c>
    </row>
    <row r="689" spans="1:19" ht="15" x14ac:dyDescent="0.25">
      <c r="A689" s="7" t="s">
        <v>16</v>
      </c>
      <c r="B689" s="7" t="s">
        <v>55</v>
      </c>
      <c r="C689" s="7" t="s">
        <v>18</v>
      </c>
      <c r="D689" s="3">
        <v>15166416000151</v>
      </c>
      <c r="E689" s="8" t="s">
        <v>334</v>
      </c>
      <c r="F689" s="8" t="s">
        <v>278</v>
      </c>
      <c r="G689" s="8" t="s">
        <v>276</v>
      </c>
      <c r="H689" s="8" t="s">
        <v>795</v>
      </c>
      <c r="I689" s="3">
        <v>2</v>
      </c>
      <c r="J689" s="8" t="s">
        <v>778</v>
      </c>
      <c r="K689" s="8" t="s">
        <v>779</v>
      </c>
      <c r="L689" s="8" t="s">
        <v>730</v>
      </c>
      <c r="M689" s="1" t="s">
        <v>790</v>
      </c>
      <c r="N689" s="8" t="s">
        <v>791</v>
      </c>
      <c r="O689" s="6">
        <v>0</v>
      </c>
      <c r="P689" s="6">
        <v>0</v>
      </c>
      <c r="Q689" s="6">
        <v>0</v>
      </c>
      <c r="R689" s="6">
        <v>0</v>
      </c>
      <c r="S689" s="6">
        <v>0</v>
      </c>
    </row>
    <row r="690" spans="1:19" ht="15" x14ac:dyDescent="0.25">
      <c r="A690" s="7" t="s">
        <v>16</v>
      </c>
      <c r="B690" s="7" t="s">
        <v>55</v>
      </c>
      <c r="C690" s="7" t="s">
        <v>18</v>
      </c>
      <c r="D690" s="3">
        <v>15166416000151</v>
      </c>
      <c r="E690" s="8" t="s">
        <v>334</v>
      </c>
      <c r="F690" s="8" t="s">
        <v>278</v>
      </c>
      <c r="G690" s="8" t="s">
        <v>276</v>
      </c>
      <c r="H690" s="8" t="s">
        <v>795</v>
      </c>
      <c r="I690" s="3">
        <v>2</v>
      </c>
      <c r="J690" s="8" t="s">
        <v>746</v>
      </c>
      <c r="K690" s="8" t="s">
        <v>747</v>
      </c>
      <c r="L690" s="8" t="s">
        <v>723</v>
      </c>
      <c r="M690" s="1" t="s">
        <v>790</v>
      </c>
      <c r="N690" s="8" t="s">
        <v>791</v>
      </c>
      <c r="O690" s="6">
        <v>0</v>
      </c>
      <c r="P690" s="6">
        <v>29</v>
      </c>
      <c r="Q690" s="6">
        <v>8</v>
      </c>
      <c r="R690" s="6">
        <v>0</v>
      </c>
      <c r="S690" s="6">
        <v>0</v>
      </c>
    </row>
    <row r="691" spans="1:19" ht="15" x14ac:dyDescent="0.25">
      <c r="A691" s="7" t="s">
        <v>16</v>
      </c>
      <c r="B691" s="7" t="s">
        <v>55</v>
      </c>
      <c r="C691" s="7" t="s">
        <v>18</v>
      </c>
      <c r="D691" s="3">
        <v>27372066000169</v>
      </c>
      <c r="E691" s="8" t="s">
        <v>364</v>
      </c>
      <c r="F691" s="8" t="s">
        <v>278</v>
      </c>
      <c r="G691" s="8" t="s">
        <v>276</v>
      </c>
      <c r="H691" s="8" t="s">
        <v>795</v>
      </c>
      <c r="I691" s="3">
        <v>2</v>
      </c>
      <c r="J691" s="8" t="s">
        <v>778</v>
      </c>
      <c r="K691" s="8" t="s">
        <v>779</v>
      </c>
      <c r="L691" s="8" t="s">
        <v>730</v>
      </c>
      <c r="M691" s="1" t="s">
        <v>790</v>
      </c>
      <c r="N691" s="8" t="s">
        <v>791</v>
      </c>
      <c r="O691" s="6">
        <v>0</v>
      </c>
      <c r="P691" s="6">
        <v>0</v>
      </c>
      <c r="Q691" s="6">
        <v>0</v>
      </c>
      <c r="R691" s="6">
        <v>0</v>
      </c>
      <c r="S691" s="6">
        <v>0</v>
      </c>
    </row>
    <row r="692" spans="1:19" ht="15" x14ac:dyDescent="0.25">
      <c r="A692" s="7" t="s">
        <v>16</v>
      </c>
      <c r="B692" s="7" t="s">
        <v>55</v>
      </c>
      <c r="C692" s="7" t="s">
        <v>18</v>
      </c>
      <c r="D692" s="3">
        <v>27372066000169</v>
      </c>
      <c r="E692" s="8" t="s">
        <v>364</v>
      </c>
      <c r="F692" s="8" t="s">
        <v>278</v>
      </c>
      <c r="G692" s="8" t="s">
        <v>276</v>
      </c>
      <c r="H692" s="8" t="s">
        <v>795</v>
      </c>
      <c r="I692" s="3">
        <v>2</v>
      </c>
      <c r="J692" s="8" t="s">
        <v>746</v>
      </c>
      <c r="K692" s="8" t="s">
        <v>747</v>
      </c>
      <c r="L692" s="8" t="s">
        <v>723</v>
      </c>
      <c r="M692" s="1" t="s">
        <v>790</v>
      </c>
      <c r="N692" s="8" t="s">
        <v>791</v>
      </c>
      <c r="O692" s="6">
        <v>0</v>
      </c>
      <c r="P692" s="6">
        <v>4</v>
      </c>
      <c r="Q692" s="6">
        <v>0</v>
      </c>
      <c r="R692" s="6">
        <v>0</v>
      </c>
      <c r="S692" s="6">
        <v>0</v>
      </c>
    </row>
    <row r="693" spans="1:19" ht="15" x14ac:dyDescent="0.25">
      <c r="A693" s="7" t="s">
        <v>16</v>
      </c>
      <c r="B693" s="7" t="s">
        <v>55</v>
      </c>
      <c r="C693" s="7" t="s">
        <v>18</v>
      </c>
      <c r="D693" s="3">
        <v>12361267010318</v>
      </c>
      <c r="E693" s="8" t="s">
        <v>313</v>
      </c>
      <c r="F693" s="8" t="s">
        <v>278</v>
      </c>
      <c r="G693" s="8" t="s">
        <v>276</v>
      </c>
      <c r="H693" s="8" t="s">
        <v>795</v>
      </c>
      <c r="I693" s="3">
        <v>2</v>
      </c>
      <c r="J693" s="8" t="s">
        <v>778</v>
      </c>
      <c r="K693" s="8" t="s">
        <v>779</v>
      </c>
      <c r="L693" s="8" t="s">
        <v>730</v>
      </c>
      <c r="M693" s="1" t="s">
        <v>790</v>
      </c>
      <c r="N693" s="8" t="s">
        <v>791</v>
      </c>
      <c r="O693" s="6">
        <v>0</v>
      </c>
      <c r="P693" s="6">
        <v>0</v>
      </c>
      <c r="Q693" s="6">
        <v>0</v>
      </c>
      <c r="R693" s="6">
        <v>0</v>
      </c>
      <c r="S693" s="6">
        <v>275</v>
      </c>
    </row>
    <row r="694" spans="1:19" ht="15" x14ac:dyDescent="0.25">
      <c r="A694" s="7" t="s">
        <v>16</v>
      </c>
      <c r="B694" s="7" t="s">
        <v>55</v>
      </c>
      <c r="C694" s="7" t="s">
        <v>18</v>
      </c>
      <c r="D694" s="3">
        <v>12361267010318</v>
      </c>
      <c r="E694" s="8" t="s">
        <v>313</v>
      </c>
      <c r="F694" s="8" t="s">
        <v>278</v>
      </c>
      <c r="G694" s="8" t="s">
        <v>276</v>
      </c>
      <c r="H694" s="8" t="s">
        <v>795</v>
      </c>
      <c r="I694" s="3">
        <v>2</v>
      </c>
      <c r="J694" s="8" t="s">
        <v>746</v>
      </c>
      <c r="K694" s="8" t="s">
        <v>747</v>
      </c>
      <c r="L694" s="8" t="s">
        <v>723</v>
      </c>
      <c r="M694" s="1" t="s">
        <v>790</v>
      </c>
      <c r="N694" s="8" t="s">
        <v>791</v>
      </c>
      <c r="O694" s="6">
        <v>0</v>
      </c>
      <c r="P694" s="6">
        <v>11</v>
      </c>
      <c r="Q694" s="6">
        <v>5</v>
      </c>
      <c r="R694" s="6">
        <v>0</v>
      </c>
      <c r="S694" s="6">
        <v>275</v>
      </c>
    </row>
    <row r="695" spans="1:19" ht="15" x14ac:dyDescent="0.25">
      <c r="A695" s="7" t="s">
        <v>16</v>
      </c>
      <c r="B695" s="7" t="s">
        <v>55</v>
      </c>
      <c r="C695" s="7" t="s">
        <v>18</v>
      </c>
      <c r="D695" s="3">
        <v>11943553000102</v>
      </c>
      <c r="E695" s="8" t="s">
        <v>436</v>
      </c>
      <c r="F695" s="8" t="s">
        <v>278</v>
      </c>
      <c r="G695" s="8" t="s">
        <v>276</v>
      </c>
      <c r="H695" s="8" t="s">
        <v>795</v>
      </c>
      <c r="I695" s="3">
        <v>2</v>
      </c>
      <c r="J695" s="8" t="s">
        <v>778</v>
      </c>
      <c r="K695" s="8" t="s">
        <v>779</v>
      </c>
      <c r="L695" s="8" t="s">
        <v>730</v>
      </c>
      <c r="M695" s="1" t="s">
        <v>790</v>
      </c>
      <c r="N695" s="8" t="s">
        <v>791</v>
      </c>
      <c r="O695" s="6">
        <v>0</v>
      </c>
      <c r="P695" s="6">
        <v>0</v>
      </c>
      <c r="Q695" s="6">
        <v>0</v>
      </c>
      <c r="R695" s="6">
        <v>0</v>
      </c>
      <c r="S695" s="6">
        <v>0</v>
      </c>
    </row>
    <row r="696" spans="1:19" ht="15" x14ac:dyDescent="0.25">
      <c r="A696" s="7" t="s">
        <v>16</v>
      </c>
      <c r="B696" s="7" t="s">
        <v>55</v>
      </c>
      <c r="C696" s="7" t="s">
        <v>18</v>
      </c>
      <c r="D696" s="3">
        <v>11943553000102</v>
      </c>
      <c r="E696" s="8" t="s">
        <v>436</v>
      </c>
      <c r="F696" s="8" t="s">
        <v>278</v>
      </c>
      <c r="G696" s="8" t="s">
        <v>276</v>
      </c>
      <c r="H696" s="8" t="s">
        <v>795</v>
      </c>
      <c r="I696" s="3">
        <v>2</v>
      </c>
      <c r="J696" s="8" t="s">
        <v>746</v>
      </c>
      <c r="K696" s="8" t="s">
        <v>747</v>
      </c>
      <c r="L696" s="8" t="s">
        <v>723</v>
      </c>
      <c r="M696" s="1" t="s">
        <v>790</v>
      </c>
      <c r="N696" s="8" t="s">
        <v>791</v>
      </c>
      <c r="O696" s="6">
        <v>0</v>
      </c>
      <c r="P696" s="6">
        <v>2</v>
      </c>
      <c r="Q696" s="6">
        <v>0</v>
      </c>
      <c r="R696" s="6">
        <v>0</v>
      </c>
      <c r="S696" s="6">
        <v>0</v>
      </c>
    </row>
    <row r="697" spans="1:19" ht="15" x14ac:dyDescent="0.25">
      <c r="A697" s="7" t="s">
        <v>16</v>
      </c>
      <c r="B697" s="7" t="s">
        <v>55</v>
      </c>
      <c r="C697" s="7" t="s">
        <v>18</v>
      </c>
      <c r="D697" s="3">
        <v>15140254000182</v>
      </c>
      <c r="E697" s="8" t="s">
        <v>440</v>
      </c>
      <c r="F697" s="8" t="s">
        <v>278</v>
      </c>
      <c r="G697" s="8" t="s">
        <v>276</v>
      </c>
      <c r="H697" s="8" t="s">
        <v>795</v>
      </c>
      <c r="I697" s="3">
        <v>2</v>
      </c>
      <c r="J697" s="8" t="s">
        <v>778</v>
      </c>
      <c r="K697" s="8" t="s">
        <v>779</v>
      </c>
      <c r="L697" s="8" t="s">
        <v>730</v>
      </c>
      <c r="M697" s="1" t="s">
        <v>790</v>
      </c>
      <c r="N697" s="8" t="s">
        <v>791</v>
      </c>
      <c r="O697" s="6">
        <v>0</v>
      </c>
      <c r="P697" s="6">
        <v>0</v>
      </c>
      <c r="Q697" s="6">
        <v>0</v>
      </c>
      <c r="R697" s="6">
        <v>2</v>
      </c>
      <c r="S697" s="6">
        <v>0</v>
      </c>
    </row>
    <row r="698" spans="1:19" ht="15" x14ac:dyDescent="0.25">
      <c r="A698" s="7" t="s">
        <v>16</v>
      </c>
      <c r="B698" s="7" t="s">
        <v>55</v>
      </c>
      <c r="C698" s="7" t="s">
        <v>18</v>
      </c>
      <c r="D698" s="3">
        <v>15140254000182</v>
      </c>
      <c r="E698" s="8" t="s">
        <v>440</v>
      </c>
      <c r="F698" s="8" t="s">
        <v>278</v>
      </c>
      <c r="G698" s="8" t="s">
        <v>276</v>
      </c>
      <c r="H698" s="8" t="s">
        <v>795</v>
      </c>
      <c r="I698" s="3">
        <v>2</v>
      </c>
      <c r="J698" s="8" t="s">
        <v>746</v>
      </c>
      <c r="K698" s="8" t="s">
        <v>747</v>
      </c>
      <c r="L698" s="8" t="s">
        <v>723</v>
      </c>
      <c r="M698" s="1" t="s">
        <v>790</v>
      </c>
      <c r="N698" s="8" t="s">
        <v>791</v>
      </c>
      <c r="O698" s="6">
        <v>0</v>
      </c>
      <c r="P698" s="6">
        <v>0</v>
      </c>
      <c r="Q698" s="6">
        <v>0</v>
      </c>
      <c r="R698" s="6">
        <v>0</v>
      </c>
      <c r="S698" s="6">
        <v>0</v>
      </c>
    </row>
    <row r="699" spans="1:19" ht="15" x14ac:dyDescent="0.25">
      <c r="A699" s="7" t="s">
        <v>16</v>
      </c>
      <c r="B699" s="7" t="s">
        <v>55</v>
      </c>
      <c r="C699" s="7" t="s">
        <v>18</v>
      </c>
      <c r="D699" s="3">
        <v>5652543000107</v>
      </c>
      <c r="E699" s="8" t="s">
        <v>420</v>
      </c>
      <c r="F699" s="8" t="s">
        <v>421</v>
      </c>
      <c r="G699" s="8" t="s">
        <v>276</v>
      </c>
      <c r="H699" s="8" t="s">
        <v>795</v>
      </c>
      <c r="I699" s="3">
        <v>2</v>
      </c>
      <c r="J699" s="8" t="s">
        <v>778</v>
      </c>
      <c r="K699" s="8" t="s">
        <v>779</v>
      </c>
      <c r="L699" s="8" t="s">
        <v>730</v>
      </c>
      <c r="M699" s="1" t="s">
        <v>790</v>
      </c>
      <c r="N699" s="8" t="s">
        <v>791</v>
      </c>
      <c r="O699" s="6">
        <v>0</v>
      </c>
      <c r="P699" s="6">
        <v>0</v>
      </c>
      <c r="Q699" s="6">
        <v>0</v>
      </c>
      <c r="R699" s="6">
        <v>0</v>
      </c>
      <c r="S699" s="6">
        <v>0</v>
      </c>
    </row>
    <row r="700" spans="1:19" ht="15" x14ac:dyDescent="0.25">
      <c r="A700" s="7" t="s">
        <v>16</v>
      </c>
      <c r="B700" s="7" t="s">
        <v>55</v>
      </c>
      <c r="C700" s="7" t="s">
        <v>18</v>
      </c>
      <c r="D700" s="3">
        <v>5652543000107</v>
      </c>
      <c r="E700" s="8" t="s">
        <v>420</v>
      </c>
      <c r="F700" s="8" t="s">
        <v>421</v>
      </c>
      <c r="G700" s="8" t="s">
        <v>276</v>
      </c>
      <c r="H700" s="8" t="s">
        <v>795</v>
      </c>
      <c r="I700" s="3">
        <v>2</v>
      </c>
      <c r="J700" s="8" t="s">
        <v>746</v>
      </c>
      <c r="K700" s="8" t="s">
        <v>747</v>
      </c>
      <c r="L700" s="8" t="s">
        <v>723</v>
      </c>
      <c r="M700" s="1" t="s">
        <v>790</v>
      </c>
      <c r="N700" s="8" t="s">
        <v>791</v>
      </c>
      <c r="O700" s="6">
        <v>0</v>
      </c>
      <c r="P700" s="6">
        <v>2</v>
      </c>
      <c r="Q700" s="6">
        <v>0</v>
      </c>
      <c r="R700" s="6">
        <v>0</v>
      </c>
      <c r="S700" s="6">
        <v>0</v>
      </c>
    </row>
    <row r="701" spans="1:19" ht="15" x14ac:dyDescent="0.25">
      <c r="A701" s="7" t="s">
        <v>16</v>
      </c>
      <c r="B701" s="7" t="s">
        <v>55</v>
      </c>
      <c r="C701" s="7" t="s">
        <v>18</v>
      </c>
      <c r="D701" s="3">
        <v>13284872000170</v>
      </c>
      <c r="E701" s="8" t="s">
        <v>564</v>
      </c>
      <c r="F701" s="8" t="s">
        <v>565</v>
      </c>
      <c r="G701" s="8" t="s">
        <v>276</v>
      </c>
      <c r="H701" s="8" t="s">
        <v>795</v>
      </c>
      <c r="I701" s="3">
        <v>2</v>
      </c>
      <c r="J701" s="8" t="s">
        <v>778</v>
      </c>
      <c r="K701" s="8" t="s">
        <v>779</v>
      </c>
      <c r="L701" s="8" t="s">
        <v>730</v>
      </c>
      <c r="M701" s="1" t="s">
        <v>790</v>
      </c>
      <c r="N701" s="8" t="s">
        <v>791</v>
      </c>
      <c r="O701" s="6">
        <v>0</v>
      </c>
      <c r="P701" s="6">
        <v>0</v>
      </c>
      <c r="Q701" s="6">
        <v>0</v>
      </c>
      <c r="R701" s="6">
        <v>0</v>
      </c>
      <c r="S701" s="6">
        <v>30</v>
      </c>
    </row>
    <row r="702" spans="1:19" ht="15" x14ac:dyDescent="0.25">
      <c r="A702" s="7" t="s">
        <v>16</v>
      </c>
      <c r="B702" s="7" t="s">
        <v>55</v>
      </c>
      <c r="C702" s="7" t="s">
        <v>18</v>
      </c>
      <c r="D702" s="3">
        <v>13284872000170</v>
      </c>
      <c r="E702" s="8" t="s">
        <v>564</v>
      </c>
      <c r="F702" s="8" t="s">
        <v>565</v>
      </c>
      <c r="G702" s="8" t="s">
        <v>276</v>
      </c>
      <c r="H702" s="8" t="s">
        <v>795</v>
      </c>
      <c r="I702" s="3">
        <v>2</v>
      </c>
      <c r="J702" s="8" t="s">
        <v>746</v>
      </c>
      <c r="K702" s="8" t="s">
        <v>747</v>
      </c>
      <c r="L702" s="8" t="s">
        <v>723</v>
      </c>
      <c r="M702" s="1" t="s">
        <v>790</v>
      </c>
      <c r="N702" s="8" t="s">
        <v>791</v>
      </c>
      <c r="O702" s="6">
        <v>0</v>
      </c>
      <c r="P702" s="6">
        <v>0</v>
      </c>
      <c r="Q702" s="6">
        <v>0</v>
      </c>
      <c r="R702" s="6">
        <v>0</v>
      </c>
      <c r="S702" s="6">
        <v>30</v>
      </c>
    </row>
    <row r="703" spans="1:19" ht="15" x14ac:dyDescent="0.25">
      <c r="A703" s="7" t="s">
        <v>16</v>
      </c>
      <c r="B703" s="7" t="s">
        <v>55</v>
      </c>
      <c r="C703" s="7" t="s">
        <v>18</v>
      </c>
      <c r="D703" s="3">
        <v>7245269000187</v>
      </c>
      <c r="E703" s="8" t="s">
        <v>424</v>
      </c>
      <c r="F703" s="8" t="s">
        <v>281</v>
      </c>
      <c r="G703" s="8" t="s">
        <v>282</v>
      </c>
      <c r="H703" s="8" t="s">
        <v>795</v>
      </c>
      <c r="I703" s="3">
        <v>2</v>
      </c>
      <c r="J703" s="8" t="s">
        <v>778</v>
      </c>
      <c r="K703" s="8" t="s">
        <v>779</v>
      </c>
      <c r="L703" s="8" t="s">
        <v>730</v>
      </c>
      <c r="M703" s="1" t="s">
        <v>790</v>
      </c>
      <c r="N703" s="8" t="s">
        <v>791</v>
      </c>
      <c r="O703" s="6">
        <v>0</v>
      </c>
      <c r="P703" s="6">
        <v>0</v>
      </c>
      <c r="Q703" s="6">
        <v>0</v>
      </c>
      <c r="R703" s="6">
        <v>0</v>
      </c>
      <c r="S703" s="6">
        <v>0</v>
      </c>
    </row>
    <row r="704" spans="1:19" ht="15" x14ac:dyDescent="0.25">
      <c r="A704" s="7" t="s">
        <v>16</v>
      </c>
      <c r="B704" s="7" t="s">
        <v>55</v>
      </c>
      <c r="C704" s="7" t="s">
        <v>18</v>
      </c>
      <c r="D704" s="3">
        <v>7245269000187</v>
      </c>
      <c r="E704" s="8" t="s">
        <v>424</v>
      </c>
      <c r="F704" s="8" t="s">
        <v>281</v>
      </c>
      <c r="G704" s="8" t="s">
        <v>282</v>
      </c>
      <c r="H704" s="8" t="s">
        <v>795</v>
      </c>
      <c r="I704" s="3">
        <v>2</v>
      </c>
      <c r="J704" s="8" t="s">
        <v>744</v>
      </c>
      <c r="K704" s="8" t="s">
        <v>745</v>
      </c>
      <c r="L704" s="8" t="s">
        <v>723</v>
      </c>
      <c r="M704" s="1" t="s">
        <v>790</v>
      </c>
      <c r="N704" s="8" t="s">
        <v>791</v>
      </c>
      <c r="O704" s="6">
        <v>0</v>
      </c>
      <c r="P704" s="6">
        <v>7</v>
      </c>
      <c r="Q704" s="6">
        <v>0</v>
      </c>
      <c r="R704" s="6">
        <v>0</v>
      </c>
      <c r="S704" s="6">
        <v>0</v>
      </c>
    </row>
    <row r="705" spans="1:19" ht="15" x14ac:dyDescent="0.25">
      <c r="A705" s="7" t="s">
        <v>16</v>
      </c>
      <c r="B705" s="7" t="s">
        <v>55</v>
      </c>
      <c r="C705" s="7" t="s">
        <v>18</v>
      </c>
      <c r="D705" s="3">
        <v>5874946000281</v>
      </c>
      <c r="E705" s="8" t="s">
        <v>422</v>
      </c>
      <c r="F705" s="8" t="s">
        <v>281</v>
      </c>
      <c r="G705" s="8" t="s">
        <v>282</v>
      </c>
      <c r="H705" s="8" t="s">
        <v>795</v>
      </c>
      <c r="I705" s="3">
        <v>2</v>
      </c>
      <c r="J705" s="8" t="s">
        <v>778</v>
      </c>
      <c r="K705" s="8" t="s">
        <v>779</v>
      </c>
      <c r="L705" s="8" t="s">
        <v>730</v>
      </c>
      <c r="M705" s="1" t="s">
        <v>790</v>
      </c>
      <c r="N705" s="8" t="s">
        <v>791</v>
      </c>
      <c r="O705" s="6">
        <v>0</v>
      </c>
      <c r="P705" s="6">
        <v>0</v>
      </c>
      <c r="Q705" s="6">
        <v>0</v>
      </c>
      <c r="R705" s="6">
        <v>0</v>
      </c>
      <c r="S705" s="6">
        <v>0</v>
      </c>
    </row>
    <row r="706" spans="1:19" ht="15" x14ac:dyDescent="0.25">
      <c r="A706" s="7" t="s">
        <v>16</v>
      </c>
      <c r="B706" s="7" t="s">
        <v>55</v>
      </c>
      <c r="C706" s="7" t="s">
        <v>18</v>
      </c>
      <c r="D706" s="3">
        <v>5874946000281</v>
      </c>
      <c r="E706" s="8" t="s">
        <v>422</v>
      </c>
      <c r="F706" s="8" t="s">
        <v>281</v>
      </c>
      <c r="G706" s="8" t="s">
        <v>282</v>
      </c>
      <c r="H706" s="8" t="s">
        <v>795</v>
      </c>
      <c r="I706" s="3">
        <v>2</v>
      </c>
      <c r="J706" s="8" t="s">
        <v>744</v>
      </c>
      <c r="K706" s="8" t="s">
        <v>745</v>
      </c>
      <c r="L706" s="8" t="s">
        <v>723</v>
      </c>
      <c r="M706" s="1" t="s">
        <v>790</v>
      </c>
      <c r="N706" s="8" t="s">
        <v>791</v>
      </c>
      <c r="O706" s="6">
        <v>0</v>
      </c>
      <c r="P706" s="6">
        <v>11</v>
      </c>
      <c r="Q706" s="6">
        <v>5</v>
      </c>
      <c r="R706" s="6">
        <v>0</v>
      </c>
      <c r="S706" s="6">
        <v>0</v>
      </c>
    </row>
    <row r="707" spans="1:19" ht="15" x14ac:dyDescent="0.25">
      <c r="A707" s="7" t="s">
        <v>16</v>
      </c>
      <c r="B707" s="7" t="s">
        <v>55</v>
      </c>
      <c r="C707" s="7" t="s">
        <v>18</v>
      </c>
      <c r="D707" s="3">
        <v>15126437001468</v>
      </c>
      <c r="E707" s="8" t="s">
        <v>439</v>
      </c>
      <c r="F707" s="8" t="s">
        <v>281</v>
      </c>
      <c r="G707" s="8" t="s">
        <v>282</v>
      </c>
      <c r="H707" s="8" t="s">
        <v>795</v>
      </c>
      <c r="I707" s="3">
        <v>2</v>
      </c>
      <c r="J707" s="8" t="s">
        <v>778</v>
      </c>
      <c r="K707" s="8" t="s">
        <v>779</v>
      </c>
      <c r="L707" s="8" t="s">
        <v>730</v>
      </c>
      <c r="M707" s="1" t="s">
        <v>790</v>
      </c>
      <c r="N707" s="8" t="s">
        <v>791</v>
      </c>
      <c r="O707" s="6">
        <v>0</v>
      </c>
      <c r="P707" s="6">
        <v>0</v>
      </c>
      <c r="Q707" s="6">
        <v>0</v>
      </c>
      <c r="R707" s="6">
        <v>0</v>
      </c>
      <c r="S707" s="6">
        <v>0</v>
      </c>
    </row>
    <row r="708" spans="1:19" ht="15" x14ac:dyDescent="0.25">
      <c r="A708" s="7" t="s">
        <v>16</v>
      </c>
      <c r="B708" s="7" t="s">
        <v>55</v>
      </c>
      <c r="C708" s="7" t="s">
        <v>18</v>
      </c>
      <c r="D708" s="3">
        <v>15126437001468</v>
      </c>
      <c r="E708" s="8" t="s">
        <v>439</v>
      </c>
      <c r="F708" s="8" t="s">
        <v>281</v>
      </c>
      <c r="G708" s="8" t="s">
        <v>282</v>
      </c>
      <c r="H708" s="8" t="s">
        <v>795</v>
      </c>
      <c r="I708" s="3">
        <v>2</v>
      </c>
      <c r="J708" s="8" t="s">
        <v>744</v>
      </c>
      <c r="K708" s="8" t="s">
        <v>745</v>
      </c>
      <c r="L708" s="8" t="s">
        <v>723</v>
      </c>
      <c r="M708" s="1" t="s">
        <v>790</v>
      </c>
      <c r="N708" s="8" t="s">
        <v>791</v>
      </c>
      <c r="O708" s="6">
        <v>0</v>
      </c>
      <c r="P708" s="6">
        <v>20</v>
      </c>
      <c r="Q708" s="6">
        <v>0</v>
      </c>
      <c r="R708" s="6">
        <v>0</v>
      </c>
      <c r="S708" s="6">
        <v>0</v>
      </c>
    </row>
    <row r="709" spans="1:19" ht="15" x14ac:dyDescent="0.25">
      <c r="A709" s="7" t="s">
        <v>16</v>
      </c>
      <c r="B709" s="7" t="s">
        <v>55</v>
      </c>
      <c r="C709" s="7" t="s">
        <v>18</v>
      </c>
      <c r="D709" s="3">
        <v>74031865000151</v>
      </c>
      <c r="E709" s="8" t="s">
        <v>383</v>
      </c>
      <c r="F709" s="8" t="s">
        <v>281</v>
      </c>
      <c r="G709" s="8" t="s">
        <v>282</v>
      </c>
      <c r="H709" s="8" t="s">
        <v>795</v>
      </c>
      <c r="I709" s="3">
        <v>2</v>
      </c>
      <c r="J709" s="8" t="s">
        <v>778</v>
      </c>
      <c r="K709" s="8" t="s">
        <v>779</v>
      </c>
      <c r="L709" s="8" t="s">
        <v>730</v>
      </c>
      <c r="M709" s="1" t="s">
        <v>790</v>
      </c>
      <c r="N709" s="8" t="s">
        <v>791</v>
      </c>
      <c r="O709" s="6">
        <v>0</v>
      </c>
      <c r="P709" s="6">
        <v>0</v>
      </c>
      <c r="Q709" s="6">
        <v>0</v>
      </c>
      <c r="R709" s="6">
        <v>0</v>
      </c>
      <c r="S709" s="6">
        <v>0</v>
      </c>
    </row>
    <row r="710" spans="1:19" ht="15" x14ac:dyDescent="0.25">
      <c r="A710" s="7" t="s">
        <v>16</v>
      </c>
      <c r="B710" s="7" t="s">
        <v>55</v>
      </c>
      <c r="C710" s="7" t="s">
        <v>18</v>
      </c>
      <c r="D710" s="3">
        <v>74031865000151</v>
      </c>
      <c r="E710" s="8" t="s">
        <v>383</v>
      </c>
      <c r="F710" s="8" t="s">
        <v>281</v>
      </c>
      <c r="G710" s="8" t="s">
        <v>282</v>
      </c>
      <c r="H710" s="8" t="s">
        <v>795</v>
      </c>
      <c r="I710" s="3">
        <v>2</v>
      </c>
      <c r="J710" s="8" t="s">
        <v>744</v>
      </c>
      <c r="K710" s="8" t="s">
        <v>745</v>
      </c>
      <c r="L710" s="8" t="s">
        <v>723</v>
      </c>
      <c r="M710" s="1" t="s">
        <v>790</v>
      </c>
      <c r="N710" s="8" t="s">
        <v>791</v>
      </c>
      <c r="O710" s="6">
        <v>0</v>
      </c>
      <c r="P710" s="6">
        <v>800</v>
      </c>
      <c r="Q710" s="6">
        <v>0</v>
      </c>
      <c r="R710" s="6">
        <v>0</v>
      </c>
      <c r="S710" s="6">
        <v>0</v>
      </c>
    </row>
    <row r="711" spans="1:19" ht="15" x14ac:dyDescent="0.25">
      <c r="A711" s="7" t="s">
        <v>16</v>
      </c>
      <c r="B711" s="7" t="s">
        <v>55</v>
      </c>
      <c r="C711" s="7" t="s">
        <v>18</v>
      </c>
      <c r="D711" s="3">
        <v>60975737003509</v>
      </c>
      <c r="E711" s="8" t="s">
        <v>381</v>
      </c>
      <c r="F711" s="8" t="s">
        <v>281</v>
      </c>
      <c r="G711" s="8" t="s">
        <v>282</v>
      </c>
      <c r="H711" s="8" t="s">
        <v>795</v>
      </c>
      <c r="I711" s="3">
        <v>2</v>
      </c>
      <c r="J711" s="8" t="s">
        <v>778</v>
      </c>
      <c r="K711" s="8" t="s">
        <v>779</v>
      </c>
      <c r="L711" s="8" t="s">
        <v>730</v>
      </c>
      <c r="M711" s="1" t="s">
        <v>790</v>
      </c>
      <c r="N711" s="8" t="s">
        <v>791</v>
      </c>
      <c r="O711" s="6">
        <v>0</v>
      </c>
      <c r="P711" s="6">
        <v>0</v>
      </c>
      <c r="Q711" s="6">
        <v>0</v>
      </c>
      <c r="R711" s="6">
        <v>0</v>
      </c>
      <c r="S711" s="6">
        <v>0</v>
      </c>
    </row>
    <row r="712" spans="1:19" ht="15" x14ac:dyDescent="0.25">
      <c r="A712" s="7" t="s">
        <v>16</v>
      </c>
      <c r="B712" s="7" t="s">
        <v>55</v>
      </c>
      <c r="C712" s="7" t="s">
        <v>18</v>
      </c>
      <c r="D712" s="3">
        <v>60975737003509</v>
      </c>
      <c r="E712" s="8" t="s">
        <v>381</v>
      </c>
      <c r="F712" s="8" t="s">
        <v>281</v>
      </c>
      <c r="G712" s="8" t="s">
        <v>282</v>
      </c>
      <c r="H712" s="8" t="s">
        <v>795</v>
      </c>
      <c r="I712" s="3">
        <v>2</v>
      </c>
      <c r="J712" s="8" t="s">
        <v>744</v>
      </c>
      <c r="K712" s="8" t="s">
        <v>745</v>
      </c>
      <c r="L712" s="8" t="s">
        <v>723</v>
      </c>
      <c r="M712" s="1" t="s">
        <v>790</v>
      </c>
      <c r="N712" s="8" t="s">
        <v>791</v>
      </c>
      <c r="O712" s="6">
        <v>0</v>
      </c>
      <c r="P712" s="6">
        <v>6</v>
      </c>
      <c r="Q712" s="6">
        <v>4</v>
      </c>
      <c r="R712" s="6">
        <v>0</v>
      </c>
      <c r="S712" s="6">
        <v>0</v>
      </c>
    </row>
    <row r="713" spans="1:19" ht="15" x14ac:dyDescent="0.25">
      <c r="A713" s="7" t="s">
        <v>16</v>
      </c>
      <c r="B713" s="7" t="s">
        <v>55</v>
      </c>
      <c r="C713" s="7" t="s">
        <v>18</v>
      </c>
      <c r="D713" s="3">
        <v>5868278000280</v>
      </c>
      <c r="E713" s="8" t="s">
        <v>283</v>
      </c>
      <c r="F713" s="8" t="s">
        <v>281</v>
      </c>
      <c r="G713" s="8" t="s">
        <v>282</v>
      </c>
      <c r="H713" s="8" t="s">
        <v>795</v>
      </c>
      <c r="I713" s="3">
        <v>2</v>
      </c>
      <c r="J713" s="8" t="s">
        <v>778</v>
      </c>
      <c r="K713" s="8" t="s">
        <v>779</v>
      </c>
      <c r="L713" s="8" t="s">
        <v>730</v>
      </c>
      <c r="M713" s="1" t="s">
        <v>790</v>
      </c>
      <c r="N713" s="8" t="s">
        <v>791</v>
      </c>
      <c r="O713" s="6">
        <v>0</v>
      </c>
      <c r="P713" s="6">
        <v>0</v>
      </c>
      <c r="Q713" s="6">
        <v>0</v>
      </c>
      <c r="R713" s="6">
        <v>46</v>
      </c>
      <c r="S713" s="6">
        <v>220</v>
      </c>
    </row>
    <row r="714" spans="1:19" ht="15" x14ac:dyDescent="0.25">
      <c r="A714" s="7" t="s">
        <v>16</v>
      </c>
      <c r="B714" s="7" t="s">
        <v>55</v>
      </c>
      <c r="C714" s="7" t="s">
        <v>18</v>
      </c>
      <c r="D714" s="3">
        <v>5868278000280</v>
      </c>
      <c r="E714" s="8" t="s">
        <v>283</v>
      </c>
      <c r="F714" s="8" t="s">
        <v>281</v>
      </c>
      <c r="G714" s="8" t="s">
        <v>282</v>
      </c>
      <c r="H714" s="8" t="s">
        <v>795</v>
      </c>
      <c r="I714" s="3">
        <v>2</v>
      </c>
      <c r="J714" s="8" t="s">
        <v>744</v>
      </c>
      <c r="K714" s="8" t="s">
        <v>745</v>
      </c>
      <c r="L714" s="8" t="s">
        <v>723</v>
      </c>
      <c r="M714" s="1" t="s">
        <v>790</v>
      </c>
      <c r="N714" s="8" t="s">
        <v>791</v>
      </c>
      <c r="O714" s="6">
        <v>0</v>
      </c>
      <c r="P714" s="6">
        <v>0</v>
      </c>
      <c r="Q714" s="6">
        <v>10</v>
      </c>
      <c r="R714" s="6">
        <v>0</v>
      </c>
      <c r="S714" s="6">
        <v>220</v>
      </c>
    </row>
    <row r="715" spans="1:19" ht="15" x14ac:dyDescent="0.25">
      <c r="A715" s="7" t="s">
        <v>16</v>
      </c>
      <c r="B715" s="7" t="s">
        <v>55</v>
      </c>
      <c r="C715" s="7" t="s">
        <v>18</v>
      </c>
      <c r="D715" s="3">
        <v>11794674000121</v>
      </c>
      <c r="E715" s="8" t="s">
        <v>435</v>
      </c>
      <c r="F715" s="8" t="s">
        <v>281</v>
      </c>
      <c r="G715" s="8" t="s">
        <v>282</v>
      </c>
      <c r="H715" s="8" t="s">
        <v>795</v>
      </c>
      <c r="I715" s="3">
        <v>2</v>
      </c>
      <c r="J715" s="8" t="s">
        <v>778</v>
      </c>
      <c r="K715" s="8" t="s">
        <v>779</v>
      </c>
      <c r="L715" s="8" t="s">
        <v>730</v>
      </c>
      <c r="M715" s="1" t="s">
        <v>790</v>
      </c>
      <c r="N715" s="8" t="s">
        <v>791</v>
      </c>
      <c r="O715" s="6">
        <v>0</v>
      </c>
      <c r="P715" s="6">
        <v>0</v>
      </c>
      <c r="Q715" s="6">
        <v>0</v>
      </c>
      <c r="R715" s="6">
        <v>0</v>
      </c>
      <c r="S715" s="6">
        <v>0</v>
      </c>
    </row>
    <row r="716" spans="1:19" ht="15" x14ac:dyDescent="0.25">
      <c r="A716" s="7" t="s">
        <v>16</v>
      </c>
      <c r="B716" s="7" t="s">
        <v>55</v>
      </c>
      <c r="C716" s="7" t="s">
        <v>18</v>
      </c>
      <c r="D716" s="3">
        <v>11794674000121</v>
      </c>
      <c r="E716" s="8" t="s">
        <v>435</v>
      </c>
      <c r="F716" s="8" t="s">
        <v>281</v>
      </c>
      <c r="G716" s="8" t="s">
        <v>282</v>
      </c>
      <c r="H716" s="8" t="s">
        <v>795</v>
      </c>
      <c r="I716" s="3">
        <v>2</v>
      </c>
      <c r="J716" s="8" t="s">
        <v>744</v>
      </c>
      <c r="K716" s="8" t="s">
        <v>745</v>
      </c>
      <c r="L716" s="8" t="s">
        <v>723</v>
      </c>
      <c r="M716" s="1" t="s">
        <v>790</v>
      </c>
      <c r="N716" s="8" t="s">
        <v>791</v>
      </c>
      <c r="O716" s="6">
        <v>0</v>
      </c>
      <c r="P716" s="6">
        <v>50</v>
      </c>
      <c r="Q716" s="6">
        <v>0</v>
      </c>
      <c r="R716" s="6">
        <v>0</v>
      </c>
      <c r="S716" s="6">
        <v>0</v>
      </c>
    </row>
    <row r="717" spans="1:19" ht="15" x14ac:dyDescent="0.25">
      <c r="A717" s="7" t="s">
        <v>16</v>
      </c>
      <c r="B717" s="7" t="s">
        <v>55</v>
      </c>
      <c r="C717" s="7" t="s">
        <v>18</v>
      </c>
      <c r="D717" s="3">
        <v>41580077000165</v>
      </c>
      <c r="E717" s="8" t="s">
        <v>505</v>
      </c>
      <c r="F717" s="8" t="s">
        <v>281</v>
      </c>
      <c r="G717" s="8" t="s">
        <v>282</v>
      </c>
      <c r="H717" s="8" t="s">
        <v>795</v>
      </c>
      <c r="I717" s="3">
        <v>2</v>
      </c>
      <c r="J717" s="8" t="s">
        <v>778</v>
      </c>
      <c r="K717" s="8" t="s">
        <v>779</v>
      </c>
      <c r="L717" s="8" t="s">
        <v>730</v>
      </c>
      <c r="M717" s="1" t="s">
        <v>790</v>
      </c>
      <c r="N717" s="8" t="s">
        <v>791</v>
      </c>
      <c r="O717" s="6">
        <v>0</v>
      </c>
      <c r="P717" s="6">
        <v>0</v>
      </c>
      <c r="Q717" s="6">
        <v>0</v>
      </c>
      <c r="R717" s="6">
        <v>0</v>
      </c>
      <c r="S717" s="6">
        <v>75</v>
      </c>
    </row>
    <row r="718" spans="1:19" ht="15" x14ac:dyDescent="0.25">
      <c r="A718" s="7" t="s">
        <v>16</v>
      </c>
      <c r="B718" s="7" t="s">
        <v>55</v>
      </c>
      <c r="C718" s="7" t="s">
        <v>18</v>
      </c>
      <c r="D718" s="3">
        <v>41580077000165</v>
      </c>
      <c r="E718" s="8" t="s">
        <v>505</v>
      </c>
      <c r="F718" s="8" t="s">
        <v>281</v>
      </c>
      <c r="G718" s="8" t="s">
        <v>282</v>
      </c>
      <c r="H718" s="8" t="s">
        <v>795</v>
      </c>
      <c r="I718" s="3">
        <v>2</v>
      </c>
      <c r="J718" s="8" t="s">
        <v>744</v>
      </c>
      <c r="K718" s="8" t="s">
        <v>745</v>
      </c>
      <c r="L718" s="8" t="s">
        <v>723</v>
      </c>
      <c r="M718" s="1" t="s">
        <v>790</v>
      </c>
      <c r="N718" s="8" t="s">
        <v>791</v>
      </c>
      <c r="O718" s="6">
        <v>0</v>
      </c>
      <c r="P718" s="6">
        <v>0</v>
      </c>
      <c r="Q718" s="6">
        <v>0</v>
      </c>
      <c r="R718" s="6">
        <v>0</v>
      </c>
      <c r="S718" s="6">
        <v>75</v>
      </c>
    </row>
    <row r="719" spans="1:19" ht="15" x14ac:dyDescent="0.25">
      <c r="A719" s="7" t="s">
        <v>16</v>
      </c>
      <c r="B719" s="7" t="s">
        <v>55</v>
      </c>
      <c r="C719" s="7" t="s">
        <v>18</v>
      </c>
      <c r="D719" s="3">
        <v>12568570000161</v>
      </c>
      <c r="E719" s="8" t="s">
        <v>563</v>
      </c>
      <c r="F719" s="8" t="s">
        <v>281</v>
      </c>
      <c r="G719" s="8" t="s">
        <v>282</v>
      </c>
      <c r="H719" s="8" t="s">
        <v>795</v>
      </c>
      <c r="I719" s="3">
        <v>2</v>
      </c>
      <c r="J719" s="8" t="s">
        <v>778</v>
      </c>
      <c r="K719" s="8" t="s">
        <v>779</v>
      </c>
      <c r="L719" s="8" t="s">
        <v>730</v>
      </c>
      <c r="M719" s="1" t="s">
        <v>790</v>
      </c>
      <c r="N719" s="8" t="s">
        <v>791</v>
      </c>
      <c r="O719" s="6">
        <v>0</v>
      </c>
      <c r="P719" s="6">
        <v>0</v>
      </c>
      <c r="Q719" s="6">
        <v>0</v>
      </c>
      <c r="R719" s="6">
        <v>0</v>
      </c>
      <c r="S719" s="6">
        <v>225</v>
      </c>
    </row>
    <row r="720" spans="1:19" ht="15" x14ac:dyDescent="0.25">
      <c r="A720" s="7" t="s">
        <v>16</v>
      </c>
      <c r="B720" s="7" t="s">
        <v>55</v>
      </c>
      <c r="C720" s="7" t="s">
        <v>18</v>
      </c>
      <c r="D720" s="3">
        <v>12568570000161</v>
      </c>
      <c r="E720" s="8" t="s">
        <v>563</v>
      </c>
      <c r="F720" s="8" t="s">
        <v>281</v>
      </c>
      <c r="G720" s="8" t="s">
        <v>282</v>
      </c>
      <c r="H720" s="8" t="s">
        <v>795</v>
      </c>
      <c r="I720" s="3">
        <v>2</v>
      </c>
      <c r="J720" s="8" t="s">
        <v>744</v>
      </c>
      <c r="K720" s="8" t="s">
        <v>745</v>
      </c>
      <c r="L720" s="8" t="s">
        <v>723</v>
      </c>
      <c r="M720" s="1" t="s">
        <v>790</v>
      </c>
      <c r="N720" s="8" t="s">
        <v>791</v>
      </c>
      <c r="O720" s="6">
        <v>0</v>
      </c>
      <c r="P720" s="6">
        <v>0</v>
      </c>
      <c r="Q720" s="6">
        <v>0</v>
      </c>
      <c r="R720" s="6">
        <v>0</v>
      </c>
      <c r="S720" s="6">
        <v>225</v>
      </c>
    </row>
    <row r="721" spans="1:19" ht="15" x14ac:dyDescent="0.25">
      <c r="A721" s="7" t="s">
        <v>16</v>
      </c>
      <c r="B721" s="7" t="s">
        <v>55</v>
      </c>
      <c r="C721" s="7" t="s">
        <v>18</v>
      </c>
      <c r="D721" s="3">
        <v>5867015000175</v>
      </c>
      <c r="E721" s="8" t="s">
        <v>280</v>
      </c>
      <c r="F721" s="8" t="s">
        <v>281</v>
      </c>
      <c r="G721" s="8" t="s">
        <v>282</v>
      </c>
      <c r="H721" s="8" t="s">
        <v>795</v>
      </c>
      <c r="I721" s="3">
        <v>2</v>
      </c>
      <c r="J721" s="8" t="s">
        <v>778</v>
      </c>
      <c r="K721" s="8" t="s">
        <v>779</v>
      </c>
      <c r="L721" s="8" t="s">
        <v>730</v>
      </c>
      <c r="M721" s="1" t="s">
        <v>790</v>
      </c>
      <c r="N721" s="8" t="s">
        <v>791</v>
      </c>
      <c r="O721" s="6">
        <v>0</v>
      </c>
      <c r="P721" s="6">
        <v>0</v>
      </c>
      <c r="Q721" s="6">
        <v>0</v>
      </c>
      <c r="R721" s="6">
        <v>12</v>
      </c>
      <c r="S721" s="6">
        <v>0</v>
      </c>
    </row>
    <row r="722" spans="1:19" ht="15" x14ac:dyDescent="0.25">
      <c r="A722" s="7" t="s">
        <v>16</v>
      </c>
      <c r="B722" s="7" t="s">
        <v>55</v>
      </c>
      <c r="C722" s="7" t="s">
        <v>18</v>
      </c>
      <c r="D722" s="3">
        <v>5867015000175</v>
      </c>
      <c r="E722" s="8" t="s">
        <v>280</v>
      </c>
      <c r="F722" s="8" t="s">
        <v>281</v>
      </c>
      <c r="G722" s="8" t="s">
        <v>282</v>
      </c>
      <c r="H722" s="8" t="s">
        <v>795</v>
      </c>
      <c r="I722" s="3">
        <v>2</v>
      </c>
      <c r="J722" s="8" t="s">
        <v>744</v>
      </c>
      <c r="K722" s="8" t="s">
        <v>745</v>
      </c>
      <c r="L722" s="8" t="s">
        <v>723</v>
      </c>
      <c r="M722" s="1" t="s">
        <v>790</v>
      </c>
      <c r="N722" s="8" t="s">
        <v>791</v>
      </c>
      <c r="O722" s="6">
        <v>0</v>
      </c>
      <c r="P722" s="6">
        <v>0</v>
      </c>
      <c r="Q722" s="6">
        <v>0</v>
      </c>
      <c r="R722" s="6">
        <v>0</v>
      </c>
      <c r="S722" s="6">
        <v>0</v>
      </c>
    </row>
    <row r="723" spans="1:19" ht="15" x14ac:dyDescent="0.25">
      <c r="A723" s="7" t="s">
        <v>16</v>
      </c>
      <c r="B723" s="7" t="s">
        <v>55</v>
      </c>
      <c r="C723" s="7" t="s">
        <v>18</v>
      </c>
      <c r="D723" s="3">
        <v>29435005007484</v>
      </c>
      <c r="E723" s="8" t="s">
        <v>371</v>
      </c>
      <c r="F723" s="8" t="s">
        <v>806</v>
      </c>
      <c r="G723" s="8" t="s">
        <v>282</v>
      </c>
      <c r="H723" s="8" t="s">
        <v>795</v>
      </c>
      <c r="I723" s="3">
        <v>2</v>
      </c>
      <c r="J723" s="8" t="s">
        <v>778</v>
      </c>
      <c r="K723" s="8" t="s">
        <v>779</v>
      </c>
      <c r="L723" s="8" t="s">
        <v>730</v>
      </c>
      <c r="M723" s="1" t="s">
        <v>790</v>
      </c>
      <c r="N723" s="8" t="s">
        <v>791</v>
      </c>
      <c r="O723" s="6">
        <v>0</v>
      </c>
      <c r="P723" s="6">
        <v>0</v>
      </c>
      <c r="Q723" s="6">
        <v>0</v>
      </c>
      <c r="R723" s="6">
        <v>0</v>
      </c>
      <c r="S723" s="6">
        <v>100</v>
      </c>
    </row>
    <row r="724" spans="1:19" ht="15" x14ac:dyDescent="0.25">
      <c r="A724" s="7" t="s">
        <v>16</v>
      </c>
      <c r="B724" s="7" t="s">
        <v>55</v>
      </c>
      <c r="C724" s="7" t="s">
        <v>18</v>
      </c>
      <c r="D724" s="3">
        <v>29435005007484</v>
      </c>
      <c r="E724" s="8" t="s">
        <v>371</v>
      </c>
      <c r="F724" s="8" t="s">
        <v>806</v>
      </c>
      <c r="G724" s="8" t="s">
        <v>282</v>
      </c>
      <c r="H724" s="8" t="s">
        <v>795</v>
      </c>
      <c r="I724" s="3">
        <v>2</v>
      </c>
      <c r="J724" s="8" t="s">
        <v>744</v>
      </c>
      <c r="K724" s="8" t="s">
        <v>745</v>
      </c>
      <c r="L724" s="8" t="s">
        <v>723</v>
      </c>
      <c r="M724" s="1" t="s">
        <v>790</v>
      </c>
      <c r="N724" s="8" t="s">
        <v>791</v>
      </c>
      <c r="O724" s="6">
        <v>0</v>
      </c>
      <c r="P724" s="6">
        <v>0</v>
      </c>
      <c r="Q724" s="6">
        <v>0</v>
      </c>
      <c r="R724" s="6">
        <v>0</v>
      </c>
      <c r="S724" s="6">
        <v>100</v>
      </c>
    </row>
    <row r="725" spans="1:19" ht="15" x14ac:dyDescent="0.25">
      <c r="A725" s="7" t="s">
        <v>16</v>
      </c>
      <c r="B725" s="7" t="s">
        <v>55</v>
      </c>
      <c r="C725" s="7" t="s">
        <v>18</v>
      </c>
      <c r="D725" s="3">
        <v>9104513000974</v>
      </c>
      <c r="E725" s="8" t="s">
        <v>556</v>
      </c>
      <c r="F725" s="8" t="s">
        <v>225</v>
      </c>
      <c r="G725" s="8" t="s">
        <v>226</v>
      </c>
      <c r="H725" s="8" t="s">
        <v>795</v>
      </c>
      <c r="I725" s="3">
        <v>2</v>
      </c>
      <c r="J725" s="8" t="s">
        <v>780</v>
      </c>
      <c r="K725" s="8" t="s">
        <v>781</v>
      </c>
      <c r="L725" s="8" t="s">
        <v>739</v>
      </c>
      <c r="M725" s="1" t="s">
        <v>790</v>
      </c>
      <c r="N725" s="8" t="s">
        <v>791</v>
      </c>
      <c r="O725" s="6">
        <v>0</v>
      </c>
      <c r="P725" s="6">
        <v>0</v>
      </c>
      <c r="Q725" s="6">
        <v>0</v>
      </c>
      <c r="R725" s="6">
        <v>0</v>
      </c>
      <c r="S725" s="6">
        <v>170</v>
      </c>
    </row>
    <row r="726" spans="1:19" ht="15" x14ac:dyDescent="0.25">
      <c r="A726" s="7" t="s">
        <v>16</v>
      </c>
      <c r="B726" s="7" t="s">
        <v>55</v>
      </c>
      <c r="C726" s="7" t="s">
        <v>18</v>
      </c>
      <c r="D726" s="3">
        <v>9104513000974</v>
      </c>
      <c r="E726" s="8" t="s">
        <v>556</v>
      </c>
      <c r="F726" s="8" t="s">
        <v>225</v>
      </c>
      <c r="G726" s="8" t="s">
        <v>226</v>
      </c>
      <c r="H726" s="8" t="s">
        <v>795</v>
      </c>
      <c r="I726" s="3">
        <v>2</v>
      </c>
      <c r="J726" s="8" t="s">
        <v>742</v>
      </c>
      <c r="K726" s="8" t="s">
        <v>743</v>
      </c>
      <c r="L726" s="8" t="s">
        <v>723</v>
      </c>
      <c r="M726" s="1" t="s">
        <v>790</v>
      </c>
      <c r="N726" s="8" t="s">
        <v>791</v>
      </c>
      <c r="O726" s="6">
        <v>0</v>
      </c>
      <c r="P726" s="6">
        <v>0</v>
      </c>
      <c r="Q726" s="6">
        <v>0</v>
      </c>
      <c r="R726" s="6">
        <v>0</v>
      </c>
      <c r="S726" s="6">
        <v>170</v>
      </c>
    </row>
    <row r="727" spans="1:19" ht="15" x14ac:dyDescent="0.25">
      <c r="A727" s="7" t="s">
        <v>16</v>
      </c>
      <c r="B727" s="7" t="s">
        <v>55</v>
      </c>
      <c r="C727" s="7" t="s">
        <v>18</v>
      </c>
      <c r="D727" s="3">
        <v>520237000101</v>
      </c>
      <c r="E727" s="8" t="s">
        <v>243</v>
      </c>
      <c r="F727" s="8" t="s">
        <v>225</v>
      </c>
      <c r="G727" s="8" t="s">
        <v>226</v>
      </c>
      <c r="H727" s="8" t="s">
        <v>795</v>
      </c>
      <c r="I727" s="3">
        <v>2</v>
      </c>
      <c r="J727" s="8" t="s">
        <v>780</v>
      </c>
      <c r="K727" s="8" t="s">
        <v>781</v>
      </c>
      <c r="L727" s="8" t="s">
        <v>739</v>
      </c>
      <c r="M727" s="1" t="s">
        <v>790</v>
      </c>
      <c r="N727" s="8" t="s">
        <v>791</v>
      </c>
      <c r="O727" s="6">
        <v>0</v>
      </c>
      <c r="P727" s="6">
        <v>0</v>
      </c>
      <c r="Q727" s="6">
        <v>0</v>
      </c>
      <c r="R727" s="6">
        <v>259</v>
      </c>
      <c r="S727" s="6">
        <v>800</v>
      </c>
    </row>
    <row r="728" spans="1:19" ht="15" x14ac:dyDescent="0.25">
      <c r="A728" s="7" t="s">
        <v>16</v>
      </c>
      <c r="B728" s="7" t="s">
        <v>55</v>
      </c>
      <c r="C728" s="7" t="s">
        <v>18</v>
      </c>
      <c r="D728" s="3">
        <v>520237000101</v>
      </c>
      <c r="E728" s="8" t="s">
        <v>243</v>
      </c>
      <c r="F728" s="8" t="s">
        <v>225</v>
      </c>
      <c r="G728" s="8" t="s">
        <v>226</v>
      </c>
      <c r="H728" s="8" t="s">
        <v>795</v>
      </c>
      <c r="I728" s="3">
        <v>2</v>
      </c>
      <c r="J728" s="8" t="s">
        <v>742</v>
      </c>
      <c r="K728" s="8" t="s">
        <v>743</v>
      </c>
      <c r="L728" s="8" t="s">
        <v>723</v>
      </c>
      <c r="M728" s="1" t="s">
        <v>790</v>
      </c>
      <c r="N728" s="8" t="s">
        <v>791</v>
      </c>
      <c r="O728" s="6">
        <v>0</v>
      </c>
      <c r="P728" s="6">
        <v>0</v>
      </c>
      <c r="Q728" s="6">
        <v>0</v>
      </c>
      <c r="R728" s="6">
        <v>0</v>
      </c>
      <c r="S728" s="6">
        <v>800</v>
      </c>
    </row>
    <row r="729" spans="1:19" ht="15" x14ac:dyDescent="0.25">
      <c r="A729" s="7" t="s">
        <v>16</v>
      </c>
      <c r="B729" s="7" t="s">
        <v>55</v>
      </c>
      <c r="C729" s="7" t="s">
        <v>18</v>
      </c>
      <c r="D729" s="3">
        <v>1602408000104</v>
      </c>
      <c r="E729" s="8" t="s">
        <v>595</v>
      </c>
      <c r="F729" s="8" t="s">
        <v>225</v>
      </c>
      <c r="G729" s="8" t="s">
        <v>226</v>
      </c>
      <c r="H729" s="8" t="s">
        <v>795</v>
      </c>
      <c r="I729" s="3">
        <v>2</v>
      </c>
      <c r="J729" s="8" t="s">
        <v>780</v>
      </c>
      <c r="K729" s="8" t="s">
        <v>781</v>
      </c>
      <c r="L729" s="8" t="s">
        <v>739</v>
      </c>
      <c r="M729" s="1" t="s">
        <v>790</v>
      </c>
      <c r="N729" s="8" t="s">
        <v>791</v>
      </c>
      <c r="O729" s="6">
        <v>0</v>
      </c>
      <c r="P729" s="6">
        <v>0</v>
      </c>
      <c r="Q729" s="6">
        <v>0</v>
      </c>
      <c r="R729" s="6">
        <v>0</v>
      </c>
      <c r="S729" s="6">
        <v>250</v>
      </c>
    </row>
    <row r="730" spans="1:19" ht="15" x14ac:dyDescent="0.25">
      <c r="A730" s="7" t="s">
        <v>16</v>
      </c>
      <c r="B730" s="7" t="s">
        <v>55</v>
      </c>
      <c r="C730" s="7" t="s">
        <v>18</v>
      </c>
      <c r="D730" s="3">
        <v>1602408000104</v>
      </c>
      <c r="E730" s="8" t="s">
        <v>595</v>
      </c>
      <c r="F730" s="8" t="s">
        <v>225</v>
      </c>
      <c r="G730" s="8" t="s">
        <v>226</v>
      </c>
      <c r="H730" s="8" t="s">
        <v>795</v>
      </c>
      <c r="I730" s="3">
        <v>2</v>
      </c>
      <c r="J730" s="8" t="s">
        <v>742</v>
      </c>
      <c r="K730" s="8" t="s">
        <v>743</v>
      </c>
      <c r="L730" s="8" t="s">
        <v>723</v>
      </c>
      <c r="M730" s="1" t="s">
        <v>790</v>
      </c>
      <c r="N730" s="8" t="s">
        <v>791</v>
      </c>
      <c r="O730" s="6">
        <v>0</v>
      </c>
      <c r="P730" s="6">
        <v>0</v>
      </c>
      <c r="Q730" s="6">
        <v>0</v>
      </c>
      <c r="R730" s="6">
        <v>0</v>
      </c>
      <c r="S730" s="6">
        <v>250</v>
      </c>
    </row>
    <row r="731" spans="1:19" ht="15" x14ac:dyDescent="0.25">
      <c r="A731" s="7" t="s">
        <v>16</v>
      </c>
      <c r="B731" s="7" t="s">
        <v>55</v>
      </c>
      <c r="C731" s="7" t="s">
        <v>18</v>
      </c>
      <c r="D731" s="3">
        <v>30135335000188</v>
      </c>
      <c r="E731" s="8" t="s">
        <v>623</v>
      </c>
      <c r="F731" s="8" t="s">
        <v>225</v>
      </c>
      <c r="G731" s="8" t="s">
        <v>226</v>
      </c>
      <c r="H731" s="8" t="s">
        <v>795</v>
      </c>
      <c r="I731" s="3">
        <v>2</v>
      </c>
      <c r="J731" s="8" t="s">
        <v>780</v>
      </c>
      <c r="K731" s="8" t="s">
        <v>781</v>
      </c>
      <c r="L731" s="8" t="s">
        <v>739</v>
      </c>
      <c r="M731" s="1" t="s">
        <v>790</v>
      </c>
      <c r="N731" s="8" t="s">
        <v>791</v>
      </c>
      <c r="O731" s="6">
        <v>0</v>
      </c>
      <c r="P731" s="6">
        <v>0</v>
      </c>
      <c r="Q731" s="6">
        <v>0</v>
      </c>
      <c r="R731" s="6">
        <v>0</v>
      </c>
      <c r="S731" s="6">
        <v>550</v>
      </c>
    </row>
    <row r="732" spans="1:19" ht="15" x14ac:dyDescent="0.25">
      <c r="A732" s="7" t="s">
        <v>16</v>
      </c>
      <c r="B732" s="7" t="s">
        <v>55</v>
      </c>
      <c r="C732" s="7" t="s">
        <v>18</v>
      </c>
      <c r="D732" s="3">
        <v>30135335000188</v>
      </c>
      <c r="E732" s="8" t="s">
        <v>623</v>
      </c>
      <c r="F732" s="8" t="s">
        <v>225</v>
      </c>
      <c r="G732" s="8" t="s">
        <v>226</v>
      </c>
      <c r="H732" s="8" t="s">
        <v>795</v>
      </c>
      <c r="I732" s="3">
        <v>2</v>
      </c>
      <c r="J732" s="8" t="s">
        <v>742</v>
      </c>
      <c r="K732" s="8" t="s">
        <v>743</v>
      </c>
      <c r="L732" s="8" t="s">
        <v>723</v>
      </c>
      <c r="M732" s="1" t="s">
        <v>790</v>
      </c>
      <c r="N732" s="8" t="s">
        <v>791</v>
      </c>
      <c r="O732" s="6">
        <v>0</v>
      </c>
      <c r="P732" s="6">
        <v>0</v>
      </c>
      <c r="Q732" s="6">
        <v>0</v>
      </c>
      <c r="R732" s="6">
        <v>0</v>
      </c>
      <c r="S732" s="6">
        <v>550</v>
      </c>
    </row>
    <row r="733" spans="1:19" ht="15" x14ac:dyDescent="0.25">
      <c r="A733" s="7" t="s">
        <v>16</v>
      </c>
      <c r="B733" s="7" t="s">
        <v>55</v>
      </c>
      <c r="C733" s="7" t="s">
        <v>18</v>
      </c>
      <c r="D733" s="3">
        <v>394544000851</v>
      </c>
      <c r="E733" s="8" t="s">
        <v>412</v>
      </c>
      <c r="F733" s="8" t="s">
        <v>225</v>
      </c>
      <c r="G733" s="8" t="s">
        <v>226</v>
      </c>
      <c r="H733" s="8" t="s">
        <v>795</v>
      </c>
      <c r="I733" s="3">
        <v>2</v>
      </c>
      <c r="J733" s="8" t="s">
        <v>766</v>
      </c>
      <c r="K733" s="8" t="s">
        <v>767</v>
      </c>
      <c r="L733" s="8" t="s">
        <v>730</v>
      </c>
      <c r="M733" s="1" t="s">
        <v>790</v>
      </c>
      <c r="N733" s="8" t="s">
        <v>791</v>
      </c>
      <c r="O733" s="6">
        <v>12</v>
      </c>
      <c r="P733" s="6">
        <v>0</v>
      </c>
      <c r="Q733" s="6">
        <v>0</v>
      </c>
      <c r="R733" s="6">
        <v>0</v>
      </c>
      <c r="S733" s="6">
        <v>630</v>
      </c>
    </row>
    <row r="734" spans="1:19" ht="15" x14ac:dyDescent="0.25">
      <c r="A734" s="7" t="s">
        <v>16</v>
      </c>
      <c r="B734" s="7" t="s">
        <v>55</v>
      </c>
      <c r="C734" s="7" t="s">
        <v>18</v>
      </c>
      <c r="D734" s="3">
        <v>394544000851</v>
      </c>
      <c r="E734" s="8" t="s">
        <v>412</v>
      </c>
      <c r="F734" s="8" t="s">
        <v>225</v>
      </c>
      <c r="G734" s="8" t="s">
        <v>226</v>
      </c>
      <c r="H734" s="8" t="s">
        <v>795</v>
      </c>
      <c r="I734" s="3">
        <v>2</v>
      </c>
      <c r="J734" s="8" t="s">
        <v>772</v>
      </c>
      <c r="K734" s="8" t="s">
        <v>773</v>
      </c>
      <c r="L734" s="8" t="s">
        <v>723</v>
      </c>
      <c r="M734" s="1" t="s">
        <v>790</v>
      </c>
      <c r="N734" s="8" t="s">
        <v>791</v>
      </c>
      <c r="O734" s="6">
        <v>0</v>
      </c>
      <c r="P734" s="6">
        <v>0</v>
      </c>
      <c r="Q734" s="6">
        <v>0</v>
      </c>
      <c r="R734" s="6">
        <v>0</v>
      </c>
      <c r="S734" s="6">
        <v>630</v>
      </c>
    </row>
    <row r="735" spans="1:19" ht="15" x14ac:dyDescent="0.25">
      <c r="A735" s="7" t="s">
        <v>16</v>
      </c>
      <c r="B735" s="7" t="s">
        <v>55</v>
      </c>
      <c r="C735" s="7" t="s">
        <v>18</v>
      </c>
      <c r="D735" s="3">
        <v>15126437000305</v>
      </c>
      <c r="E735" s="8" t="s">
        <v>614</v>
      </c>
      <c r="F735" s="8" t="s">
        <v>225</v>
      </c>
      <c r="G735" s="8" t="s">
        <v>226</v>
      </c>
      <c r="H735" s="8" t="s">
        <v>795</v>
      </c>
      <c r="I735" s="3">
        <v>2</v>
      </c>
      <c r="J735" s="8" t="s">
        <v>780</v>
      </c>
      <c r="K735" s="8" t="s">
        <v>781</v>
      </c>
      <c r="L735" s="8" t="s">
        <v>739</v>
      </c>
      <c r="M735" s="1" t="s">
        <v>790</v>
      </c>
      <c r="N735" s="8" t="s">
        <v>791</v>
      </c>
      <c r="O735" s="6">
        <v>0</v>
      </c>
      <c r="P735" s="6">
        <v>0</v>
      </c>
      <c r="Q735" s="6">
        <v>0</v>
      </c>
      <c r="R735" s="6">
        <v>0</v>
      </c>
      <c r="S735" s="6">
        <v>550</v>
      </c>
    </row>
    <row r="736" spans="1:19" ht="15" x14ac:dyDescent="0.25">
      <c r="A736" s="7" t="s">
        <v>16</v>
      </c>
      <c r="B736" s="7" t="s">
        <v>55</v>
      </c>
      <c r="C736" s="7" t="s">
        <v>18</v>
      </c>
      <c r="D736" s="3">
        <v>15126437000305</v>
      </c>
      <c r="E736" s="8" t="s">
        <v>614</v>
      </c>
      <c r="F736" s="8" t="s">
        <v>225</v>
      </c>
      <c r="G736" s="8" t="s">
        <v>226</v>
      </c>
      <c r="H736" s="8" t="s">
        <v>795</v>
      </c>
      <c r="I736" s="3">
        <v>2</v>
      </c>
      <c r="J736" s="8" t="s">
        <v>742</v>
      </c>
      <c r="K736" s="8" t="s">
        <v>743</v>
      </c>
      <c r="L736" s="8" t="s">
        <v>723</v>
      </c>
      <c r="M736" s="1" t="s">
        <v>790</v>
      </c>
      <c r="N736" s="8" t="s">
        <v>791</v>
      </c>
      <c r="O736" s="6">
        <v>0</v>
      </c>
      <c r="P736" s="6">
        <v>0</v>
      </c>
      <c r="Q736" s="6">
        <v>0</v>
      </c>
      <c r="R736" s="6">
        <v>0</v>
      </c>
      <c r="S736" s="6">
        <v>550</v>
      </c>
    </row>
    <row r="737" spans="1:19" ht="15" x14ac:dyDescent="0.25">
      <c r="A737" s="7" t="s">
        <v>16</v>
      </c>
      <c r="B737" s="7" t="s">
        <v>55</v>
      </c>
      <c r="C737" s="7" t="s">
        <v>18</v>
      </c>
      <c r="D737" s="3">
        <v>3989821000190</v>
      </c>
      <c r="E737" s="8" t="s">
        <v>545</v>
      </c>
      <c r="F737" s="8" t="s">
        <v>225</v>
      </c>
      <c r="G737" s="8" t="s">
        <v>226</v>
      </c>
      <c r="H737" s="8" t="s">
        <v>795</v>
      </c>
      <c r="I737" s="3">
        <v>2</v>
      </c>
      <c r="J737" s="8" t="s">
        <v>780</v>
      </c>
      <c r="K737" s="8" t="s">
        <v>781</v>
      </c>
      <c r="L737" s="8" t="s">
        <v>739</v>
      </c>
      <c r="M737" s="1" t="s">
        <v>790</v>
      </c>
      <c r="N737" s="8" t="s">
        <v>791</v>
      </c>
      <c r="O737" s="6">
        <v>0</v>
      </c>
      <c r="P737" s="6">
        <v>0</v>
      </c>
      <c r="Q737" s="6">
        <v>0</v>
      </c>
      <c r="R737" s="6">
        <v>0</v>
      </c>
      <c r="S737" s="6">
        <v>360</v>
      </c>
    </row>
    <row r="738" spans="1:19" ht="15" x14ac:dyDescent="0.25">
      <c r="A738" s="7" t="s">
        <v>16</v>
      </c>
      <c r="B738" s="7" t="s">
        <v>55</v>
      </c>
      <c r="C738" s="7" t="s">
        <v>18</v>
      </c>
      <c r="D738" s="3">
        <v>3989821000190</v>
      </c>
      <c r="E738" s="8" t="s">
        <v>545</v>
      </c>
      <c r="F738" s="8" t="s">
        <v>225</v>
      </c>
      <c r="G738" s="8" t="s">
        <v>226</v>
      </c>
      <c r="H738" s="8" t="s">
        <v>795</v>
      </c>
      <c r="I738" s="3">
        <v>2</v>
      </c>
      <c r="J738" s="8" t="s">
        <v>742</v>
      </c>
      <c r="K738" s="8" t="s">
        <v>743</v>
      </c>
      <c r="L738" s="8" t="s">
        <v>723</v>
      </c>
      <c r="M738" s="1" t="s">
        <v>790</v>
      </c>
      <c r="N738" s="8" t="s">
        <v>791</v>
      </c>
      <c r="O738" s="6">
        <v>0</v>
      </c>
      <c r="P738" s="6">
        <v>0</v>
      </c>
      <c r="Q738" s="6">
        <v>0</v>
      </c>
      <c r="R738" s="6">
        <v>0</v>
      </c>
      <c r="S738" s="6">
        <v>360</v>
      </c>
    </row>
    <row r="739" spans="1:19" ht="15" x14ac:dyDescent="0.25">
      <c r="A739" s="7" t="s">
        <v>16</v>
      </c>
      <c r="B739" s="7" t="s">
        <v>55</v>
      </c>
      <c r="C739" s="7" t="s">
        <v>18</v>
      </c>
      <c r="D739" s="3">
        <v>37108388000159</v>
      </c>
      <c r="E739" s="8" t="s">
        <v>375</v>
      </c>
      <c r="F739" s="8" t="s">
        <v>225</v>
      </c>
      <c r="G739" s="8" t="s">
        <v>226</v>
      </c>
      <c r="H739" s="8" t="s">
        <v>795</v>
      </c>
      <c r="I739" s="3">
        <v>2</v>
      </c>
      <c r="J739" s="8" t="s">
        <v>780</v>
      </c>
      <c r="K739" s="8" t="s">
        <v>781</v>
      </c>
      <c r="L739" s="8" t="s">
        <v>739</v>
      </c>
      <c r="M739" s="1" t="s">
        <v>790</v>
      </c>
      <c r="N739" s="8" t="s">
        <v>791</v>
      </c>
      <c r="O739" s="6">
        <v>0</v>
      </c>
      <c r="P739" s="6">
        <v>0</v>
      </c>
      <c r="Q739" s="6">
        <v>0</v>
      </c>
      <c r="R739" s="6">
        <v>0</v>
      </c>
      <c r="S739" s="6">
        <v>0</v>
      </c>
    </row>
    <row r="740" spans="1:19" ht="15" x14ac:dyDescent="0.25">
      <c r="A740" s="7" t="s">
        <v>16</v>
      </c>
      <c r="B740" s="7" t="s">
        <v>55</v>
      </c>
      <c r="C740" s="7" t="s">
        <v>18</v>
      </c>
      <c r="D740" s="3">
        <v>37108388000159</v>
      </c>
      <c r="E740" s="8" t="s">
        <v>375</v>
      </c>
      <c r="F740" s="8" t="s">
        <v>225</v>
      </c>
      <c r="G740" s="8" t="s">
        <v>226</v>
      </c>
      <c r="H740" s="8" t="s">
        <v>795</v>
      </c>
      <c r="I740" s="3">
        <v>2</v>
      </c>
      <c r="J740" s="8" t="s">
        <v>742</v>
      </c>
      <c r="K740" s="8" t="s">
        <v>743</v>
      </c>
      <c r="L740" s="8" t="s">
        <v>723</v>
      </c>
      <c r="M740" s="1" t="s">
        <v>790</v>
      </c>
      <c r="N740" s="8" t="s">
        <v>791</v>
      </c>
      <c r="O740" s="6">
        <v>0</v>
      </c>
      <c r="P740" s="6">
        <v>30</v>
      </c>
      <c r="Q740" s="6">
        <v>0</v>
      </c>
      <c r="R740" s="6">
        <v>0</v>
      </c>
      <c r="S740" s="6">
        <v>0</v>
      </c>
    </row>
    <row r="741" spans="1:19" ht="15" x14ac:dyDescent="0.25">
      <c r="A741" s="7" t="s">
        <v>16</v>
      </c>
      <c r="B741" s="7" t="s">
        <v>55</v>
      </c>
      <c r="C741" s="7" t="s">
        <v>18</v>
      </c>
      <c r="D741" s="3">
        <v>29435005004620</v>
      </c>
      <c r="E741" s="8" t="s">
        <v>370</v>
      </c>
      <c r="F741" s="8" t="s">
        <v>225</v>
      </c>
      <c r="G741" s="8" t="s">
        <v>226</v>
      </c>
      <c r="H741" s="8" t="s">
        <v>795</v>
      </c>
      <c r="I741" s="3">
        <v>2</v>
      </c>
      <c r="J741" s="8" t="s">
        <v>780</v>
      </c>
      <c r="K741" s="8" t="s">
        <v>781</v>
      </c>
      <c r="L741" s="8" t="s">
        <v>739</v>
      </c>
      <c r="M741" s="1" t="s">
        <v>790</v>
      </c>
      <c r="N741" s="8" t="s">
        <v>791</v>
      </c>
      <c r="O741" s="6">
        <v>0</v>
      </c>
      <c r="P741" s="6">
        <v>0</v>
      </c>
      <c r="Q741" s="6">
        <v>0</v>
      </c>
      <c r="R741" s="6">
        <v>0</v>
      </c>
      <c r="S741" s="6">
        <v>0</v>
      </c>
    </row>
    <row r="742" spans="1:19" ht="15" x14ac:dyDescent="0.25">
      <c r="A742" s="7" t="s">
        <v>16</v>
      </c>
      <c r="B742" s="7" t="s">
        <v>55</v>
      </c>
      <c r="C742" s="7" t="s">
        <v>18</v>
      </c>
      <c r="D742" s="3">
        <v>29435005004620</v>
      </c>
      <c r="E742" s="8" t="s">
        <v>370</v>
      </c>
      <c r="F742" s="8" t="s">
        <v>225</v>
      </c>
      <c r="G742" s="8" t="s">
        <v>226</v>
      </c>
      <c r="H742" s="8" t="s">
        <v>795</v>
      </c>
      <c r="I742" s="3">
        <v>2</v>
      </c>
      <c r="J742" s="8" t="s">
        <v>742</v>
      </c>
      <c r="K742" s="8" t="s">
        <v>743</v>
      </c>
      <c r="L742" s="8" t="s">
        <v>723</v>
      </c>
      <c r="M742" s="1" t="s">
        <v>790</v>
      </c>
      <c r="N742" s="8" t="s">
        <v>791</v>
      </c>
      <c r="O742" s="6">
        <v>0</v>
      </c>
      <c r="P742" s="6">
        <v>30</v>
      </c>
      <c r="Q742" s="6">
        <v>0</v>
      </c>
      <c r="R742" s="6">
        <v>0</v>
      </c>
      <c r="S742" s="6">
        <v>0</v>
      </c>
    </row>
    <row r="743" spans="1:19" ht="15" x14ac:dyDescent="0.25">
      <c r="A743" s="7" t="s">
        <v>16</v>
      </c>
      <c r="B743" s="7" t="s">
        <v>55</v>
      </c>
      <c r="C743" s="7" t="s">
        <v>18</v>
      </c>
      <c r="D743" s="3">
        <v>2560878000107</v>
      </c>
      <c r="E743" s="8" t="s">
        <v>270</v>
      </c>
      <c r="F743" s="8" t="s">
        <v>225</v>
      </c>
      <c r="G743" s="8" t="s">
        <v>226</v>
      </c>
      <c r="H743" s="8" t="s">
        <v>795</v>
      </c>
      <c r="I743" s="3">
        <v>2</v>
      </c>
      <c r="J743" s="8" t="s">
        <v>780</v>
      </c>
      <c r="K743" s="8" t="s">
        <v>781</v>
      </c>
      <c r="L743" s="8" t="s">
        <v>739</v>
      </c>
      <c r="M743" s="1" t="s">
        <v>790</v>
      </c>
      <c r="N743" s="8" t="s">
        <v>791</v>
      </c>
      <c r="O743" s="6">
        <v>0</v>
      </c>
      <c r="P743" s="6">
        <v>0</v>
      </c>
      <c r="Q743" s="6">
        <v>0</v>
      </c>
      <c r="R743" s="6">
        <v>1</v>
      </c>
      <c r="S743" s="6">
        <v>30</v>
      </c>
    </row>
    <row r="744" spans="1:19" ht="15" x14ac:dyDescent="0.25">
      <c r="A744" s="7" t="s">
        <v>16</v>
      </c>
      <c r="B744" s="7" t="s">
        <v>55</v>
      </c>
      <c r="C744" s="7" t="s">
        <v>18</v>
      </c>
      <c r="D744" s="3">
        <v>2560878000107</v>
      </c>
      <c r="E744" s="8" t="s">
        <v>270</v>
      </c>
      <c r="F744" s="8" t="s">
        <v>225</v>
      </c>
      <c r="G744" s="8" t="s">
        <v>226</v>
      </c>
      <c r="H744" s="8" t="s">
        <v>795</v>
      </c>
      <c r="I744" s="3">
        <v>2</v>
      </c>
      <c r="J744" s="8" t="s">
        <v>742</v>
      </c>
      <c r="K744" s="8" t="s">
        <v>743</v>
      </c>
      <c r="L744" s="8" t="s">
        <v>723</v>
      </c>
      <c r="M744" s="1" t="s">
        <v>790</v>
      </c>
      <c r="N744" s="8" t="s">
        <v>791</v>
      </c>
      <c r="O744" s="6">
        <v>0</v>
      </c>
      <c r="P744" s="6">
        <v>0</v>
      </c>
      <c r="Q744" s="6">
        <v>0</v>
      </c>
      <c r="R744" s="6">
        <v>0</v>
      </c>
      <c r="S744" s="6">
        <v>30</v>
      </c>
    </row>
    <row r="745" spans="1:19" ht="15" x14ac:dyDescent="0.25">
      <c r="A745" s="7" t="s">
        <v>16</v>
      </c>
      <c r="B745" s="7" t="s">
        <v>55</v>
      </c>
      <c r="C745" s="7" t="s">
        <v>18</v>
      </c>
      <c r="D745" s="3">
        <v>60884855002289</v>
      </c>
      <c r="E745" s="8" t="s">
        <v>378</v>
      </c>
      <c r="F745" s="8" t="s">
        <v>225</v>
      </c>
      <c r="G745" s="8" t="s">
        <v>226</v>
      </c>
      <c r="H745" s="8" t="s">
        <v>795</v>
      </c>
      <c r="I745" s="3">
        <v>2</v>
      </c>
      <c r="J745" s="8" t="s">
        <v>780</v>
      </c>
      <c r="K745" s="8" t="s">
        <v>781</v>
      </c>
      <c r="L745" s="8" t="s">
        <v>739</v>
      </c>
      <c r="M745" s="1" t="s">
        <v>790</v>
      </c>
      <c r="N745" s="8" t="s">
        <v>791</v>
      </c>
      <c r="O745" s="6">
        <v>0</v>
      </c>
      <c r="P745" s="6">
        <v>0</v>
      </c>
      <c r="Q745" s="6">
        <v>0</v>
      </c>
      <c r="R745" s="6">
        <v>0</v>
      </c>
      <c r="S745" s="6">
        <v>300</v>
      </c>
    </row>
    <row r="746" spans="1:19" ht="15" x14ac:dyDescent="0.25">
      <c r="A746" s="7" t="s">
        <v>16</v>
      </c>
      <c r="B746" s="7" t="s">
        <v>55</v>
      </c>
      <c r="C746" s="7" t="s">
        <v>18</v>
      </c>
      <c r="D746" s="3">
        <v>60884855002289</v>
      </c>
      <c r="E746" s="8" t="s">
        <v>378</v>
      </c>
      <c r="F746" s="8" t="s">
        <v>225</v>
      </c>
      <c r="G746" s="8" t="s">
        <v>226</v>
      </c>
      <c r="H746" s="8" t="s">
        <v>795</v>
      </c>
      <c r="I746" s="3">
        <v>2</v>
      </c>
      <c r="J746" s="8" t="s">
        <v>742</v>
      </c>
      <c r="K746" s="8" t="s">
        <v>743</v>
      </c>
      <c r="L746" s="8" t="s">
        <v>723</v>
      </c>
      <c r="M746" s="1" t="s">
        <v>790</v>
      </c>
      <c r="N746" s="8" t="s">
        <v>791</v>
      </c>
      <c r="O746" s="6">
        <v>0</v>
      </c>
      <c r="P746" s="6">
        <v>24</v>
      </c>
      <c r="Q746" s="6">
        <v>7</v>
      </c>
      <c r="R746" s="6">
        <v>0</v>
      </c>
      <c r="S746" s="6">
        <v>300</v>
      </c>
    </row>
    <row r="747" spans="1:19" ht="15" x14ac:dyDescent="0.25">
      <c r="A747" s="7" t="s">
        <v>16</v>
      </c>
      <c r="B747" s="7" t="s">
        <v>55</v>
      </c>
      <c r="C747" s="7" t="s">
        <v>18</v>
      </c>
      <c r="D747" s="3">
        <v>6047087004207</v>
      </c>
      <c r="E747" s="8" t="s">
        <v>288</v>
      </c>
      <c r="F747" s="8" t="s">
        <v>225</v>
      </c>
      <c r="G747" s="8" t="s">
        <v>226</v>
      </c>
      <c r="H747" s="8" t="s">
        <v>795</v>
      </c>
      <c r="I747" s="3">
        <v>2</v>
      </c>
      <c r="J747" s="8" t="s">
        <v>780</v>
      </c>
      <c r="K747" s="8" t="s">
        <v>781</v>
      </c>
      <c r="L747" s="8" t="s">
        <v>739</v>
      </c>
      <c r="M747" s="1" t="s">
        <v>790</v>
      </c>
      <c r="N747" s="8" t="s">
        <v>791</v>
      </c>
      <c r="O747" s="6">
        <v>0</v>
      </c>
      <c r="P747" s="6">
        <v>0</v>
      </c>
      <c r="Q747" s="6">
        <v>0</v>
      </c>
      <c r="R747" s="6">
        <v>0</v>
      </c>
      <c r="S747" s="6">
        <v>0</v>
      </c>
    </row>
    <row r="748" spans="1:19" ht="15" x14ac:dyDescent="0.25">
      <c r="A748" s="7" t="s">
        <v>16</v>
      </c>
      <c r="B748" s="7" t="s">
        <v>55</v>
      </c>
      <c r="C748" s="7" t="s">
        <v>18</v>
      </c>
      <c r="D748" s="3">
        <v>6047087004207</v>
      </c>
      <c r="E748" s="8" t="s">
        <v>288</v>
      </c>
      <c r="F748" s="8" t="s">
        <v>225</v>
      </c>
      <c r="G748" s="8" t="s">
        <v>226</v>
      </c>
      <c r="H748" s="8" t="s">
        <v>795</v>
      </c>
      <c r="I748" s="3">
        <v>2</v>
      </c>
      <c r="J748" s="8" t="s">
        <v>742</v>
      </c>
      <c r="K748" s="8" t="s">
        <v>743</v>
      </c>
      <c r="L748" s="8" t="s">
        <v>723</v>
      </c>
      <c r="M748" s="1" t="s">
        <v>790</v>
      </c>
      <c r="N748" s="8" t="s">
        <v>791</v>
      </c>
      <c r="O748" s="6">
        <v>0</v>
      </c>
      <c r="P748" s="6">
        <v>8</v>
      </c>
      <c r="Q748" s="6">
        <v>0</v>
      </c>
      <c r="R748" s="6">
        <v>0</v>
      </c>
      <c r="S748" s="6">
        <v>0</v>
      </c>
    </row>
    <row r="749" spans="1:19" ht="15" x14ac:dyDescent="0.25">
      <c r="A749" s="7" t="s">
        <v>16</v>
      </c>
      <c r="B749" s="7" t="s">
        <v>55</v>
      </c>
      <c r="C749" s="7" t="s">
        <v>18</v>
      </c>
      <c r="D749" s="3">
        <v>6047087004126</v>
      </c>
      <c r="E749" s="8" t="s">
        <v>287</v>
      </c>
      <c r="F749" s="8" t="s">
        <v>225</v>
      </c>
      <c r="G749" s="8" t="s">
        <v>226</v>
      </c>
      <c r="H749" s="8" t="s">
        <v>795</v>
      </c>
      <c r="I749" s="3">
        <v>2</v>
      </c>
      <c r="J749" s="8" t="s">
        <v>780</v>
      </c>
      <c r="K749" s="8" t="s">
        <v>781</v>
      </c>
      <c r="L749" s="8" t="s">
        <v>739</v>
      </c>
      <c r="M749" s="1" t="s">
        <v>790</v>
      </c>
      <c r="N749" s="8" t="s">
        <v>791</v>
      </c>
      <c r="O749" s="6">
        <v>0</v>
      </c>
      <c r="P749" s="6">
        <v>0</v>
      </c>
      <c r="Q749" s="6">
        <v>0</v>
      </c>
      <c r="R749" s="6">
        <v>0</v>
      </c>
      <c r="S749" s="6">
        <v>400</v>
      </c>
    </row>
    <row r="750" spans="1:19" ht="15" x14ac:dyDescent="0.25">
      <c r="A750" s="7" t="s">
        <v>16</v>
      </c>
      <c r="B750" s="7" t="s">
        <v>55</v>
      </c>
      <c r="C750" s="7" t="s">
        <v>18</v>
      </c>
      <c r="D750" s="3">
        <v>6047087004126</v>
      </c>
      <c r="E750" s="8" t="s">
        <v>287</v>
      </c>
      <c r="F750" s="8" t="s">
        <v>225</v>
      </c>
      <c r="G750" s="8" t="s">
        <v>226</v>
      </c>
      <c r="H750" s="8" t="s">
        <v>795</v>
      </c>
      <c r="I750" s="3">
        <v>2</v>
      </c>
      <c r="J750" s="8" t="s">
        <v>742</v>
      </c>
      <c r="K750" s="8" t="s">
        <v>743</v>
      </c>
      <c r="L750" s="8" t="s">
        <v>723</v>
      </c>
      <c r="M750" s="1" t="s">
        <v>790</v>
      </c>
      <c r="N750" s="8" t="s">
        <v>791</v>
      </c>
      <c r="O750" s="6">
        <v>0</v>
      </c>
      <c r="P750" s="6">
        <v>7</v>
      </c>
      <c r="Q750" s="6">
        <v>0</v>
      </c>
      <c r="R750" s="6">
        <v>0</v>
      </c>
      <c r="S750" s="6">
        <v>400</v>
      </c>
    </row>
    <row r="751" spans="1:19" ht="15" x14ac:dyDescent="0.25">
      <c r="A751" s="7" t="s">
        <v>16</v>
      </c>
      <c r="B751" s="7" t="s">
        <v>55</v>
      </c>
      <c r="C751" s="7" t="s">
        <v>18</v>
      </c>
      <c r="D751" s="3">
        <v>610980000144</v>
      </c>
      <c r="E751" s="8" t="s">
        <v>244</v>
      </c>
      <c r="F751" s="8" t="s">
        <v>225</v>
      </c>
      <c r="G751" s="8" t="s">
        <v>226</v>
      </c>
      <c r="H751" s="8" t="s">
        <v>795</v>
      </c>
      <c r="I751" s="3">
        <v>2</v>
      </c>
      <c r="J751" s="8" t="s">
        <v>780</v>
      </c>
      <c r="K751" s="8" t="s">
        <v>781</v>
      </c>
      <c r="L751" s="8" t="s">
        <v>739</v>
      </c>
      <c r="M751" s="1" t="s">
        <v>790</v>
      </c>
      <c r="N751" s="8" t="s">
        <v>791</v>
      </c>
      <c r="O751" s="6">
        <v>0</v>
      </c>
      <c r="P751" s="6">
        <v>0</v>
      </c>
      <c r="Q751" s="6">
        <v>0</v>
      </c>
      <c r="R751" s="6">
        <v>0</v>
      </c>
      <c r="S751" s="6">
        <v>150</v>
      </c>
    </row>
    <row r="752" spans="1:19" ht="15" x14ac:dyDescent="0.25">
      <c r="A752" s="7" t="s">
        <v>16</v>
      </c>
      <c r="B752" s="7" t="s">
        <v>55</v>
      </c>
      <c r="C752" s="7" t="s">
        <v>18</v>
      </c>
      <c r="D752" s="3">
        <v>610980000144</v>
      </c>
      <c r="E752" s="8" t="s">
        <v>244</v>
      </c>
      <c r="F752" s="8" t="s">
        <v>225</v>
      </c>
      <c r="G752" s="8" t="s">
        <v>226</v>
      </c>
      <c r="H752" s="8" t="s">
        <v>795</v>
      </c>
      <c r="I752" s="3">
        <v>2</v>
      </c>
      <c r="J752" s="8" t="s">
        <v>742</v>
      </c>
      <c r="K752" s="8" t="s">
        <v>743</v>
      </c>
      <c r="L752" s="8" t="s">
        <v>723</v>
      </c>
      <c r="M752" s="1" t="s">
        <v>790</v>
      </c>
      <c r="N752" s="8" t="s">
        <v>791</v>
      </c>
      <c r="O752" s="6">
        <v>0</v>
      </c>
      <c r="P752" s="6">
        <v>5</v>
      </c>
      <c r="Q752" s="6">
        <v>0</v>
      </c>
      <c r="R752" s="6">
        <v>0</v>
      </c>
      <c r="S752" s="6">
        <v>150</v>
      </c>
    </row>
    <row r="753" spans="1:19" ht="15" x14ac:dyDescent="0.25">
      <c r="A753" s="7" t="s">
        <v>16</v>
      </c>
      <c r="B753" s="7" t="s">
        <v>55</v>
      </c>
      <c r="C753" s="7" t="s">
        <v>18</v>
      </c>
      <c r="D753" s="3">
        <v>61590410000558</v>
      </c>
      <c r="E753" s="8" t="s">
        <v>382</v>
      </c>
      <c r="F753" s="8" t="s">
        <v>225</v>
      </c>
      <c r="G753" s="8" t="s">
        <v>226</v>
      </c>
      <c r="H753" s="8" t="s">
        <v>795</v>
      </c>
      <c r="I753" s="3">
        <v>2</v>
      </c>
      <c r="J753" s="8" t="s">
        <v>780</v>
      </c>
      <c r="K753" s="8" t="s">
        <v>781</v>
      </c>
      <c r="L753" s="8" t="s">
        <v>739</v>
      </c>
      <c r="M753" s="1" t="s">
        <v>790</v>
      </c>
      <c r="N753" s="8" t="s">
        <v>791</v>
      </c>
      <c r="O753" s="6">
        <v>0</v>
      </c>
      <c r="P753" s="6">
        <v>0</v>
      </c>
      <c r="Q753" s="6">
        <v>0</v>
      </c>
      <c r="R753" s="6">
        <v>16</v>
      </c>
      <c r="S753" s="6">
        <v>0</v>
      </c>
    </row>
    <row r="754" spans="1:19" ht="15" x14ac:dyDescent="0.25">
      <c r="A754" s="7" t="s">
        <v>16</v>
      </c>
      <c r="B754" s="7" t="s">
        <v>55</v>
      </c>
      <c r="C754" s="7" t="s">
        <v>18</v>
      </c>
      <c r="D754" s="3">
        <v>61590410000558</v>
      </c>
      <c r="E754" s="8" t="s">
        <v>382</v>
      </c>
      <c r="F754" s="8" t="s">
        <v>225</v>
      </c>
      <c r="G754" s="8" t="s">
        <v>226</v>
      </c>
      <c r="H754" s="8" t="s">
        <v>795</v>
      </c>
      <c r="I754" s="3">
        <v>2</v>
      </c>
      <c r="J754" s="8" t="s">
        <v>742</v>
      </c>
      <c r="K754" s="8" t="s">
        <v>743</v>
      </c>
      <c r="L754" s="8" t="s">
        <v>723</v>
      </c>
      <c r="M754" s="1" t="s">
        <v>790</v>
      </c>
      <c r="N754" s="8" t="s">
        <v>791</v>
      </c>
      <c r="O754" s="6">
        <v>0</v>
      </c>
      <c r="P754" s="6">
        <v>0</v>
      </c>
      <c r="Q754" s="6">
        <v>0</v>
      </c>
      <c r="R754" s="6">
        <v>0</v>
      </c>
      <c r="S754" s="6">
        <v>0</v>
      </c>
    </row>
    <row r="755" spans="1:19" ht="15" x14ac:dyDescent="0.25">
      <c r="A755" s="7" t="s">
        <v>16</v>
      </c>
      <c r="B755" s="7" t="s">
        <v>55</v>
      </c>
      <c r="C755" s="7" t="s">
        <v>18</v>
      </c>
      <c r="D755" s="3">
        <v>10942995000163</v>
      </c>
      <c r="E755" s="8" t="s">
        <v>433</v>
      </c>
      <c r="F755" s="8" t="s">
        <v>225</v>
      </c>
      <c r="G755" s="8" t="s">
        <v>226</v>
      </c>
      <c r="H755" s="8" t="s">
        <v>795</v>
      </c>
      <c r="I755" s="3">
        <v>2</v>
      </c>
      <c r="J755" s="8" t="s">
        <v>780</v>
      </c>
      <c r="K755" s="8" t="s">
        <v>781</v>
      </c>
      <c r="L755" s="8" t="s">
        <v>739</v>
      </c>
      <c r="M755" s="1" t="s">
        <v>790</v>
      </c>
      <c r="N755" s="8" t="s">
        <v>791</v>
      </c>
      <c r="O755" s="6">
        <v>0</v>
      </c>
      <c r="P755" s="6">
        <v>0</v>
      </c>
      <c r="Q755" s="6">
        <v>0</v>
      </c>
      <c r="R755" s="6">
        <v>40</v>
      </c>
      <c r="S755" s="6">
        <v>300</v>
      </c>
    </row>
    <row r="756" spans="1:19" ht="15" x14ac:dyDescent="0.25">
      <c r="A756" s="7" t="s">
        <v>16</v>
      </c>
      <c r="B756" s="7" t="s">
        <v>55</v>
      </c>
      <c r="C756" s="7" t="s">
        <v>18</v>
      </c>
      <c r="D756" s="3">
        <v>10942995000163</v>
      </c>
      <c r="E756" s="8" t="s">
        <v>433</v>
      </c>
      <c r="F756" s="8" t="s">
        <v>225</v>
      </c>
      <c r="G756" s="8" t="s">
        <v>226</v>
      </c>
      <c r="H756" s="8" t="s">
        <v>795</v>
      </c>
      <c r="I756" s="3">
        <v>2</v>
      </c>
      <c r="J756" s="8" t="s">
        <v>742</v>
      </c>
      <c r="K756" s="8" t="s">
        <v>743</v>
      </c>
      <c r="L756" s="8" t="s">
        <v>723</v>
      </c>
      <c r="M756" s="1" t="s">
        <v>790</v>
      </c>
      <c r="N756" s="8" t="s">
        <v>791</v>
      </c>
      <c r="O756" s="6">
        <v>0</v>
      </c>
      <c r="P756" s="6">
        <v>0</v>
      </c>
      <c r="Q756" s="6">
        <v>0</v>
      </c>
      <c r="R756" s="6">
        <v>0</v>
      </c>
      <c r="S756" s="6">
        <v>300</v>
      </c>
    </row>
    <row r="757" spans="1:19" ht="15" x14ac:dyDescent="0.25">
      <c r="A757" s="7" t="s">
        <v>16</v>
      </c>
      <c r="B757" s="7" t="s">
        <v>55</v>
      </c>
      <c r="C757" s="7" t="s">
        <v>18</v>
      </c>
      <c r="D757" s="3">
        <v>11859927000106</v>
      </c>
      <c r="E757" s="8" t="s">
        <v>312</v>
      </c>
      <c r="F757" s="8" t="s">
        <v>225</v>
      </c>
      <c r="G757" s="8" t="s">
        <v>226</v>
      </c>
      <c r="H757" s="8" t="s">
        <v>795</v>
      </c>
      <c r="I757" s="3">
        <v>2</v>
      </c>
      <c r="J757" s="8" t="s">
        <v>780</v>
      </c>
      <c r="K757" s="8" t="s">
        <v>781</v>
      </c>
      <c r="L757" s="8" t="s">
        <v>739</v>
      </c>
      <c r="M757" s="1" t="s">
        <v>790</v>
      </c>
      <c r="N757" s="8" t="s">
        <v>791</v>
      </c>
      <c r="O757" s="6">
        <v>0</v>
      </c>
      <c r="P757" s="6">
        <v>0</v>
      </c>
      <c r="Q757" s="6">
        <v>0</v>
      </c>
      <c r="R757" s="6">
        <v>49</v>
      </c>
      <c r="S757" s="6">
        <v>30</v>
      </c>
    </row>
    <row r="758" spans="1:19" ht="15" x14ac:dyDescent="0.25">
      <c r="A758" s="7" t="s">
        <v>16</v>
      </c>
      <c r="B758" s="7" t="s">
        <v>55</v>
      </c>
      <c r="C758" s="7" t="s">
        <v>18</v>
      </c>
      <c r="D758" s="3">
        <v>11859927000106</v>
      </c>
      <c r="E758" s="8" t="s">
        <v>312</v>
      </c>
      <c r="F758" s="8" t="s">
        <v>225</v>
      </c>
      <c r="G758" s="8" t="s">
        <v>226</v>
      </c>
      <c r="H758" s="8" t="s">
        <v>795</v>
      </c>
      <c r="I758" s="3">
        <v>2</v>
      </c>
      <c r="J758" s="8" t="s">
        <v>742</v>
      </c>
      <c r="K758" s="8" t="s">
        <v>743</v>
      </c>
      <c r="L758" s="8" t="s">
        <v>723</v>
      </c>
      <c r="M758" s="1" t="s">
        <v>790</v>
      </c>
      <c r="N758" s="8" t="s">
        <v>791</v>
      </c>
      <c r="O758" s="6">
        <v>0</v>
      </c>
      <c r="P758" s="6">
        <v>0</v>
      </c>
      <c r="Q758" s="6">
        <v>0</v>
      </c>
      <c r="R758" s="6">
        <v>0</v>
      </c>
      <c r="S758" s="6">
        <v>30</v>
      </c>
    </row>
    <row r="759" spans="1:19" ht="15" x14ac:dyDescent="0.25">
      <c r="A759" s="7" t="s">
        <v>16</v>
      </c>
      <c r="B759" s="7" t="s">
        <v>55</v>
      </c>
      <c r="C759" s="7" t="s">
        <v>18</v>
      </c>
      <c r="D759" s="3">
        <v>1682668000129</v>
      </c>
      <c r="E759" s="8" t="s">
        <v>535</v>
      </c>
      <c r="F759" s="8" t="s">
        <v>225</v>
      </c>
      <c r="G759" s="8" t="s">
        <v>226</v>
      </c>
      <c r="H759" s="8" t="s">
        <v>795</v>
      </c>
      <c r="I759" s="3">
        <v>2</v>
      </c>
      <c r="J759" s="8" t="s">
        <v>780</v>
      </c>
      <c r="K759" s="8" t="s">
        <v>781</v>
      </c>
      <c r="L759" s="8" t="s">
        <v>739</v>
      </c>
      <c r="M759" s="1" t="s">
        <v>790</v>
      </c>
      <c r="N759" s="8" t="s">
        <v>791</v>
      </c>
      <c r="O759" s="6">
        <v>0</v>
      </c>
      <c r="P759" s="6">
        <v>0</v>
      </c>
      <c r="Q759" s="6">
        <v>0</v>
      </c>
      <c r="R759" s="6">
        <v>0</v>
      </c>
      <c r="S759" s="6">
        <v>25</v>
      </c>
    </row>
    <row r="760" spans="1:19" ht="15" x14ac:dyDescent="0.25">
      <c r="A760" s="7" t="s">
        <v>16</v>
      </c>
      <c r="B760" s="7" t="s">
        <v>55</v>
      </c>
      <c r="C760" s="7" t="s">
        <v>18</v>
      </c>
      <c r="D760" s="3">
        <v>1682668000129</v>
      </c>
      <c r="E760" s="8" t="s">
        <v>535</v>
      </c>
      <c r="F760" s="8" t="s">
        <v>225</v>
      </c>
      <c r="G760" s="8" t="s">
        <v>226</v>
      </c>
      <c r="H760" s="8" t="s">
        <v>795</v>
      </c>
      <c r="I760" s="3">
        <v>2</v>
      </c>
      <c r="J760" s="8" t="s">
        <v>742</v>
      </c>
      <c r="K760" s="8" t="s">
        <v>743</v>
      </c>
      <c r="L760" s="8" t="s">
        <v>723</v>
      </c>
      <c r="M760" s="1" t="s">
        <v>790</v>
      </c>
      <c r="N760" s="8" t="s">
        <v>791</v>
      </c>
      <c r="O760" s="6">
        <v>0</v>
      </c>
      <c r="P760" s="6">
        <v>0</v>
      </c>
      <c r="Q760" s="6">
        <v>0</v>
      </c>
      <c r="R760" s="6">
        <v>0</v>
      </c>
      <c r="S760" s="6">
        <v>25</v>
      </c>
    </row>
    <row r="761" spans="1:19" ht="15" x14ac:dyDescent="0.25">
      <c r="A761" s="7" t="s">
        <v>16</v>
      </c>
      <c r="B761" s="7" t="s">
        <v>55</v>
      </c>
      <c r="C761" s="7" t="s">
        <v>18</v>
      </c>
      <c r="D761" s="3">
        <v>16739984000167</v>
      </c>
      <c r="E761" s="8" t="s">
        <v>342</v>
      </c>
      <c r="F761" s="8" t="s">
        <v>225</v>
      </c>
      <c r="G761" s="8" t="s">
        <v>226</v>
      </c>
      <c r="H761" s="8" t="s">
        <v>795</v>
      </c>
      <c r="I761" s="3">
        <v>2</v>
      </c>
      <c r="J761" s="8" t="s">
        <v>780</v>
      </c>
      <c r="K761" s="8" t="s">
        <v>781</v>
      </c>
      <c r="L761" s="8" t="s">
        <v>739</v>
      </c>
      <c r="M761" s="1" t="s">
        <v>790</v>
      </c>
      <c r="N761" s="8" t="s">
        <v>791</v>
      </c>
      <c r="O761" s="6">
        <v>0</v>
      </c>
      <c r="P761" s="6">
        <v>0</v>
      </c>
      <c r="Q761" s="6">
        <v>0</v>
      </c>
      <c r="R761" s="6">
        <v>36</v>
      </c>
      <c r="S761" s="6">
        <v>0</v>
      </c>
    </row>
    <row r="762" spans="1:19" ht="15" x14ac:dyDescent="0.25">
      <c r="A762" s="7" t="s">
        <v>16</v>
      </c>
      <c r="B762" s="7" t="s">
        <v>55</v>
      </c>
      <c r="C762" s="7" t="s">
        <v>18</v>
      </c>
      <c r="D762" s="3">
        <v>16739984000167</v>
      </c>
      <c r="E762" s="8" t="s">
        <v>342</v>
      </c>
      <c r="F762" s="8" t="s">
        <v>225</v>
      </c>
      <c r="G762" s="8" t="s">
        <v>226</v>
      </c>
      <c r="H762" s="8" t="s">
        <v>795</v>
      </c>
      <c r="I762" s="3">
        <v>2</v>
      </c>
      <c r="J762" s="8" t="s">
        <v>742</v>
      </c>
      <c r="K762" s="8" t="s">
        <v>743</v>
      </c>
      <c r="L762" s="8" t="s">
        <v>723</v>
      </c>
      <c r="M762" s="1" t="s">
        <v>790</v>
      </c>
      <c r="N762" s="8" t="s">
        <v>791</v>
      </c>
      <c r="O762" s="6">
        <v>0</v>
      </c>
      <c r="P762" s="6">
        <v>0</v>
      </c>
      <c r="Q762" s="6">
        <v>0</v>
      </c>
      <c r="R762" s="6">
        <v>0</v>
      </c>
      <c r="S762" s="6">
        <v>0</v>
      </c>
    </row>
    <row r="763" spans="1:19" ht="15" x14ac:dyDescent="0.25">
      <c r="A763" s="7" t="s">
        <v>16</v>
      </c>
      <c r="B763" s="7" t="s">
        <v>55</v>
      </c>
      <c r="C763" s="7" t="s">
        <v>18</v>
      </c>
      <c r="D763" s="3">
        <v>511816000180</v>
      </c>
      <c r="E763" s="8" t="s">
        <v>242</v>
      </c>
      <c r="F763" s="8" t="s">
        <v>225</v>
      </c>
      <c r="G763" s="8" t="s">
        <v>226</v>
      </c>
      <c r="H763" s="8" t="s">
        <v>795</v>
      </c>
      <c r="I763" s="3">
        <v>2</v>
      </c>
      <c r="J763" s="8" t="s">
        <v>780</v>
      </c>
      <c r="K763" s="8" t="s">
        <v>781</v>
      </c>
      <c r="L763" s="8" t="s">
        <v>739</v>
      </c>
      <c r="M763" s="1" t="s">
        <v>790</v>
      </c>
      <c r="N763" s="8" t="s">
        <v>791</v>
      </c>
      <c r="O763" s="6">
        <v>0</v>
      </c>
      <c r="P763" s="6">
        <v>0</v>
      </c>
      <c r="Q763" s="6">
        <v>0</v>
      </c>
      <c r="R763" s="6">
        <v>0</v>
      </c>
      <c r="S763" s="6">
        <v>0</v>
      </c>
    </row>
    <row r="764" spans="1:19" ht="15" x14ac:dyDescent="0.25">
      <c r="A764" s="7" t="s">
        <v>16</v>
      </c>
      <c r="B764" s="7" t="s">
        <v>55</v>
      </c>
      <c r="C764" s="7" t="s">
        <v>18</v>
      </c>
      <c r="D764" s="3">
        <v>511816000180</v>
      </c>
      <c r="E764" s="8" t="s">
        <v>242</v>
      </c>
      <c r="F764" s="8" t="s">
        <v>225</v>
      </c>
      <c r="G764" s="8" t="s">
        <v>226</v>
      </c>
      <c r="H764" s="8" t="s">
        <v>795</v>
      </c>
      <c r="I764" s="3">
        <v>2</v>
      </c>
      <c r="J764" s="8" t="s">
        <v>742</v>
      </c>
      <c r="K764" s="8" t="s">
        <v>743</v>
      </c>
      <c r="L764" s="8" t="s">
        <v>723</v>
      </c>
      <c r="M764" s="1" t="s">
        <v>790</v>
      </c>
      <c r="N764" s="8" t="s">
        <v>791</v>
      </c>
      <c r="O764" s="6">
        <v>0</v>
      </c>
      <c r="P764" s="6">
        <v>0</v>
      </c>
      <c r="Q764" s="6">
        <v>4</v>
      </c>
      <c r="R764" s="6">
        <v>0</v>
      </c>
      <c r="S764" s="6">
        <v>0</v>
      </c>
    </row>
    <row r="765" spans="1:19" ht="15" x14ac:dyDescent="0.25">
      <c r="A765" s="7" t="s">
        <v>16</v>
      </c>
      <c r="B765" s="7" t="s">
        <v>55</v>
      </c>
      <c r="C765" s="7" t="s">
        <v>18</v>
      </c>
      <c r="D765" s="3">
        <v>49791000144</v>
      </c>
      <c r="E765" s="8" t="s">
        <v>224</v>
      </c>
      <c r="F765" s="8" t="s">
        <v>225</v>
      </c>
      <c r="G765" s="8" t="s">
        <v>226</v>
      </c>
      <c r="H765" s="8" t="s">
        <v>795</v>
      </c>
      <c r="I765" s="3">
        <v>2</v>
      </c>
      <c r="J765" s="8" t="s">
        <v>780</v>
      </c>
      <c r="K765" s="8" t="s">
        <v>781</v>
      </c>
      <c r="L765" s="8" t="s">
        <v>739</v>
      </c>
      <c r="M765" s="1" t="s">
        <v>790</v>
      </c>
      <c r="N765" s="8" t="s">
        <v>791</v>
      </c>
      <c r="O765" s="6">
        <v>0</v>
      </c>
      <c r="P765" s="6">
        <v>0</v>
      </c>
      <c r="Q765" s="6">
        <v>0</v>
      </c>
      <c r="R765" s="6">
        <v>0</v>
      </c>
      <c r="S765" s="6">
        <v>0</v>
      </c>
    </row>
    <row r="766" spans="1:19" ht="15" x14ac:dyDescent="0.25">
      <c r="A766" s="7" t="s">
        <v>16</v>
      </c>
      <c r="B766" s="7" t="s">
        <v>55</v>
      </c>
      <c r="C766" s="7" t="s">
        <v>18</v>
      </c>
      <c r="D766" s="3">
        <v>49791000144</v>
      </c>
      <c r="E766" s="8" t="s">
        <v>224</v>
      </c>
      <c r="F766" s="8" t="s">
        <v>225</v>
      </c>
      <c r="G766" s="8" t="s">
        <v>226</v>
      </c>
      <c r="H766" s="8" t="s">
        <v>795</v>
      </c>
      <c r="I766" s="3">
        <v>2</v>
      </c>
      <c r="J766" s="8" t="s">
        <v>742</v>
      </c>
      <c r="K766" s="8" t="s">
        <v>743</v>
      </c>
      <c r="L766" s="8" t="s">
        <v>723</v>
      </c>
      <c r="M766" s="1" t="s">
        <v>790</v>
      </c>
      <c r="N766" s="8" t="s">
        <v>791</v>
      </c>
      <c r="O766" s="6">
        <v>0</v>
      </c>
      <c r="P766" s="6">
        <v>9</v>
      </c>
      <c r="Q766" s="6">
        <v>4</v>
      </c>
      <c r="R766" s="6">
        <v>0</v>
      </c>
      <c r="S766" s="6">
        <v>0</v>
      </c>
    </row>
    <row r="767" spans="1:19" ht="15" x14ac:dyDescent="0.25">
      <c r="A767" s="7" t="s">
        <v>16</v>
      </c>
      <c r="B767" s="7" t="s">
        <v>55</v>
      </c>
      <c r="C767" s="7" t="s">
        <v>18</v>
      </c>
      <c r="D767" s="3">
        <v>25841000153</v>
      </c>
      <c r="E767" s="8" t="s">
        <v>467</v>
      </c>
      <c r="F767" s="8" t="s">
        <v>225</v>
      </c>
      <c r="G767" s="8" t="s">
        <v>226</v>
      </c>
      <c r="H767" s="8" t="s">
        <v>795</v>
      </c>
      <c r="I767" s="3">
        <v>2</v>
      </c>
      <c r="J767" s="8" t="s">
        <v>780</v>
      </c>
      <c r="K767" s="8" t="s">
        <v>781</v>
      </c>
      <c r="L767" s="8" t="s">
        <v>739</v>
      </c>
      <c r="M767" s="1" t="s">
        <v>790</v>
      </c>
      <c r="N767" s="8" t="s">
        <v>791</v>
      </c>
      <c r="O767" s="6">
        <v>0</v>
      </c>
      <c r="P767" s="6">
        <v>0</v>
      </c>
      <c r="Q767" s="6">
        <v>0</v>
      </c>
      <c r="R767" s="6">
        <v>0</v>
      </c>
      <c r="S767" s="6">
        <v>120</v>
      </c>
    </row>
    <row r="768" spans="1:19" ht="15" x14ac:dyDescent="0.25">
      <c r="A768" s="7" t="s">
        <v>16</v>
      </c>
      <c r="B768" s="7" t="s">
        <v>55</v>
      </c>
      <c r="C768" s="7" t="s">
        <v>18</v>
      </c>
      <c r="D768" s="3">
        <v>25841000153</v>
      </c>
      <c r="E768" s="8" t="s">
        <v>467</v>
      </c>
      <c r="F768" s="8" t="s">
        <v>225</v>
      </c>
      <c r="G768" s="8" t="s">
        <v>226</v>
      </c>
      <c r="H768" s="8" t="s">
        <v>795</v>
      </c>
      <c r="I768" s="3">
        <v>2</v>
      </c>
      <c r="J768" s="8" t="s">
        <v>742</v>
      </c>
      <c r="K768" s="8" t="s">
        <v>743</v>
      </c>
      <c r="L768" s="8" t="s">
        <v>723</v>
      </c>
      <c r="M768" s="1" t="s">
        <v>790</v>
      </c>
      <c r="N768" s="8" t="s">
        <v>791</v>
      </c>
      <c r="O768" s="6">
        <v>0</v>
      </c>
      <c r="P768" s="6">
        <v>0</v>
      </c>
      <c r="Q768" s="6">
        <v>0</v>
      </c>
      <c r="R768" s="6">
        <v>0</v>
      </c>
      <c r="S768" s="6">
        <v>120</v>
      </c>
    </row>
    <row r="769" spans="1:19" ht="15" x14ac:dyDescent="0.25">
      <c r="A769" s="7" t="s">
        <v>16</v>
      </c>
      <c r="B769" s="7" t="s">
        <v>55</v>
      </c>
      <c r="C769" s="7" t="s">
        <v>18</v>
      </c>
      <c r="D769" s="3">
        <v>61590410001287</v>
      </c>
      <c r="E769" s="8" t="s">
        <v>580</v>
      </c>
      <c r="F769" s="8" t="s">
        <v>225</v>
      </c>
      <c r="G769" s="8" t="s">
        <v>226</v>
      </c>
      <c r="H769" s="8" t="s">
        <v>795</v>
      </c>
      <c r="I769" s="3">
        <v>2</v>
      </c>
      <c r="J769" s="8" t="s">
        <v>780</v>
      </c>
      <c r="K769" s="8" t="s">
        <v>781</v>
      </c>
      <c r="L769" s="8" t="s">
        <v>739</v>
      </c>
      <c r="M769" s="1" t="s">
        <v>790</v>
      </c>
      <c r="N769" s="8" t="s">
        <v>791</v>
      </c>
      <c r="O769" s="6">
        <v>0</v>
      </c>
      <c r="P769" s="6">
        <v>0</v>
      </c>
      <c r="Q769" s="6">
        <v>0</v>
      </c>
      <c r="R769" s="6">
        <v>0</v>
      </c>
      <c r="S769" s="6">
        <v>2250</v>
      </c>
    </row>
    <row r="770" spans="1:19" ht="15" x14ac:dyDescent="0.25">
      <c r="A770" s="7" t="s">
        <v>16</v>
      </c>
      <c r="B770" s="7" t="s">
        <v>55</v>
      </c>
      <c r="C770" s="7" t="s">
        <v>18</v>
      </c>
      <c r="D770" s="3">
        <v>61590410001287</v>
      </c>
      <c r="E770" s="8" t="s">
        <v>580</v>
      </c>
      <c r="F770" s="8" t="s">
        <v>225</v>
      </c>
      <c r="G770" s="8" t="s">
        <v>226</v>
      </c>
      <c r="H770" s="8" t="s">
        <v>795</v>
      </c>
      <c r="I770" s="3">
        <v>2</v>
      </c>
      <c r="J770" s="8" t="s">
        <v>742</v>
      </c>
      <c r="K770" s="8" t="s">
        <v>743</v>
      </c>
      <c r="L770" s="8" t="s">
        <v>723</v>
      </c>
      <c r="M770" s="1" t="s">
        <v>790</v>
      </c>
      <c r="N770" s="8" t="s">
        <v>791</v>
      </c>
      <c r="O770" s="6">
        <v>0</v>
      </c>
      <c r="P770" s="6">
        <v>0</v>
      </c>
      <c r="Q770" s="6">
        <v>0</v>
      </c>
      <c r="R770" s="6">
        <v>0</v>
      </c>
      <c r="S770" s="6">
        <v>2250</v>
      </c>
    </row>
    <row r="771" spans="1:19" ht="15" x14ac:dyDescent="0.25">
      <c r="A771" s="7" t="s">
        <v>16</v>
      </c>
      <c r="B771" s="7" t="s">
        <v>55</v>
      </c>
      <c r="C771" s="7" t="s">
        <v>18</v>
      </c>
      <c r="D771" s="3">
        <v>27080605000358</v>
      </c>
      <c r="E771" s="8" t="s">
        <v>620</v>
      </c>
      <c r="F771" s="8" t="s">
        <v>621</v>
      </c>
      <c r="G771" s="8" t="s">
        <v>418</v>
      </c>
      <c r="H771" s="8" t="s">
        <v>795</v>
      </c>
      <c r="I771" s="3">
        <v>1</v>
      </c>
      <c r="J771" s="8" t="s">
        <v>737</v>
      </c>
      <c r="K771" s="8" t="s">
        <v>738</v>
      </c>
      <c r="L771" s="8" t="s">
        <v>739</v>
      </c>
      <c r="M771" s="1" t="s">
        <v>784</v>
      </c>
      <c r="N771" s="8" t="s">
        <v>785</v>
      </c>
      <c r="O771" s="6">
        <v>0</v>
      </c>
      <c r="P771" s="6">
        <v>0</v>
      </c>
      <c r="Q771" s="6">
        <v>0</v>
      </c>
      <c r="R771" s="6">
        <v>0</v>
      </c>
      <c r="S771" s="6">
        <v>300</v>
      </c>
    </row>
    <row r="772" spans="1:19" ht="15" x14ac:dyDescent="0.25">
      <c r="A772" s="7" t="s">
        <v>16</v>
      </c>
      <c r="B772" s="7" t="s">
        <v>55</v>
      </c>
      <c r="C772" s="7" t="s">
        <v>18</v>
      </c>
      <c r="D772" s="3">
        <v>1396804000114</v>
      </c>
      <c r="E772" s="8" t="s">
        <v>532</v>
      </c>
      <c r="F772" s="8" t="s">
        <v>417</v>
      </c>
      <c r="G772" s="8" t="s">
        <v>418</v>
      </c>
      <c r="H772" s="8" t="s">
        <v>795</v>
      </c>
      <c r="I772" s="3">
        <v>1</v>
      </c>
      <c r="J772" s="8" t="s">
        <v>737</v>
      </c>
      <c r="K772" s="8" t="s">
        <v>738</v>
      </c>
      <c r="L772" s="8" t="s">
        <v>739</v>
      </c>
      <c r="M772" s="1" t="s">
        <v>784</v>
      </c>
      <c r="N772" s="8" t="s">
        <v>785</v>
      </c>
      <c r="O772" s="6">
        <v>0</v>
      </c>
      <c r="P772" s="6">
        <v>0</v>
      </c>
      <c r="Q772" s="6">
        <v>0</v>
      </c>
      <c r="R772" s="6">
        <v>0</v>
      </c>
      <c r="S772" s="6">
        <v>25</v>
      </c>
    </row>
    <row r="773" spans="1:19" ht="15" x14ac:dyDescent="0.25">
      <c r="A773" s="7" t="s">
        <v>16</v>
      </c>
      <c r="B773" s="7" t="s">
        <v>55</v>
      </c>
      <c r="C773" s="7" t="s">
        <v>18</v>
      </c>
      <c r="D773" s="3">
        <v>4786490000154</v>
      </c>
      <c r="E773" s="8" t="s">
        <v>416</v>
      </c>
      <c r="F773" s="8" t="s">
        <v>417</v>
      </c>
      <c r="G773" s="8" t="s">
        <v>418</v>
      </c>
      <c r="H773" s="8" t="s">
        <v>795</v>
      </c>
      <c r="I773" s="3">
        <v>1</v>
      </c>
      <c r="J773" s="8" t="s">
        <v>737</v>
      </c>
      <c r="K773" s="8" t="s">
        <v>738</v>
      </c>
      <c r="L773" s="8" t="s">
        <v>739</v>
      </c>
      <c r="M773" s="1" t="s">
        <v>784</v>
      </c>
      <c r="N773" s="8" t="s">
        <v>785</v>
      </c>
      <c r="O773" s="6">
        <v>0</v>
      </c>
      <c r="P773" s="6">
        <v>0</v>
      </c>
      <c r="Q773" s="6">
        <v>0</v>
      </c>
      <c r="R773" s="6">
        <v>14</v>
      </c>
      <c r="S773" s="6">
        <v>0</v>
      </c>
    </row>
    <row r="774" spans="1:19" ht="15" x14ac:dyDescent="0.25">
      <c r="A774" s="7" t="s">
        <v>16</v>
      </c>
      <c r="B774" s="7" t="s">
        <v>55</v>
      </c>
      <c r="C774" s="7" t="s">
        <v>18</v>
      </c>
      <c r="D774" s="3">
        <v>27578434001525</v>
      </c>
      <c r="E774" s="8" t="s">
        <v>450</v>
      </c>
      <c r="F774" s="8" t="s">
        <v>451</v>
      </c>
      <c r="G774" s="8" t="s">
        <v>418</v>
      </c>
      <c r="H774" s="8" t="s">
        <v>795</v>
      </c>
      <c r="I774" s="3">
        <v>1</v>
      </c>
      <c r="J774" s="8" t="s">
        <v>737</v>
      </c>
      <c r="K774" s="8" t="s">
        <v>738</v>
      </c>
      <c r="L774" s="8" t="s">
        <v>739</v>
      </c>
      <c r="M774" s="1" t="s">
        <v>784</v>
      </c>
      <c r="N774" s="8" t="s">
        <v>785</v>
      </c>
      <c r="O774" s="6">
        <v>4</v>
      </c>
      <c r="P774" s="6">
        <v>0</v>
      </c>
      <c r="Q774" s="6">
        <v>0</v>
      </c>
      <c r="R774" s="6">
        <v>0</v>
      </c>
      <c r="S774" s="6">
        <v>1500</v>
      </c>
    </row>
    <row r="775" spans="1:19" ht="15" x14ac:dyDescent="0.25">
      <c r="A775" s="7" t="s">
        <v>16</v>
      </c>
      <c r="B775" s="7" t="s">
        <v>55</v>
      </c>
      <c r="C775" s="7" t="s">
        <v>18</v>
      </c>
      <c r="D775" s="3">
        <v>39387477000107</v>
      </c>
      <c r="E775" s="8" t="s">
        <v>579</v>
      </c>
      <c r="F775" s="8" t="s">
        <v>451</v>
      </c>
      <c r="G775" s="8" t="s">
        <v>418</v>
      </c>
      <c r="H775" s="8" t="s">
        <v>795</v>
      </c>
      <c r="I775" s="3">
        <v>1</v>
      </c>
      <c r="J775" s="8" t="s">
        <v>737</v>
      </c>
      <c r="K775" s="8" t="s">
        <v>738</v>
      </c>
      <c r="L775" s="8" t="s">
        <v>739</v>
      </c>
      <c r="M775" s="1" t="s">
        <v>784</v>
      </c>
      <c r="N775" s="8" t="s">
        <v>785</v>
      </c>
      <c r="O775" s="6">
        <v>0</v>
      </c>
      <c r="P775" s="6">
        <v>0</v>
      </c>
      <c r="Q775" s="6">
        <v>0</v>
      </c>
      <c r="R775" s="6">
        <v>0</v>
      </c>
      <c r="S775" s="6">
        <v>75</v>
      </c>
    </row>
    <row r="776" spans="1:19" ht="15" x14ac:dyDescent="0.25">
      <c r="A776" s="7" t="s">
        <v>16</v>
      </c>
      <c r="B776" s="7" t="s">
        <v>55</v>
      </c>
      <c r="C776" s="7" t="s">
        <v>18</v>
      </c>
      <c r="D776" s="3">
        <v>1326206000179</v>
      </c>
      <c r="E776" s="8" t="s">
        <v>254</v>
      </c>
      <c r="F776" s="8" t="s">
        <v>255</v>
      </c>
      <c r="G776" s="8" t="s">
        <v>238</v>
      </c>
      <c r="H776" s="8" t="s">
        <v>795</v>
      </c>
      <c r="I776" s="3">
        <v>2</v>
      </c>
      <c r="J776" s="8" t="s">
        <v>766</v>
      </c>
      <c r="K776" s="8" t="s">
        <v>767</v>
      </c>
      <c r="L776" s="8" t="s">
        <v>730</v>
      </c>
      <c r="M776" s="1" t="s">
        <v>790</v>
      </c>
      <c r="N776" s="8" t="s">
        <v>791</v>
      </c>
      <c r="O776" s="6">
        <v>0</v>
      </c>
      <c r="P776" s="6">
        <v>0</v>
      </c>
      <c r="Q776" s="6">
        <v>0</v>
      </c>
      <c r="R776" s="6">
        <v>18</v>
      </c>
      <c r="S776" s="6">
        <v>50</v>
      </c>
    </row>
    <row r="777" spans="1:19" ht="15" x14ac:dyDescent="0.25">
      <c r="A777" s="7" t="s">
        <v>16</v>
      </c>
      <c r="B777" s="7" t="s">
        <v>55</v>
      </c>
      <c r="C777" s="7" t="s">
        <v>18</v>
      </c>
      <c r="D777" s="3">
        <v>1326206000179</v>
      </c>
      <c r="E777" s="8" t="s">
        <v>254</v>
      </c>
      <c r="F777" s="8" t="s">
        <v>255</v>
      </c>
      <c r="G777" s="8" t="s">
        <v>238</v>
      </c>
      <c r="H777" s="8" t="s">
        <v>795</v>
      </c>
      <c r="I777" s="3">
        <v>2</v>
      </c>
      <c r="J777" s="8" t="s">
        <v>742</v>
      </c>
      <c r="K777" s="8" t="s">
        <v>743</v>
      </c>
      <c r="L777" s="8" t="s">
        <v>723</v>
      </c>
      <c r="M777" s="1" t="s">
        <v>790</v>
      </c>
      <c r="N777" s="8" t="s">
        <v>791</v>
      </c>
      <c r="O777" s="6">
        <v>0</v>
      </c>
      <c r="P777" s="6">
        <v>0</v>
      </c>
      <c r="Q777" s="6">
        <v>0</v>
      </c>
      <c r="R777" s="6">
        <v>0</v>
      </c>
      <c r="S777" s="6">
        <v>50</v>
      </c>
    </row>
    <row r="778" spans="1:19" ht="15" x14ac:dyDescent="0.25">
      <c r="A778" s="7" t="s">
        <v>16</v>
      </c>
      <c r="B778" s="7" t="s">
        <v>55</v>
      </c>
      <c r="C778" s="7" t="s">
        <v>18</v>
      </c>
      <c r="D778" s="3">
        <v>2476067000394</v>
      </c>
      <c r="E778" s="8" t="s">
        <v>537</v>
      </c>
      <c r="F778" s="8" t="s">
        <v>237</v>
      </c>
      <c r="G778" s="8" t="s">
        <v>238</v>
      </c>
      <c r="H778" s="8" t="s">
        <v>795</v>
      </c>
      <c r="I778" s="3">
        <v>2</v>
      </c>
      <c r="J778" s="8" t="s">
        <v>766</v>
      </c>
      <c r="K778" s="8" t="s">
        <v>767</v>
      </c>
      <c r="L778" s="8" t="s">
        <v>730</v>
      </c>
      <c r="M778" s="1" t="s">
        <v>790</v>
      </c>
      <c r="N778" s="8" t="s">
        <v>791</v>
      </c>
      <c r="O778" s="6">
        <v>0</v>
      </c>
      <c r="P778" s="6">
        <v>0</v>
      </c>
      <c r="Q778" s="6">
        <v>0</v>
      </c>
      <c r="R778" s="6">
        <v>0</v>
      </c>
      <c r="S778" s="6">
        <v>75</v>
      </c>
    </row>
    <row r="779" spans="1:19" ht="15" x14ac:dyDescent="0.25">
      <c r="A779" s="7" t="s">
        <v>16</v>
      </c>
      <c r="B779" s="7" t="s">
        <v>55</v>
      </c>
      <c r="C779" s="7" t="s">
        <v>18</v>
      </c>
      <c r="D779" s="3">
        <v>2476067000394</v>
      </c>
      <c r="E779" s="8" t="s">
        <v>537</v>
      </c>
      <c r="F779" s="8" t="s">
        <v>237</v>
      </c>
      <c r="G779" s="8" t="s">
        <v>238</v>
      </c>
      <c r="H779" s="8" t="s">
        <v>795</v>
      </c>
      <c r="I779" s="3">
        <v>2</v>
      </c>
      <c r="J779" s="8" t="s">
        <v>742</v>
      </c>
      <c r="K779" s="8" t="s">
        <v>743</v>
      </c>
      <c r="L779" s="8" t="s">
        <v>723</v>
      </c>
      <c r="M779" s="1" t="s">
        <v>790</v>
      </c>
      <c r="N779" s="8" t="s">
        <v>791</v>
      </c>
      <c r="O779" s="6">
        <v>0</v>
      </c>
      <c r="P779" s="6">
        <v>0</v>
      </c>
      <c r="Q779" s="6">
        <v>0</v>
      </c>
      <c r="R779" s="6">
        <v>0</v>
      </c>
      <c r="S779" s="6">
        <v>75</v>
      </c>
    </row>
    <row r="780" spans="1:19" ht="15" x14ac:dyDescent="0.25">
      <c r="A780" s="7" t="s">
        <v>16</v>
      </c>
      <c r="B780" s="7" t="s">
        <v>55</v>
      </c>
      <c r="C780" s="7" t="s">
        <v>18</v>
      </c>
      <c r="D780" s="3">
        <v>418954000119</v>
      </c>
      <c r="E780" s="8" t="s">
        <v>236</v>
      </c>
      <c r="F780" s="8" t="s">
        <v>237</v>
      </c>
      <c r="G780" s="8" t="s">
        <v>238</v>
      </c>
      <c r="H780" s="8" t="s">
        <v>795</v>
      </c>
      <c r="I780" s="3">
        <v>2</v>
      </c>
      <c r="J780" s="8" t="s">
        <v>766</v>
      </c>
      <c r="K780" s="8" t="s">
        <v>767</v>
      </c>
      <c r="L780" s="8" t="s">
        <v>730</v>
      </c>
      <c r="M780" s="1" t="s">
        <v>790</v>
      </c>
      <c r="N780" s="8" t="s">
        <v>791</v>
      </c>
      <c r="O780" s="6">
        <v>0</v>
      </c>
      <c r="P780" s="6">
        <v>0</v>
      </c>
      <c r="Q780" s="6">
        <v>0</v>
      </c>
      <c r="R780" s="6">
        <v>0</v>
      </c>
      <c r="S780" s="6">
        <v>0</v>
      </c>
    </row>
    <row r="781" spans="1:19" ht="15" x14ac:dyDescent="0.25">
      <c r="A781" s="7" t="s">
        <v>16</v>
      </c>
      <c r="B781" s="7" t="s">
        <v>55</v>
      </c>
      <c r="C781" s="7" t="s">
        <v>18</v>
      </c>
      <c r="D781" s="3">
        <v>418954000119</v>
      </c>
      <c r="E781" s="8" t="s">
        <v>236</v>
      </c>
      <c r="F781" s="8" t="s">
        <v>237</v>
      </c>
      <c r="G781" s="8" t="s">
        <v>238</v>
      </c>
      <c r="H781" s="8" t="s">
        <v>795</v>
      </c>
      <c r="I781" s="3">
        <v>2</v>
      </c>
      <c r="J781" s="8" t="s">
        <v>742</v>
      </c>
      <c r="K781" s="8" t="s">
        <v>743</v>
      </c>
      <c r="L781" s="8" t="s">
        <v>723</v>
      </c>
      <c r="M781" s="1" t="s">
        <v>790</v>
      </c>
      <c r="N781" s="8" t="s">
        <v>791</v>
      </c>
      <c r="O781" s="6">
        <v>0</v>
      </c>
      <c r="P781" s="6">
        <v>10</v>
      </c>
      <c r="Q781" s="6">
        <v>0</v>
      </c>
      <c r="R781" s="6">
        <v>0</v>
      </c>
      <c r="S781" s="6">
        <v>0</v>
      </c>
    </row>
    <row r="782" spans="1:19" ht="15" x14ac:dyDescent="0.25">
      <c r="A782" s="7" t="s">
        <v>16</v>
      </c>
      <c r="B782" s="7" t="s">
        <v>55</v>
      </c>
      <c r="C782" s="7" t="s">
        <v>18</v>
      </c>
      <c r="D782" s="3">
        <v>21155621000114</v>
      </c>
      <c r="E782" s="8" t="s">
        <v>619</v>
      </c>
      <c r="F782" s="8" t="s">
        <v>237</v>
      </c>
      <c r="G782" s="8" t="s">
        <v>238</v>
      </c>
      <c r="H782" s="8" t="s">
        <v>795</v>
      </c>
      <c r="I782" s="3">
        <v>2</v>
      </c>
      <c r="J782" s="8" t="s">
        <v>766</v>
      </c>
      <c r="K782" s="8" t="s">
        <v>767</v>
      </c>
      <c r="L782" s="8" t="s">
        <v>730</v>
      </c>
      <c r="M782" s="1" t="s">
        <v>790</v>
      </c>
      <c r="N782" s="8" t="s">
        <v>791</v>
      </c>
      <c r="O782" s="6">
        <v>0</v>
      </c>
      <c r="P782" s="6">
        <v>0</v>
      </c>
      <c r="Q782" s="6">
        <v>0</v>
      </c>
      <c r="R782" s="6">
        <v>0</v>
      </c>
      <c r="S782" s="6">
        <v>40</v>
      </c>
    </row>
    <row r="783" spans="1:19" ht="15" x14ac:dyDescent="0.25">
      <c r="A783" s="7" t="s">
        <v>16</v>
      </c>
      <c r="B783" s="7" t="s">
        <v>55</v>
      </c>
      <c r="C783" s="7" t="s">
        <v>18</v>
      </c>
      <c r="D783" s="3">
        <v>21155621000114</v>
      </c>
      <c r="E783" s="8" t="s">
        <v>619</v>
      </c>
      <c r="F783" s="8" t="s">
        <v>237</v>
      </c>
      <c r="G783" s="8" t="s">
        <v>238</v>
      </c>
      <c r="H783" s="8" t="s">
        <v>795</v>
      </c>
      <c r="I783" s="3">
        <v>2</v>
      </c>
      <c r="J783" s="8" t="s">
        <v>742</v>
      </c>
      <c r="K783" s="8" t="s">
        <v>743</v>
      </c>
      <c r="L783" s="8" t="s">
        <v>723</v>
      </c>
      <c r="M783" s="1" t="s">
        <v>790</v>
      </c>
      <c r="N783" s="8" t="s">
        <v>791</v>
      </c>
      <c r="O783" s="6">
        <v>0</v>
      </c>
      <c r="P783" s="6">
        <v>0</v>
      </c>
      <c r="Q783" s="6">
        <v>0</v>
      </c>
      <c r="R783" s="6">
        <v>0</v>
      </c>
      <c r="S783" s="6">
        <v>40</v>
      </c>
    </row>
    <row r="784" spans="1:19" ht="15" x14ac:dyDescent="0.25">
      <c r="A784" s="7" t="s">
        <v>16</v>
      </c>
      <c r="B784" s="7" t="s">
        <v>55</v>
      </c>
      <c r="C784" s="7" t="s">
        <v>18</v>
      </c>
      <c r="D784" s="3">
        <v>1011865000116</v>
      </c>
      <c r="E784" s="8" t="s">
        <v>528</v>
      </c>
      <c r="F784" s="8" t="s">
        <v>237</v>
      </c>
      <c r="G784" s="8" t="s">
        <v>238</v>
      </c>
      <c r="H784" s="8" t="s">
        <v>795</v>
      </c>
      <c r="I784" s="3">
        <v>2</v>
      </c>
      <c r="J784" s="8" t="s">
        <v>766</v>
      </c>
      <c r="K784" s="8" t="s">
        <v>767</v>
      </c>
      <c r="L784" s="8" t="s">
        <v>730</v>
      </c>
      <c r="M784" s="1" t="s">
        <v>790</v>
      </c>
      <c r="N784" s="8" t="s">
        <v>791</v>
      </c>
      <c r="O784" s="6">
        <v>0</v>
      </c>
      <c r="P784" s="6">
        <v>0</v>
      </c>
      <c r="Q784" s="6">
        <v>0</v>
      </c>
      <c r="R784" s="6">
        <v>0</v>
      </c>
      <c r="S784" s="6">
        <v>350</v>
      </c>
    </row>
    <row r="785" spans="1:19" ht="15" x14ac:dyDescent="0.25">
      <c r="A785" s="7" t="s">
        <v>16</v>
      </c>
      <c r="B785" s="7" t="s">
        <v>55</v>
      </c>
      <c r="C785" s="7" t="s">
        <v>18</v>
      </c>
      <c r="D785" s="3">
        <v>1011865000116</v>
      </c>
      <c r="E785" s="8" t="s">
        <v>528</v>
      </c>
      <c r="F785" s="8" t="s">
        <v>237</v>
      </c>
      <c r="G785" s="8" t="s">
        <v>238</v>
      </c>
      <c r="H785" s="8" t="s">
        <v>795</v>
      </c>
      <c r="I785" s="3">
        <v>2</v>
      </c>
      <c r="J785" s="8" t="s">
        <v>742</v>
      </c>
      <c r="K785" s="8" t="s">
        <v>743</v>
      </c>
      <c r="L785" s="8" t="s">
        <v>723</v>
      </c>
      <c r="M785" s="1" t="s">
        <v>790</v>
      </c>
      <c r="N785" s="8" t="s">
        <v>791</v>
      </c>
      <c r="O785" s="6">
        <v>0</v>
      </c>
      <c r="P785" s="6">
        <v>0</v>
      </c>
      <c r="Q785" s="6">
        <v>0</v>
      </c>
      <c r="R785" s="6">
        <v>0</v>
      </c>
      <c r="S785" s="6">
        <v>350</v>
      </c>
    </row>
    <row r="786" spans="1:19" ht="15" x14ac:dyDescent="0.25">
      <c r="A786" s="7" t="s">
        <v>16</v>
      </c>
      <c r="B786" s="7" t="s">
        <v>55</v>
      </c>
      <c r="C786" s="7" t="s">
        <v>18</v>
      </c>
      <c r="D786" s="3">
        <v>53629000108</v>
      </c>
      <c r="E786" s="8" t="s">
        <v>594</v>
      </c>
      <c r="F786" s="8" t="s">
        <v>237</v>
      </c>
      <c r="G786" s="8" t="s">
        <v>238</v>
      </c>
      <c r="H786" s="8" t="s">
        <v>795</v>
      </c>
      <c r="I786" s="3">
        <v>2</v>
      </c>
      <c r="J786" s="8" t="s">
        <v>766</v>
      </c>
      <c r="K786" s="8" t="s">
        <v>767</v>
      </c>
      <c r="L786" s="8" t="s">
        <v>730</v>
      </c>
      <c r="M786" s="1" t="s">
        <v>790</v>
      </c>
      <c r="N786" s="8" t="s">
        <v>791</v>
      </c>
      <c r="O786" s="6">
        <v>0</v>
      </c>
      <c r="P786" s="6">
        <v>0</v>
      </c>
      <c r="Q786" s="6">
        <v>0</v>
      </c>
      <c r="R786" s="6">
        <v>0</v>
      </c>
      <c r="S786" s="6">
        <v>0</v>
      </c>
    </row>
    <row r="787" spans="1:19" ht="15" x14ac:dyDescent="0.25">
      <c r="A787" s="7" t="s">
        <v>16</v>
      </c>
      <c r="B787" s="7" t="s">
        <v>55</v>
      </c>
      <c r="C787" s="7" t="s">
        <v>18</v>
      </c>
      <c r="D787" s="3">
        <v>53629000108</v>
      </c>
      <c r="E787" s="8" t="s">
        <v>594</v>
      </c>
      <c r="F787" s="8" t="s">
        <v>237</v>
      </c>
      <c r="G787" s="8" t="s">
        <v>238</v>
      </c>
      <c r="H787" s="8" t="s">
        <v>795</v>
      </c>
      <c r="I787" s="3">
        <v>2</v>
      </c>
      <c r="J787" s="8" t="s">
        <v>742</v>
      </c>
      <c r="K787" s="8" t="s">
        <v>743</v>
      </c>
      <c r="L787" s="8" t="s">
        <v>723</v>
      </c>
      <c r="M787" s="1" t="s">
        <v>790</v>
      </c>
      <c r="N787" s="8" t="s">
        <v>791</v>
      </c>
      <c r="O787" s="6">
        <v>0</v>
      </c>
      <c r="P787" s="6">
        <v>0</v>
      </c>
      <c r="Q787" s="6">
        <v>0</v>
      </c>
      <c r="R787" s="6">
        <v>0</v>
      </c>
      <c r="S787" s="6">
        <v>0</v>
      </c>
    </row>
    <row r="788" spans="1:19" ht="15" x14ac:dyDescent="0.25">
      <c r="A788" s="7" t="s">
        <v>16</v>
      </c>
      <c r="B788" s="7" t="s">
        <v>55</v>
      </c>
      <c r="C788" s="7" t="s">
        <v>18</v>
      </c>
      <c r="D788" s="3">
        <v>2476067000203</v>
      </c>
      <c r="E788" s="8" t="s">
        <v>269</v>
      </c>
      <c r="F788" s="8" t="s">
        <v>237</v>
      </c>
      <c r="G788" s="8" t="s">
        <v>238</v>
      </c>
      <c r="H788" s="8" t="s">
        <v>795</v>
      </c>
      <c r="I788" s="3">
        <v>2</v>
      </c>
      <c r="J788" s="8" t="s">
        <v>766</v>
      </c>
      <c r="K788" s="8" t="s">
        <v>767</v>
      </c>
      <c r="L788" s="8" t="s">
        <v>730</v>
      </c>
      <c r="M788" s="1" t="s">
        <v>790</v>
      </c>
      <c r="N788" s="8" t="s">
        <v>791</v>
      </c>
      <c r="O788" s="6">
        <v>0</v>
      </c>
      <c r="P788" s="6">
        <v>0</v>
      </c>
      <c r="Q788" s="6">
        <v>0</v>
      </c>
      <c r="R788" s="6">
        <v>40</v>
      </c>
      <c r="S788" s="6">
        <v>0</v>
      </c>
    </row>
    <row r="789" spans="1:19" ht="15" x14ac:dyDescent="0.25">
      <c r="A789" s="7" t="s">
        <v>16</v>
      </c>
      <c r="B789" s="7" t="s">
        <v>55</v>
      </c>
      <c r="C789" s="7" t="s">
        <v>18</v>
      </c>
      <c r="D789" s="3">
        <v>2476067000203</v>
      </c>
      <c r="E789" s="8" t="s">
        <v>269</v>
      </c>
      <c r="F789" s="8" t="s">
        <v>237</v>
      </c>
      <c r="G789" s="8" t="s">
        <v>238</v>
      </c>
      <c r="H789" s="8" t="s">
        <v>795</v>
      </c>
      <c r="I789" s="3">
        <v>2</v>
      </c>
      <c r="J789" s="8" t="s">
        <v>742</v>
      </c>
      <c r="K789" s="8" t="s">
        <v>743</v>
      </c>
      <c r="L789" s="8" t="s">
        <v>723</v>
      </c>
      <c r="M789" s="1" t="s">
        <v>790</v>
      </c>
      <c r="N789" s="8" t="s">
        <v>791</v>
      </c>
      <c r="O789" s="6">
        <v>0</v>
      </c>
      <c r="P789" s="6">
        <v>0</v>
      </c>
      <c r="Q789" s="6">
        <v>0</v>
      </c>
      <c r="R789" s="6">
        <v>0</v>
      </c>
      <c r="S789" s="6">
        <v>0</v>
      </c>
    </row>
    <row r="790" spans="1:19" ht="15" x14ac:dyDescent="0.25">
      <c r="A790" s="7" t="s">
        <v>16</v>
      </c>
      <c r="B790" s="7" t="s">
        <v>55</v>
      </c>
      <c r="C790" s="7" t="s">
        <v>18</v>
      </c>
      <c r="D790" s="3">
        <v>33000167002155</v>
      </c>
      <c r="E790" s="8" t="s">
        <v>625</v>
      </c>
      <c r="F790" s="8" t="s">
        <v>626</v>
      </c>
      <c r="G790" s="8" t="s">
        <v>238</v>
      </c>
      <c r="H790" s="8" t="s">
        <v>795</v>
      </c>
      <c r="I790" s="3">
        <v>2</v>
      </c>
      <c r="J790" s="8" t="s">
        <v>766</v>
      </c>
      <c r="K790" s="8" t="s">
        <v>767</v>
      </c>
      <c r="L790" s="8" t="s">
        <v>730</v>
      </c>
      <c r="M790" s="1" t="s">
        <v>790</v>
      </c>
      <c r="N790" s="8" t="s">
        <v>791</v>
      </c>
      <c r="O790" s="6">
        <v>0</v>
      </c>
      <c r="P790" s="6">
        <v>0</v>
      </c>
      <c r="Q790" s="6">
        <v>0</v>
      </c>
      <c r="R790" s="6">
        <v>0</v>
      </c>
      <c r="S790" s="6">
        <v>120</v>
      </c>
    </row>
    <row r="791" spans="1:19" ht="15" x14ac:dyDescent="0.25">
      <c r="A791" s="7" t="s">
        <v>16</v>
      </c>
      <c r="B791" s="7" t="s">
        <v>55</v>
      </c>
      <c r="C791" s="7" t="s">
        <v>18</v>
      </c>
      <c r="D791" s="3">
        <v>33000167002155</v>
      </c>
      <c r="E791" s="8" t="s">
        <v>625</v>
      </c>
      <c r="F791" s="8" t="s">
        <v>626</v>
      </c>
      <c r="G791" s="8" t="s">
        <v>238</v>
      </c>
      <c r="H791" s="8" t="s">
        <v>795</v>
      </c>
      <c r="I791" s="3">
        <v>2</v>
      </c>
      <c r="J791" s="8" t="s">
        <v>742</v>
      </c>
      <c r="K791" s="8" t="s">
        <v>743</v>
      </c>
      <c r="L791" s="8" t="s">
        <v>723</v>
      </c>
      <c r="M791" s="1" t="s">
        <v>790</v>
      </c>
      <c r="N791" s="8" t="s">
        <v>791</v>
      </c>
      <c r="O791" s="6">
        <v>0</v>
      </c>
      <c r="P791" s="6">
        <v>0</v>
      </c>
      <c r="Q791" s="6">
        <v>0</v>
      </c>
      <c r="R791" s="6">
        <v>0</v>
      </c>
      <c r="S791" s="6">
        <v>120</v>
      </c>
    </row>
    <row r="792" spans="1:19" ht="15" x14ac:dyDescent="0.25">
      <c r="A792" s="7" t="s">
        <v>16</v>
      </c>
      <c r="B792" s="7" t="s">
        <v>55</v>
      </c>
      <c r="C792" s="7" t="s">
        <v>18</v>
      </c>
      <c r="D792" s="3">
        <v>2284062001170</v>
      </c>
      <c r="E792" s="8" t="s">
        <v>266</v>
      </c>
      <c r="F792" s="8" t="s">
        <v>267</v>
      </c>
      <c r="G792" s="8" t="s">
        <v>268</v>
      </c>
      <c r="H792" s="8" t="s">
        <v>795</v>
      </c>
      <c r="I792" s="3">
        <v>2</v>
      </c>
      <c r="J792" s="8" t="s">
        <v>778</v>
      </c>
      <c r="K792" s="8" t="s">
        <v>779</v>
      </c>
      <c r="L792" s="8" t="s">
        <v>730</v>
      </c>
      <c r="M792" s="1" t="s">
        <v>790</v>
      </c>
      <c r="N792" s="8" t="s">
        <v>791</v>
      </c>
      <c r="O792" s="6">
        <v>0</v>
      </c>
      <c r="P792" s="6">
        <v>0</v>
      </c>
      <c r="Q792" s="6">
        <v>0</v>
      </c>
      <c r="R792" s="6">
        <v>0</v>
      </c>
      <c r="S792" s="6">
        <v>150</v>
      </c>
    </row>
    <row r="793" spans="1:19" ht="15" x14ac:dyDescent="0.25">
      <c r="A793" s="7" t="s">
        <v>16</v>
      </c>
      <c r="B793" s="7" t="s">
        <v>55</v>
      </c>
      <c r="C793" s="7" t="s">
        <v>18</v>
      </c>
      <c r="D793" s="3">
        <v>2284062001170</v>
      </c>
      <c r="E793" s="8" t="s">
        <v>266</v>
      </c>
      <c r="F793" s="8" t="s">
        <v>267</v>
      </c>
      <c r="G793" s="8" t="s">
        <v>268</v>
      </c>
      <c r="H793" s="8" t="s">
        <v>795</v>
      </c>
      <c r="I793" s="3">
        <v>2</v>
      </c>
      <c r="J793" s="8" t="s">
        <v>744</v>
      </c>
      <c r="K793" s="8" t="s">
        <v>745</v>
      </c>
      <c r="L793" s="8" t="s">
        <v>723</v>
      </c>
      <c r="M793" s="1" t="s">
        <v>790</v>
      </c>
      <c r="N793" s="8" t="s">
        <v>791</v>
      </c>
      <c r="O793" s="6">
        <v>0</v>
      </c>
      <c r="P793" s="6">
        <v>4</v>
      </c>
      <c r="Q793" s="6">
        <v>0</v>
      </c>
      <c r="R793" s="6">
        <v>0</v>
      </c>
      <c r="S793" s="6">
        <v>150</v>
      </c>
    </row>
    <row r="794" spans="1:19" ht="15" x14ac:dyDescent="0.25">
      <c r="A794" s="7" t="s">
        <v>16</v>
      </c>
      <c r="B794" s="7" t="s">
        <v>55</v>
      </c>
      <c r="C794" s="7" t="s">
        <v>18</v>
      </c>
      <c r="D794" s="3">
        <v>3210872000172</v>
      </c>
      <c r="E794" s="8" t="s">
        <v>597</v>
      </c>
      <c r="F794" s="8" t="s">
        <v>598</v>
      </c>
      <c r="G794" s="8" t="s">
        <v>268</v>
      </c>
      <c r="H794" s="8" t="s">
        <v>795</v>
      </c>
      <c r="I794" s="3">
        <v>2</v>
      </c>
      <c r="J794" s="8" t="s">
        <v>778</v>
      </c>
      <c r="K794" s="8" t="s">
        <v>779</v>
      </c>
      <c r="L794" s="8" t="s">
        <v>730</v>
      </c>
      <c r="M794" s="1" t="s">
        <v>790</v>
      </c>
      <c r="N794" s="8" t="s">
        <v>791</v>
      </c>
      <c r="O794" s="6">
        <v>0</v>
      </c>
      <c r="P794" s="6">
        <v>0</v>
      </c>
      <c r="Q794" s="6">
        <v>0</v>
      </c>
      <c r="R794" s="6">
        <v>0</v>
      </c>
      <c r="S794" s="6">
        <v>5</v>
      </c>
    </row>
    <row r="795" spans="1:19" ht="15" x14ac:dyDescent="0.25">
      <c r="A795" s="7" t="s">
        <v>16</v>
      </c>
      <c r="B795" s="7" t="s">
        <v>55</v>
      </c>
      <c r="C795" s="7" t="s">
        <v>18</v>
      </c>
      <c r="D795" s="3">
        <v>3210872000172</v>
      </c>
      <c r="E795" s="8" t="s">
        <v>597</v>
      </c>
      <c r="F795" s="8" t="s">
        <v>598</v>
      </c>
      <c r="G795" s="8" t="s">
        <v>268</v>
      </c>
      <c r="H795" s="8" t="s">
        <v>795</v>
      </c>
      <c r="I795" s="3">
        <v>2</v>
      </c>
      <c r="J795" s="8" t="s">
        <v>744</v>
      </c>
      <c r="K795" s="8" t="s">
        <v>745</v>
      </c>
      <c r="L795" s="8" t="s">
        <v>723</v>
      </c>
      <c r="M795" s="1" t="s">
        <v>790</v>
      </c>
      <c r="N795" s="8" t="s">
        <v>791</v>
      </c>
      <c r="O795" s="6">
        <v>0</v>
      </c>
      <c r="P795" s="6">
        <v>0</v>
      </c>
      <c r="Q795" s="6">
        <v>0</v>
      </c>
      <c r="R795" s="6">
        <v>0</v>
      </c>
      <c r="S795" s="6">
        <v>5</v>
      </c>
    </row>
    <row r="796" spans="1:19" ht="15" x14ac:dyDescent="0.25">
      <c r="A796" s="7" t="s">
        <v>16</v>
      </c>
      <c r="B796" s="7" t="s">
        <v>55</v>
      </c>
      <c r="C796" s="7" t="s">
        <v>18</v>
      </c>
      <c r="D796" s="3">
        <v>7750144000104</v>
      </c>
      <c r="E796" s="8" t="s">
        <v>601</v>
      </c>
      <c r="F796" s="8" t="s">
        <v>310</v>
      </c>
      <c r="G796" s="8" t="s">
        <v>268</v>
      </c>
      <c r="H796" s="8" t="s">
        <v>795</v>
      </c>
      <c r="I796" s="3">
        <v>2</v>
      </c>
      <c r="J796" s="8" t="s">
        <v>778</v>
      </c>
      <c r="K796" s="8" t="s">
        <v>779</v>
      </c>
      <c r="L796" s="8" t="s">
        <v>730</v>
      </c>
      <c r="M796" s="1" t="s">
        <v>790</v>
      </c>
      <c r="N796" s="8" t="s">
        <v>791</v>
      </c>
      <c r="O796" s="6">
        <v>0</v>
      </c>
      <c r="P796" s="6">
        <v>0</v>
      </c>
      <c r="Q796" s="6">
        <v>0</v>
      </c>
      <c r="R796" s="6">
        <v>0</v>
      </c>
      <c r="S796" s="6">
        <v>20</v>
      </c>
    </row>
    <row r="797" spans="1:19" ht="15" x14ac:dyDescent="0.25">
      <c r="A797" s="7" t="s">
        <v>16</v>
      </c>
      <c r="B797" s="7" t="s">
        <v>55</v>
      </c>
      <c r="C797" s="7" t="s">
        <v>18</v>
      </c>
      <c r="D797" s="3">
        <v>7750144000104</v>
      </c>
      <c r="E797" s="8" t="s">
        <v>601</v>
      </c>
      <c r="F797" s="8" t="s">
        <v>310</v>
      </c>
      <c r="G797" s="8" t="s">
        <v>268</v>
      </c>
      <c r="H797" s="8" t="s">
        <v>795</v>
      </c>
      <c r="I797" s="3">
        <v>2</v>
      </c>
      <c r="J797" s="8" t="s">
        <v>744</v>
      </c>
      <c r="K797" s="8" t="s">
        <v>745</v>
      </c>
      <c r="L797" s="8" t="s">
        <v>723</v>
      </c>
      <c r="M797" s="1" t="s">
        <v>790</v>
      </c>
      <c r="N797" s="8" t="s">
        <v>791</v>
      </c>
      <c r="O797" s="6">
        <v>0</v>
      </c>
      <c r="P797" s="6">
        <v>0</v>
      </c>
      <c r="Q797" s="6">
        <v>0</v>
      </c>
      <c r="R797" s="6">
        <v>0</v>
      </c>
      <c r="S797" s="6">
        <v>20</v>
      </c>
    </row>
    <row r="798" spans="1:19" ht="15" x14ac:dyDescent="0.25">
      <c r="A798" s="7" t="s">
        <v>16</v>
      </c>
      <c r="B798" s="7" t="s">
        <v>55</v>
      </c>
      <c r="C798" s="7" t="s">
        <v>18</v>
      </c>
      <c r="D798" s="3">
        <v>15126437000496</v>
      </c>
      <c r="E798" s="8" t="s">
        <v>328</v>
      </c>
      <c r="F798" s="8" t="s">
        <v>310</v>
      </c>
      <c r="G798" s="8" t="s">
        <v>268</v>
      </c>
      <c r="H798" s="8" t="s">
        <v>795</v>
      </c>
      <c r="I798" s="3">
        <v>2</v>
      </c>
      <c r="J798" s="8" t="s">
        <v>778</v>
      </c>
      <c r="K798" s="8" t="s">
        <v>779</v>
      </c>
      <c r="L798" s="8" t="s">
        <v>730</v>
      </c>
      <c r="M798" s="1" t="s">
        <v>790</v>
      </c>
      <c r="N798" s="8" t="s">
        <v>791</v>
      </c>
      <c r="O798" s="6">
        <v>0</v>
      </c>
      <c r="P798" s="6">
        <v>0</v>
      </c>
      <c r="Q798" s="6">
        <v>0</v>
      </c>
      <c r="R798" s="6">
        <v>0</v>
      </c>
      <c r="S798" s="6">
        <v>0</v>
      </c>
    </row>
    <row r="799" spans="1:19" ht="15" x14ac:dyDescent="0.25">
      <c r="A799" s="7" t="s">
        <v>16</v>
      </c>
      <c r="B799" s="7" t="s">
        <v>55</v>
      </c>
      <c r="C799" s="7" t="s">
        <v>18</v>
      </c>
      <c r="D799" s="3">
        <v>15126437000496</v>
      </c>
      <c r="E799" s="8" t="s">
        <v>328</v>
      </c>
      <c r="F799" s="8" t="s">
        <v>310</v>
      </c>
      <c r="G799" s="8" t="s">
        <v>268</v>
      </c>
      <c r="H799" s="8" t="s">
        <v>795</v>
      </c>
      <c r="I799" s="3">
        <v>2</v>
      </c>
      <c r="J799" s="8" t="s">
        <v>744</v>
      </c>
      <c r="K799" s="8" t="s">
        <v>745</v>
      </c>
      <c r="L799" s="8" t="s">
        <v>723</v>
      </c>
      <c r="M799" s="1" t="s">
        <v>790</v>
      </c>
      <c r="N799" s="8" t="s">
        <v>791</v>
      </c>
      <c r="O799" s="6">
        <v>0</v>
      </c>
      <c r="P799" s="6">
        <v>4</v>
      </c>
      <c r="Q799" s="6">
        <v>9</v>
      </c>
      <c r="R799" s="6">
        <v>0</v>
      </c>
      <c r="S799" s="6">
        <v>0</v>
      </c>
    </row>
    <row r="800" spans="1:19" ht="15" x14ac:dyDescent="0.25">
      <c r="A800" s="7" t="s">
        <v>16</v>
      </c>
      <c r="B800" s="7" t="s">
        <v>55</v>
      </c>
      <c r="C800" s="7" t="s">
        <v>18</v>
      </c>
      <c r="D800" s="3">
        <v>11006293000130</v>
      </c>
      <c r="E800" s="8" t="s">
        <v>309</v>
      </c>
      <c r="F800" s="8" t="s">
        <v>310</v>
      </c>
      <c r="G800" s="8" t="s">
        <v>268</v>
      </c>
      <c r="H800" s="8" t="s">
        <v>795</v>
      </c>
      <c r="I800" s="3">
        <v>2</v>
      </c>
      <c r="J800" s="8" t="s">
        <v>778</v>
      </c>
      <c r="K800" s="8" t="s">
        <v>779</v>
      </c>
      <c r="L800" s="8" t="s">
        <v>730</v>
      </c>
      <c r="M800" s="1" t="s">
        <v>790</v>
      </c>
      <c r="N800" s="8" t="s">
        <v>791</v>
      </c>
      <c r="O800" s="6">
        <v>0</v>
      </c>
      <c r="P800" s="6">
        <v>0</v>
      </c>
      <c r="Q800" s="6">
        <v>0</v>
      </c>
      <c r="R800" s="6">
        <v>0</v>
      </c>
      <c r="S800" s="6">
        <v>500</v>
      </c>
    </row>
    <row r="801" spans="1:19" ht="15" x14ac:dyDescent="0.25">
      <c r="A801" s="7" t="s">
        <v>16</v>
      </c>
      <c r="B801" s="7" t="s">
        <v>55</v>
      </c>
      <c r="C801" s="7" t="s">
        <v>18</v>
      </c>
      <c r="D801" s="3">
        <v>11006293000130</v>
      </c>
      <c r="E801" s="8" t="s">
        <v>309</v>
      </c>
      <c r="F801" s="8" t="s">
        <v>310</v>
      </c>
      <c r="G801" s="8" t="s">
        <v>268</v>
      </c>
      <c r="H801" s="8" t="s">
        <v>795</v>
      </c>
      <c r="I801" s="3">
        <v>2</v>
      </c>
      <c r="J801" s="8" t="s">
        <v>744</v>
      </c>
      <c r="K801" s="8" t="s">
        <v>745</v>
      </c>
      <c r="L801" s="8" t="s">
        <v>723</v>
      </c>
      <c r="M801" s="1" t="s">
        <v>790</v>
      </c>
      <c r="N801" s="8" t="s">
        <v>791</v>
      </c>
      <c r="O801" s="6">
        <v>0</v>
      </c>
      <c r="P801" s="6">
        <v>0</v>
      </c>
      <c r="Q801" s="6">
        <v>0</v>
      </c>
      <c r="R801" s="6">
        <v>0</v>
      </c>
      <c r="S801" s="6">
        <v>500</v>
      </c>
    </row>
    <row r="802" spans="1:19" ht="15" x14ac:dyDescent="0.25">
      <c r="A802" s="7" t="s">
        <v>16</v>
      </c>
      <c r="B802" s="7" t="s">
        <v>55</v>
      </c>
      <c r="C802" s="7" t="s">
        <v>18</v>
      </c>
      <c r="D802" s="3">
        <v>20909271000171</v>
      </c>
      <c r="E802" s="8" t="s">
        <v>443</v>
      </c>
      <c r="F802" s="8" t="s">
        <v>444</v>
      </c>
      <c r="G802" s="8" t="s">
        <v>223</v>
      </c>
      <c r="H802" s="8" t="s">
        <v>795</v>
      </c>
      <c r="I802" s="3">
        <v>1</v>
      </c>
      <c r="J802" s="8" t="s">
        <v>737</v>
      </c>
      <c r="K802" s="8" t="s">
        <v>738</v>
      </c>
      <c r="L802" s="8" t="s">
        <v>739</v>
      </c>
      <c r="M802" s="1" t="s">
        <v>784</v>
      </c>
      <c r="N802" s="8" t="s">
        <v>785</v>
      </c>
      <c r="O802" s="6">
        <v>0</v>
      </c>
      <c r="P802" s="6">
        <v>0</v>
      </c>
      <c r="Q802" s="6">
        <v>0</v>
      </c>
      <c r="R802" s="6">
        <v>51</v>
      </c>
      <c r="S802" s="6">
        <v>0</v>
      </c>
    </row>
    <row r="803" spans="1:19" ht="15" x14ac:dyDescent="0.25">
      <c r="A803" s="7" t="s">
        <v>16</v>
      </c>
      <c r="B803" s="7" t="s">
        <v>55</v>
      </c>
      <c r="C803" s="7" t="s">
        <v>18</v>
      </c>
      <c r="D803" s="3">
        <v>17214149000176</v>
      </c>
      <c r="E803" s="8" t="s">
        <v>347</v>
      </c>
      <c r="F803" s="8" t="s">
        <v>235</v>
      </c>
      <c r="G803" s="8" t="s">
        <v>223</v>
      </c>
      <c r="H803" s="8" t="s">
        <v>795</v>
      </c>
      <c r="I803" s="3">
        <v>1</v>
      </c>
      <c r="J803" s="8" t="s">
        <v>737</v>
      </c>
      <c r="K803" s="8" t="s">
        <v>738</v>
      </c>
      <c r="L803" s="8" t="s">
        <v>739</v>
      </c>
      <c r="M803" s="1" t="s">
        <v>784</v>
      </c>
      <c r="N803" s="8" t="s">
        <v>785</v>
      </c>
      <c r="O803" s="6">
        <v>0</v>
      </c>
      <c r="P803" s="6">
        <v>0</v>
      </c>
      <c r="Q803" s="6">
        <v>18</v>
      </c>
      <c r="R803" s="6">
        <v>0</v>
      </c>
      <c r="S803" s="6">
        <v>0</v>
      </c>
    </row>
    <row r="804" spans="1:19" ht="15" x14ac:dyDescent="0.25">
      <c r="A804" s="7" t="s">
        <v>16</v>
      </c>
      <c r="B804" s="7" t="s">
        <v>55</v>
      </c>
      <c r="C804" s="7" t="s">
        <v>18</v>
      </c>
      <c r="D804" s="3">
        <v>410960000120</v>
      </c>
      <c r="E804" s="8" t="s">
        <v>234</v>
      </c>
      <c r="F804" s="8" t="s">
        <v>235</v>
      </c>
      <c r="G804" s="8" t="s">
        <v>223</v>
      </c>
      <c r="H804" s="8" t="s">
        <v>795</v>
      </c>
      <c r="I804" s="3">
        <v>1</v>
      </c>
      <c r="J804" s="8" t="s">
        <v>737</v>
      </c>
      <c r="K804" s="8" t="s">
        <v>738</v>
      </c>
      <c r="L804" s="8" t="s">
        <v>739</v>
      </c>
      <c r="M804" s="1" t="s">
        <v>784</v>
      </c>
      <c r="N804" s="8" t="s">
        <v>785</v>
      </c>
      <c r="O804" s="6">
        <v>0</v>
      </c>
      <c r="P804" s="6">
        <v>0</v>
      </c>
      <c r="Q804" s="6">
        <v>0</v>
      </c>
      <c r="R804" s="6">
        <v>64</v>
      </c>
      <c r="S804" s="6">
        <v>685</v>
      </c>
    </row>
    <row r="805" spans="1:19" ht="15" x14ac:dyDescent="0.25">
      <c r="A805" s="7" t="s">
        <v>16</v>
      </c>
      <c r="B805" s="7" t="s">
        <v>55</v>
      </c>
      <c r="C805" s="7" t="s">
        <v>18</v>
      </c>
      <c r="D805" s="3">
        <v>132229000180</v>
      </c>
      <c r="E805" s="8" t="s">
        <v>525</v>
      </c>
      <c r="F805" s="8" t="s">
        <v>235</v>
      </c>
      <c r="G805" s="8" t="s">
        <v>223</v>
      </c>
      <c r="H805" s="8" t="s">
        <v>795</v>
      </c>
      <c r="I805" s="3">
        <v>1</v>
      </c>
      <c r="J805" s="8" t="s">
        <v>737</v>
      </c>
      <c r="K805" s="8" t="s">
        <v>738</v>
      </c>
      <c r="L805" s="8" t="s">
        <v>739</v>
      </c>
      <c r="M805" s="1" t="s">
        <v>784</v>
      </c>
      <c r="N805" s="8" t="s">
        <v>785</v>
      </c>
      <c r="O805" s="6">
        <v>0</v>
      </c>
      <c r="P805" s="6">
        <v>0</v>
      </c>
      <c r="Q805" s="6">
        <v>0</v>
      </c>
      <c r="R805" s="6">
        <v>0</v>
      </c>
      <c r="S805" s="6">
        <v>180</v>
      </c>
    </row>
    <row r="806" spans="1:19" ht="15" x14ac:dyDescent="0.25">
      <c r="A806" s="7" t="s">
        <v>16</v>
      </c>
      <c r="B806" s="7" t="s">
        <v>55</v>
      </c>
      <c r="C806" s="7" t="s">
        <v>18</v>
      </c>
      <c r="D806" s="3">
        <v>19274091000181</v>
      </c>
      <c r="E806" s="8" t="s">
        <v>617</v>
      </c>
      <c r="F806" s="8" t="s">
        <v>618</v>
      </c>
      <c r="G806" s="8" t="s">
        <v>223</v>
      </c>
      <c r="H806" s="8" t="s">
        <v>795</v>
      </c>
      <c r="I806" s="3">
        <v>1</v>
      </c>
      <c r="J806" s="8" t="s">
        <v>737</v>
      </c>
      <c r="K806" s="8" t="s">
        <v>738</v>
      </c>
      <c r="L806" s="8" t="s">
        <v>739</v>
      </c>
      <c r="M806" s="1" t="s">
        <v>784</v>
      </c>
      <c r="N806" s="8" t="s">
        <v>785</v>
      </c>
      <c r="O806" s="6">
        <v>0</v>
      </c>
      <c r="P806" s="6">
        <v>0</v>
      </c>
      <c r="Q806" s="6">
        <v>0</v>
      </c>
      <c r="R806" s="6">
        <v>0</v>
      </c>
      <c r="S806" s="6">
        <v>140</v>
      </c>
    </row>
    <row r="807" spans="1:19" ht="15" x14ac:dyDescent="0.25">
      <c r="A807" s="7" t="s">
        <v>16</v>
      </c>
      <c r="B807" s="7" t="s">
        <v>55</v>
      </c>
      <c r="C807" s="7" t="s">
        <v>18</v>
      </c>
      <c r="D807" s="3">
        <v>19878404000100</v>
      </c>
      <c r="E807" s="8" t="s">
        <v>351</v>
      </c>
      <c r="F807" s="8" t="s">
        <v>352</v>
      </c>
      <c r="G807" s="8" t="s">
        <v>223</v>
      </c>
      <c r="H807" s="8" t="s">
        <v>795</v>
      </c>
      <c r="I807" s="3">
        <v>1</v>
      </c>
      <c r="J807" s="8" t="s">
        <v>737</v>
      </c>
      <c r="K807" s="8" t="s">
        <v>738</v>
      </c>
      <c r="L807" s="8" t="s">
        <v>739</v>
      </c>
      <c r="M807" s="1" t="s">
        <v>784</v>
      </c>
      <c r="N807" s="8" t="s">
        <v>785</v>
      </c>
      <c r="O807" s="6">
        <v>0</v>
      </c>
      <c r="P807" s="6">
        <v>0</v>
      </c>
      <c r="Q807" s="6">
        <v>0</v>
      </c>
      <c r="R807" s="6">
        <v>80</v>
      </c>
      <c r="S807" s="6">
        <v>0</v>
      </c>
    </row>
    <row r="808" spans="1:19" ht="15" x14ac:dyDescent="0.25">
      <c r="A808" s="7" t="s">
        <v>16</v>
      </c>
      <c r="B808" s="7" t="s">
        <v>55</v>
      </c>
      <c r="C808" s="7" t="s">
        <v>18</v>
      </c>
      <c r="D808" s="3">
        <v>21040696000311</v>
      </c>
      <c r="E808" s="8" t="s">
        <v>354</v>
      </c>
      <c r="F808" s="8" t="s">
        <v>355</v>
      </c>
      <c r="G808" s="8" t="s">
        <v>223</v>
      </c>
      <c r="H808" s="8" t="s">
        <v>795</v>
      </c>
      <c r="I808" s="3">
        <v>1</v>
      </c>
      <c r="J808" s="8" t="s">
        <v>737</v>
      </c>
      <c r="K808" s="8" t="s">
        <v>738</v>
      </c>
      <c r="L808" s="8" t="s">
        <v>739</v>
      </c>
      <c r="M808" s="1" t="s">
        <v>784</v>
      </c>
      <c r="N808" s="8" t="s">
        <v>785</v>
      </c>
      <c r="O808" s="6">
        <v>0</v>
      </c>
      <c r="P808" s="6">
        <v>4</v>
      </c>
      <c r="Q808" s="6">
        <v>5</v>
      </c>
      <c r="R808" s="6">
        <v>0</v>
      </c>
      <c r="S808" s="6">
        <v>0</v>
      </c>
    </row>
    <row r="809" spans="1:19" ht="15" x14ac:dyDescent="0.25">
      <c r="A809" s="7" t="s">
        <v>16</v>
      </c>
      <c r="B809" s="7" t="s">
        <v>55</v>
      </c>
      <c r="C809" s="7" t="s">
        <v>18</v>
      </c>
      <c r="D809" s="3">
        <v>17689407000928</v>
      </c>
      <c r="E809" s="8" t="s">
        <v>348</v>
      </c>
      <c r="F809" s="8" t="s">
        <v>349</v>
      </c>
      <c r="G809" s="8" t="s">
        <v>223</v>
      </c>
      <c r="H809" s="8" t="s">
        <v>795</v>
      </c>
      <c r="I809" s="3">
        <v>1</v>
      </c>
      <c r="J809" s="8" t="s">
        <v>737</v>
      </c>
      <c r="K809" s="8" t="s">
        <v>738</v>
      </c>
      <c r="L809" s="8" t="s">
        <v>739</v>
      </c>
      <c r="M809" s="1" t="s">
        <v>784</v>
      </c>
      <c r="N809" s="8" t="s">
        <v>785</v>
      </c>
      <c r="O809" s="6">
        <v>0</v>
      </c>
      <c r="P809" s="6">
        <v>0</v>
      </c>
      <c r="Q809" s="6">
        <v>0</v>
      </c>
      <c r="R809" s="6">
        <v>6</v>
      </c>
      <c r="S809" s="6">
        <v>0</v>
      </c>
    </row>
    <row r="810" spans="1:19" ht="15" x14ac:dyDescent="0.25">
      <c r="A810" s="7" t="s">
        <v>16</v>
      </c>
      <c r="B810" s="7" t="s">
        <v>55</v>
      </c>
      <c r="C810" s="7" t="s">
        <v>18</v>
      </c>
      <c r="D810" s="3">
        <v>21299615000130</v>
      </c>
      <c r="E810" s="8" t="s">
        <v>445</v>
      </c>
      <c r="F810" s="8" t="s">
        <v>446</v>
      </c>
      <c r="G810" s="8" t="s">
        <v>223</v>
      </c>
      <c r="H810" s="8" t="s">
        <v>795</v>
      </c>
      <c r="I810" s="3">
        <v>1</v>
      </c>
      <c r="J810" s="8" t="s">
        <v>737</v>
      </c>
      <c r="K810" s="8" t="s">
        <v>738</v>
      </c>
      <c r="L810" s="8" t="s">
        <v>739</v>
      </c>
      <c r="M810" s="1" t="s">
        <v>784</v>
      </c>
      <c r="N810" s="8" t="s">
        <v>785</v>
      </c>
      <c r="O810" s="6">
        <v>6</v>
      </c>
      <c r="P810" s="6">
        <v>0</v>
      </c>
      <c r="Q810" s="6">
        <v>0</v>
      </c>
      <c r="R810" s="6">
        <v>0</v>
      </c>
      <c r="S810" s="6">
        <v>0</v>
      </c>
    </row>
    <row r="811" spans="1:19" ht="15" x14ac:dyDescent="0.25">
      <c r="A811" s="7" t="s">
        <v>16</v>
      </c>
      <c r="B811" s="7" t="s">
        <v>55</v>
      </c>
      <c r="C811" s="7" t="s">
        <v>18</v>
      </c>
      <c r="D811" s="3">
        <v>23278898000160</v>
      </c>
      <c r="E811" s="8" t="s">
        <v>569</v>
      </c>
      <c r="F811" s="8" t="s">
        <v>570</v>
      </c>
      <c r="G811" s="8" t="s">
        <v>223</v>
      </c>
      <c r="H811" s="8" t="s">
        <v>795</v>
      </c>
      <c r="I811" s="3">
        <v>1</v>
      </c>
      <c r="J811" s="8" t="s">
        <v>737</v>
      </c>
      <c r="K811" s="8" t="s">
        <v>738</v>
      </c>
      <c r="L811" s="8" t="s">
        <v>739</v>
      </c>
      <c r="M811" s="1" t="s">
        <v>784</v>
      </c>
      <c r="N811" s="8" t="s">
        <v>785</v>
      </c>
      <c r="O811" s="6">
        <v>0</v>
      </c>
      <c r="P811" s="6">
        <v>0</v>
      </c>
      <c r="Q811" s="6">
        <v>0</v>
      </c>
      <c r="R811" s="6">
        <v>0</v>
      </c>
      <c r="S811" s="6">
        <v>120</v>
      </c>
    </row>
    <row r="812" spans="1:19" ht="15" x14ac:dyDescent="0.25">
      <c r="A812" s="7" t="s">
        <v>16</v>
      </c>
      <c r="B812" s="7" t="s">
        <v>55</v>
      </c>
      <c r="C812" s="7" t="s">
        <v>18</v>
      </c>
      <c r="D812" s="3">
        <v>23406564000124</v>
      </c>
      <c r="E812" s="8" t="s">
        <v>447</v>
      </c>
      <c r="F812" s="8" t="s">
        <v>448</v>
      </c>
      <c r="G812" s="8" t="s">
        <v>223</v>
      </c>
      <c r="H812" s="8" t="s">
        <v>795</v>
      </c>
      <c r="I812" s="3">
        <v>1</v>
      </c>
      <c r="J812" s="8" t="s">
        <v>737</v>
      </c>
      <c r="K812" s="8" t="s">
        <v>738</v>
      </c>
      <c r="L812" s="8" t="s">
        <v>739</v>
      </c>
      <c r="M812" s="1" t="s">
        <v>784</v>
      </c>
      <c r="N812" s="8" t="s">
        <v>785</v>
      </c>
      <c r="O812" s="6">
        <v>6</v>
      </c>
      <c r="P812" s="6">
        <v>0</v>
      </c>
      <c r="Q812" s="6">
        <v>0</v>
      </c>
      <c r="R812" s="6">
        <v>0</v>
      </c>
      <c r="S812" s="6">
        <v>0</v>
      </c>
    </row>
    <row r="813" spans="1:19" ht="15" x14ac:dyDescent="0.25">
      <c r="A813" s="7" t="s">
        <v>16</v>
      </c>
      <c r="B813" s="7" t="s">
        <v>55</v>
      </c>
      <c r="C813" s="7" t="s">
        <v>18</v>
      </c>
      <c r="D813" s="3">
        <v>41781949000234</v>
      </c>
      <c r="E813" s="8" t="s">
        <v>519</v>
      </c>
      <c r="F813" s="8" t="s">
        <v>520</v>
      </c>
      <c r="G813" s="8" t="s">
        <v>223</v>
      </c>
      <c r="H813" s="8" t="s">
        <v>795</v>
      </c>
      <c r="I813" s="3">
        <v>1</v>
      </c>
      <c r="J813" s="8" t="s">
        <v>737</v>
      </c>
      <c r="K813" s="8" t="s">
        <v>738</v>
      </c>
      <c r="L813" s="8" t="s">
        <v>739</v>
      </c>
      <c r="M813" s="1" t="s">
        <v>784</v>
      </c>
      <c r="N813" s="8" t="s">
        <v>785</v>
      </c>
      <c r="O813" s="6">
        <v>0</v>
      </c>
      <c r="P813" s="6">
        <v>0</v>
      </c>
      <c r="Q813" s="6">
        <v>0</v>
      </c>
      <c r="R813" s="6">
        <v>0</v>
      </c>
      <c r="S813" s="6">
        <v>40</v>
      </c>
    </row>
    <row r="814" spans="1:19" ht="15" x14ac:dyDescent="0.25">
      <c r="A814" s="7" t="s">
        <v>16</v>
      </c>
      <c r="B814" s="7" t="s">
        <v>55</v>
      </c>
      <c r="C814" s="7" t="s">
        <v>18</v>
      </c>
      <c r="D814" s="3">
        <v>70306453673</v>
      </c>
      <c r="E814" s="8" t="s">
        <v>409</v>
      </c>
      <c r="F814" s="8" t="s">
        <v>410</v>
      </c>
      <c r="G814" s="8" t="s">
        <v>223</v>
      </c>
      <c r="H814" s="8" t="s">
        <v>795</v>
      </c>
      <c r="I814" s="3">
        <v>1</v>
      </c>
      <c r="J814" s="8" t="s">
        <v>737</v>
      </c>
      <c r="K814" s="8" t="s">
        <v>738</v>
      </c>
      <c r="L814" s="8" t="s">
        <v>739</v>
      </c>
      <c r="M814" s="1" t="s">
        <v>784</v>
      </c>
      <c r="N814" s="8" t="s">
        <v>785</v>
      </c>
      <c r="O814" s="6">
        <v>20</v>
      </c>
      <c r="P814" s="6">
        <v>0</v>
      </c>
      <c r="Q814" s="6">
        <v>0</v>
      </c>
      <c r="R814" s="6">
        <v>0</v>
      </c>
      <c r="S814" s="6">
        <v>0</v>
      </c>
    </row>
    <row r="815" spans="1:19" ht="15" x14ac:dyDescent="0.25">
      <c r="A815" s="7" t="s">
        <v>16</v>
      </c>
      <c r="B815" s="7" t="s">
        <v>55</v>
      </c>
      <c r="C815" s="7" t="s">
        <v>18</v>
      </c>
      <c r="D815" s="3">
        <v>17774738000613</v>
      </c>
      <c r="E815" s="8" t="s">
        <v>615</v>
      </c>
      <c r="F815" s="8" t="s">
        <v>616</v>
      </c>
      <c r="G815" s="8" t="s">
        <v>223</v>
      </c>
      <c r="H815" s="8" t="s">
        <v>795</v>
      </c>
      <c r="I815" s="3">
        <v>1</v>
      </c>
      <c r="J815" s="8" t="s">
        <v>737</v>
      </c>
      <c r="K815" s="8" t="s">
        <v>738</v>
      </c>
      <c r="L815" s="8" t="s">
        <v>739</v>
      </c>
      <c r="M815" s="1" t="s">
        <v>784</v>
      </c>
      <c r="N815" s="8" t="s">
        <v>785</v>
      </c>
      <c r="O815" s="6">
        <v>0</v>
      </c>
      <c r="P815" s="6">
        <v>0</v>
      </c>
      <c r="Q815" s="6">
        <v>0</v>
      </c>
      <c r="R815" s="6">
        <v>0</v>
      </c>
      <c r="S815" s="6">
        <v>180</v>
      </c>
    </row>
    <row r="816" spans="1:19" ht="15" x14ac:dyDescent="0.25">
      <c r="A816" s="7" t="s">
        <v>16</v>
      </c>
      <c r="B816" s="7" t="s">
        <v>55</v>
      </c>
      <c r="C816" s="7" t="s">
        <v>18</v>
      </c>
      <c r="D816" s="3">
        <v>25761040000187</v>
      </c>
      <c r="E816" s="8" t="s">
        <v>449</v>
      </c>
      <c r="F816" s="8" t="s">
        <v>346</v>
      </c>
      <c r="G816" s="8" t="s">
        <v>223</v>
      </c>
      <c r="H816" s="8" t="s">
        <v>795</v>
      </c>
      <c r="I816" s="3">
        <v>1</v>
      </c>
      <c r="J816" s="8" t="s">
        <v>737</v>
      </c>
      <c r="K816" s="8" t="s">
        <v>738</v>
      </c>
      <c r="L816" s="8" t="s">
        <v>739</v>
      </c>
      <c r="M816" s="1" t="s">
        <v>784</v>
      </c>
      <c r="N816" s="8" t="s">
        <v>785</v>
      </c>
      <c r="O816" s="6">
        <v>0</v>
      </c>
      <c r="P816" s="6">
        <v>0</v>
      </c>
      <c r="Q816" s="6">
        <v>2</v>
      </c>
      <c r="R816" s="6">
        <v>0</v>
      </c>
      <c r="S816" s="6">
        <v>0</v>
      </c>
    </row>
    <row r="817" spans="1:19" ht="15" x14ac:dyDescent="0.25">
      <c r="A817" s="7" t="s">
        <v>16</v>
      </c>
      <c r="B817" s="7" t="s">
        <v>55</v>
      </c>
      <c r="C817" s="7" t="s">
        <v>18</v>
      </c>
      <c r="D817" s="3">
        <v>18484378000173</v>
      </c>
      <c r="E817" s="8" t="s">
        <v>350</v>
      </c>
      <c r="F817" s="8" t="s">
        <v>346</v>
      </c>
      <c r="G817" s="8" t="s">
        <v>223</v>
      </c>
      <c r="H817" s="8" t="s">
        <v>795</v>
      </c>
      <c r="I817" s="3">
        <v>1</v>
      </c>
      <c r="J817" s="8" t="s">
        <v>737</v>
      </c>
      <c r="K817" s="8" t="s">
        <v>738</v>
      </c>
      <c r="L817" s="8" t="s">
        <v>739</v>
      </c>
      <c r="M817" s="1" t="s">
        <v>784</v>
      </c>
      <c r="N817" s="8" t="s">
        <v>785</v>
      </c>
      <c r="O817" s="6">
        <v>0</v>
      </c>
      <c r="P817" s="6">
        <v>0</v>
      </c>
      <c r="Q817" s="6">
        <v>2</v>
      </c>
      <c r="R817" s="6">
        <v>0</v>
      </c>
      <c r="S817" s="6">
        <v>0</v>
      </c>
    </row>
    <row r="818" spans="1:19" ht="15" x14ac:dyDescent="0.25">
      <c r="A818" s="7" t="s">
        <v>16</v>
      </c>
      <c r="B818" s="7" t="s">
        <v>55</v>
      </c>
      <c r="C818" s="7" t="s">
        <v>18</v>
      </c>
      <c r="D818" s="3">
        <v>14408631000159</v>
      </c>
      <c r="E818" s="8" t="s">
        <v>324</v>
      </c>
      <c r="F818" s="8" t="s">
        <v>325</v>
      </c>
      <c r="G818" s="8" t="s">
        <v>223</v>
      </c>
      <c r="H818" s="8" t="s">
        <v>795</v>
      </c>
      <c r="I818" s="3">
        <v>1</v>
      </c>
      <c r="J818" s="8" t="s">
        <v>737</v>
      </c>
      <c r="K818" s="8" t="s">
        <v>738</v>
      </c>
      <c r="L818" s="8" t="s">
        <v>739</v>
      </c>
      <c r="M818" s="1" t="s">
        <v>784</v>
      </c>
      <c r="N818" s="8" t="s">
        <v>785</v>
      </c>
      <c r="O818" s="6">
        <v>0</v>
      </c>
      <c r="P818" s="6">
        <v>0</v>
      </c>
      <c r="Q818" s="6">
        <v>0</v>
      </c>
      <c r="R818" s="6">
        <v>8</v>
      </c>
      <c r="S818" s="6">
        <v>0</v>
      </c>
    </row>
    <row r="819" spans="1:19" ht="15" x14ac:dyDescent="0.25">
      <c r="A819" s="7" t="s">
        <v>16</v>
      </c>
      <c r="B819" s="7" t="s">
        <v>55</v>
      </c>
      <c r="C819" s="7" t="s">
        <v>18</v>
      </c>
      <c r="D819" s="3">
        <v>860841000179</v>
      </c>
      <c r="E819" s="8" t="s">
        <v>248</v>
      </c>
      <c r="F819" s="8" t="s">
        <v>249</v>
      </c>
      <c r="G819" s="8" t="s">
        <v>250</v>
      </c>
      <c r="H819" s="8" t="s">
        <v>795</v>
      </c>
      <c r="I819" s="3">
        <v>2</v>
      </c>
      <c r="J819" s="8" t="s">
        <v>766</v>
      </c>
      <c r="K819" s="8" t="s">
        <v>767</v>
      </c>
      <c r="L819" s="8" t="s">
        <v>730</v>
      </c>
      <c r="M819" s="1" t="s">
        <v>790</v>
      </c>
      <c r="N819" s="8" t="s">
        <v>791</v>
      </c>
      <c r="O819" s="6">
        <v>0</v>
      </c>
      <c r="P819" s="6">
        <v>0</v>
      </c>
      <c r="Q819" s="6">
        <v>0</v>
      </c>
      <c r="R819" s="6">
        <v>0</v>
      </c>
      <c r="S819" s="6">
        <v>0</v>
      </c>
    </row>
    <row r="820" spans="1:19" ht="15" x14ac:dyDescent="0.25">
      <c r="A820" s="7" t="s">
        <v>16</v>
      </c>
      <c r="B820" s="7" t="s">
        <v>55</v>
      </c>
      <c r="C820" s="7" t="s">
        <v>18</v>
      </c>
      <c r="D820" s="3">
        <v>860841000179</v>
      </c>
      <c r="E820" s="8" t="s">
        <v>248</v>
      </c>
      <c r="F820" s="8" t="s">
        <v>249</v>
      </c>
      <c r="G820" s="8" t="s">
        <v>250</v>
      </c>
      <c r="H820" s="8" t="s">
        <v>795</v>
      </c>
      <c r="I820" s="3">
        <v>2</v>
      </c>
      <c r="J820" s="8" t="s">
        <v>742</v>
      </c>
      <c r="K820" s="8" t="s">
        <v>743</v>
      </c>
      <c r="L820" s="8" t="s">
        <v>723</v>
      </c>
      <c r="M820" s="1" t="s">
        <v>790</v>
      </c>
      <c r="N820" s="8" t="s">
        <v>791</v>
      </c>
      <c r="O820" s="6">
        <v>0</v>
      </c>
      <c r="P820" s="6">
        <v>-2</v>
      </c>
      <c r="Q820" s="6">
        <v>0</v>
      </c>
      <c r="R820" s="6">
        <v>0</v>
      </c>
      <c r="S820" s="6">
        <v>0</v>
      </c>
    </row>
    <row r="821" spans="1:19" ht="15" x14ac:dyDescent="0.25">
      <c r="A821" s="7" t="s">
        <v>16</v>
      </c>
      <c r="B821" s="7" t="s">
        <v>55</v>
      </c>
      <c r="C821" s="7" t="s">
        <v>18</v>
      </c>
      <c r="D821" s="3">
        <v>7775847000278</v>
      </c>
      <c r="E821" s="8" t="s">
        <v>602</v>
      </c>
      <c r="F821" s="8" t="s">
        <v>603</v>
      </c>
      <c r="G821" s="8" t="s">
        <v>250</v>
      </c>
      <c r="H821" s="8" t="s">
        <v>795</v>
      </c>
      <c r="I821" s="3">
        <v>2</v>
      </c>
      <c r="J821" s="8" t="s">
        <v>766</v>
      </c>
      <c r="K821" s="8" t="s">
        <v>767</v>
      </c>
      <c r="L821" s="8" t="s">
        <v>730</v>
      </c>
      <c r="M821" s="1" t="s">
        <v>790</v>
      </c>
      <c r="N821" s="8" t="s">
        <v>791</v>
      </c>
      <c r="O821" s="6">
        <v>0</v>
      </c>
      <c r="P821" s="6">
        <v>0</v>
      </c>
      <c r="Q821" s="6">
        <v>0</v>
      </c>
      <c r="R821" s="6">
        <v>0</v>
      </c>
      <c r="S821" s="6">
        <v>335</v>
      </c>
    </row>
    <row r="822" spans="1:19" ht="15" x14ac:dyDescent="0.25">
      <c r="A822" s="7" t="s">
        <v>16</v>
      </c>
      <c r="B822" s="7" t="s">
        <v>55</v>
      </c>
      <c r="C822" s="7" t="s">
        <v>18</v>
      </c>
      <c r="D822" s="3">
        <v>7775847000278</v>
      </c>
      <c r="E822" s="8" t="s">
        <v>602</v>
      </c>
      <c r="F822" s="8" t="s">
        <v>603</v>
      </c>
      <c r="G822" s="8" t="s">
        <v>250</v>
      </c>
      <c r="H822" s="8" t="s">
        <v>795</v>
      </c>
      <c r="I822" s="3">
        <v>2</v>
      </c>
      <c r="J822" s="8" t="s">
        <v>742</v>
      </c>
      <c r="K822" s="8" t="s">
        <v>743</v>
      </c>
      <c r="L822" s="8" t="s">
        <v>723</v>
      </c>
      <c r="M822" s="1" t="s">
        <v>790</v>
      </c>
      <c r="N822" s="8" t="s">
        <v>791</v>
      </c>
      <c r="O822" s="6">
        <v>0</v>
      </c>
      <c r="P822" s="6">
        <v>0</v>
      </c>
      <c r="Q822" s="6">
        <v>0</v>
      </c>
      <c r="R822" s="6">
        <v>0</v>
      </c>
      <c r="S822" s="6">
        <v>335</v>
      </c>
    </row>
    <row r="823" spans="1:19" ht="15" x14ac:dyDescent="0.25">
      <c r="A823" s="7" t="s">
        <v>16</v>
      </c>
      <c r="B823" s="7" t="s">
        <v>55</v>
      </c>
      <c r="C823" s="7" t="s">
        <v>18</v>
      </c>
      <c r="D823" s="3">
        <v>3533726001583</v>
      </c>
      <c r="E823" s="8" t="s">
        <v>271</v>
      </c>
      <c r="F823" s="8" t="s">
        <v>261</v>
      </c>
      <c r="G823" s="8" t="s">
        <v>262</v>
      </c>
      <c r="H823" s="8" t="s">
        <v>795</v>
      </c>
      <c r="I823" s="3">
        <v>2</v>
      </c>
      <c r="J823" s="8" t="s">
        <v>766</v>
      </c>
      <c r="K823" s="8" t="s">
        <v>767</v>
      </c>
      <c r="L823" s="8" t="s">
        <v>730</v>
      </c>
      <c r="M823" s="1" t="s">
        <v>790</v>
      </c>
      <c r="N823" s="8" t="s">
        <v>791</v>
      </c>
      <c r="O823" s="6">
        <v>0</v>
      </c>
      <c r="P823" s="6">
        <v>0</v>
      </c>
      <c r="Q823" s="6">
        <v>0</v>
      </c>
      <c r="R823" s="6">
        <v>0</v>
      </c>
      <c r="S823" s="6">
        <v>30</v>
      </c>
    </row>
    <row r="824" spans="1:19" ht="15" x14ac:dyDescent="0.25">
      <c r="A824" s="7" t="s">
        <v>16</v>
      </c>
      <c r="B824" s="7" t="s">
        <v>55</v>
      </c>
      <c r="C824" s="7" t="s">
        <v>18</v>
      </c>
      <c r="D824" s="3">
        <v>3533726001583</v>
      </c>
      <c r="E824" s="8" t="s">
        <v>271</v>
      </c>
      <c r="F824" s="8" t="s">
        <v>261</v>
      </c>
      <c r="G824" s="8" t="s">
        <v>262</v>
      </c>
      <c r="H824" s="8" t="s">
        <v>795</v>
      </c>
      <c r="I824" s="3">
        <v>2</v>
      </c>
      <c r="J824" s="8" t="s">
        <v>742</v>
      </c>
      <c r="K824" s="8" t="s">
        <v>743</v>
      </c>
      <c r="L824" s="8" t="s">
        <v>723</v>
      </c>
      <c r="M824" s="1" t="s">
        <v>790</v>
      </c>
      <c r="N824" s="8" t="s">
        <v>791</v>
      </c>
      <c r="O824" s="6">
        <v>0</v>
      </c>
      <c r="P824" s="6">
        <v>0</v>
      </c>
      <c r="Q824" s="6">
        <v>0</v>
      </c>
      <c r="R824" s="6">
        <v>0</v>
      </c>
      <c r="S824" s="6">
        <v>30</v>
      </c>
    </row>
    <row r="825" spans="1:19" ht="15" x14ac:dyDescent="0.25">
      <c r="A825" s="7" t="s">
        <v>16</v>
      </c>
      <c r="B825" s="7" t="s">
        <v>55</v>
      </c>
      <c r="C825" s="7" t="s">
        <v>18</v>
      </c>
      <c r="D825" s="3">
        <v>1757351000104</v>
      </c>
      <c r="E825" s="8" t="s">
        <v>260</v>
      </c>
      <c r="F825" s="8" t="s">
        <v>261</v>
      </c>
      <c r="G825" s="8" t="s">
        <v>262</v>
      </c>
      <c r="H825" s="8" t="s">
        <v>795</v>
      </c>
      <c r="I825" s="3">
        <v>2</v>
      </c>
      <c r="J825" s="8" t="s">
        <v>766</v>
      </c>
      <c r="K825" s="8" t="s">
        <v>767</v>
      </c>
      <c r="L825" s="8" t="s">
        <v>730</v>
      </c>
      <c r="M825" s="1" t="s">
        <v>790</v>
      </c>
      <c r="N825" s="8" t="s">
        <v>791</v>
      </c>
      <c r="O825" s="6">
        <v>0</v>
      </c>
      <c r="P825" s="6">
        <v>0</v>
      </c>
      <c r="Q825" s="6">
        <v>0</v>
      </c>
      <c r="R825" s="6">
        <v>0</v>
      </c>
      <c r="S825" s="6">
        <v>0</v>
      </c>
    </row>
    <row r="826" spans="1:19" ht="15" x14ac:dyDescent="0.25">
      <c r="A826" s="7" t="s">
        <v>16</v>
      </c>
      <c r="B826" s="7" t="s">
        <v>55</v>
      </c>
      <c r="C826" s="7" t="s">
        <v>18</v>
      </c>
      <c r="D826" s="3">
        <v>1757351000104</v>
      </c>
      <c r="E826" s="8" t="s">
        <v>260</v>
      </c>
      <c r="F826" s="8" t="s">
        <v>261</v>
      </c>
      <c r="G826" s="8" t="s">
        <v>262</v>
      </c>
      <c r="H826" s="8" t="s">
        <v>795</v>
      </c>
      <c r="I826" s="3">
        <v>2</v>
      </c>
      <c r="J826" s="8" t="s">
        <v>742</v>
      </c>
      <c r="K826" s="8" t="s">
        <v>743</v>
      </c>
      <c r="L826" s="8" t="s">
        <v>723</v>
      </c>
      <c r="M826" s="1" t="s">
        <v>790</v>
      </c>
      <c r="N826" s="8" t="s">
        <v>791</v>
      </c>
      <c r="O826" s="6">
        <v>0</v>
      </c>
      <c r="P826" s="6">
        <v>10</v>
      </c>
      <c r="Q826" s="6">
        <v>0</v>
      </c>
      <c r="R826" s="6">
        <v>0</v>
      </c>
      <c r="S826" s="6">
        <v>0</v>
      </c>
    </row>
    <row r="827" spans="1:19" ht="15" x14ac:dyDescent="0.25">
      <c r="A827" s="7" t="s">
        <v>16</v>
      </c>
      <c r="B827" s="7" t="s">
        <v>55</v>
      </c>
      <c r="C827" s="7" t="s">
        <v>18</v>
      </c>
      <c r="D827" s="3">
        <v>3925419000142</v>
      </c>
      <c r="E827" s="8" t="s">
        <v>272</v>
      </c>
      <c r="F827" s="8" t="s">
        <v>261</v>
      </c>
      <c r="G827" s="8" t="s">
        <v>262</v>
      </c>
      <c r="H827" s="8" t="s">
        <v>795</v>
      </c>
      <c r="I827" s="3">
        <v>2</v>
      </c>
      <c r="J827" s="8" t="s">
        <v>766</v>
      </c>
      <c r="K827" s="8" t="s">
        <v>767</v>
      </c>
      <c r="L827" s="8" t="s">
        <v>730</v>
      </c>
      <c r="M827" s="1" t="s">
        <v>790</v>
      </c>
      <c r="N827" s="8" t="s">
        <v>791</v>
      </c>
      <c r="O827" s="6">
        <v>0</v>
      </c>
      <c r="P827" s="6">
        <v>0</v>
      </c>
      <c r="Q827" s="6">
        <v>0</v>
      </c>
      <c r="R827" s="6">
        <v>0</v>
      </c>
      <c r="S827" s="6">
        <v>0</v>
      </c>
    </row>
    <row r="828" spans="1:19" ht="15" x14ac:dyDescent="0.25">
      <c r="A828" s="7" t="s">
        <v>16</v>
      </c>
      <c r="B828" s="7" t="s">
        <v>55</v>
      </c>
      <c r="C828" s="7" t="s">
        <v>18</v>
      </c>
      <c r="D828" s="3">
        <v>3925419000142</v>
      </c>
      <c r="E828" s="8" t="s">
        <v>272</v>
      </c>
      <c r="F828" s="8" t="s">
        <v>261</v>
      </c>
      <c r="G828" s="8" t="s">
        <v>262</v>
      </c>
      <c r="H828" s="8" t="s">
        <v>795</v>
      </c>
      <c r="I828" s="3">
        <v>2</v>
      </c>
      <c r="J828" s="8" t="s">
        <v>742</v>
      </c>
      <c r="K828" s="8" t="s">
        <v>743</v>
      </c>
      <c r="L828" s="8" t="s">
        <v>723</v>
      </c>
      <c r="M828" s="1" t="s">
        <v>790</v>
      </c>
      <c r="N828" s="8" t="s">
        <v>791</v>
      </c>
      <c r="O828" s="6">
        <v>0</v>
      </c>
      <c r="P828" s="6">
        <v>8</v>
      </c>
      <c r="Q828" s="6">
        <v>0</v>
      </c>
      <c r="R828" s="6">
        <v>0</v>
      </c>
      <c r="S828" s="6">
        <v>0</v>
      </c>
    </row>
    <row r="829" spans="1:19" ht="15" x14ac:dyDescent="0.25">
      <c r="A829" s="7" t="s">
        <v>16</v>
      </c>
      <c r="B829" s="7" t="s">
        <v>55</v>
      </c>
      <c r="C829" s="7" t="s">
        <v>18</v>
      </c>
      <c r="D829" s="3">
        <v>3533726000773</v>
      </c>
      <c r="E829" s="8" t="s">
        <v>540</v>
      </c>
      <c r="F829" s="8" t="s">
        <v>261</v>
      </c>
      <c r="G829" s="8" t="s">
        <v>262</v>
      </c>
      <c r="H829" s="8" t="s">
        <v>795</v>
      </c>
      <c r="I829" s="3">
        <v>2</v>
      </c>
      <c r="J829" s="8" t="s">
        <v>766</v>
      </c>
      <c r="K829" s="8" t="s">
        <v>767</v>
      </c>
      <c r="L829" s="8" t="s">
        <v>730</v>
      </c>
      <c r="M829" s="1" t="s">
        <v>790</v>
      </c>
      <c r="N829" s="8" t="s">
        <v>791</v>
      </c>
      <c r="O829" s="6">
        <v>0</v>
      </c>
      <c r="P829" s="6">
        <v>0</v>
      </c>
      <c r="Q829" s="6">
        <v>0</v>
      </c>
      <c r="R829" s="6">
        <v>0</v>
      </c>
      <c r="S829" s="6">
        <v>90</v>
      </c>
    </row>
    <row r="830" spans="1:19" ht="15" x14ac:dyDescent="0.25">
      <c r="A830" s="7" t="s">
        <v>16</v>
      </c>
      <c r="B830" s="7" t="s">
        <v>55</v>
      </c>
      <c r="C830" s="7" t="s">
        <v>18</v>
      </c>
      <c r="D830" s="3">
        <v>3533726000773</v>
      </c>
      <c r="E830" s="8" t="s">
        <v>540</v>
      </c>
      <c r="F830" s="8" t="s">
        <v>261</v>
      </c>
      <c r="G830" s="8" t="s">
        <v>262</v>
      </c>
      <c r="H830" s="8" t="s">
        <v>795</v>
      </c>
      <c r="I830" s="3">
        <v>2</v>
      </c>
      <c r="J830" s="8" t="s">
        <v>742</v>
      </c>
      <c r="K830" s="8" t="s">
        <v>743</v>
      </c>
      <c r="L830" s="8" t="s">
        <v>723</v>
      </c>
      <c r="M830" s="1" t="s">
        <v>790</v>
      </c>
      <c r="N830" s="8" t="s">
        <v>791</v>
      </c>
      <c r="O830" s="6">
        <v>0</v>
      </c>
      <c r="P830" s="6">
        <v>0</v>
      </c>
      <c r="Q830" s="6">
        <v>0</v>
      </c>
      <c r="R830" s="6">
        <v>0</v>
      </c>
      <c r="S830" s="6">
        <v>90</v>
      </c>
    </row>
    <row r="831" spans="1:19" ht="15" x14ac:dyDescent="0.25">
      <c r="A831" s="7" t="s">
        <v>16</v>
      </c>
      <c r="B831" s="7" t="s">
        <v>55</v>
      </c>
      <c r="C831" s="7" t="s">
        <v>18</v>
      </c>
      <c r="D831" s="3">
        <v>12361267000274</v>
      </c>
      <c r="E831" s="8" t="s">
        <v>485</v>
      </c>
      <c r="F831" s="8" t="s">
        <v>219</v>
      </c>
      <c r="G831" s="8" t="s">
        <v>220</v>
      </c>
      <c r="H831" s="8" t="s">
        <v>795</v>
      </c>
      <c r="I831" s="3">
        <v>1</v>
      </c>
      <c r="J831" s="8" t="s">
        <v>780</v>
      </c>
      <c r="K831" s="8" t="s">
        <v>781</v>
      </c>
      <c r="L831" s="8" t="s">
        <v>739</v>
      </c>
      <c r="M831" s="1" t="s">
        <v>790</v>
      </c>
      <c r="N831" s="8" t="s">
        <v>791</v>
      </c>
      <c r="O831" s="6">
        <v>0</v>
      </c>
      <c r="P831" s="6">
        <v>0</v>
      </c>
      <c r="Q831" s="6">
        <v>0</v>
      </c>
      <c r="R831" s="6">
        <v>0</v>
      </c>
      <c r="S831" s="6">
        <v>150</v>
      </c>
    </row>
    <row r="832" spans="1:19" ht="15" x14ac:dyDescent="0.25">
      <c r="A832" s="7" t="s">
        <v>16</v>
      </c>
      <c r="B832" s="7" t="s">
        <v>55</v>
      </c>
      <c r="C832" s="7" t="s">
        <v>18</v>
      </c>
      <c r="D832" s="3">
        <v>5054929000117</v>
      </c>
      <c r="E832" s="8" t="s">
        <v>419</v>
      </c>
      <c r="F832" s="8" t="s">
        <v>219</v>
      </c>
      <c r="G832" s="8" t="s">
        <v>220</v>
      </c>
      <c r="H832" s="8" t="s">
        <v>795</v>
      </c>
      <c r="I832" s="3">
        <v>1</v>
      </c>
      <c r="J832" s="8" t="s">
        <v>780</v>
      </c>
      <c r="K832" s="8" t="s">
        <v>781</v>
      </c>
      <c r="L832" s="8" t="s">
        <v>739</v>
      </c>
      <c r="M832" s="1" t="s">
        <v>790</v>
      </c>
      <c r="N832" s="8" t="s">
        <v>791</v>
      </c>
      <c r="O832" s="6">
        <v>0</v>
      </c>
      <c r="P832" s="6">
        <v>0</v>
      </c>
      <c r="Q832" s="6">
        <v>0</v>
      </c>
      <c r="R832" s="6">
        <v>48</v>
      </c>
      <c r="S832" s="6">
        <v>0</v>
      </c>
    </row>
    <row r="833" spans="1:19" ht="15" x14ac:dyDescent="0.25">
      <c r="A833" s="7" t="s">
        <v>16</v>
      </c>
      <c r="B833" s="7" t="s">
        <v>55</v>
      </c>
      <c r="C833" s="7" t="s">
        <v>18</v>
      </c>
      <c r="D833" s="3">
        <v>4201372001028</v>
      </c>
      <c r="E833" s="8" t="s">
        <v>273</v>
      </c>
      <c r="F833" s="8" t="s">
        <v>219</v>
      </c>
      <c r="G833" s="8" t="s">
        <v>220</v>
      </c>
      <c r="H833" s="8" t="s">
        <v>795</v>
      </c>
      <c r="I833" s="3">
        <v>1</v>
      </c>
      <c r="J833" s="8" t="s">
        <v>780</v>
      </c>
      <c r="K833" s="8" t="s">
        <v>781</v>
      </c>
      <c r="L833" s="8" t="s">
        <v>739</v>
      </c>
      <c r="M833" s="1" t="s">
        <v>790</v>
      </c>
      <c r="N833" s="8" t="s">
        <v>791</v>
      </c>
      <c r="O833" s="6">
        <v>0</v>
      </c>
      <c r="P833" s="6">
        <v>0</v>
      </c>
      <c r="Q833" s="6">
        <v>0</v>
      </c>
      <c r="R833" s="6">
        <v>52</v>
      </c>
      <c r="S833" s="6">
        <v>0</v>
      </c>
    </row>
    <row r="834" spans="1:19" ht="15" x14ac:dyDescent="0.25">
      <c r="A834" s="7" t="s">
        <v>16</v>
      </c>
      <c r="B834" s="7" t="s">
        <v>55</v>
      </c>
      <c r="C834" s="7" t="s">
        <v>18</v>
      </c>
      <c r="D834" s="3">
        <v>14112023000100</v>
      </c>
      <c r="E834" s="8" t="s">
        <v>612</v>
      </c>
      <c r="F834" s="8" t="s">
        <v>613</v>
      </c>
      <c r="G834" s="8" t="s">
        <v>220</v>
      </c>
      <c r="H834" s="8" t="s">
        <v>795</v>
      </c>
      <c r="I834" s="3">
        <v>1</v>
      </c>
      <c r="J834" s="8" t="s">
        <v>780</v>
      </c>
      <c r="K834" s="8" t="s">
        <v>781</v>
      </c>
      <c r="L834" s="8" t="s">
        <v>739</v>
      </c>
      <c r="M834" s="1" t="s">
        <v>790</v>
      </c>
      <c r="N834" s="8" t="s">
        <v>791</v>
      </c>
      <c r="O834" s="6">
        <v>0</v>
      </c>
      <c r="P834" s="6">
        <v>0</v>
      </c>
      <c r="Q834" s="6">
        <v>0</v>
      </c>
      <c r="R834" s="6">
        <v>0</v>
      </c>
      <c r="S834" s="6">
        <v>18</v>
      </c>
    </row>
    <row r="835" spans="1:19" ht="15" x14ac:dyDescent="0.25">
      <c r="A835" s="7" t="s">
        <v>16</v>
      </c>
      <c r="B835" s="7" t="s">
        <v>55</v>
      </c>
      <c r="C835" s="7" t="s">
        <v>18</v>
      </c>
      <c r="D835" s="3">
        <v>24232886008303</v>
      </c>
      <c r="E835" s="8" t="s">
        <v>358</v>
      </c>
      <c r="F835" s="8" t="s">
        <v>359</v>
      </c>
      <c r="G835" s="8" t="s">
        <v>220</v>
      </c>
      <c r="H835" s="8" t="s">
        <v>795</v>
      </c>
      <c r="I835" s="3">
        <v>1</v>
      </c>
      <c r="J835" s="8" t="s">
        <v>780</v>
      </c>
      <c r="K835" s="8" t="s">
        <v>781</v>
      </c>
      <c r="L835" s="8" t="s">
        <v>739</v>
      </c>
      <c r="M835" s="1" t="s">
        <v>790</v>
      </c>
      <c r="N835" s="8" t="s">
        <v>791</v>
      </c>
      <c r="O835" s="6">
        <v>0</v>
      </c>
      <c r="P835" s="6">
        <v>2</v>
      </c>
      <c r="Q835" s="6">
        <v>0</v>
      </c>
      <c r="R835" s="6">
        <v>0</v>
      </c>
      <c r="S835" s="6">
        <v>0</v>
      </c>
    </row>
    <row r="836" spans="1:19" ht="15" x14ac:dyDescent="0.25">
      <c r="A836" s="7" t="s">
        <v>16</v>
      </c>
      <c r="B836" s="7" t="s">
        <v>55</v>
      </c>
      <c r="C836" s="7" t="s">
        <v>18</v>
      </c>
      <c r="D836" s="3">
        <v>8680639000681</v>
      </c>
      <c r="E836" s="8" t="s">
        <v>303</v>
      </c>
      <c r="F836" s="8" t="s">
        <v>228</v>
      </c>
      <c r="G836" s="8" t="s">
        <v>229</v>
      </c>
      <c r="H836" s="8" t="s">
        <v>795</v>
      </c>
      <c r="I836" s="3">
        <v>2</v>
      </c>
      <c r="J836" s="8" t="s">
        <v>778</v>
      </c>
      <c r="K836" s="8" t="s">
        <v>779</v>
      </c>
      <c r="L836" s="8" t="s">
        <v>730</v>
      </c>
      <c r="M836" s="1" t="s">
        <v>790</v>
      </c>
      <c r="N836" s="8" t="s">
        <v>791</v>
      </c>
      <c r="O836" s="6">
        <v>0</v>
      </c>
      <c r="P836" s="6">
        <v>0</v>
      </c>
      <c r="Q836" s="6">
        <v>0</v>
      </c>
      <c r="R836" s="6">
        <v>68</v>
      </c>
      <c r="S836" s="6">
        <v>155</v>
      </c>
    </row>
    <row r="837" spans="1:19" ht="15" x14ac:dyDescent="0.25">
      <c r="A837" s="7" t="s">
        <v>16</v>
      </c>
      <c r="B837" s="7" t="s">
        <v>55</v>
      </c>
      <c r="C837" s="7" t="s">
        <v>18</v>
      </c>
      <c r="D837" s="3">
        <v>8680639000681</v>
      </c>
      <c r="E837" s="8" t="s">
        <v>303</v>
      </c>
      <c r="F837" s="8" t="s">
        <v>228</v>
      </c>
      <c r="G837" s="8" t="s">
        <v>229</v>
      </c>
      <c r="H837" s="8" t="s">
        <v>795</v>
      </c>
      <c r="I837" s="3">
        <v>2</v>
      </c>
      <c r="J837" s="8" t="s">
        <v>748</v>
      </c>
      <c r="K837" s="8" t="s">
        <v>749</v>
      </c>
      <c r="L837" s="8" t="s">
        <v>723</v>
      </c>
      <c r="M837" s="1" t="s">
        <v>790</v>
      </c>
      <c r="N837" s="8" t="s">
        <v>791</v>
      </c>
      <c r="O837" s="6">
        <v>0</v>
      </c>
      <c r="P837" s="6">
        <v>0</v>
      </c>
      <c r="Q837" s="6">
        <v>0</v>
      </c>
      <c r="R837" s="6">
        <v>0</v>
      </c>
      <c r="S837" s="6">
        <v>155</v>
      </c>
    </row>
    <row r="838" spans="1:19" ht="15" x14ac:dyDescent="0.25">
      <c r="A838" s="7" t="s">
        <v>16</v>
      </c>
      <c r="B838" s="7" t="s">
        <v>55</v>
      </c>
      <c r="C838" s="7" t="s">
        <v>18</v>
      </c>
      <c r="D838" s="3">
        <v>9039744000275</v>
      </c>
      <c r="E838" s="8" t="s">
        <v>429</v>
      </c>
      <c r="F838" s="8" t="s">
        <v>430</v>
      </c>
      <c r="G838" s="8" t="s">
        <v>265</v>
      </c>
      <c r="H838" s="8" t="s">
        <v>795</v>
      </c>
      <c r="I838" s="3">
        <v>2</v>
      </c>
      <c r="J838" s="8" t="s">
        <v>778</v>
      </c>
      <c r="K838" s="8" t="s">
        <v>779</v>
      </c>
      <c r="L838" s="8" t="s">
        <v>730</v>
      </c>
      <c r="M838" s="1" t="s">
        <v>790</v>
      </c>
      <c r="N838" s="8" t="s">
        <v>791</v>
      </c>
      <c r="O838" s="6">
        <v>0</v>
      </c>
      <c r="P838" s="6">
        <v>0</v>
      </c>
      <c r="Q838" s="6">
        <v>0</v>
      </c>
      <c r="R838" s="6">
        <v>0</v>
      </c>
      <c r="S838" s="6">
        <v>0</v>
      </c>
    </row>
    <row r="839" spans="1:19" ht="15" x14ac:dyDescent="0.25">
      <c r="A839" s="7" t="s">
        <v>16</v>
      </c>
      <c r="B839" s="7" t="s">
        <v>55</v>
      </c>
      <c r="C839" s="7" t="s">
        <v>18</v>
      </c>
      <c r="D839" s="3">
        <v>9039744000275</v>
      </c>
      <c r="E839" s="8" t="s">
        <v>429</v>
      </c>
      <c r="F839" s="8" t="s">
        <v>430</v>
      </c>
      <c r="G839" s="8" t="s">
        <v>265</v>
      </c>
      <c r="H839" s="8" t="s">
        <v>795</v>
      </c>
      <c r="I839" s="3">
        <v>2</v>
      </c>
      <c r="J839" s="8" t="s">
        <v>748</v>
      </c>
      <c r="K839" s="8" t="s">
        <v>749</v>
      </c>
      <c r="L839" s="8" t="s">
        <v>723</v>
      </c>
      <c r="M839" s="1" t="s">
        <v>790</v>
      </c>
      <c r="N839" s="8" t="s">
        <v>791</v>
      </c>
      <c r="O839" s="6">
        <v>0</v>
      </c>
      <c r="P839" s="6">
        <v>1</v>
      </c>
      <c r="Q839" s="6">
        <v>0</v>
      </c>
      <c r="R839" s="6">
        <v>0</v>
      </c>
      <c r="S839" s="6">
        <v>0</v>
      </c>
    </row>
    <row r="840" spans="1:19" ht="15" x14ac:dyDescent="0.25">
      <c r="A840" s="7" t="s">
        <v>16</v>
      </c>
      <c r="B840" s="7" t="s">
        <v>55</v>
      </c>
      <c r="C840" s="7" t="s">
        <v>18</v>
      </c>
      <c r="D840" s="3">
        <v>2284062000106</v>
      </c>
      <c r="E840" s="8" t="s">
        <v>414</v>
      </c>
      <c r="F840" s="8" t="s">
        <v>264</v>
      </c>
      <c r="G840" s="8" t="s">
        <v>265</v>
      </c>
      <c r="H840" s="8" t="s">
        <v>795</v>
      </c>
      <c r="I840" s="3">
        <v>2</v>
      </c>
      <c r="J840" s="8" t="s">
        <v>778</v>
      </c>
      <c r="K840" s="8" t="s">
        <v>779</v>
      </c>
      <c r="L840" s="8" t="s">
        <v>730</v>
      </c>
      <c r="M840" s="1" t="s">
        <v>790</v>
      </c>
      <c r="N840" s="8" t="s">
        <v>791</v>
      </c>
      <c r="O840" s="6">
        <v>0</v>
      </c>
      <c r="P840" s="6">
        <v>0</v>
      </c>
      <c r="Q840" s="6">
        <v>0</v>
      </c>
      <c r="R840" s="6">
        <v>0</v>
      </c>
      <c r="S840" s="6">
        <v>0</v>
      </c>
    </row>
    <row r="841" spans="1:19" ht="15" x14ac:dyDescent="0.25">
      <c r="A841" s="7" t="s">
        <v>16</v>
      </c>
      <c r="B841" s="7" t="s">
        <v>55</v>
      </c>
      <c r="C841" s="7" t="s">
        <v>18</v>
      </c>
      <c r="D841" s="3">
        <v>2284062000106</v>
      </c>
      <c r="E841" s="8" t="s">
        <v>414</v>
      </c>
      <c r="F841" s="8" t="s">
        <v>264</v>
      </c>
      <c r="G841" s="8" t="s">
        <v>265</v>
      </c>
      <c r="H841" s="8" t="s">
        <v>795</v>
      </c>
      <c r="I841" s="3">
        <v>2</v>
      </c>
      <c r="J841" s="8" t="s">
        <v>748</v>
      </c>
      <c r="K841" s="8" t="s">
        <v>749</v>
      </c>
      <c r="L841" s="8" t="s">
        <v>723</v>
      </c>
      <c r="M841" s="1" t="s">
        <v>790</v>
      </c>
      <c r="N841" s="8" t="s">
        <v>791</v>
      </c>
      <c r="O841" s="6">
        <v>0</v>
      </c>
      <c r="P841" s="6">
        <v>6</v>
      </c>
      <c r="Q841" s="6">
        <v>4</v>
      </c>
      <c r="R841" s="6">
        <v>0</v>
      </c>
      <c r="S841" s="6">
        <v>0</v>
      </c>
    </row>
    <row r="842" spans="1:19" ht="15" x14ac:dyDescent="0.25">
      <c r="A842" s="7" t="s">
        <v>16</v>
      </c>
      <c r="B842" s="7" t="s">
        <v>55</v>
      </c>
      <c r="C842" s="7" t="s">
        <v>18</v>
      </c>
      <c r="D842" s="3">
        <v>12361267007287</v>
      </c>
      <c r="E842" s="8" t="s">
        <v>490</v>
      </c>
      <c r="F842" s="8" t="s">
        <v>264</v>
      </c>
      <c r="G842" s="8" t="s">
        <v>265</v>
      </c>
      <c r="H842" s="8" t="s">
        <v>795</v>
      </c>
      <c r="I842" s="3">
        <v>2</v>
      </c>
      <c r="J842" s="8" t="s">
        <v>778</v>
      </c>
      <c r="K842" s="8" t="s">
        <v>779</v>
      </c>
      <c r="L842" s="8" t="s">
        <v>730</v>
      </c>
      <c r="M842" s="1" t="s">
        <v>790</v>
      </c>
      <c r="N842" s="8" t="s">
        <v>791</v>
      </c>
      <c r="O842" s="6">
        <v>0</v>
      </c>
      <c r="P842" s="6">
        <v>0</v>
      </c>
      <c r="Q842" s="6">
        <v>0</v>
      </c>
      <c r="R842" s="6">
        <v>0</v>
      </c>
      <c r="S842" s="6">
        <v>150</v>
      </c>
    </row>
    <row r="843" spans="1:19" ht="15" x14ac:dyDescent="0.25">
      <c r="A843" s="7" t="s">
        <v>16</v>
      </c>
      <c r="B843" s="7" t="s">
        <v>55</v>
      </c>
      <c r="C843" s="7" t="s">
        <v>18</v>
      </c>
      <c r="D843" s="3">
        <v>12361267007287</v>
      </c>
      <c r="E843" s="8" t="s">
        <v>490</v>
      </c>
      <c r="F843" s="8" t="s">
        <v>264</v>
      </c>
      <c r="G843" s="8" t="s">
        <v>265</v>
      </c>
      <c r="H843" s="8" t="s">
        <v>795</v>
      </c>
      <c r="I843" s="3">
        <v>2</v>
      </c>
      <c r="J843" s="8" t="s">
        <v>748</v>
      </c>
      <c r="K843" s="8" t="s">
        <v>749</v>
      </c>
      <c r="L843" s="8" t="s">
        <v>723</v>
      </c>
      <c r="M843" s="1" t="s">
        <v>790</v>
      </c>
      <c r="N843" s="8" t="s">
        <v>791</v>
      </c>
      <c r="O843" s="6">
        <v>0</v>
      </c>
      <c r="P843" s="6">
        <v>0</v>
      </c>
      <c r="Q843" s="6">
        <v>0</v>
      </c>
      <c r="R843" s="6">
        <v>0</v>
      </c>
      <c r="S843" s="6">
        <v>150</v>
      </c>
    </row>
    <row r="844" spans="1:19" ht="15" x14ac:dyDescent="0.25">
      <c r="A844" s="7" t="s">
        <v>16</v>
      </c>
      <c r="B844" s="7" t="s">
        <v>55</v>
      </c>
      <c r="C844" s="7" t="s">
        <v>18</v>
      </c>
      <c r="D844" s="3">
        <v>11452240000143</v>
      </c>
      <c r="E844" s="8" t="s">
        <v>311</v>
      </c>
      <c r="F844" s="8" t="s">
        <v>264</v>
      </c>
      <c r="G844" s="8" t="s">
        <v>265</v>
      </c>
      <c r="H844" s="8" t="s">
        <v>795</v>
      </c>
      <c r="I844" s="3">
        <v>2</v>
      </c>
      <c r="J844" s="8" t="s">
        <v>778</v>
      </c>
      <c r="K844" s="8" t="s">
        <v>779</v>
      </c>
      <c r="L844" s="8" t="s">
        <v>730</v>
      </c>
      <c r="M844" s="1" t="s">
        <v>790</v>
      </c>
      <c r="N844" s="8" t="s">
        <v>791</v>
      </c>
      <c r="O844" s="6">
        <v>0</v>
      </c>
      <c r="P844" s="6">
        <v>0</v>
      </c>
      <c r="Q844" s="6">
        <v>0</v>
      </c>
      <c r="R844" s="6">
        <v>0</v>
      </c>
      <c r="S844" s="6">
        <v>635</v>
      </c>
    </row>
    <row r="845" spans="1:19" ht="15" x14ac:dyDescent="0.25">
      <c r="A845" s="7" t="s">
        <v>16</v>
      </c>
      <c r="B845" s="7" t="s">
        <v>55</v>
      </c>
      <c r="C845" s="7" t="s">
        <v>18</v>
      </c>
      <c r="D845" s="3">
        <v>11452240000143</v>
      </c>
      <c r="E845" s="8" t="s">
        <v>311</v>
      </c>
      <c r="F845" s="8" t="s">
        <v>264</v>
      </c>
      <c r="G845" s="8" t="s">
        <v>265</v>
      </c>
      <c r="H845" s="8" t="s">
        <v>795</v>
      </c>
      <c r="I845" s="3">
        <v>2</v>
      </c>
      <c r="J845" s="8" t="s">
        <v>748</v>
      </c>
      <c r="K845" s="8" t="s">
        <v>749</v>
      </c>
      <c r="L845" s="8" t="s">
        <v>723</v>
      </c>
      <c r="M845" s="1" t="s">
        <v>790</v>
      </c>
      <c r="N845" s="8" t="s">
        <v>791</v>
      </c>
      <c r="O845" s="6">
        <v>0</v>
      </c>
      <c r="P845" s="6">
        <v>0</v>
      </c>
      <c r="Q845" s="6">
        <v>1</v>
      </c>
      <c r="R845" s="6">
        <v>0</v>
      </c>
      <c r="S845" s="6">
        <v>635</v>
      </c>
    </row>
    <row r="846" spans="1:19" ht="15" x14ac:dyDescent="0.25">
      <c r="A846" s="7" t="s">
        <v>16</v>
      </c>
      <c r="B846" s="7" t="s">
        <v>55</v>
      </c>
      <c r="C846" s="7" t="s">
        <v>18</v>
      </c>
      <c r="D846" s="3">
        <v>6047087009276</v>
      </c>
      <c r="E846" s="8" t="s">
        <v>423</v>
      </c>
      <c r="F846" s="8" t="s">
        <v>264</v>
      </c>
      <c r="G846" s="8" t="s">
        <v>265</v>
      </c>
      <c r="H846" s="8" t="s">
        <v>795</v>
      </c>
      <c r="I846" s="3">
        <v>2</v>
      </c>
      <c r="J846" s="8" t="s">
        <v>778</v>
      </c>
      <c r="K846" s="8" t="s">
        <v>779</v>
      </c>
      <c r="L846" s="8" t="s">
        <v>730</v>
      </c>
      <c r="M846" s="1" t="s">
        <v>790</v>
      </c>
      <c r="N846" s="8" t="s">
        <v>791</v>
      </c>
      <c r="O846" s="6">
        <v>0</v>
      </c>
      <c r="P846" s="6">
        <v>0</v>
      </c>
      <c r="Q846" s="6">
        <v>0</v>
      </c>
      <c r="R846" s="6">
        <v>0</v>
      </c>
      <c r="S846" s="6">
        <v>0</v>
      </c>
    </row>
    <row r="847" spans="1:19" ht="15" x14ac:dyDescent="0.25">
      <c r="A847" s="7" t="s">
        <v>16</v>
      </c>
      <c r="B847" s="7" t="s">
        <v>55</v>
      </c>
      <c r="C847" s="7" t="s">
        <v>18</v>
      </c>
      <c r="D847" s="3">
        <v>6047087009276</v>
      </c>
      <c r="E847" s="8" t="s">
        <v>423</v>
      </c>
      <c r="F847" s="8" t="s">
        <v>264</v>
      </c>
      <c r="G847" s="8" t="s">
        <v>265</v>
      </c>
      <c r="H847" s="8" t="s">
        <v>795</v>
      </c>
      <c r="I847" s="3">
        <v>2</v>
      </c>
      <c r="J847" s="8" t="s">
        <v>748</v>
      </c>
      <c r="K847" s="8" t="s">
        <v>749</v>
      </c>
      <c r="L847" s="8" t="s">
        <v>723</v>
      </c>
      <c r="M847" s="1" t="s">
        <v>790</v>
      </c>
      <c r="N847" s="8" t="s">
        <v>791</v>
      </c>
      <c r="O847" s="6">
        <v>0</v>
      </c>
      <c r="P847" s="6">
        <v>0</v>
      </c>
      <c r="Q847" s="6">
        <v>2</v>
      </c>
      <c r="R847" s="6">
        <v>0</v>
      </c>
      <c r="S847" s="6">
        <v>0</v>
      </c>
    </row>
    <row r="848" spans="1:19" ht="15" x14ac:dyDescent="0.25">
      <c r="A848" s="7" t="s">
        <v>16</v>
      </c>
      <c r="B848" s="7" t="s">
        <v>55</v>
      </c>
      <c r="C848" s="7" t="s">
        <v>18</v>
      </c>
      <c r="D848" s="3">
        <v>2284062000440</v>
      </c>
      <c r="E848" s="8" t="s">
        <v>263</v>
      </c>
      <c r="F848" s="8" t="s">
        <v>264</v>
      </c>
      <c r="G848" s="8" t="s">
        <v>265</v>
      </c>
      <c r="H848" s="8" t="s">
        <v>795</v>
      </c>
      <c r="I848" s="3">
        <v>2</v>
      </c>
      <c r="J848" s="8" t="s">
        <v>778</v>
      </c>
      <c r="K848" s="8" t="s">
        <v>779</v>
      </c>
      <c r="L848" s="8" t="s">
        <v>730</v>
      </c>
      <c r="M848" s="1" t="s">
        <v>790</v>
      </c>
      <c r="N848" s="8" t="s">
        <v>791</v>
      </c>
      <c r="O848" s="6">
        <v>0</v>
      </c>
      <c r="P848" s="6">
        <v>0</v>
      </c>
      <c r="Q848" s="6">
        <v>0</v>
      </c>
      <c r="R848" s="6">
        <v>0</v>
      </c>
      <c r="S848" s="6">
        <v>0</v>
      </c>
    </row>
    <row r="849" spans="1:19" ht="15" x14ac:dyDescent="0.25">
      <c r="A849" s="7" t="s">
        <v>16</v>
      </c>
      <c r="B849" s="7" t="s">
        <v>55</v>
      </c>
      <c r="C849" s="7" t="s">
        <v>18</v>
      </c>
      <c r="D849" s="3">
        <v>2284062000440</v>
      </c>
      <c r="E849" s="8" t="s">
        <v>263</v>
      </c>
      <c r="F849" s="8" t="s">
        <v>264</v>
      </c>
      <c r="G849" s="8" t="s">
        <v>265</v>
      </c>
      <c r="H849" s="8" t="s">
        <v>795</v>
      </c>
      <c r="I849" s="3">
        <v>2</v>
      </c>
      <c r="J849" s="8" t="s">
        <v>748</v>
      </c>
      <c r="K849" s="8" t="s">
        <v>749</v>
      </c>
      <c r="L849" s="8" t="s">
        <v>723</v>
      </c>
      <c r="M849" s="1" t="s">
        <v>790</v>
      </c>
      <c r="N849" s="8" t="s">
        <v>791</v>
      </c>
      <c r="O849" s="6">
        <v>0</v>
      </c>
      <c r="P849" s="6">
        <v>55</v>
      </c>
      <c r="Q849" s="6">
        <v>0</v>
      </c>
      <c r="R849" s="6">
        <v>0</v>
      </c>
      <c r="S849" s="6">
        <v>0</v>
      </c>
    </row>
    <row r="850" spans="1:19" ht="15" x14ac:dyDescent="0.25">
      <c r="A850" s="7" t="s">
        <v>16</v>
      </c>
      <c r="B850" s="7" t="s">
        <v>55</v>
      </c>
      <c r="C850" s="7" t="s">
        <v>18</v>
      </c>
      <c r="D850" s="3">
        <v>11214624000470</v>
      </c>
      <c r="E850" s="8" t="s">
        <v>607</v>
      </c>
      <c r="F850" s="8" t="s">
        <v>264</v>
      </c>
      <c r="G850" s="8" t="s">
        <v>265</v>
      </c>
      <c r="H850" s="8" t="s">
        <v>795</v>
      </c>
      <c r="I850" s="3">
        <v>2</v>
      </c>
      <c r="J850" s="8" t="s">
        <v>778</v>
      </c>
      <c r="K850" s="8" t="s">
        <v>779</v>
      </c>
      <c r="L850" s="8" t="s">
        <v>730</v>
      </c>
      <c r="M850" s="1" t="s">
        <v>790</v>
      </c>
      <c r="N850" s="8" t="s">
        <v>791</v>
      </c>
      <c r="O850" s="6">
        <v>0</v>
      </c>
      <c r="P850" s="6">
        <v>0</v>
      </c>
      <c r="Q850" s="6">
        <v>0</v>
      </c>
      <c r="R850" s="6">
        <v>0</v>
      </c>
      <c r="S850" s="6">
        <v>100</v>
      </c>
    </row>
    <row r="851" spans="1:19" ht="15" x14ac:dyDescent="0.25">
      <c r="A851" s="7" t="s">
        <v>16</v>
      </c>
      <c r="B851" s="7" t="s">
        <v>55</v>
      </c>
      <c r="C851" s="7" t="s">
        <v>18</v>
      </c>
      <c r="D851" s="3">
        <v>11214624000470</v>
      </c>
      <c r="E851" s="8" t="s">
        <v>607</v>
      </c>
      <c r="F851" s="8" t="s">
        <v>264</v>
      </c>
      <c r="G851" s="8" t="s">
        <v>265</v>
      </c>
      <c r="H851" s="8" t="s">
        <v>795</v>
      </c>
      <c r="I851" s="3">
        <v>2</v>
      </c>
      <c r="J851" s="8" t="s">
        <v>748</v>
      </c>
      <c r="K851" s="8" t="s">
        <v>749</v>
      </c>
      <c r="L851" s="8" t="s">
        <v>723</v>
      </c>
      <c r="M851" s="1" t="s">
        <v>790</v>
      </c>
      <c r="N851" s="8" t="s">
        <v>791</v>
      </c>
      <c r="O851" s="6">
        <v>0</v>
      </c>
      <c r="P851" s="6">
        <v>0</v>
      </c>
      <c r="Q851" s="6">
        <v>0</v>
      </c>
      <c r="R851" s="6">
        <v>0</v>
      </c>
      <c r="S851" s="6">
        <v>100</v>
      </c>
    </row>
    <row r="852" spans="1:19" ht="15" x14ac:dyDescent="0.25">
      <c r="A852" s="7" t="s">
        <v>16</v>
      </c>
      <c r="B852" s="7" t="s">
        <v>55</v>
      </c>
      <c r="C852" s="7" t="s">
        <v>18</v>
      </c>
      <c r="D852" s="3">
        <v>11022597001597</v>
      </c>
      <c r="E852" s="8" t="s">
        <v>434</v>
      </c>
      <c r="F852" s="8" t="s">
        <v>264</v>
      </c>
      <c r="G852" s="8" t="s">
        <v>265</v>
      </c>
      <c r="H852" s="8" t="s">
        <v>795</v>
      </c>
      <c r="I852" s="3">
        <v>2</v>
      </c>
      <c r="J852" s="8" t="s">
        <v>778</v>
      </c>
      <c r="K852" s="8" t="s">
        <v>779</v>
      </c>
      <c r="L852" s="8" t="s">
        <v>730</v>
      </c>
      <c r="M852" s="1" t="s">
        <v>790</v>
      </c>
      <c r="N852" s="8" t="s">
        <v>791</v>
      </c>
      <c r="O852" s="6">
        <v>0</v>
      </c>
      <c r="P852" s="6">
        <v>0</v>
      </c>
      <c r="Q852" s="6">
        <v>0</v>
      </c>
      <c r="R852" s="6">
        <v>0</v>
      </c>
      <c r="S852" s="6">
        <v>0</v>
      </c>
    </row>
    <row r="853" spans="1:19" ht="15" x14ac:dyDescent="0.25">
      <c r="A853" s="7" t="s">
        <v>16</v>
      </c>
      <c r="B853" s="7" t="s">
        <v>55</v>
      </c>
      <c r="C853" s="7" t="s">
        <v>18</v>
      </c>
      <c r="D853" s="3">
        <v>11022597001597</v>
      </c>
      <c r="E853" s="8" t="s">
        <v>434</v>
      </c>
      <c r="F853" s="8" t="s">
        <v>264</v>
      </c>
      <c r="G853" s="8" t="s">
        <v>265</v>
      </c>
      <c r="H853" s="8" t="s">
        <v>795</v>
      </c>
      <c r="I853" s="3">
        <v>2</v>
      </c>
      <c r="J853" s="8" t="s">
        <v>748</v>
      </c>
      <c r="K853" s="8" t="s">
        <v>749</v>
      </c>
      <c r="L853" s="8" t="s">
        <v>723</v>
      </c>
      <c r="M853" s="1" t="s">
        <v>790</v>
      </c>
      <c r="N853" s="8" t="s">
        <v>791</v>
      </c>
      <c r="O853" s="6">
        <v>0</v>
      </c>
      <c r="P853" s="6">
        <v>25</v>
      </c>
      <c r="Q853" s="6">
        <v>0</v>
      </c>
      <c r="R853" s="6">
        <v>0</v>
      </c>
      <c r="S853" s="6">
        <v>0</v>
      </c>
    </row>
    <row r="854" spans="1:19" ht="15" x14ac:dyDescent="0.25">
      <c r="A854" s="7" t="s">
        <v>16</v>
      </c>
      <c r="B854" s="7" t="s">
        <v>55</v>
      </c>
      <c r="C854" s="7" t="s">
        <v>18</v>
      </c>
      <c r="D854" s="3">
        <v>10839561000132</v>
      </c>
      <c r="E854" s="8" t="s">
        <v>306</v>
      </c>
      <c r="F854" s="8" t="s">
        <v>264</v>
      </c>
      <c r="G854" s="8" t="s">
        <v>265</v>
      </c>
      <c r="H854" s="8" t="s">
        <v>795</v>
      </c>
      <c r="I854" s="3">
        <v>2</v>
      </c>
      <c r="J854" s="8" t="s">
        <v>778</v>
      </c>
      <c r="K854" s="8" t="s">
        <v>779</v>
      </c>
      <c r="L854" s="8" t="s">
        <v>730</v>
      </c>
      <c r="M854" s="1" t="s">
        <v>790</v>
      </c>
      <c r="N854" s="8" t="s">
        <v>791</v>
      </c>
      <c r="O854" s="6">
        <v>0</v>
      </c>
      <c r="P854" s="6">
        <v>0</v>
      </c>
      <c r="Q854" s="6">
        <v>0</v>
      </c>
      <c r="R854" s="6">
        <v>32</v>
      </c>
      <c r="S854" s="6">
        <v>420</v>
      </c>
    </row>
    <row r="855" spans="1:19" ht="15" x14ac:dyDescent="0.25">
      <c r="A855" s="7" t="s">
        <v>16</v>
      </c>
      <c r="B855" s="7" t="s">
        <v>55</v>
      </c>
      <c r="C855" s="7" t="s">
        <v>18</v>
      </c>
      <c r="D855" s="3">
        <v>10839561000132</v>
      </c>
      <c r="E855" s="8" t="s">
        <v>306</v>
      </c>
      <c r="F855" s="8" t="s">
        <v>264</v>
      </c>
      <c r="G855" s="8" t="s">
        <v>265</v>
      </c>
      <c r="H855" s="8" t="s">
        <v>795</v>
      </c>
      <c r="I855" s="3">
        <v>2</v>
      </c>
      <c r="J855" s="8" t="s">
        <v>748</v>
      </c>
      <c r="K855" s="8" t="s">
        <v>749</v>
      </c>
      <c r="L855" s="8" t="s">
        <v>723</v>
      </c>
      <c r="M855" s="1" t="s">
        <v>790</v>
      </c>
      <c r="N855" s="8" t="s">
        <v>791</v>
      </c>
      <c r="O855" s="6">
        <v>0</v>
      </c>
      <c r="P855" s="6">
        <v>0</v>
      </c>
      <c r="Q855" s="6">
        <v>0</v>
      </c>
      <c r="R855" s="6">
        <v>0</v>
      </c>
      <c r="S855" s="6">
        <v>420</v>
      </c>
    </row>
    <row r="856" spans="1:19" ht="15" x14ac:dyDescent="0.25">
      <c r="A856" s="7" t="s">
        <v>16</v>
      </c>
      <c r="B856" s="7" t="s">
        <v>55</v>
      </c>
      <c r="C856" s="7" t="s">
        <v>18</v>
      </c>
      <c r="D856" s="3">
        <v>11273170000166</v>
      </c>
      <c r="E856" s="8" t="s">
        <v>608</v>
      </c>
      <c r="F856" s="8" t="s">
        <v>295</v>
      </c>
      <c r="G856" s="8" t="s">
        <v>296</v>
      </c>
      <c r="H856" s="8" t="s">
        <v>795</v>
      </c>
      <c r="I856" s="3">
        <v>2</v>
      </c>
      <c r="J856" s="8" t="s">
        <v>778</v>
      </c>
      <c r="K856" s="8" t="s">
        <v>779</v>
      </c>
      <c r="L856" s="8" t="s">
        <v>730</v>
      </c>
      <c r="M856" s="1" t="s">
        <v>790</v>
      </c>
      <c r="N856" s="8" t="s">
        <v>791</v>
      </c>
      <c r="O856" s="6">
        <v>0</v>
      </c>
      <c r="P856" s="6">
        <v>0</v>
      </c>
      <c r="Q856" s="6">
        <v>0</v>
      </c>
      <c r="R856" s="6">
        <v>0</v>
      </c>
      <c r="S856" s="6">
        <v>500</v>
      </c>
    </row>
    <row r="857" spans="1:19" ht="15" x14ac:dyDescent="0.25">
      <c r="A857" s="7" t="s">
        <v>16</v>
      </c>
      <c r="B857" s="7" t="s">
        <v>55</v>
      </c>
      <c r="C857" s="7" t="s">
        <v>18</v>
      </c>
      <c r="D857" s="3">
        <v>11273170000166</v>
      </c>
      <c r="E857" s="8" t="s">
        <v>608</v>
      </c>
      <c r="F857" s="8" t="s">
        <v>295</v>
      </c>
      <c r="G857" s="8" t="s">
        <v>296</v>
      </c>
      <c r="H857" s="8" t="s">
        <v>795</v>
      </c>
      <c r="I857" s="3">
        <v>2</v>
      </c>
      <c r="J857" s="8" t="s">
        <v>744</v>
      </c>
      <c r="K857" s="8" t="s">
        <v>745</v>
      </c>
      <c r="L857" s="8" t="s">
        <v>723</v>
      </c>
      <c r="M857" s="1" t="s">
        <v>790</v>
      </c>
      <c r="N857" s="8" t="s">
        <v>791</v>
      </c>
      <c r="O857" s="6">
        <v>0</v>
      </c>
      <c r="P857" s="6">
        <v>0</v>
      </c>
      <c r="Q857" s="6">
        <v>0</v>
      </c>
      <c r="R857" s="6">
        <v>0</v>
      </c>
      <c r="S857" s="6">
        <v>500</v>
      </c>
    </row>
    <row r="858" spans="1:19" ht="15" x14ac:dyDescent="0.25">
      <c r="A858" s="7" t="s">
        <v>16</v>
      </c>
      <c r="B858" s="7" t="s">
        <v>55</v>
      </c>
      <c r="C858" s="7" t="s">
        <v>18</v>
      </c>
      <c r="D858" s="3">
        <v>6555031000276</v>
      </c>
      <c r="E858" s="8" t="s">
        <v>294</v>
      </c>
      <c r="F858" s="8" t="s">
        <v>295</v>
      </c>
      <c r="G858" s="8" t="s">
        <v>296</v>
      </c>
      <c r="H858" s="8" t="s">
        <v>795</v>
      </c>
      <c r="I858" s="3">
        <v>2</v>
      </c>
      <c r="J858" s="8" t="s">
        <v>778</v>
      </c>
      <c r="K858" s="8" t="s">
        <v>779</v>
      </c>
      <c r="L858" s="8" t="s">
        <v>730</v>
      </c>
      <c r="M858" s="1" t="s">
        <v>790</v>
      </c>
      <c r="N858" s="8" t="s">
        <v>791</v>
      </c>
      <c r="O858" s="6">
        <v>0</v>
      </c>
      <c r="P858" s="6">
        <v>0</v>
      </c>
      <c r="Q858" s="6">
        <v>0</v>
      </c>
      <c r="R858" s="6">
        <v>20</v>
      </c>
      <c r="S858" s="6">
        <v>0</v>
      </c>
    </row>
    <row r="859" spans="1:19" ht="15" x14ac:dyDescent="0.25">
      <c r="A859" s="7" t="s">
        <v>16</v>
      </c>
      <c r="B859" s="7" t="s">
        <v>55</v>
      </c>
      <c r="C859" s="7" t="s">
        <v>18</v>
      </c>
      <c r="D859" s="3">
        <v>6555031000276</v>
      </c>
      <c r="E859" s="8" t="s">
        <v>294</v>
      </c>
      <c r="F859" s="8" t="s">
        <v>295</v>
      </c>
      <c r="G859" s="8" t="s">
        <v>296</v>
      </c>
      <c r="H859" s="8" t="s">
        <v>795</v>
      </c>
      <c r="I859" s="3">
        <v>2</v>
      </c>
      <c r="J859" s="8" t="s">
        <v>744</v>
      </c>
      <c r="K859" s="8" t="s">
        <v>745</v>
      </c>
      <c r="L859" s="8" t="s">
        <v>723</v>
      </c>
      <c r="M859" s="1" t="s">
        <v>790</v>
      </c>
      <c r="N859" s="8" t="s">
        <v>791</v>
      </c>
      <c r="O859" s="6">
        <v>0</v>
      </c>
      <c r="P859" s="6">
        <v>0</v>
      </c>
      <c r="Q859" s="6">
        <v>0</v>
      </c>
      <c r="R859" s="6">
        <v>0</v>
      </c>
      <c r="S859" s="6">
        <v>0</v>
      </c>
    </row>
    <row r="860" spans="1:19" ht="15" x14ac:dyDescent="0.25">
      <c r="A860" s="7" t="s">
        <v>16</v>
      </c>
      <c r="B860" s="7" t="s">
        <v>55</v>
      </c>
      <c r="C860" s="7" t="s">
        <v>18</v>
      </c>
      <c r="D860" s="3">
        <v>7734165000136</v>
      </c>
      <c r="E860" s="8" t="s">
        <v>425</v>
      </c>
      <c r="F860" s="8" t="s">
        <v>385</v>
      </c>
      <c r="G860" s="8" t="s">
        <v>233</v>
      </c>
      <c r="H860" s="8" t="s">
        <v>795</v>
      </c>
      <c r="I860" s="3">
        <v>2</v>
      </c>
      <c r="J860" s="8" t="s">
        <v>754</v>
      </c>
      <c r="K860" s="8" t="s">
        <v>755</v>
      </c>
      <c r="L860" s="8" t="s">
        <v>730</v>
      </c>
      <c r="M860" s="1" t="s">
        <v>784</v>
      </c>
      <c r="N860" s="8" t="s">
        <v>785</v>
      </c>
      <c r="O860" s="6">
        <v>0</v>
      </c>
      <c r="P860" s="6">
        <v>0</v>
      </c>
      <c r="Q860" s="6">
        <v>0</v>
      </c>
      <c r="R860" s="6">
        <v>120</v>
      </c>
      <c r="S860" s="6">
        <v>4350</v>
      </c>
    </row>
    <row r="861" spans="1:19" ht="15" x14ac:dyDescent="0.25">
      <c r="A861" s="7" t="s">
        <v>16</v>
      </c>
      <c r="B861" s="7" t="s">
        <v>55</v>
      </c>
      <c r="C861" s="7" t="s">
        <v>18</v>
      </c>
      <c r="D861" s="3">
        <v>7734165000136</v>
      </c>
      <c r="E861" s="8" t="s">
        <v>425</v>
      </c>
      <c r="F861" s="8" t="s">
        <v>385</v>
      </c>
      <c r="G861" s="8" t="s">
        <v>233</v>
      </c>
      <c r="H861" s="8" t="s">
        <v>795</v>
      </c>
      <c r="I861" s="3">
        <v>2</v>
      </c>
      <c r="J861" s="8" t="s">
        <v>735</v>
      </c>
      <c r="K861" s="8" t="s">
        <v>736</v>
      </c>
      <c r="L861" s="8" t="s">
        <v>723</v>
      </c>
      <c r="M861" s="1" t="s">
        <v>784</v>
      </c>
      <c r="N861" s="8" t="s">
        <v>785</v>
      </c>
      <c r="O861" s="6">
        <v>0</v>
      </c>
      <c r="P861" s="6">
        <v>0</v>
      </c>
      <c r="Q861" s="6">
        <v>0</v>
      </c>
      <c r="R861" s="6">
        <v>0</v>
      </c>
      <c r="S861" s="6">
        <v>4350</v>
      </c>
    </row>
    <row r="862" spans="1:19" ht="15" x14ac:dyDescent="0.25">
      <c r="A862" s="7" t="s">
        <v>16</v>
      </c>
      <c r="B862" s="7" t="s">
        <v>55</v>
      </c>
      <c r="C862" s="7" t="s">
        <v>18</v>
      </c>
      <c r="D862" s="3">
        <v>7404052000172</v>
      </c>
      <c r="E862" s="8" t="s">
        <v>516</v>
      </c>
      <c r="F862" s="8" t="s">
        <v>385</v>
      </c>
      <c r="G862" s="8" t="s">
        <v>233</v>
      </c>
      <c r="H862" s="8" t="s">
        <v>795</v>
      </c>
      <c r="I862" s="3">
        <v>2</v>
      </c>
      <c r="J862" s="8" t="s">
        <v>754</v>
      </c>
      <c r="K862" s="8" t="s">
        <v>755</v>
      </c>
      <c r="L862" s="8" t="s">
        <v>730</v>
      </c>
      <c r="M862" s="1" t="s">
        <v>784</v>
      </c>
      <c r="N862" s="8" t="s">
        <v>785</v>
      </c>
      <c r="O862" s="6">
        <v>0</v>
      </c>
      <c r="P862" s="6">
        <v>0</v>
      </c>
      <c r="Q862" s="6">
        <v>0</v>
      </c>
      <c r="R862" s="6">
        <v>0</v>
      </c>
      <c r="S862" s="6">
        <v>45</v>
      </c>
    </row>
    <row r="863" spans="1:19" ht="15" x14ac:dyDescent="0.25">
      <c r="A863" s="7" t="s">
        <v>16</v>
      </c>
      <c r="B863" s="7" t="s">
        <v>55</v>
      </c>
      <c r="C863" s="7" t="s">
        <v>18</v>
      </c>
      <c r="D863" s="3">
        <v>7404052000172</v>
      </c>
      <c r="E863" s="8" t="s">
        <v>516</v>
      </c>
      <c r="F863" s="8" t="s">
        <v>385</v>
      </c>
      <c r="G863" s="8" t="s">
        <v>233</v>
      </c>
      <c r="H863" s="8" t="s">
        <v>795</v>
      </c>
      <c r="I863" s="3">
        <v>2</v>
      </c>
      <c r="J863" s="8" t="s">
        <v>735</v>
      </c>
      <c r="K863" s="8" t="s">
        <v>736</v>
      </c>
      <c r="L863" s="8" t="s">
        <v>723</v>
      </c>
      <c r="M863" s="1" t="s">
        <v>784</v>
      </c>
      <c r="N863" s="8" t="s">
        <v>785</v>
      </c>
      <c r="O863" s="6">
        <v>0</v>
      </c>
      <c r="P863" s="6">
        <v>0</v>
      </c>
      <c r="Q863" s="6">
        <v>0</v>
      </c>
      <c r="R863" s="6">
        <v>0</v>
      </c>
      <c r="S863" s="6">
        <v>45</v>
      </c>
    </row>
    <row r="864" spans="1:19" ht="15" x14ac:dyDescent="0.25">
      <c r="A864" s="7" t="s">
        <v>16</v>
      </c>
      <c r="B864" s="7" t="s">
        <v>55</v>
      </c>
      <c r="C864" s="7" t="s">
        <v>18</v>
      </c>
      <c r="D864" s="3">
        <v>8597121000174</v>
      </c>
      <c r="E864" s="8" t="s">
        <v>428</v>
      </c>
      <c r="F864" s="8" t="s">
        <v>385</v>
      </c>
      <c r="G864" s="8" t="s">
        <v>233</v>
      </c>
      <c r="H864" s="8" t="s">
        <v>795</v>
      </c>
      <c r="I864" s="3">
        <v>2</v>
      </c>
      <c r="J864" s="8" t="s">
        <v>754</v>
      </c>
      <c r="K864" s="8" t="s">
        <v>755</v>
      </c>
      <c r="L864" s="8" t="s">
        <v>730</v>
      </c>
      <c r="M864" s="1" t="s">
        <v>784</v>
      </c>
      <c r="N864" s="8" t="s">
        <v>785</v>
      </c>
      <c r="O864" s="6">
        <v>80</v>
      </c>
      <c r="P864" s="6">
        <v>0</v>
      </c>
      <c r="Q864" s="6">
        <v>0</v>
      </c>
      <c r="R864" s="6">
        <v>0</v>
      </c>
      <c r="S864" s="6">
        <v>0</v>
      </c>
    </row>
    <row r="865" spans="1:19" ht="15" x14ac:dyDescent="0.25">
      <c r="A865" s="7" t="s">
        <v>16</v>
      </c>
      <c r="B865" s="7" t="s">
        <v>55</v>
      </c>
      <c r="C865" s="7" t="s">
        <v>18</v>
      </c>
      <c r="D865" s="3">
        <v>8597121000174</v>
      </c>
      <c r="E865" s="8" t="s">
        <v>428</v>
      </c>
      <c r="F865" s="8" t="s">
        <v>385</v>
      </c>
      <c r="G865" s="8" t="s">
        <v>233</v>
      </c>
      <c r="H865" s="8" t="s">
        <v>795</v>
      </c>
      <c r="I865" s="3">
        <v>2</v>
      </c>
      <c r="J865" s="8" t="s">
        <v>735</v>
      </c>
      <c r="K865" s="8" t="s">
        <v>736</v>
      </c>
      <c r="L865" s="8" t="s">
        <v>723</v>
      </c>
      <c r="M865" s="1" t="s">
        <v>784</v>
      </c>
      <c r="N865" s="8" t="s">
        <v>785</v>
      </c>
      <c r="O865" s="6">
        <v>0</v>
      </c>
      <c r="P865" s="6">
        <v>0</v>
      </c>
      <c r="Q865" s="6">
        <v>0</v>
      </c>
      <c r="R865" s="6">
        <v>0</v>
      </c>
      <c r="S865" s="6">
        <v>0</v>
      </c>
    </row>
    <row r="866" spans="1:19" ht="15" x14ac:dyDescent="0.25">
      <c r="A866" s="7" t="s">
        <v>16</v>
      </c>
      <c r="B866" s="7" t="s">
        <v>55</v>
      </c>
      <c r="C866" s="7" t="s">
        <v>18</v>
      </c>
      <c r="D866" s="3">
        <v>942063000167</v>
      </c>
      <c r="E866" s="8" t="s">
        <v>527</v>
      </c>
      <c r="F866" s="8" t="s">
        <v>385</v>
      </c>
      <c r="G866" s="8" t="s">
        <v>233</v>
      </c>
      <c r="H866" s="8" t="s">
        <v>795</v>
      </c>
      <c r="I866" s="3">
        <v>2</v>
      </c>
      <c r="J866" s="8" t="s">
        <v>754</v>
      </c>
      <c r="K866" s="8" t="s">
        <v>755</v>
      </c>
      <c r="L866" s="8" t="s">
        <v>730</v>
      </c>
      <c r="M866" s="1" t="s">
        <v>784</v>
      </c>
      <c r="N866" s="8" t="s">
        <v>785</v>
      </c>
      <c r="O866" s="6">
        <v>0</v>
      </c>
      <c r="P866" s="6">
        <v>0</v>
      </c>
      <c r="Q866" s="6">
        <v>0</v>
      </c>
      <c r="R866" s="6">
        <v>0</v>
      </c>
      <c r="S866" s="6">
        <v>1755</v>
      </c>
    </row>
    <row r="867" spans="1:19" ht="15" x14ac:dyDescent="0.25">
      <c r="A867" s="7" t="s">
        <v>16</v>
      </c>
      <c r="B867" s="7" t="s">
        <v>55</v>
      </c>
      <c r="C867" s="7" t="s">
        <v>18</v>
      </c>
      <c r="D867" s="3">
        <v>942063000167</v>
      </c>
      <c r="E867" s="8" t="s">
        <v>527</v>
      </c>
      <c r="F867" s="8" t="s">
        <v>385</v>
      </c>
      <c r="G867" s="8" t="s">
        <v>233</v>
      </c>
      <c r="H867" s="8" t="s">
        <v>795</v>
      </c>
      <c r="I867" s="3">
        <v>2</v>
      </c>
      <c r="J867" s="8" t="s">
        <v>735</v>
      </c>
      <c r="K867" s="8" t="s">
        <v>736</v>
      </c>
      <c r="L867" s="8" t="s">
        <v>723</v>
      </c>
      <c r="M867" s="1" t="s">
        <v>784</v>
      </c>
      <c r="N867" s="8" t="s">
        <v>785</v>
      </c>
      <c r="O867" s="6">
        <v>0</v>
      </c>
      <c r="P867" s="6">
        <v>0</v>
      </c>
      <c r="Q867" s="6">
        <v>0</v>
      </c>
      <c r="R867" s="6">
        <v>0</v>
      </c>
      <c r="S867" s="6">
        <v>1755</v>
      </c>
    </row>
    <row r="868" spans="1:19" ht="15" x14ac:dyDescent="0.25">
      <c r="A868" s="7" t="s">
        <v>16</v>
      </c>
      <c r="B868" s="7" t="s">
        <v>55</v>
      </c>
      <c r="C868" s="7" t="s">
        <v>18</v>
      </c>
      <c r="D868" s="3">
        <v>9579964000291</v>
      </c>
      <c r="E868" s="8" t="s">
        <v>604</v>
      </c>
      <c r="F868" s="8" t="s">
        <v>385</v>
      </c>
      <c r="G868" s="8" t="s">
        <v>233</v>
      </c>
      <c r="H868" s="8" t="s">
        <v>795</v>
      </c>
      <c r="I868" s="3">
        <v>2</v>
      </c>
      <c r="J868" s="8" t="s">
        <v>754</v>
      </c>
      <c r="K868" s="8" t="s">
        <v>755</v>
      </c>
      <c r="L868" s="8" t="s">
        <v>730</v>
      </c>
      <c r="M868" s="1" t="s">
        <v>784</v>
      </c>
      <c r="N868" s="8" t="s">
        <v>785</v>
      </c>
      <c r="O868" s="6">
        <v>0</v>
      </c>
      <c r="P868" s="6">
        <v>0</v>
      </c>
      <c r="Q868" s="6">
        <v>0</v>
      </c>
      <c r="R868" s="6">
        <v>0</v>
      </c>
      <c r="S868" s="6">
        <v>1250</v>
      </c>
    </row>
    <row r="869" spans="1:19" ht="15" x14ac:dyDescent="0.25">
      <c r="A869" s="7" t="s">
        <v>16</v>
      </c>
      <c r="B869" s="7" t="s">
        <v>55</v>
      </c>
      <c r="C869" s="7" t="s">
        <v>18</v>
      </c>
      <c r="D869" s="3">
        <v>9579964000291</v>
      </c>
      <c r="E869" s="8" t="s">
        <v>604</v>
      </c>
      <c r="F869" s="8" t="s">
        <v>385</v>
      </c>
      <c r="G869" s="8" t="s">
        <v>233</v>
      </c>
      <c r="H869" s="8" t="s">
        <v>795</v>
      </c>
      <c r="I869" s="3">
        <v>2</v>
      </c>
      <c r="J869" s="8" t="s">
        <v>735</v>
      </c>
      <c r="K869" s="8" t="s">
        <v>736</v>
      </c>
      <c r="L869" s="8" t="s">
        <v>723</v>
      </c>
      <c r="M869" s="1" t="s">
        <v>784</v>
      </c>
      <c r="N869" s="8" t="s">
        <v>785</v>
      </c>
      <c r="O869" s="6">
        <v>0</v>
      </c>
      <c r="P869" s="6">
        <v>0</v>
      </c>
      <c r="Q869" s="6">
        <v>0</v>
      </c>
      <c r="R869" s="6">
        <v>0</v>
      </c>
      <c r="S869" s="6">
        <v>1250</v>
      </c>
    </row>
    <row r="870" spans="1:19" ht="15" x14ac:dyDescent="0.25">
      <c r="A870" s="7" t="s">
        <v>16</v>
      </c>
      <c r="B870" s="7" t="s">
        <v>55</v>
      </c>
      <c r="C870" s="7" t="s">
        <v>18</v>
      </c>
      <c r="D870" s="3">
        <v>76591569000130</v>
      </c>
      <c r="E870" s="8" t="s">
        <v>386</v>
      </c>
      <c r="F870" s="8" t="s">
        <v>385</v>
      </c>
      <c r="G870" s="8" t="s">
        <v>233</v>
      </c>
      <c r="H870" s="8" t="s">
        <v>795</v>
      </c>
      <c r="I870" s="3">
        <v>2</v>
      </c>
      <c r="J870" s="8" t="s">
        <v>754</v>
      </c>
      <c r="K870" s="8" t="s">
        <v>755</v>
      </c>
      <c r="L870" s="8" t="s">
        <v>730</v>
      </c>
      <c r="M870" s="1" t="s">
        <v>784</v>
      </c>
      <c r="N870" s="8" t="s">
        <v>785</v>
      </c>
      <c r="O870" s="6">
        <v>0</v>
      </c>
      <c r="P870" s="6">
        <v>0</v>
      </c>
      <c r="Q870" s="6">
        <v>0</v>
      </c>
      <c r="R870" s="6">
        <v>0</v>
      </c>
      <c r="S870" s="6">
        <v>250</v>
      </c>
    </row>
    <row r="871" spans="1:19" ht="15" x14ac:dyDescent="0.25">
      <c r="A871" s="7" t="s">
        <v>16</v>
      </c>
      <c r="B871" s="7" t="s">
        <v>55</v>
      </c>
      <c r="C871" s="7" t="s">
        <v>18</v>
      </c>
      <c r="D871" s="3">
        <v>76591569000130</v>
      </c>
      <c r="E871" s="8" t="s">
        <v>386</v>
      </c>
      <c r="F871" s="8" t="s">
        <v>385</v>
      </c>
      <c r="G871" s="8" t="s">
        <v>233</v>
      </c>
      <c r="H871" s="8" t="s">
        <v>795</v>
      </c>
      <c r="I871" s="3">
        <v>2</v>
      </c>
      <c r="J871" s="8" t="s">
        <v>735</v>
      </c>
      <c r="K871" s="8" t="s">
        <v>736</v>
      </c>
      <c r="L871" s="8" t="s">
        <v>723</v>
      </c>
      <c r="M871" s="1" t="s">
        <v>784</v>
      </c>
      <c r="N871" s="8" t="s">
        <v>785</v>
      </c>
      <c r="O871" s="6">
        <v>0</v>
      </c>
      <c r="P871" s="6">
        <v>0</v>
      </c>
      <c r="Q871" s="6">
        <v>0</v>
      </c>
      <c r="R871" s="6">
        <v>0</v>
      </c>
      <c r="S871" s="6">
        <v>250</v>
      </c>
    </row>
    <row r="872" spans="1:19" ht="15" x14ac:dyDescent="0.25">
      <c r="A872" s="7" t="s">
        <v>16</v>
      </c>
      <c r="B872" s="7" t="s">
        <v>55</v>
      </c>
      <c r="C872" s="7" t="s">
        <v>18</v>
      </c>
      <c r="D872" s="3">
        <v>76659820002367</v>
      </c>
      <c r="E872" s="8" t="s">
        <v>586</v>
      </c>
      <c r="F872" s="8" t="s">
        <v>385</v>
      </c>
      <c r="G872" s="8" t="s">
        <v>233</v>
      </c>
      <c r="H872" s="8" t="s">
        <v>795</v>
      </c>
      <c r="I872" s="3">
        <v>2</v>
      </c>
      <c r="J872" s="8" t="s">
        <v>754</v>
      </c>
      <c r="K872" s="8" t="s">
        <v>755</v>
      </c>
      <c r="L872" s="8" t="s">
        <v>730</v>
      </c>
      <c r="M872" s="1" t="s">
        <v>784</v>
      </c>
      <c r="N872" s="8" t="s">
        <v>785</v>
      </c>
      <c r="O872" s="6">
        <v>0</v>
      </c>
      <c r="P872" s="6">
        <v>0</v>
      </c>
      <c r="Q872" s="6">
        <v>0</v>
      </c>
      <c r="R872" s="6">
        <v>0</v>
      </c>
      <c r="S872" s="6">
        <v>315</v>
      </c>
    </row>
    <row r="873" spans="1:19" ht="15" x14ac:dyDescent="0.25">
      <c r="A873" s="7" t="s">
        <v>16</v>
      </c>
      <c r="B873" s="7" t="s">
        <v>55</v>
      </c>
      <c r="C873" s="7" t="s">
        <v>18</v>
      </c>
      <c r="D873" s="3">
        <v>76659820002367</v>
      </c>
      <c r="E873" s="8" t="s">
        <v>586</v>
      </c>
      <c r="F873" s="8" t="s">
        <v>385</v>
      </c>
      <c r="G873" s="8" t="s">
        <v>233</v>
      </c>
      <c r="H873" s="8" t="s">
        <v>795</v>
      </c>
      <c r="I873" s="3">
        <v>2</v>
      </c>
      <c r="J873" s="8" t="s">
        <v>735</v>
      </c>
      <c r="K873" s="8" t="s">
        <v>736</v>
      </c>
      <c r="L873" s="8" t="s">
        <v>723</v>
      </c>
      <c r="M873" s="1" t="s">
        <v>784</v>
      </c>
      <c r="N873" s="8" t="s">
        <v>785</v>
      </c>
      <c r="O873" s="6">
        <v>0</v>
      </c>
      <c r="P873" s="6">
        <v>0</v>
      </c>
      <c r="Q873" s="6">
        <v>0</v>
      </c>
      <c r="R873" s="6">
        <v>0</v>
      </c>
      <c r="S873" s="6">
        <v>315</v>
      </c>
    </row>
    <row r="874" spans="1:19" ht="15" x14ac:dyDescent="0.25">
      <c r="A874" s="7" t="s">
        <v>16</v>
      </c>
      <c r="B874" s="7" t="s">
        <v>55</v>
      </c>
      <c r="C874" s="7" t="s">
        <v>18</v>
      </c>
      <c r="D874" s="3">
        <v>76498013000102</v>
      </c>
      <c r="E874" s="8" t="s">
        <v>627</v>
      </c>
      <c r="F874" s="8" t="s">
        <v>385</v>
      </c>
      <c r="G874" s="8" t="s">
        <v>233</v>
      </c>
      <c r="H874" s="8" t="s">
        <v>795</v>
      </c>
      <c r="I874" s="3">
        <v>2</v>
      </c>
      <c r="J874" s="8" t="s">
        <v>754</v>
      </c>
      <c r="K874" s="8" t="s">
        <v>755</v>
      </c>
      <c r="L874" s="8" t="s">
        <v>730</v>
      </c>
      <c r="M874" s="1" t="s">
        <v>784</v>
      </c>
      <c r="N874" s="8" t="s">
        <v>785</v>
      </c>
      <c r="O874" s="6">
        <v>0</v>
      </c>
      <c r="P874" s="6">
        <v>0</v>
      </c>
      <c r="Q874" s="6">
        <v>0</v>
      </c>
      <c r="R874" s="6">
        <v>0</v>
      </c>
      <c r="S874" s="6">
        <v>55</v>
      </c>
    </row>
    <row r="875" spans="1:19" ht="15" x14ac:dyDescent="0.25">
      <c r="A875" s="7" t="s">
        <v>16</v>
      </c>
      <c r="B875" s="7" t="s">
        <v>55</v>
      </c>
      <c r="C875" s="7" t="s">
        <v>18</v>
      </c>
      <c r="D875" s="3">
        <v>76498013000102</v>
      </c>
      <c r="E875" s="8" t="s">
        <v>627</v>
      </c>
      <c r="F875" s="8" t="s">
        <v>385</v>
      </c>
      <c r="G875" s="8" t="s">
        <v>233</v>
      </c>
      <c r="H875" s="8" t="s">
        <v>795</v>
      </c>
      <c r="I875" s="3">
        <v>2</v>
      </c>
      <c r="J875" s="8" t="s">
        <v>735</v>
      </c>
      <c r="K875" s="8" t="s">
        <v>736</v>
      </c>
      <c r="L875" s="8" t="s">
        <v>723</v>
      </c>
      <c r="M875" s="1" t="s">
        <v>784</v>
      </c>
      <c r="N875" s="8" t="s">
        <v>785</v>
      </c>
      <c r="O875" s="6">
        <v>0</v>
      </c>
      <c r="P875" s="6">
        <v>0</v>
      </c>
      <c r="Q875" s="6">
        <v>0</v>
      </c>
      <c r="R875" s="6">
        <v>0</v>
      </c>
      <c r="S875" s="6">
        <v>55</v>
      </c>
    </row>
    <row r="876" spans="1:19" ht="15" x14ac:dyDescent="0.25">
      <c r="A876" s="7" t="s">
        <v>16</v>
      </c>
      <c r="B876" s="7" t="s">
        <v>55</v>
      </c>
      <c r="C876" s="7" t="s">
        <v>18</v>
      </c>
      <c r="D876" s="3">
        <v>76555069000143</v>
      </c>
      <c r="E876" s="8" t="s">
        <v>384</v>
      </c>
      <c r="F876" s="8" t="s">
        <v>385</v>
      </c>
      <c r="G876" s="8" t="s">
        <v>233</v>
      </c>
      <c r="H876" s="8" t="s">
        <v>795</v>
      </c>
      <c r="I876" s="3">
        <v>2</v>
      </c>
      <c r="J876" s="8" t="s">
        <v>754</v>
      </c>
      <c r="K876" s="8" t="s">
        <v>755</v>
      </c>
      <c r="L876" s="8" t="s">
        <v>730</v>
      </c>
      <c r="M876" s="1" t="s">
        <v>784</v>
      </c>
      <c r="N876" s="8" t="s">
        <v>785</v>
      </c>
      <c r="O876" s="6">
        <v>0</v>
      </c>
      <c r="P876" s="6">
        <v>0</v>
      </c>
      <c r="Q876" s="6">
        <v>0</v>
      </c>
      <c r="R876" s="6">
        <v>0</v>
      </c>
      <c r="S876" s="6">
        <v>170</v>
      </c>
    </row>
    <row r="877" spans="1:19" ht="15" x14ac:dyDescent="0.25">
      <c r="A877" s="7" t="s">
        <v>16</v>
      </c>
      <c r="B877" s="7" t="s">
        <v>55</v>
      </c>
      <c r="C877" s="7" t="s">
        <v>18</v>
      </c>
      <c r="D877" s="3">
        <v>76555069000143</v>
      </c>
      <c r="E877" s="8" t="s">
        <v>384</v>
      </c>
      <c r="F877" s="8" t="s">
        <v>385</v>
      </c>
      <c r="G877" s="8" t="s">
        <v>233</v>
      </c>
      <c r="H877" s="8" t="s">
        <v>795</v>
      </c>
      <c r="I877" s="3">
        <v>2</v>
      </c>
      <c r="J877" s="8" t="s">
        <v>735</v>
      </c>
      <c r="K877" s="8" t="s">
        <v>736</v>
      </c>
      <c r="L877" s="8" t="s">
        <v>723</v>
      </c>
      <c r="M877" s="1" t="s">
        <v>784</v>
      </c>
      <c r="N877" s="8" t="s">
        <v>785</v>
      </c>
      <c r="O877" s="6">
        <v>0</v>
      </c>
      <c r="P877" s="6">
        <v>0</v>
      </c>
      <c r="Q877" s="6">
        <v>0</v>
      </c>
      <c r="R877" s="6">
        <v>0</v>
      </c>
      <c r="S877" s="6">
        <v>170</v>
      </c>
    </row>
    <row r="878" spans="1:19" ht="15" x14ac:dyDescent="0.25">
      <c r="A878" s="7" t="s">
        <v>16</v>
      </c>
      <c r="B878" s="7" t="s">
        <v>55</v>
      </c>
      <c r="C878" s="7" t="s">
        <v>18</v>
      </c>
      <c r="D878" s="3">
        <v>29435005005600</v>
      </c>
      <c r="E878" s="8" t="s">
        <v>518</v>
      </c>
      <c r="F878" s="8" t="s">
        <v>385</v>
      </c>
      <c r="G878" s="8" t="s">
        <v>233</v>
      </c>
      <c r="H878" s="8" t="s">
        <v>795</v>
      </c>
      <c r="I878" s="3">
        <v>2</v>
      </c>
      <c r="J878" s="8" t="s">
        <v>754</v>
      </c>
      <c r="K878" s="8" t="s">
        <v>755</v>
      </c>
      <c r="L878" s="8" t="s">
        <v>730</v>
      </c>
      <c r="M878" s="1" t="s">
        <v>784</v>
      </c>
      <c r="N878" s="8" t="s">
        <v>785</v>
      </c>
      <c r="O878" s="6">
        <v>0</v>
      </c>
      <c r="P878" s="6">
        <v>0</v>
      </c>
      <c r="Q878" s="6">
        <v>0</v>
      </c>
      <c r="R878" s="6">
        <v>0</v>
      </c>
      <c r="S878" s="6">
        <v>255</v>
      </c>
    </row>
    <row r="879" spans="1:19" ht="15" x14ac:dyDescent="0.25">
      <c r="A879" s="7" t="s">
        <v>16</v>
      </c>
      <c r="B879" s="7" t="s">
        <v>55</v>
      </c>
      <c r="C879" s="7" t="s">
        <v>18</v>
      </c>
      <c r="D879" s="3">
        <v>29435005005600</v>
      </c>
      <c r="E879" s="8" t="s">
        <v>518</v>
      </c>
      <c r="F879" s="8" t="s">
        <v>385</v>
      </c>
      <c r="G879" s="8" t="s">
        <v>233</v>
      </c>
      <c r="H879" s="8" t="s">
        <v>795</v>
      </c>
      <c r="I879" s="3">
        <v>2</v>
      </c>
      <c r="J879" s="8" t="s">
        <v>735</v>
      </c>
      <c r="K879" s="8" t="s">
        <v>736</v>
      </c>
      <c r="L879" s="8" t="s">
        <v>723</v>
      </c>
      <c r="M879" s="1" t="s">
        <v>784</v>
      </c>
      <c r="N879" s="8" t="s">
        <v>785</v>
      </c>
      <c r="O879" s="6">
        <v>0</v>
      </c>
      <c r="P879" s="6">
        <v>0</v>
      </c>
      <c r="Q879" s="6">
        <v>0</v>
      </c>
      <c r="R879" s="6">
        <v>0</v>
      </c>
      <c r="S879" s="6">
        <v>255</v>
      </c>
    </row>
    <row r="880" spans="1:19" ht="15" x14ac:dyDescent="0.25">
      <c r="A880" s="7" t="s">
        <v>16</v>
      </c>
      <c r="B880" s="7" t="s">
        <v>55</v>
      </c>
      <c r="C880" s="7" t="s">
        <v>18</v>
      </c>
      <c r="D880" s="3">
        <v>3824198000116</v>
      </c>
      <c r="E880" s="8" t="s">
        <v>541</v>
      </c>
      <c r="F880" s="8" t="s">
        <v>385</v>
      </c>
      <c r="G880" s="8" t="s">
        <v>233</v>
      </c>
      <c r="H880" s="8" t="s">
        <v>795</v>
      </c>
      <c r="I880" s="3">
        <v>2</v>
      </c>
      <c r="J880" s="8" t="s">
        <v>754</v>
      </c>
      <c r="K880" s="8" t="s">
        <v>755</v>
      </c>
      <c r="L880" s="8" t="s">
        <v>730</v>
      </c>
      <c r="M880" s="1" t="s">
        <v>784</v>
      </c>
      <c r="N880" s="8" t="s">
        <v>785</v>
      </c>
      <c r="O880" s="6">
        <v>0</v>
      </c>
      <c r="P880" s="6">
        <v>0</v>
      </c>
      <c r="Q880" s="6">
        <v>0</v>
      </c>
      <c r="R880" s="6">
        <v>0</v>
      </c>
      <c r="S880" s="6">
        <v>250</v>
      </c>
    </row>
    <row r="881" spans="1:19" ht="15" x14ac:dyDescent="0.25">
      <c r="A881" s="7" t="s">
        <v>16</v>
      </c>
      <c r="B881" s="7" t="s">
        <v>55</v>
      </c>
      <c r="C881" s="7" t="s">
        <v>18</v>
      </c>
      <c r="D881" s="3">
        <v>3824198000116</v>
      </c>
      <c r="E881" s="8" t="s">
        <v>541</v>
      </c>
      <c r="F881" s="8" t="s">
        <v>385</v>
      </c>
      <c r="G881" s="8" t="s">
        <v>233</v>
      </c>
      <c r="H881" s="8" t="s">
        <v>795</v>
      </c>
      <c r="I881" s="3">
        <v>2</v>
      </c>
      <c r="J881" s="8" t="s">
        <v>735</v>
      </c>
      <c r="K881" s="8" t="s">
        <v>736</v>
      </c>
      <c r="L881" s="8" t="s">
        <v>723</v>
      </c>
      <c r="M881" s="1" t="s">
        <v>784</v>
      </c>
      <c r="N881" s="8" t="s">
        <v>785</v>
      </c>
      <c r="O881" s="6">
        <v>0</v>
      </c>
      <c r="P881" s="6">
        <v>0</v>
      </c>
      <c r="Q881" s="6">
        <v>0</v>
      </c>
      <c r="R881" s="6">
        <v>0</v>
      </c>
      <c r="S881" s="6">
        <v>250</v>
      </c>
    </row>
    <row r="882" spans="1:19" ht="15" x14ac:dyDescent="0.25">
      <c r="A882" s="7" t="s">
        <v>16</v>
      </c>
      <c r="B882" s="7" t="s">
        <v>55</v>
      </c>
      <c r="C882" s="7" t="s">
        <v>18</v>
      </c>
      <c r="D882" s="3">
        <v>3850913000195</v>
      </c>
      <c r="E882" s="8" t="s">
        <v>542</v>
      </c>
      <c r="F882" s="8" t="s">
        <v>385</v>
      </c>
      <c r="G882" s="8" t="s">
        <v>233</v>
      </c>
      <c r="H882" s="8" t="s">
        <v>795</v>
      </c>
      <c r="I882" s="3">
        <v>2</v>
      </c>
      <c r="J882" s="8" t="s">
        <v>754</v>
      </c>
      <c r="K882" s="8" t="s">
        <v>755</v>
      </c>
      <c r="L882" s="8" t="s">
        <v>730</v>
      </c>
      <c r="M882" s="1" t="s">
        <v>784</v>
      </c>
      <c r="N882" s="8" t="s">
        <v>785</v>
      </c>
      <c r="O882" s="6">
        <v>0</v>
      </c>
      <c r="P882" s="6">
        <v>0</v>
      </c>
      <c r="Q882" s="6">
        <v>0</v>
      </c>
      <c r="R882" s="6">
        <v>0</v>
      </c>
      <c r="S882" s="6">
        <v>520</v>
      </c>
    </row>
    <row r="883" spans="1:19" ht="15" x14ac:dyDescent="0.25">
      <c r="A883" s="7" t="s">
        <v>16</v>
      </c>
      <c r="B883" s="7" t="s">
        <v>55</v>
      </c>
      <c r="C883" s="7" t="s">
        <v>18</v>
      </c>
      <c r="D883" s="3">
        <v>3850913000195</v>
      </c>
      <c r="E883" s="8" t="s">
        <v>542</v>
      </c>
      <c r="F883" s="8" t="s">
        <v>385</v>
      </c>
      <c r="G883" s="8" t="s">
        <v>233</v>
      </c>
      <c r="H883" s="8" t="s">
        <v>795</v>
      </c>
      <c r="I883" s="3">
        <v>2</v>
      </c>
      <c r="J883" s="8" t="s">
        <v>735</v>
      </c>
      <c r="K883" s="8" t="s">
        <v>736</v>
      </c>
      <c r="L883" s="8" t="s">
        <v>723</v>
      </c>
      <c r="M883" s="1" t="s">
        <v>784</v>
      </c>
      <c r="N883" s="8" t="s">
        <v>785</v>
      </c>
      <c r="O883" s="6">
        <v>0</v>
      </c>
      <c r="P883" s="6">
        <v>0</v>
      </c>
      <c r="Q883" s="6">
        <v>0</v>
      </c>
      <c r="R883" s="6">
        <v>0</v>
      </c>
      <c r="S883" s="6">
        <v>520</v>
      </c>
    </row>
    <row r="884" spans="1:19" ht="15" x14ac:dyDescent="0.25">
      <c r="A884" s="7" t="s">
        <v>16</v>
      </c>
      <c r="B884" s="7" t="s">
        <v>55</v>
      </c>
      <c r="C884" s="7" t="s">
        <v>18</v>
      </c>
      <c r="D884" s="3">
        <v>78633088000176</v>
      </c>
      <c r="E884" s="8" t="s">
        <v>628</v>
      </c>
      <c r="F884" s="8" t="s">
        <v>583</v>
      </c>
      <c r="G884" s="8" t="s">
        <v>233</v>
      </c>
      <c r="H884" s="8" t="s">
        <v>795</v>
      </c>
      <c r="I884" s="3">
        <v>2</v>
      </c>
      <c r="J884" s="8" t="s">
        <v>754</v>
      </c>
      <c r="K884" s="8" t="s">
        <v>755</v>
      </c>
      <c r="L884" s="8" t="s">
        <v>730</v>
      </c>
      <c r="M884" s="1" t="s">
        <v>784</v>
      </c>
      <c r="N884" s="8" t="s">
        <v>785</v>
      </c>
      <c r="O884" s="6">
        <v>0</v>
      </c>
      <c r="P884" s="6">
        <v>0</v>
      </c>
      <c r="Q884" s="6">
        <v>0</v>
      </c>
      <c r="R884" s="6">
        <v>0</v>
      </c>
      <c r="S884" s="6">
        <v>10</v>
      </c>
    </row>
    <row r="885" spans="1:19" ht="15" x14ac:dyDescent="0.25">
      <c r="A885" s="7" t="s">
        <v>16</v>
      </c>
      <c r="B885" s="7" t="s">
        <v>55</v>
      </c>
      <c r="C885" s="7" t="s">
        <v>18</v>
      </c>
      <c r="D885" s="3">
        <v>78633088000176</v>
      </c>
      <c r="E885" s="8" t="s">
        <v>628</v>
      </c>
      <c r="F885" s="8" t="s">
        <v>583</v>
      </c>
      <c r="G885" s="8" t="s">
        <v>233</v>
      </c>
      <c r="H885" s="8" t="s">
        <v>795</v>
      </c>
      <c r="I885" s="3">
        <v>2</v>
      </c>
      <c r="J885" s="8" t="s">
        <v>735</v>
      </c>
      <c r="K885" s="8" t="s">
        <v>736</v>
      </c>
      <c r="L885" s="8" t="s">
        <v>723</v>
      </c>
      <c r="M885" s="1" t="s">
        <v>784</v>
      </c>
      <c r="N885" s="8" t="s">
        <v>785</v>
      </c>
      <c r="O885" s="6">
        <v>0</v>
      </c>
      <c r="P885" s="6">
        <v>0</v>
      </c>
      <c r="Q885" s="6">
        <v>0</v>
      </c>
      <c r="R885" s="6">
        <v>0</v>
      </c>
      <c r="S885" s="6">
        <v>10</v>
      </c>
    </row>
    <row r="886" spans="1:19" ht="15" x14ac:dyDescent="0.25">
      <c r="A886" s="7" t="s">
        <v>16</v>
      </c>
      <c r="B886" s="7" t="s">
        <v>55</v>
      </c>
      <c r="C886" s="7" t="s">
        <v>18</v>
      </c>
      <c r="D886" s="3">
        <v>4762301000103</v>
      </c>
      <c r="E886" s="8" t="s">
        <v>600</v>
      </c>
      <c r="F886" s="8" t="s">
        <v>583</v>
      </c>
      <c r="G886" s="8" t="s">
        <v>233</v>
      </c>
      <c r="H886" s="8" t="s">
        <v>795</v>
      </c>
      <c r="I886" s="3">
        <v>2</v>
      </c>
      <c r="J886" s="8" t="s">
        <v>754</v>
      </c>
      <c r="K886" s="8" t="s">
        <v>755</v>
      </c>
      <c r="L886" s="8" t="s">
        <v>730</v>
      </c>
      <c r="M886" s="1" t="s">
        <v>784</v>
      </c>
      <c r="N886" s="8" t="s">
        <v>785</v>
      </c>
      <c r="O886" s="6">
        <v>0</v>
      </c>
      <c r="P886" s="6">
        <v>0</v>
      </c>
      <c r="Q886" s="6">
        <v>0</v>
      </c>
      <c r="R886" s="6">
        <v>0</v>
      </c>
      <c r="S886" s="6">
        <v>180</v>
      </c>
    </row>
    <row r="887" spans="1:19" ht="15" x14ac:dyDescent="0.25">
      <c r="A887" s="7" t="s">
        <v>16</v>
      </c>
      <c r="B887" s="7" t="s">
        <v>55</v>
      </c>
      <c r="C887" s="7" t="s">
        <v>18</v>
      </c>
      <c r="D887" s="3">
        <v>4762301000103</v>
      </c>
      <c r="E887" s="8" t="s">
        <v>600</v>
      </c>
      <c r="F887" s="8" t="s">
        <v>583</v>
      </c>
      <c r="G887" s="8" t="s">
        <v>233</v>
      </c>
      <c r="H887" s="8" t="s">
        <v>795</v>
      </c>
      <c r="I887" s="3">
        <v>2</v>
      </c>
      <c r="J887" s="8" t="s">
        <v>735</v>
      </c>
      <c r="K887" s="8" t="s">
        <v>736</v>
      </c>
      <c r="L887" s="8" t="s">
        <v>723</v>
      </c>
      <c r="M887" s="1" t="s">
        <v>784</v>
      </c>
      <c r="N887" s="8" t="s">
        <v>785</v>
      </c>
      <c r="O887" s="6">
        <v>0</v>
      </c>
      <c r="P887" s="6">
        <v>0</v>
      </c>
      <c r="Q887" s="6">
        <v>0</v>
      </c>
      <c r="R887" s="6">
        <v>0</v>
      </c>
      <c r="S887" s="6">
        <v>180</v>
      </c>
    </row>
    <row r="888" spans="1:19" ht="15" x14ac:dyDescent="0.25">
      <c r="A888" s="7" t="s">
        <v>16</v>
      </c>
      <c r="B888" s="7" t="s">
        <v>55</v>
      </c>
      <c r="C888" s="7" t="s">
        <v>18</v>
      </c>
      <c r="D888" s="3">
        <v>73863342000109</v>
      </c>
      <c r="E888" s="8" t="s">
        <v>582</v>
      </c>
      <c r="F888" s="8" t="s">
        <v>583</v>
      </c>
      <c r="G888" s="8" t="s">
        <v>233</v>
      </c>
      <c r="H888" s="8" t="s">
        <v>795</v>
      </c>
      <c r="I888" s="3">
        <v>2</v>
      </c>
      <c r="J888" s="8" t="s">
        <v>754</v>
      </c>
      <c r="K888" s="8" t="s">
        <v>755</v>
      </c>
      <c r="L888" s="8" t="s">
        <v>730</v>
      </c>
      <c r="M888" s="1" t="s">
        <v>784</v>
      </c>
      <c r="N888" s="8" t="s">
        <v>785</v>
      </c>
      <c r="O888" s="6">
        <v>0</v>
      </c>
      <c r="P888" s="6">
        <v>0</v>
      </c>
      <c r="Q888" s="6">
        <v>0</v>
      </c>
      <c r="R888" s="6">
        <v>0</v>
      </c>
      <c r="S888" s="6">
        <v>20</v>
      </c>
    </row>
    <row r="889" spans="1:19" ht="15" x14ac:dyDescent="0.25">
      <c r="A889" s="7" t="s">
        <v>16</v>
      </c>
      <c r="B889" s="7" t="s">
        <v>55</v>
      </c>
      <c r="C889" s="7" t="s">
        <v>18</v>
      </c>
      <c r="D889" s="3">
        <v>73863342000109</v>
      </c>
      <c r="E889" s="8" t="s">
        <v>582</v>
      </c>
      <c r="F889" s="8" t="s">
        <v>583</v>
      </c>
      <c r="G889" s="8" t="s">
        <v>233</v>
      </c>
      <c r="H889" s="8" t="s">
        <v>795</v>
      </c>
      <c r="I889" s="3">
        <v>2</v>
      </c>
      <c r="J889" s="8" t="s">
        <v>735</v>
      </c>
      <c r="K889" s="8" t="s">
        <v>736</v>
      </c>
      <c r="L889" s="8" t="s">
        <v>723</v>
      </c>
      <c r="M889" s="1" t="s">
        <v>784</v>
      </c>
      <c r="N889" s="8" t="s">
        <v>785</v>
      </c>
      <c r="O889" s="6">
        <v>0</v>
      </c>
      <c r="P889" s="6">
        <v>0</v>
      </c>
      <c r="Q889" s="6">
        <v>0</v>
      </c>
      <c r="R889" s="6">
        <v>0</v>
      </c>
      <c r="S889" s="6">
        <v>20</v>
      </c>
    </row>
    <row r="890" spans="1:19" ht="15" x14ac:dyDescent="0.25">
      <c r="A890" s="7" t="s">
        <v>16</v>
      </c>
      <c r="B890" s="7" t="s">
        <v>55</v>
      </c>
      <c r="C890" s="7" t="s">
        <v>18</v>
      </c>
      <c r="D890" s="3">
        <v>75222224001895</v>
      </c>
      <c r="E890" s="8" t="s">
        <v>584</v>
      </c>
      <c r="F890" s="8" t="s">
        <v>583</v>
      </c>
      <c r="G890" s="8" t="s">
        <v>233</v>
      </c>
      <c r="H890" s="8" t="s">
        <v>795</v>
      </c>
      <c r="I890" s="3">
        <v>2</v>
      </c>
      <c r="J890" s="8" t="s">
        <v>754</v>
      </c>
      <c r="K890" s="8" t="s">
        <v>755</v>
      </c>
      <c r="L890" s="8" t="s">
        <v>730</v>
      </c>
      <c r="M890" s="1" t="s">
        <v>784</v>
      </c>
      <c r="N890" s="8" t="s">
        <v>785</v>
      </c>
      <c r="O890" s="6">
        <v>0</v>
      </c>
      <c r="P890" s="6">
        <v>0</v>
      </c>
      <c r="Q890" s="6">
        <v>0</v>
      </c>
      <c r="R890" s="6">
        <v>0</v>
      </c>
      <c r="S890" s="6">
        <v>1200</v>
      </c>
    </row>
    <row r="891" spans="1:19" ht="15" x14ac:dyDescent="0.25">
      <c r="A891" s="7" t="s">
        <v>16</v>
      </c>
      <c r="B891" s="7" t="s">
        <v>55</v>
      </c>
      <c r="C891" s="7" t="s">
        <v>18</v>
      </c>
      <c r="D891" s="3">
        <v>75222224001895</v>
      </c>
      <c r="E891" s="8" t="s">
        <v>584</v>
      </c>
      <c r="F891" s="8" t="s">
        <v>583</v>
      </c>
      <c r="G891" s="8" t="s">
        <v>233</v>
      </c>
      <c r="H891" s="8" t="s">
        <v>795</v>
      </c>
      <c r="I891" s="3">
        <v>2</v>
      </c>
      <c r="J891" s="8" t="s">
        <v>735</v>
      </c>
      <c r="K891" s="8" t="s">
        <v>736</v>
      </c>
      <c r="L891" s="8" t="s">
        <v>723</v>
      </c>
      <c r="M891" s="1" t="s">
        <v>784</v>
      </c>
      <c r="N891" s="8" t="s">
        <v>785</v>
      </c>
      <c r="O891" s="6">
        <v>0</v>
      </c>
      <c r="P891" s="6">
        <v>0</v>
      </c>
      <c r="Q891" s="6">
        <v>0</v>
      </c>
      <c r="R891" s="6">
        <v>0</v>
      </c>
      <c r="S891" s="6">
        <v>1200</v>
      </c>
    </row>
    <row r="892" spans="1:19" ht="15" x14ac:dyDescent="0.25">
      <c r="A892" s="7" t="s">
        <v>16</v>
      </c>
      <c r="B892" s="7" t="s">
        <v>55</v>
      </c>
      <c r="C892" s="7" t="s">
        <v>18</v>
      </c>
      <c r="D892" s="3">
        <v>79115762000193</v>
      </c>
      <c r="E892" s="8" t="s">
        <v>521</v>
      </c>
      <c r="F892" s="8" t="s">
        <v>522</v>
      </c>
      <c r="G892" s="8" t="s">
        <v>233</v>
      </c>
      <c r="H892" s="8" t="s">
        <v>795</v>
      </c>
      <c r="I892" s="3">
        <v>2</v>
      </c>
      <c r="J892" s="8" t="s">
        <v>754</v>
      </c>
      <c r="K892" s="8" t="s">
        <v>755</v>
      </c>
      <c r="L892" s="8" t="s">
        <v>730</v>
      </c>
      <c r="M892" s="1" t="s">
        <v>784</v>
      </c>
      <c r="N892" s="8" t="s">
        <v>785</v>
      </c>
      <c r="O892" s="6">
        <v>0</v>
      </c>
      <c r="P892" s="6">
        <v>0</v>
      </c>
      <c r="Q892" s="6">
        <v>0</v>
      </c>
      <c r="R892" s="6">
        <v>0</v>
      </c>
      <c r="S892" s="6">
        <v>225</v>
      </c>
    </row>
    <row r="893" spans="1:19" ht="15" x14ac:dyDescent="0.25">
      <c r="A893" s="7" t="s">
        <v>16</v>
      </c>
      <c r="B893" s="7" t="s">
        <v>55</v>
      </c>
      <c r="C893" s="7" t="s">
        <v>18</v>
      </c>
      <c r="D893" s="3">
        <v>79115762000193</v>
      </c>
      <c r="E893" s="8" t="s">
        <v>521</v>
      </c>
      <c r="F893" s="8" t="s">
        <v>522</v>
      </c>
      <c r="G893" s="8" t="s">
        <v>233</v>
      </c>
      <c r="H893" s="8" t="s">
        <v>795</v>
      </c>
      <c r="I893" s="3">
        <v>2</v>
      </c>
      <c r="J893" s="8" t="s">
        <v>735</v>
      </c>
      <c r="K893" s="8" t="s">
        <v>736</v>
      </c>
      <c r="L893" s="8" t="s">
        <v>723</v>
      </c>
      <c r="M893" s="1" t="s">
        <v>784</v>
      </c>
      <c r="N893" s="8" t="s">
        <v>785</v>
      </c>
      <c r="O893" s="6">
        <v>0</v>
      </c>
      <c r="P893" s="6">
        <v>0</v>
      </c>
      <c r="Q893" s="6">
        <v>0</v>
      </c>
      <c r="R893" s="6">
        <v>0</v>
      </c>
      <c r="S893" s="6">
        <v>225</v>
      </c>
    </row>
    <row r="894" spans="1:19" ht="15" x14ac:dyDescent="0.25">
      <c r="A894" s="7" t="s">
        <v>16</v>
      </c>
      <c r="B894" s="7" t="s">
        <v>55</v>
      </c>
      <c r="C894" s="7" t="s">
        <v>18</v>
      </c>
      <c r="D894" s="3">
        <v>7794623002257</v>
      </c>
      <c r="E894" s="8" t="s">
        <v>552</v>
      </c>
      <c r="F894" s="8" t="s">
        <v>553</v>
      </c>
      <c r="G894" s="8" t="s">
        <v>233</v>
      </c>
      <c r="H894" s="8" t="s">
        <v>795</v>
      </c>
      <c r="I894" s="3">
        <v>2</v>
      </c>
      <c r="J894" s="8" t="s">
        <v>754</v>
      </c>
      <c r="K894" s="8" t="s">
        <v>755</v>
      </c>
      <c r="L894" s="8" t="s">
        <v>730</v>
      </c>
      <c r="M894" s="1" t="s">
        <v>784</v>
      </c>
      <c r="N894" s="8" t="s">
        <v>785</v>
      </c>
      <c r="O894" s="6">
        <v>0</v>
      </c>
      <c r="P894" s="6">
        <v>0</v>
      </c>
      <c r="Q894" s="6">
        <v>0</v>
      </c>
      <c r="R894" s="6">
        <v>0</v>
      </c>
      <c r="S894" s="6">
        <v>415</v>
      </c>
    </row>
    <row r="895" spans="1:19" ht="15" x14ac:dyDescent="0.25">
      <c r="A895" s="7" t="s">
        <v>16</v>
      </c>
      <c r="B895" s="7" t="s">
        <v>55</v>
      </c>
      <c r="C895" s="7" t="s">
        <v>18</v>
      </c>
      <c r="D895" s="3">
        <v>7794623002257</v>
      </c>
      <c r="E895" s="8" t="s">
        <v>552</v>
      </c>
      <c r="F895" s="8" t="s">
        <v>553</v>
      </c>
      <c r="G895" s="8" t="s">
        <v>233</v>
      </c>
      <c r="H895" s="8" t="s">
        <v>795</v>
      </c>
      <c r="I895" s="3">
        <v>2</v>
      </c>
      <c r="J895" s="8" t="s">
        <v>735</v>
      </c>
      <c r="K895" s="8" t="s">
        <v>736</v>
      </c>
      <c r="L895" s="8" t="s">
        <v>723</v>
      </c>
      <c r="M895" s="1" t="s">
        <v>784</v>
      </c>
      <c r="N895" s="8" t="s">
        <v>785</v>
      </c>
      <c r="O895" s="6">
        <v>0</v>
      </c>
      <c r="P895" s="6">
        <v>0</v>
      </c>
      <c r="Q895" s="6">
        <v>0</v>
      </c>
      <c r="R895" s="6">
        <v>0</v>
      </c>
      <c r="S895" s="6">
        <v>415</v>
      </c>
    </row>
    <row r="896" spans="1:19" ht="15" x14ac:dyDescent="0.25">
      <c r="A896" s="7" t="s">
        <v>16</v>
      </c>
      <c r="B896" s="7" t="s">
        <v>55</v>
      </c>
      <c r="C896" s="7" t="s">
        <v>18</v>
      </c>
      <c r="D896" s="3">
        <v>8562523000133</v>
      </c>
      <c r="E896" s="8" t="s">
        <v>427</v>
      </c>
      <c r="F896" s="8" t="s">
        <v>286</v>
      </c>
      <c r="G896" s="8" t="s">
        <v>241</v>
      </c>
      <c r="H896" s="8" t="s">
        <v>795</v>
      </c>
      <c r="I896" s="3">
        <v>2</v>
      </c>
      <c r="J896" s="8" t="s">
        <v>733</v>
      </c>
      <c r="K896" s="8" t="s">
        <v>734</v>
      </c>
      <c r="L896" s="8" t="s">
        <v>730</v>
      </c>
      <c r="M896" s="1" t="s">
        <v>784</v>
      </c>
      <c r="N896" s="8" t="s">
        <v>785</v>
      </c>
      <c r="O896" s="6">
        <v>0</v>
      </c>
      <c r="P896" s="6">
        <v>0</v>
      </c>
      <c r="Q896" s="6">
        <v>0</v>
      </c>
      <c r="R896" s="6">
        <v>0</v>
      </c>
      <c r="S896" s="6">
        <v>0</v>
      </c>
    </row>
    <row r="897" spans="1:19" ht="15" x14ac:dyDescent="0.25">
      <c r="A897" s="7" t="s">
        <v>16</v>
      </c>
      <c r="B897" s="7" t="s">
        <v>55</v>
      </c>
      <c r="C897" s="7" t="s">
        <v>18</v>
      </c>
      <c r="D897" s="3">
        <v>8562523000133</v>
      </c>
      <c r="E897" s="8" t="s">
        <v>427</v>
      </c>
      <c r="F897" s="8" t="s">
        <v>286</v>
      </c>
      <c r="G897" s="8" t="s">
        <v>241</v>
      </c>
      <c r="H897" s="8" t="s">
        <v>795</v>
      </c>
      <c r="I897" s="3">
        <v>2</v>
      </c>
      <c r="J897" s="8" t="s">
        <v>752</v>
      </c>
      <c r="K897" s="8" t="s">
        <v>753</v>
      </c>
      <c r="L897" s="8" t="s">
        <v>723</v>
      </c>
      <c r="M897" s="1" t="s">
        <v>784</v>
      </c>
      <c r="N897" s="8" t="s">
        <v>785</v>
      </c>
      <c r="O897" s="6">
        <v>0</v>
      </c>
      <c r="P897" s="6">
        <v>5</v>
      </c>
      <c r="Q897" s="6">
        <v>2</v>
      </c>
      <c r="R897" s="6">
        <v>0</v>
      </c>
      <c r="S897" s="6">
        <v>0</v>
      </c>
    </row>
    <row r="898" spans="1:19" ht="15" x14ac:dyDescent="0.25">
      <c r="A898" s="7" t="s">
        <v>16</v>
      </c>
      <c r="B898" s="7" t="s">
        <v>55</v>
      </c>
      <c r="C898" s="7" t="s">
        <v>18</v>
      </c>
      <c r="D898" s="3">
        <v>6047087001372</v>
      </c>
      <c r="E898" s="8" t="s">
        <v>285</v>
      </c>
      <c r="F898" s="8" t="s">
        <v>286</v>
      </c>
      <c r="G898" s="8" t="s">
        <v>241</v>
      </c>
      <c r="H898" s="8" t="s">
        <v>795</v>
      </c>
      <c r="I898" s="3">
        <v>2</v>
      </c>
      <c r="J898" s="8" t="s">
        <v>733</v>
      </c>
      <c r="K898" s="8" t="s">
        <v>734</v>
      </c>
      <c r="L898" s="8" t="s">
        <v>730</v>
      </c>
      <c r="M898" s="1" t="s">
        <v>784</v>
      </c>
      <c r="N898" s="8" t="s">
        <v>785</v>
      </c>
      <c r="O898" s="6">
        <v>0</v>
      </c>
      <c r="P898" s="6">
        <v>0</v>
      </c>
      <c r="Q898" s="6">
        <v>0</v>
      </c>
      <c r="R898" s="6">
        <v>0</v>
      </c>
      <c r="S898" s="6">
        <v>0</v>
      </c>
    </row>
    <row r="899" spans="1:19" ht="15" x14ac:dyDescent="0.25">
      <c r="A899" s="7" t="s">
        <v>16</v>
      </c>
      <c r="B899" s="7" t="s">
        <v>55</v>
      </c>
      <c r="C899" s="7" t="s">
        <v>18</v>
      </c>
      <c r="D899" s="3">
        <v>6047087001372</v>
      </c>
      <c r="E899" s="8" t="s">
        <v>285</v>
      </c>
      <c r="F899" s="8" t="s">
        <v>286</v>
      </c>
      <c r="G899" s="8" t="s">
        <v>241</v>
      </c>
      <c r="H899" s="8" t="s">
        <v>795</v>
      </c>
      <c r="I899" s="3">
        <v>2</v>
      </c>
      <c r="J899" s="8" t="s">
        <v>760</v>
      </c>
      <c r="K899" s="8" t="s">
        <v>761</v>
      </c>
      <c r="L899" s="8" t="s">
        <v>723</v>
      </c>
      <c r="M899" s="1" t="s">
        <v>784</v>
      </c>
      <c r="N899" s="8" t="s">
        <v>785</v>
      </c>
      <c r="O899" s="6">
        <v>0</v>
      </c>
      <c r="P899" s="6">
        <v>3</v>
      </c>
      <c r="Q899" s="6">
        <v>4</v>
      </c>
      <c r="R899" s="6">
        <v>0</v>
      </c>
      <c r="S899" s="6">
        <v>0</v>
      </c>
    </row>
    <row r="900" spans="1:19" ht="15" x14ac:dyDescent="0.25">
      <c r="A900" s="7" t="s">
        <v>16</v>
      </c>
      <c r="B900" s="7" t="s">
        <v>55</v>
      </c>
      <c r="C900" s="7" t="s">
        <v>18</v>
      </c>
      <c r="D900" s="3">
        <v>29435005003497</v>
      </c>
      <c r="E900" s="8" t="s">
        <v>622</v>
      </c>
      <c r="F900" s="8" t="s">
        <v>286</v>
      </c>
      <c r="G900" s="8" t="s">
        <v>241</v>
      </c>
      <c r="H900" s="8" t="s">
        <v>795</v>
      </c>
      <c r="I900" s="3">
        <v>2</v>
      </c>
      <c r="J900" s="8" t="s">
        <v>733</v>
      </c>
      <c r="K900" s="8" t="s">
        <v>734</v>
      </c>
      <c r="L900" s="8" t="s">
        <v>730</v>
      </c>
      <c r="M900" s="1" t="s">
        <v>784</v>
      </c>
      <c r="N900" s="8" t="s">
        <v>785</v>
      </c>
      <c r="O900" s="6">
        <v>0</v>
      </c>
      <c r="P900" s="6">
        <v>0</v>
      </c>
      <c r="Q900" s="6">
        <v>0</v>
      </c>
      <c r="R900" s="6">
        <v>0</v>
      </c>
      <c r="S900" s="6">
        <v>150</v>
      </c>
    </row>
    <row r="901" spans="1:19" ht="15" x14ac:dyDescent="0.25">
      <c r="A901" s="7" t="s">
        <v>16</v>
      </c>
      <c r="B901" s="7" t="s">
        <v>55</v>
      </c>
      <c r="C901" s="7" t="s">
        <v>18</v>
      </c>
      <c r="D901" s="3">
        <v>29435005003497</v>
      </c>
      <c r="E901" s="8" t="s">
        <v>622</v>
      </c>
      <c r="F901" s="8" t="s">
        <v>286</v>
      </c>
      <c r="G901" s="8" t="s">
        <v>241</v>
      </c>
      <c r="H901" s="8" t="s">
        <v>795</v>
      </c>
      <c r="I901" s="3">
        <v>2</v>
      </c>
      <c r="J901" s="8" t="s">
        <v>752</v>
      </c>
      <c r="K901" s="8" t="s">
        <v>753</v>
      </c>
      <c r="L901" s="8" t="s">
        <v>723</v>
      </c>
      <c r="M901" s="1" t="s">
        <v>784</v>
      </c>
      <c r="N901" s="8" t="s">
        <v>785</v>
      </c>
      <c r="O901" s="6">
        <v>0</v>
      </c>
      <c r="P901" s="6">
        <v>0</v>
      </c>
      <c r="Q901" s="6">
        <v>0</v>
      </c>
      <c r="R901" s="6">
        <v>0</v>
      </c>
      <c r="S901" s="6">
        <v>150</v>
      </c>
    </row>
    <row r="902" spans="1:19" ht="15" x14ac:dyDescent="0.25">
      <c r="A902" s="7" t="s">
        <v>16</v>
      </c>
      <c r="B902" s="7" t="s">
        <v>55</v>
      </c>
      <c r="C902" s="7" t="s">
        <v>18</v>
      </c>
      <c r="D902" s="3">
        <v>29640612000120</v>
      </c>
      <c r="E902" s="8" t="s">
        <v>452</v>
      </c>
      <c r="F902" s="8" t="s">
        <v>453</v>
      </c>
      <c r="G902" s="8" t="s">
        <v>241</v>
      </c>
      <c r="H902" s="8" t="s">
        <v>795</v>
      </c>
      <c r="I902" s="3">
        <v>2</v>
      </c>
      <c r="J902" s="8" t="s">
        <v>733</v>
      </c>
      <c r="K902" s="8" t="s">
        <v>734</v>
      </c>
      <c r="L902" s="8" t="s">
        <v>730</v>
      </c>
      <c r="M902" s="1" t="s">
        <v>784</v>
      </c>
      <c r="N902" s="8" t="s">
        <v>785</v>
      </c>
      <c r="O902" s="6">
        <v>0</v>
      </c>
      <c r="P902" s="6">
        <v>0</v>
      </c>
      <c r="Q902" s="6">
        <v>0</v>
      </c>
      <c r="R902" s="6">
        <v>0</v>
      </c>
      <c r="S902" s="6">
        <v>0</v>
      </c>
    </row>
    <row r="903" spans="1:19" ht="15" x14ac:dyDescent="0.25">
      <c r="A903" s="7" t="s">
        <v>16</v>
      </c>
      <c r="B903" s="7" t="s">
        <v>55</v>
      </c>
      <c r="C903" s="7" t="s">
        <v>18</v>
      </c>
      <c r="D903" s="3">
        <v>29640612000120</v>
      </c>
      <c r="E903" s="8" t="s">
        <v>452</v>
      </c>
      <c r="F903" s="8" t="s">
        <v>453</v>
      </c>
      <c r="G903" s="8" t="s">
        <v>241</v>
      </c>
      <c r="H903" s="8" t="s">
        <v>795</v>
      </c>
      <c r="I903" s="3">
        <v>2</v>
      </c>
      <c r="J903" s="8" t="s">
        <v>752</v>
      </c>
      <c r="K903" s="8" t="s">
        <v>753</v>
      </c>
      <c r="L903" s="8" t="s">
        <v>723</v>
      </c>
      <c r="M903" s="1" t="s">
        <v>784</v>
      </c>
      <c r="N903" s="8" t="s">
        <v>785</v>
      </c>
      <c r="O903" s="6">
        <v>0</v>
      </c>
      <c r="P903" s="6">
        <v>0</v>
      </c>
      <c r="Q903" s="6">
        <v>1</v>
      </c>
      <c r="R903" s="6">
        <v>0</v>
      </c>
      <c r="S903" s="6">
        <v>0</v>
      </c>
    </row>
    <row r="904" spans="1:19" ht="15" x14ac:dyDescent="0.25">
      <c r="A904" s="7" t="s">
        <v>16</v>
      </c>
      <c r="B904" s="7" t="s">
        <v>55</v>
      </c>
      <c r="C904" s="7" t="s">
        <v>18</v>
      </c>
      <c r="D904" s="3">
        <v>30079461000162</v>
      </c>
      <c r="E904" s="8" t="s">
        <v>456</v>
      </c>
      <c r="F904" s="8" t="s">
        <v>240</v>
      </c>
      <c r="G904" s="8" t="s">
        <v>241</v>
      </c>
      <c r="H904" s="8" t="s">
        <v>795</v>
      </c>
      <c r="I904" s="3">
        <v>2</v>
      </c>
      <c r="J904" s="8" t="s">
        <v>733</v>
      </c>
      <c r="K904" s="8" t="s">
        <v>734</v>
      </c>
      <c r="L904" s="8" t="s">
        <v>730</v>
      </c>
      <c r="M904" s="1" t="s">
        <v>784</v>
      </c>
      <c r="N904" s="8" t="s">
        <v>785</v>
      </c>
      <c r="O904" s="6">
        <v>0</v>
      </c>
      <c r="P904" s="6">
        <v>0</v>
      </c>
      <c r="Q904" s="6">
        <v>0</v>
      </c>
      <c r="R904" s="6">
        <v>0</v>
      </c>
      <c r="S904" s="6">
        <v>0</v>
      </c>
    </row>
    <row r="905" spans="1:19" ht="15" x14ac:dyDescent="0.25">
      <c r="A905" s="7" t="s">
        <v>16</v>
      </c>
      <c r="B905" s="7" t="s">
        <v>55</v>
      </c>
      <c r="C905" s="7" t="s">
        <v>18</v>
      </c>
      <c r="D905" s="3">
        <v>30079461000162</v>
      </c>
      <c r="E905" s="8" t="s">
        <v>456</v>
      </c>
      <c r="F905" s="8" t="s">
        <v>240</v>
      </c>
      <c r="G905" s="8" t="s">
        <v>241</v>
      </c>
      <c r="H905" s="8" t="s">
        <v>795</v>
      </c>
      <c r="I905" s="3">
        <v>2</v>
      </c>
      <c r="J905" s="8" t="s">
        <v>760</v>
      </c>
      <c r="K905" s="8" t="s">
        <v>761</v>
      </c>
      <c r="L905" s="8" t="s">
        <v>723</v>
      </c>
      <c r="M905" s="1" t="s">
        <v>784</v>
      </c>
      <c r="N905" s="8" t="s">
        <v>785</v>
      </c>
      <c r="O905" s="6">
        <v>0</v>
      </c>
      <c r="P905" s="6">
        <v>16</v>
      </c>
      <c r="Q905" s="6">
        <v>2</v>
      </c>
      <c r="R905" s="6">
        <v>0</v>
      </c>
      <c r="S905" s="6">
        <v>0</v>
      </c>
    </row>
    <row r="906" spans="1:19" ht="15" x14ac:dyDescent="0.25">
      <c r="A906" s="7" t="s">
        <v>16</v>
      </c>
      <c r="B906" s="7" t="s">
        <v>55</v>
      </c>
      <c r="C906" s="7" t="s">
        <v>18</v>
      </c>
      <c r="D906" s="3">
        <v>437007000175</v>
      </c>
      <c r="E906" s="8" t="s">
        <v>239</v>
      </c>
      <c r="F906" s="8" t="s">
        <v>240</v>
      </c>
      <c r="G906" s="8" t="s">
        <v>241</v>
      </c>
      <c r="H906" s="8" t="s">
        <v>795</v>
      </c>
      <c r="I906" s="3">
        <v>2</v>
      </c>
      <c r="J906" s="8" t="s">
        <v>733</v>
      </c>
      <c r="K906" s="8" t="s">
        <v>734</v>
      </c>
      <c r="L906" s="8" t="s">
        <v>730</v>
      </c>
      <c r="M906" s="1" t="s">
        <v>784</v>
      </c>
      <c r="N906" s="8" t="s">
        <v>785</v>
      </c>
      <c r="O906" s="6">
        <v>0</v>
      </c>
      <c r="P906" s="6">
        <v>0</v>
      </c>
      <c r="Q906" s="6">
        <v>0</v>
      </c>
      <c r="R906" s="6">
        <v>228</v>
      </c>
      <c r="S906" s="6">
        <v>505</v>
      </c>
    </row>
    <row r="907" spans="1:19" ht="15" x14ac:dyDescent="0.25">
      <c r="A907" s="7" t="s">
        <v>16</v>
      </c>
      <c r="B907" s="7" t="s">
        <v>55</v>
      </c>
      <c r="C907" s="7" t="s">
        <v>18</v>
      </c>
      <c r="D907" s="3">
        <v>437007000175</v>
      </c>
      <c r="E907" s="8" t="s">
        <v>239</v>
      </c>
      <c r="F907" s="8" t="s">
        <v>240</v>
      </c>
      <c r="G907" s="8" t="s">
        <v>241</v>
      </c>
      <c r="H907" s="8" t="s">
        <v>795</v>
      </c>
      <c r="I907" s="3">
        <v>2</v>
      </c>
      <c r="J907" s="8" t="s">
        <v>760</v>
      </c>
      <c r="K907" s="8" t="s">
        <v>761</v>
      </c>
      <c r="L907" s="8" t="s">
        <v>723</v>
      </c>
      <c r="M907" s="1" t="s">
        <v>784</v>
      </c>
      <c r="N907" s="8" t="s">
        <v>785</v>
      </c>
      <c r="O907" s="6">
        <v>0</v>
      </c>
      <c r="P907" s="6">
        <v>0</v>
      </c>
      <c r="Q907" s="6">
        <v>0</v>
      </c>
      <c r="R907" s="6">
        <v>0</v>
      </c>
      <c r="S907" s="6">
        <v>505</v>
      </c>
    </row>
    <row r="908" spans="1:19" ht="15" x14ac:dyDescent="0.25">
      <c r="A908" s="7" t="s">
        <v>16</v>
      </c>
      <c r="B908" s="7" t="s">
        <v>55</v>
      </c>
      <c r="C908" s="7" t="s">
        <v>18</v>
      </c>
      <c r="D908" s="3">
        <v>60884855001207</v>
      </c>
      <c r="E908" s="8" t="s">
        <v>377</v>
      </c>
      <c r="F908" s="8" t="s">
        <v>240</v>
      </c>
      <c r="G908" s="8" t="s">
        <v>241</v>
      </c>
      <c r="H908" s="8" t="s">
        <v>795</v>
      </c>
      <c r="I908" s="3">
        <v>2</v>
      </c>
      <c r="J908" s="8" t="s">
        <v>733</v>
      </c>
      <c r="K908" s="8" t="s">
        <v>734</v>
      </c>
      <c r="L908" s="8" t="s">
        <v>730</v>
      </c>
      <c r="M908" s="1" t="s">
        <v>784</v>
      </c>
      <c r="N908" s="8" t="s">
        <v>785</v>
      </c>
      <c r="O908" s="6">
        <v>0</v>
      </c>
      <c r="P908" s="6">
        <v>0</v>
      </c>
      <c r="Q908" s="6">
        <v>0</v>
      </c>
      <c r="R908" s="6">
        <v>18</v>
      </c>
      <c r="S908" s="6">
        <v>985</v>
      </c>
    </row>
    <row r="909" spans="1:19" ht="15" x14ac:dyDescent="0.25">
      <c r="A909" s="7" t="s">
        <v>16</v>
      </c>
      <c r="B909" s="7" t="s">
        <v>55</v>
      </c>
      <c r="C909" s="7" t="s">
        <v>18</v>
      </c>
      <c r="D909" s="3">
        <v>60884855001207</v>
      </c>
      <c r="E909" s="8" t="s">
        <v>377</v>
      </c>
      <c r="F909" s="8" t="s">
        <v>240</v>
      </c>
      <c r="G909" s="8" t="s">
        <v>241</v>
      </c>
      <c r="H909" s="8" t="s">
        <v>795</v>
      </c>
      <c r="I909" s="3">
        <v>2</v>
      </c>
      <c r="J909" s="8" t="s">
        <v>760</v>
      </c>
      <c r="K909" s="8" t="s">
        <v>761</v>
      </c>
      <c r="L909" s="8" t="s">
        <v>723</v>
      </c>
      <c r="M909" s="1" t="s">
        <v>784</v>
      </c>
      <c r="N909" s="8" t="s">
        <v>785</v>
      </c>
      <c r="O909" s="6">
        <v>0</v>
      </c>
      <c r="P909" s="6">
        <v>17</v>
      </c>
      <c r="Q909" s="6">
        <v>6</v>
      </c>
      <c r="R909" s="6">
        <v>0</v>
      </c>
      <c r="S909" s="6">
        <v>985</v>
      </c>
    </row>
    <row r="910" spans="1:19" ht="15" x14ac:dyDescent="0.25">
      <c r="A910" s="7" t="s">
        <v>16</v>
      </c>
      <c r="B910" s="7" t="s">
        <v>55</v>
      </c>
      <c r="C910" s="7" t="s">
        <v>18</v>
      </c>
      <c r="D910" s="3">
        <v>521197000104</v>
      </c>
      <c r="E910" s="8" t="s">
        <v>526</v>
      </c>
      <c r="F910" s="8" t="s">
        <v>240</v>
      </c>
      <c r="G910" s="8" t="s">
        <v>241</v>
      </c>
      <c r="H910" s="8" t="s">
        <v>795</v>
      </c>
      <c r="I910" s="3">
        <v>2</v>
      </c>
      <c r="J910" s="8" t="s">
        <v>733</v>
      </c>
      <c r="K910" s="8" t="s">
        <v>734</v>
      </c>
      <c r="L910" s="8" t="s">
        <v>730</v>
      </c>
      <c r="M910" s="1" t="s">
        <v>784</v>
      </c>
      <c r="N910" s="8" t="s">
        <v>785</v>
      </c>
      <c r="O910" s="6">
        <v>0</v>
      </c>
      <c r="P910" s="6">
        <v>0</v>
      </c>
      <c r="Q910" s="6">
        <v>0</v>
      </c>
      <c r="R910" s="6">
        <v>0</v>
      </c>
      <c r="S910" s="6">
        <v>638</v>
      </c>
    </row>
    <row r="911" spans="1:19" ht="15" x14ac:dyDescent="0.25">
      <c r="A911" s="7" t="s">
        <v>16</v>
      </c>
      <c r="B911" s="7" t="s">
        <v>55</v>
      </c>
      <c r="C911" s="7" t="s">
        <v>18</v>
      </c>
      <c r="D911" s="3">
        <v>521197000104</v>
      </c>
      <c r="E911" s="8" t="s">
        <v>526</v>
      </c>
      <c r="F911" s="8" t="s">
        <v>240</v>
      </c>
      <c r="G911" s="8" t="s">
        <v>241</v>
      </c>
      <c r="H911" s="8" t="s">
        <v>795</v>
      </c>
      <c r="I911" s="3">
        <v>2</v>
      </c>
      <c r="J911" s="8" t="s">
        <v>752</v>
      </c>
      <c r="K911" s="8" t="s">
        <v>753</v>
      </c>
      <c r="L911" s="8" t="s">
        <v>723</v>
      </c>
      <c r="M911" s="1" t="s">
        <v>784</v>
      </c>
      <c r="N911" s="8" t="s">
        <v>785</v>
      </c>
      <c r="O911" s="6">
        <v>0</v>
      </c>
      <c r="P911" s="6">
        <v>0</v>
      </c>
      <c r="Q911" s="6">
        <v>0</v>
      </c>
      <c r="R911" s="6">
        <v>0</v>
      </c>
      <c r="S911" s="6">
        <v>638</v>
      </c>
    </row>
    <row r="912" spans="1:19" ht="15" x14ac:dyDescent="0.25">
      <c r="A912" s="7" t="s">
        <v>16</v>
      </c>
      <c r="B912" s="7" t="s">
        <v>55</v>
      </c>
      <c r="C912" s="7" t="s">
        <v>18</v>
      </c>
      <c r="D912" s="3">
        <v>30537740000122</v>
      </c>
      <c r="E912" s="8" t="s">
        <v>624</v>
      </c>
      <c r="F912" s="8" t="s">
        <v>577</v>
      </c>
      <c r="G912" s="8" t="s">
        <v>241</v>
      </c>
      <c r="H912" s="8" t="s">
        <v>795</v>
      </c>
      <c r="I912" s="3">
        <v>2</v>
      </c>
      <c r="J912" s="8" t="s">
        <v>733</v>
      </c>
      <c r="K912" s="8" t="s">
        <v>734</v>
      </c>
      <c r="L912" s="8" t="s">
        <v>730</v>
      </c>
      <c r="M912" s="1" t="s">
        <v>784</v>
      </c>
      <c r="N912" s="8" t="s">
        <v>785</v>
      </c>
      <c r="O912" s="6">
        <v>0</v>
      </c>
      <c r="P912" s="6">
        <v>0</v>
      </c>
      <c r="Q912" s="6">
        <v>0</v>
      </c>
      <c r="R912" s="6">
        <v>0</v>
      </c>
      <c r="S912" s="6">
        <v>215</v>
      </c>
    </row>
    <row r="913" spans="1:19" ht="15" x14ac:dyDescent="0.25">
      <c r="A913" s="7" t="s">
        <v>16</v>
      </c>
      <c r="B913" s="7" t="s">
        <v>55</v>
      </c>
      <c r="C913" s="7" t="s">
        <v>18</v>
      </c>
      <c r="D913" s="3">
        <v>30537740000122</v>
      </c>
      <c r="E913" s="8" t="s">
        <v>624</v>
      </c>
      <c r="F913" s="8" t="s">
        <v>577</v>
      </c>
      <c r="G913" s="8" t="s">
        <v>241</v>
      </c>
      <c r="H913" s="8" t="s">
        <v>795</v>
      </c>
      <c r="I913" s="3">
        <v>2</v>
      </c>
      <c r="J913" s="8" t="s">
        <v>752</v>
      </c>
      <c r="K913" s="8" t="s">
        <v>753</v>
      </c>
      <c r="L913" s="8" t="s">
        <v>723</v>
      </c>
      <c r="M913" s="1" t="s">
        <v>784</v>
      </c>
      <c r="N913" s="8" t="s">
        <v>785</v>
      </c>
      <c r="O913" s="6">
        <v>0</v>
      </c>
      <c r="P913" s="6">
        <v>0</v>
      </c>
      <c r="Q913" s="6">
        <v>0</v>
      </c>
      <c r="R913" s="6">
        <v>0</v>
      </c>
      <c r="S913" s="6">
        <v>215</v>
      </c>
    </row>
    <row r="914" spans="1:19" ht="15" x14ac:dyDescent="0.25">
      <c r="A914" s="7" t="s">
        <v>16</v>
      </c>
      <c r="B914" s="7" t="s">
        <v>55</v>
      </c>
      <c r="C914" s="7" t="s">
        <v>18</v>
      </c>
      <c r="D914" s="3">
        <v>29135795000208</v>
      </c>
      <c r="E914" s="8" t="s">
        <v>576</v>
      </c>
      <c r="F914" s="8" t="s">
        <v>577</v>
      </c>
      <c r="G914" s="8" t="s">
        <v>241</v>
      </c>
      <c r="H914" s="8" t="s">
        <v>795</v>
      </c>
      <c r="I914" s="3">
        <v>2</v>
      </c>
      <c r="J914" s="8" t="s">
        <v>733</v>
      </c>
      <c r="K914" s="8" t="s">
        <v>734</v>
      </c>
      <c r="L914" s="8" t="s">
        <v>730</v>
      </c>
      <c r="M914" s="1" t="s">
        <v>784</v>
      </c>
      <c r="N914" s="8" t="s">
        <v>785</v>
      </c>
      <c r="O914" s="6">
        <v>0</v>
      </c>
      <c r="P914" s="6">
        <v>0</v>
      </c>
      <c r="Q914" s="6">
        <v>0</v>
      </c>
      <c r="R914" s="6">
        <v>0</v>
      </c>
      <c r="S914" s="6">
        <v>275</v>
      </c>
    </row>
    <row r="915" spans="1:19" ht="15" x14ac:dyDescent="0.25">
      <c r="A915" s="7" t="s">
        <v>16</v>
      </c>
      <c r="B915" s="7" t="s">
        <v>55</v>
      </c>
      <c r="C915" s="7" t="s">
        <v>18</v>
      </c>
      <c r="D915" s="3">
        <v>29135795000208</v>
      </c>
      <c r="E915" s="8" t="s">
        <v>576</v>
      </c>
      <c r="F915" s="8" t="s">
        <v>577</v>
      </c>
      <c r="G915" s="8" t="s">
        <v>241</v>
      </c>
      <c r="H915" s="8" t="s">
        <v>795</v>
      </c>
      <c r="I915" s="3">
        <v>2</v>
      </c>
      <c r="J915" s="8" t="s">
        <v>752</v>
      </c>
      <c r="K915" s="8" t="s">
        <v>753</v>
      </c>
      <c r="L915" s="8" t="s">
        <v>723</v>
      </c>
      <c r="M915" s="1" t="s">
        <v>784</v>
      </c>
      <c r="N915" s="8" t="s">
        <v>785</v>
      </c>
      <c r="O915" s="6">
        <v>0</v>
      </c>
      <c r="P915" s="6">
        <v>0</v>
      </c>
      <c r="Q915" s="6">
        <v>0</v>
      </c>
      <c r="R915" s="6">
        <v>0</v>
      </c>
      <c r="S915" s="6">
        <v>275</v>
      </c>
    </row>
    <row r="916" spans="1:19" ht="15" x14ac:dyDescent="0.25">
      <c r="A916" s="7" t="s">
        <v>16</v>
      </c>
      <c r="B916" s="7" t="s">
        <v>55</v>
      </c>
      <c r="C916" s="7" t="s">
        <v>18</v>
      </c>
      <c r="D916" s="3">
        <v>7794623001528</v>
      </c>
      <c r="E916" s="8" t="s">
        <v>298</v>
      </c>
      <c r="F916" s="8" t="s">
        <v>299</v>
      </c>
      <c r="G916" s="8" t="s">
        <v>241</v>
      </c>
      <c r="H916" s="8" t="s">
        <v>795</v>
      </c>
      <c r="I916" s="3">
        <v>2</v>
      </c>
      <c r="J916" s="8" t="s">
        <v>733</v>
      </c>
      <c r="K916" s="8" t="s">
        <v>734</v>
      </c>
      <c r="L916" s="8" t="s">
        <v>730</v>
      </c>
      <c r="M916" s="1" t="s">
        <v>784</v>
      </c>
      <c r="N916" s="8" t="s">
        <v>785</v>
      </c>
      <c r="O916" s="6">
        <v>0</v>
      </c>
      <c r="P916" s="6">
        <v>0</v>
      </c>
      <c r="Q916" s="6">
        <v>0</v>
      </c>
      <c r="R916" s="6">
        <v>28</v>
      </c>
      <c r="S916" s="6">
        <v>0</v>
      </c>
    </row>
    <row r="917" spans="1:19" ht="15" x14ac:dyDescent="0.25">
      <c r="A917" s="7" t="s">
        <v>16</v>
      </c>
      <c r="B917" s="7" t="s">
        <v>55</v>
      </c>
      <c r="C917" s="7" t="s">
        <v>18</v>
      </c>
      <c r="D917" s="3">
        <v>7794623001528</v>
      </c>
      <c r="E917" s="8" t="s">
        <v>298</v>
      </c>
      <c r="F917" s="8" t="s">
        <v>299</v>
      </c>
      <c r="G917" s="8" t="s">
        <v>241</v>
      </c>
      <c r="H917" s="8" t="s">
        <v>795</v>
      </c>
      <c r="I917" s="3">
        <v>2</v>
      </c>
      <c r="J917" s="8" t="s">
        <v>760</v>
      </c>
      <c r="K917" s="8" t="s">
        <v>761</v>
      </c>
      <c r="L917" s="8" t="s">
        <v>723</v>
      </c>
      <c r="M917" s="1" t="s">
        <v>784</v>
      </c>
      <c r="N917" s="8" t="s">
        <v>785</v>
      </c>
      <c r="O917" s="6">
        <v>0</v>
      </c>
      <c r="P917" s="6">
        <v>0</v>
      </c>
      <c r="Q917" s="6">
        <v>0</v>
      </c>
      <c r="R917" s="6">
        <v>0</v>
      </c>
      <c r="S917" s="6">
        <v>0</v>
      </c>
    </row>
    <row r="918" spans="1:19" ht="15" x14ac:dyDescent="0.25">
      <c r="A918" s="7" t="s">
        <v>16</v>
      </c>
      <c r="B918" s="7" t="s">
        <v>55</v>
      </c>
      <c r="C918" s="7" t="s">
        <v>18</v>
      </c>
      <c r="D918" s="3">
        <v>28806545000532</v>
      </c>
      <c r="E918" s="8" t="s">
        <v>366</v>
      </c>
      <c r="F918" s="8" t="s">
        <v>367</v>
      </c>
      <c r="G918" s="8" t="s">
        <v>241</v>
      </c>
      <c r="H918" s="8" t="s">
        <v>795</v>
      </c>
      <c r="I918" s="3">
        <v>2</v>
      </c>
      <c r="J918" s="8" t="s">
        <v>733</v>
      </c>
      <c r="K918" s="8" t="s">
        <v>734</v>
      </c>
      <c r="L918" s="8" t="s">
        <v>730</v>
      </c>
      <c r="M918" s="1" t="s">
        <v>784</v>
      </c>
      <c r="N918" s="8" t="s">
        <v>785</v>
      </c>
      <c r="O918" s="6">
        <v>0</v>
      </c>
      <c r="P918" s="6">
        <v>0</v>
      </c>
      <c r="Q918" s="6">
        <v>0</v>
      </c>
      <c r="R918" s="6">
        <v>96</v>
      </c>
      <c r="S918" s="6">
        <v>0</v>
      </c>
    </row>
    <row r="919" spans="1:19" ht="15" x14ac:dyDescent="0.25">
      <c r="A919" s="7" t="s">
        <v>16</v>
      </c>
      <c r="B919" s="7" t="s">
        <v>55</v>
      </c>
      <c r="C919" s="7" t="s">
        <v>18</v>
      </c>
      <c r="D919" s="3">
        <v>28806545000532</v>
      </c>
      <c r="E919" s="8" t="s">
        <v>366</v>
      </c>
      <c r="F919" s="8" t="s">
        <v>367</v>
      </c>
      <c r="G919" s="8" t="s">
        <v>241</v>
      </c>
      <c r="H919" s="8" t="s">
        <v>795</v>
      </c>
      <c r="I919" s="3">
        <v>2</v>
      </c>
      <c r="J919" s="8" t="s">
        <v>752</v>
      </c>
      <c r="K919" s="8" t="s">
        <v>753</v>
      </c>
      <c r="L919" s="8" t="s">
        <v>723</v>
      </c>
      <c r="M919" s="1" t="s">
        <v>784</v>
      </c>
      <c r="N919" s="8" t="s">
        <v>785</v>
      </c>
      <c r="O919" s="6">
        <v>0</v>
      </c>
      <c r="P919" s="6">
        <v>0</v>
      </c>
      <c r="Q919" s="6">
        <v>0</v>
      </c>
      <c r="R919" s="6">
        <v>0</v>
      </c>
      <c r="S919" s="6">
        <v>0</v>
      </c>
    </row>
    <row r="920" spans="1:19" ht="15" x14ac:dyDescent="0.25">
      <c r="A920" s="7" t="s">
        <v>16</v>
      </c>
      <c r="B920" s="7" t="s">
        <v>55</v>
      </c>
      <c r="C920" s="7" t="s">
        <v>18</v>
      </c>
      <c r="D920" s="3">
        <v>68709211000212</v>
      </c>
      <c r="E920" s="8" t="s">
        <v>459</v>
      </c>
      <c r="F920" s="8" t="s">
        <v>369</v>
      </c>
      <c r="G920" s="8" t="s">
        <v>241</v>
      </c>
      <c r="H920" s="8" t="s">
        <v>795</v>
      </c>
      <c r="I920" s="3">
        <v>2</v>
      </c>
      <c r="J920" s="8" t="s">
        <v>733</v>
      </c>
      <c r="K920" s="8" t="s">
        <v>734</v>
      </c>
      <c r="L920" s="8" t="s">
        <v>730</v>
      </c>
      <c r="M920" s="1" t="s">
        <v>784</v>
      </c>
      <c r="N920" s="8" t="s">
        <v>785</v>
      </c>
      <c r="O920" s="6">
        <v>0</v>
      </c>
      <c r="P920" s="6">
        <v>0</v>
      </c>
      <c r="Q920" s="6">
        <v>0</v>
      </c>
      <c r="R920" s="6">
        <v>0</v>
      </c>
      <c r="S920" s="6">
        <v>200</v>
      </c>
    </row>
    <row r="921" spans="1:19" ht="15" x14ac:dyDescent="0.25">
      <c r="A921" s="7" t="s">
        <v>16</v>
      </c>
      <c r="B921" s="7" t="s">
        <v>55</v>
      </c>
      <c r="C921" s="7" t="s">
        <v>18</v>
      </c>
      <c r="D921" s="3">
        <v>68709211000212</v>
      </c>
      <c r="E921" s="8" t="s">
        <v>459</v>
      </c>
      <c r="F921" s="8" t="s">
        <v>369</v>
      </c>
      <c r="G921" s="8" t="s">
        <v>241</v>
      </c>
      <c r="H921" s="8" t="s">
        <v>795</v>
      </c>
      <c r="I921" s="3">
        <v>2</v>
      </c>
      <c r="J921" s="8" t="s">
        <v>752</v>
      </c>
      <c r="K921" s="8" t="s">
        <v>753</v>
      </c>
      <c r="L921" s="8" t="s">
        <v>723</v>
      </c>
      <c r="M921" s="1" t="s">
        <v>784</v>
      </c>
      <c r="N921" s="8" t="s">
        <v>785</v>
      </c>
      <c r="O921" s="6">
        <v>0</v>
      </c>
      <c r="P921" s="6">
        <v>1</v>
      </c>
      <c r="Q921" s="6">
        <v>0</v>
      </c>
      <c r="R921" s="6">
        <v>0</v>
      </c>
      <c r="S921" s="6">
        <v>200</v>
      </c>
    </row>
    <row r="922" spans="1:19" ht="15" x14ac:dyDescent="0.25">
      <c r="A922" s="7" t="s">
        <v>16</v>
      </c>
      <c r="B922" s="7" t="s">
        <v>55</v>
      </c>
      <c r="C922" s="7" t="s">
        <v>18</v>
      </c>
      <c r="D922" s="3">
        <v>29435005005279</v>
      </c>
      <c r="E922" s="8" t="s">
        <v>700</v>
      </c>
      <c r="F922" s="8" t="s">
        <v>652</v>
      </c>
      <c r="G922" s="8" t="s">
        <v>241</v>
      </c>
      <c r="H922" s="8" t="s">
        <v>795</v>
      </c>
      <c r="I922" s="3">
        <v>2</v>
      </c>
      <c r="J922" s="8" t="s">
        <v>733</v>
      </c>
      <c r="K922" s="8" t="s">
        <v>734</v>
      </c>
      <c r="L922" s="8" t="s">
        <v>730</v>
      </c>
      <c r="M922" s="1" t="s">
        <v>784</v>
      </c>
      <c r="N922" s="8" t="s">
        <v>785</v>
      </c>
      <c r="O922" s="6">
        <v>0</v>
      </c>
      <c r="P922" s="6">
        <v>0</v>
      </c>
      <c r="Q922" s="6">
        <v>0</v>
      </c>
      <c r="R922" s="6">
        <v>0</v>
      </c>
      <c r="S922" s="6">
        <v>0</v>
      </c>
    </row>
    <row r="923" spans="1:19" ht="15" x14ac:dyDescent="0.25">
      <c r="A923" s="7" t="s">
        <v>16</v>
      </c>
      <c r="B923" s="7" t="s">
        <v>55</v>
      </c>
      <c r="C923" s="7" t="s">
        <v>18</v>
      </c>
      <c r="D923" s="3">
        <v>29435005005279</v>
      </c>
      <c r="E923" s="8" t="s">
        <v>700</v>
      </c>
      <c r="F923" s="8" t="s">
        <v>652</v>
      </c>
      <c r="G923" s="8" t="s">
        <v>241</v>
      </c>
      <c r="H923" s="8" t="s">
        <v>795</v>
      </c>
      <c r="I923" s="3">
        <v>2</v>
      </c>
      <c r="J923" s="8" t="s">
        <v>760</v>
      </c>
      <c r="K923" s="8" t="s">
        <v>761</v>
      </c>
      <c r="L923" s="8" t="s">
        <v>723</v>
      </c>
      <c r="M923" s="1" t="s">
        <v>784</v>
      </c>
      <c r="N923" s="8" t="s">
        <v>785</v>
      </c>
      <c r="O923" s="6">
        <v>0</v>
      </c>
      <c r="P923" s="6">
        <v>5</v>
      </c>
      <c r="Q923" s="6">
        <v>0</v>
      </c>
      <c r="R923" s="6">
        <v>0</v>
      </c>
      <c r="S923" s="6">
        <v>0</v>
      </c>
    </row>
    <row r="924" spans="1:19" ht="15" x14ac:dyDescent="0.25">
      <c r="A924" s="7" t="s">
        <v>16</v>
      </c>
      <c r="B924" s="7" t="s">
        <v>55</v>
      </c>
      <c r="C924" s="7" t="s">
        <v>18</v>
      </c>
      <c r="D924" s="3">
        <v>60922168000348</v>
      </c>
      <c r="E924" s="8" t="s">
        <v>694</v>
      </c>
      <c r="F924" s="8" t="s">
        <v>652</v>
      </c>
      <c r="G924" s="8" t="s">
        <v>241</v>
      </c>
      <c r="H924" s="8" t="s">
        <v>795</v>
      </c>
      <c r="I924" s="3">
        <v>2</v>
      </c>
      <c r="J924" s="8" t="s">
        <v>733</v>
      </c>
      <c r="K924" s="8" t="s">
        <v>734</v>
      </c>
      <c r="L924" s="8" t="s">
        <v>730</v>
      </c>
      <c r="M924" s="1" t="s">
        <v>784</v>
      </c>
      <c r="N924" s="8" t="s">
        <v>785</v>
      </c>
      <c r="O924" s="6">
        <v>0</v>
      </c>
      <c r="P924" s="6">
        <v>0</v>
      </c>
      <c r="Q924" s="6">
        <v>0</v>
      </c>
      <c r="R924" s="6">
        <v>0</v>
      </c>
      <c r="S924" s="6">
        <v>210</v>
      </c>
    </row>
    <row r="925" spans="1:19" ht="15" x14ac:dyDescent="0.25">
      <c r="A925" s="7" t="s">
        <v>16</v>
      </c>
      <c r="B925" s="7" t="s">
        <v>55</v>
      </c>
      <c r="C925" s="7" t="s">
        <v>18</v>
      </c>
      <c r="D925" s="3">
        <v>60922168000348</v>
      </c>
      <c r="E925" s="8" t="s">
        <v>694</v>
      </c>
      <c r="F925" s="8" t="s">
        <v>652</v>
      </c>
      <c r="G925" s="8" t="s">
        <v>241</v>
      </c>
      <c r="H925" s="8" t="s">
        <v>795</v>
      </c>
      <c r="I925" s="3">
        <v>2</v>
      </c>
      <c r="J925" s="8" t="s">
        <v>760</v>
      </c>
      <c r="K925" s="8" t="s">
        <v>761</v>
      </c>
      <c r="L925" s="8" t="s">
        <v>723</v>
      </c>
      <c r="M925" s="1" t="s">
        <v>784</v>
      </c>
      <c r="N925" s="8" t="s">
        <v>785</v>
      </c>
      <c r="O925" s="6">
        <v>0</v>
      </c>
      <c r="P925" s="6">
        <v>4</v>
      </c>
      <c r="Q925" s="6">
        <v>9</v>
      </c>
      <c r="R925" s="6">
        <v>0</v>
      </c>
      <c r="S925" s="6">
        <v>210</v>
      </c>
    </row>
    <row r="926" spans="1:19" ht="15" x14ac:dyDescent="0.25">
      <c r="A926" s="7" t="s">
        <v>16</v>
      </c>
      <c r="B926" s="7" t="s">
        <v>55</v>
      </c>
      <c r="C926" s="7" t="s">
        <v>18</v>
      </c>
      <c r="D926" s="3">
        <v>7794623004896</v>
      </c>
      <c r="E926" s="8" t="s">
        <v>664</v>
      </c>
      <c r="F926" s="8" t="s">
        <v>652</v>
      </c>
      <c r="G926" s="8" t="s">
        <v>241</v>
      </c>
      <c r="H926" s="8" t="s">
        <v>795</v>
      </c>
      <c r="I926" s="3">
        <v>2</v>
      </c>
      <c r="J926" s="8" t="s">
        <v>733</v>
      </c>
      <c r="K926" s="8" t="s">
        <v>734</v>
      </c>
      <c r="L926" s="8" t="s">
        <v>730</v>
      </c>
      <c r="M926" s="1" t="s">
        <v>784</v>
      </c>
      <c r="N926" s="8" t="s">
        <v>785</v>
      </c>
      <c r="O926" s="6">
        <v>0</v>
      </c>
      <c r="P926" s="6">
        <v>0</v>
      </c>
      <c r="Q926" s="6">
        <v>0</v>
      </c>
      <c r="R926" s="6">
        <v>0</v>
      </c>
      <c r="S926" s="6">
        <v>700</v>
      </c>
    </row>
    <row r="927" spans="1:19" ht="15" x14ac:dyDescent="0.25">
      <c r="A927" s="7" t="s">
        <v>16</v>
      </c>
      <c r="B927" s="7" t="s">
        <v>55</v>
      </c>
      <c r="C927" s="7" t="s">
        <v>18</v>
      </c>
      <c r="D927" s="3">
        <v>7794623004896</v>
      </c>
      <c r="E927" s="8" t="s">
        <v>664</v>
      </c>
      <c r="F927" s="8" t="s">
        <v>652</v>
      </c>
      <c r="G927" s="8" t="s">
        <v>241</v>
      </c>
      <c r="H927" s="8" t="s">
        <v>795</v>
      </c>
      <c r="I927" s="3">
        <v>2</v>
      </c>
      <c r="J927" s="8" t="s">
        <v>760</v>
      </c>
      <c r="K927" s="8" t="s">
        <v>761</v>
      </c>
      <c r="L927" s="8" t="s">
        <v>723</v>
      </c>
      <c r="M927" s="1" t="s">
        <v>784</v>
      </c>
      <c r="N927" s="8" t="s">
        <v>785</v>
      </c>
      <c r="O927" s="6">
        <v>0</v>
      </c>
      <c r="P927" s="6">
        <v>0</v>
      </c>
      <c r="Q927" s="6">
        <v>0</v>
      </c>
      <c r="R927" s="6">
        <v>0</v>
      </c>
      <c r="S927" s="6">
        <v>700</v>
      </c>
    </row>
    <row r="928" spans="1:19" ht="15" x14ac:dyDescent="0.25">
      <c r="A928" s="7" t="s">
        <v>16</v>
      </c>
      <c r="B928" s="7" t="s">
        <v>55</v>
      </c>
      <c r="C928" s="7" t="s">
        <v>18</v>
      </c>
      <c r="D928" s="3">
        <v>2864097000106</v>
      </c>
      <c r="E928" s="8" t="s">
        <v>659</v>
      </c>
      <c r="F928" s="8" t="s">
        <v>652</v>
      </c>
      <c r="G928" s="8" t="s">
        <v>241</v>
      </c>
      <c r="H928" s="8" t="s">
        <v>795</v>
      </c>
      <c r="I928" s="3">
        <v>2</v>
      </c>
      <c r="J928" s="8" t="s">
        <v>733</v>
      </c>
      <c r="K928" s="8" t="s">
        <v>734</v>
      </c>
      <c r="L928" s="8" t="s">
        <v>730</v>
      </c>
      <c r="M928" s="1" t="s">
        <v>784</v>
      </c>
      <c r="N928" s="8" t="s">
        <v>785</v>
      </c>
      <c r="O928" s="6">
        <v>0</v>
      </c>
      <c r="P928" s="6">
        <v>0</v>
      </c>
      <c r="Q928" s="6">
        <v>0</v>
      </c>
      <c r="R928" s="6">
        <v>0</v>
      </c>
      <c r="S928" s="6">
        <v>150</v>
      </c>
    </row>
    <row r="929" spans="1:19" ht="15" x14ac:dyDescent="0.25">
      <c r="A929" s="7" t="s">
        <v>16</v>
      </c>
      <c r="B929" s="7" t="s">
        <v>55</v>
      </c>
      <c r="C929" s="7" t="s">
        <v>18</v>
      </c>
      <c r="D929" s="3">
        <v>2864097000106</v>
      </c>
      <c r="E929" s="8" t="s">
        <v>659</v>
      </c>
      <c r="F929" s="8" t="s">
        <v>652</v>
      </c>
      <c r="G929" s="8" t="s">
        <v>241</v>
      </c>
      <c r="H929" s="8" t="s">
        <v>795</v>
      </c>
      <c r="I929" s="3">
        <v>2</v>
      </c>
      <c r="J929" s="8" t="s">
        <v>760</v>
      </c>
      <c r="K929" s="8" t="s">
        <v>761</v>
      </c>
      <c r="L929" s="8" t="s">
        <v>723</v>
      </c>
      <c r="M929" s="1" t="s">
        <v>784</v>
      </c>
      <c r="N929" s="8" t="s">
        <v>785</v>
      </c>
      <c r="O929" s="6">
        <v>0</v>
      </c>
      <c r="P929" s="6">
        <v>0</v>
      </c>
      <c r="Q929" s="6">
        <v>0</v>
      </c>
      <c r="R929" s="6">
        <v>0</v>
      </c>
      <c r="S929" s="6">
        <v>150</v>
      </c>
    </row>
    <row r="930" spans="1:19" ht="15" x14ac:dyDescent="0.25">
      <c r="A930" s="7" t="s">
        <v>16</v>
      </c>
      <c r="B930" s="7" t="s">
        <v>55</v>
      </c>
      <c r="C930" s="7" t="s">
        <v>18</v>
      </c>
      <c r="D930" s="3">
        <v>40320103000153</v>
      </c>
      <c r="E930" s="8" t="s">
        <v>702</v>
      </c>
      <c r="F930" s="8" t="s">
        <v>652</v>
      </c>
      <c r="G930" s="8" t="s">
        <v>241</v>
      </c>
      <c r="H930" s="8" t="s">
        <v>795</v>
      </c>
      <c r="I930" s="3">
        <v>2</v>
      </c>
      <c r="J930" s="8" t="s">
        <v>733</v>
      </c>
      <c r="K930" s="8" t="s">
        <v>734</v>
      </c>
      <c r="L930" s="8" t="s">
        <v>730</v>
      </c>
      <c r="M930" s="1" t="s">
        <v>784</v>
      </c>
      <c r="N930" s="8" t="s">
        <v>785</v>
      </c>
      <c r="O930" s="6">
        <v>0</v>
      </c>
      <c r="P930" s="6">
        <v>0</v>
      </c>
      <c r="Q930" s="6">
        <v>0</v>
      </c>
      <c r="R930" s="6">
        <v>0</v>
      </c>
      <c r="S930" s="6">
        <v>0</v>
      </c>
    </row>
    <row r="931" spans="1:19" ht="15" x14ac:dyDescent="0.25">
      <c r="A931" s="7" t="s">
        <v>16</v>
      </c>
      <c r="B931" s="7" t="s">
        <v>55</v>
      </c>
      <c r="C931" s="7" t="s">
        <v>18</v>
      </c>
      <c r="D931" s="3">
        <v>40320103000153</v>
      </c>
      <c r="E931" s="8" t="s">
        <v>702</v>
      </c>
      <c r="F931" s="8" t="s">
        <v>652</v>
      </c>
      <c r="G931" s="8" t="s">
        <v>241</v>
      </c>
      <c r="H931" s="8" t="s">
        <v>795</v>
      </c>
      <c r="I931" s="3">
        <v>2</v>
      </c>
      <c r="J931" s="8" t="s">
        <v>752</v>
      </c>
      <c r="K931" s="8" t="s">
        <v>753</v>
      </c>
      <c r="L931" s="8" t="s">
        <v>723</v>
      </c>
      <c r="M931" s="1" t="s">
        <v>784</v>
      </c>
      <c r="N931" s="8" t="s">
        <v>785</v>
      </c>
      <c r="O931" s="6">
        <v>0</v>
      </c>
      <c r="P931" s="6">
        <v>5</v>
      </c>
      <c r="Q931" s="6">
        <v>0</v>
      </c>
      <c r="R931" s="6">
        <v>0</v>
      </c>
      <c r="S931" s="6">
        <v>0</v>
      </c>
    </row>
    <row r="932" spans="1:19" ht="15" x14ac:dyDescent="0.25">
      <c r="A932" s="7" t="s">
        <v>16</v>
      </c>
      <c r="B932" s="7" t="s">
        <v>55</v>
      </c>
      <c r="C932" s="7" t="s">
        <v>18</v>
      </c>
      <c r="D932" s="3">
        <v>22400856000197</v>
      </c>
      <c r="E932" s="8" t="s">
        <v>699</v>
      </c>
      <c r="F932" s="8" t="s">
        <v>652</v>
      </c>
      <c r="G932" s="8" t="s">
        <v>241</v>
      </c>
      <c r="H932" s="8" t="s">
        <v>795</v>
      </c>
      <c r="I932" s="3">
        <v>2</v>
      </c>
      <c r="J932" s="8" t="s">
        <v>733</v>
      </c>
      <c r="K932" s="8" t="s">
        <v>734</v>
      </c>
      <c r="L932" s="8" t="s">
        <v>730</v>
      </c>
      <c r="M932" s="1" t="s">
        <v>784</v>
      </c>
      <c r="N932" s="8" t="s">
        <v>785</v>
      </c>
      <c r="O932" s="6">
        <v>0</v>
      </c>
      <c r="P932" s="6">
        <v>0</v>
      </c>
      <c r="Q932" s="6">
        <v>0</v>
      </c>
      <c r="R932" s="6">
        <v>0</v>
      </c>
      <c r="S932" s="6">
        <v>50</v>
      </c>
    </row>
    <row r="933" spans="1:19" ht="15" x14ac:dyDescent="0.25">
      <c r="A933" s="7" t="s">
        <v>16</v>
      </c>
      <c r="B933" s="7" t="s">
        <v>55</v>
      </c>
      <c r="C933" s="7" t="s">
        <v>18</v>
      </c>
      <c r="D933" s="3">
        <v>22400856000197</v>
      </c>
      <c r="E933" s="8" t="s">
        <v>699</v>
      </c>
      <c r="F933" s="8" t="s">
        <v>652</v>
      </c>
      <c r="G933" s="8" t="s">
        <v>241</v>
      </c>
      <c r="H933" s="8" t="s">
        <v>795</v>
      </c>
      <c r="I933" s="3">
        <v>2</v>
      </c>
      <c r="J933" s="8" t="s">
        <v>752</v>
      </c>
      <c r="K933" s="8" t="s">
        <v>753</v>
      </c>
      <c r="L933" s="8" t="s">
        <v>723</v>
      </c>
      <c r="M933" s="1" t="s">
        <v>784</v>
      </c>
      <c r="N933" s="8" t="s">
        <v>785</v>
      </c>
      <c r="O933" s="6">
        <v>0</v>
      </c>
      <c r="P933" s="6">
        <v>0</v>
      </c>
      <c r="Q933" s="6">
        <v>0</v>
      </c>
      <c r="R933" s="6">
        <v>0</v>
      </c>
      <c r="S933" s="6">
        <v>50</v>
      </c>
    </row>
    <row r="934" spans="1:19" ht="15" x14ac:dyDescent="0.25">
      <c r="A934" s="7" t="s">
        <v>16</v>
      </c>
      <c r="B934" s="7" t="s">
        <v>55</v>
      </c>
      <c r="C934" s="7" t="s">
        <v>18</v>
      </c>
      <c r="D934" s="3">
        <v>39086160000130</v>
      </c>
      <c r="E934" s="8" t="s">
        <v>691</v>
      </c>
      <c r="F934" s="8" t="s">
        <v>652</v>
      </c>
      <c r="G934" s="8" t="s">
        <v>241</v>
      </c>
      <c r="H934" s="8" t="s">
        <v>795</v>
      </c>
      <c r="I934" s="3">
        <v>2</v>
      </c>
      <c r="J934" s="8" t="s">
        <v>733</v>
      </c>
      <c r="K934" s="8" t="s">
        <v>734</v>
      </c>
      <c r="L934" s="8" t="s">
        <v>730</v>
      </c>
      <c r="M934" s="1" t="s">
        <v>784</v>
      </c>
      <c r="N934" s="8" t="s">
        <v>785</v>
      </c>
      <c r="O934" s="6">
        <v>0</v>
      </c>
      <c r="P934" s="6">
        <v>0</v>
      </c>
      <c r="Q934" s="6">
        <v>0</v>
      </c>
      <c r="R934" s="6">
        <v>48</v>
      </c>
      <c r="S934" s="6">
        <v>150</v>
      </c>
    </row>
    <row r="935" spans="1:19" ht="15" x14ac:dyDescent="0.25">
      <c r="A935" s="7" t="s">
        <v>16</v>
      </c>
      <c r="B935" s="7" t="s">
        <v>55</v>
      </c>
      <c r="C935" s="7" t="s">
        <v>18</v>
      </c>
      <c r="D935" s="3">
        <v>39086160000130</v>
      </c>
      <c r="E935" s="8" t="s">
        <v>691</v>
      </c>
      <c r="F935" s="8" t="s">
        <v>652</v>
      </c>
      <c r="G935" s="8" t="s">
        <v>241</v>
      </c>
      <c r="H935" s="8" t="s">
        <v>795</v>
      </c>
      <c r="I935" s="3">
        <v>2</v>
      </c>
      <c r="J935" s="8" t="s">
        <v>760</v>
      </c>
      <c r="K935" s="8" t="s">
        <v>761</v>
      </c>
      <c r="L935" s="8" t="s">
        <v>723</v>
      </c>
      <c r="M935" s="1" t="s">
        <v>784</v>
      </c>
      <c r="N935" s="8" t="s">
        <v>785</v>
      </c>
      <c r="O935" s="6">
        <v>0</v>
      </c>
      <c r="P935" s="6">
        <v>0</v>
      </c>
      <c r="Q935" s="6">
        <v>0</v>
      </c>
      <c r="R935" s="6">
        <v>0</v>
      </c>
      <c r="S935" s="6">
        <v>150</v>
      </c>
    </row>
    <row r="936" spans="1:19" ht="15" x14ac:dyDescent="0.25">
      <c r="A936" s="7" t="s">
        <v>16</v>
      </c>
      <c r="B936" s="7" t="s">
        <v>55</v>
      </c>
      <c r="C936" s="7" t="s">
        <v>18</v>
      </c>
      <c r="D936" s="3">
        <v>21265360000195</v>
      </c>
      <c r="E936" s="8" t="s">
        <v>673</v>
      </c>
      <c r="F936" s="8" t="s">
        <v>652</v>
      </c>
      <c r="G936" s="8" t="s">
        <v>241</v>
      </c>
      <c r="H936" s="8" t="s">
        <v>795</v>
      </c>
      <c r="I936" s="3">
        <v>2</v>
      </c>
      <c r="J936" s="8" t="s">
        <v>733</v>
      </c>
      <c r="K936" s="8" t="s">
        <v>734</v>
      </c>
      <c r="L936" s="8" t="s">
        <v>730</v>
      </c>
      <c r="M936" s="1" t="s">
        <v>784</v>
      </c>
      <c r="N936" s="8" t="s">
        <v>785</v>
      </c>
      <c r="O936" s="6">
        <v>0</v>
      </c>
      <c r="P936" s="6">
        <v>0</v>
      </c>
      <c r="Q936" s="6">
        <v>0</v>
      </c>
      <c r="R936" s="6">
        <v>16</v>
      </c>
      <c r="S936" s="6">
        <v>0</v>
      </c>
    </row>
    <row r="937" spans="1:19" ht="15" x14ac:dyDescent="0.25">
      <c r="A937" s="7" t="s">
        <v>16</v>
      </c>
      <c r="B937" s="7" t="s">
        <v>55</v>
      </c>
      <c r="C937" s="7" t="s">
        <v>18</v>
      </c>
      <c r="D937" s="3">
        <v>21265360000195</v>
      </c>
      <c r="E937" s="8" t="s">
        <v>673</v>
      </c>
      <c r="F937" s="8" t="s">
        <v>652</v>
      </c>
      <c r="G937" s="8" t="s">
        <v>241</v>
      </c>
      <c r="H937" s="8" t="s">
        <v>795</v>
      </c>
      <c r="I937" s="3">
        <v>2</v>
      </c>
      <c r="J937" s="8" t="s">
        <v>752</v>
      </c>
      <c r="K937" s="8" t="s">
        <v>753</v>
      </c>
      <c r="L937" s="8" t="s">
        <v>723</v>
      </c>
      <c r="M937" s="1" t="s">
        <v>784</v>
      </c>
      <c r="N937" s="8" t="s">
        <v>785</v>
      </c>
      <c r="O937" s="6">
        <v>0</v>
      </c>
      <c r="P937" s="6">
        <v>0</v>
      </c>
      <c r="Q937" s="6">
        <v>0</v>
      </c>
      <c r="R937" s="6">
        <v>0</v>
      </c>
      <c r="S937" s="6">
        <v>0</v>
      </c>
    </row>
    <row r="938" spans="1:19" ht="15" x14ac:dyDescent="0.25">
      <c r="A938" s="7" t="s">
        <v>16</v>
      </c>
      <c r="B938" s="7" t="s">
        <v>55</v>
      </c>
      <c r="C938" s="7" t="s">
        <v>18</v>
      </c>
      <c r="D938" s="3">
        <v>31635857000292</v>
      </c>
      <c r="E938" s="8" t="s">
        <v>683</v>
      </c>
      <c r="F938" s="8" t="s">
        <v>652</v>
      </c>
      <c r="G938" s="8" t="s">
        <v>241</v>
      </c>
      <c r="H938" s="8" t="s">
        <v>795</v>
      </c>
      <c r="I938" s="3">
        <v>2</v>
      </c>
      <c r="J938" s="8" t="s">
        <v>733</v>
      </c>
      <c r="K938" s="8" t="s">
        <v>734</v>
      </c>
      <c r="L938" s="8" t="s">
        <v>730</v>
      </c>
      <c r="M938" s="1" t="s">
        <v>784</v>
      </c>
      <c r="N938" s="8" t="s">
        <v>785</v>
      </c>
      <c r="O938" s="6">
        <v>0</v>
      </c>
      <c r="P938" s="6">
        <v>0</v>
      </c>
      <c r="Q938" s="6">
        <v>0</v>
      </c>
      <c r="R938" s="6">
        <v>36</v>
      </c>
      <c r="S938" s="6">
        <v>0</v>
      </c>
    </row>
    <row r="939" spans="1:19" ht="15" x14ac:dyDescent="0.25">
      <c r="A939" s="7" t="s">
        <v>16</v>
      </c>
      <c r="B939" s="7" t="s">
        <v>55</v>
      </c>
      <c r="C939" s="7" t="s">
        <v>18</v>
      </c>
      <c r="D939" s="3">
        <v>31635857000292</v>
      </c>
      <c r="E939" s="8" t="s">
        <v>683</v>
      </c>
      <c r="F939" s="8" t="s">
        <v>652</v>
      </c>
      <c r="G939" s="8" t="s">
        <v>241</v>
      </c>
      <c r="H939" s="8" t="s">
        <v>795</v>
      </c>
      <c r="I939" s="3">
        <v>2</v>
      </c>
      <c r="J939" s="8" t="s">
        <v>760</v>
      </c>
      <c r="K939" s="8" t="s">
        <v>761</v>
      </c>
      <c r="L939" s="8" t="s">
        <v>723</v>
      </c>
      <c r="M939" s="1" t="s">
        <v>784</v>
      </c>
      <c r="N939" s="8" t="s">
        <v>785</v>
      </c>
      <c r="O939" s="6">
        <v>0</v>
      </c>
      <c r="P939" s="6">
        <v>0</v>
      </c>
      <c r="Q939" s="6">
        <v>0</v>
      </c>
      <c r="R939" s="6">
        <v>0</v>
      </c>
      <c r="S939" s="6">
        <v>0</v>
      </c>
    </row>
    <row r="940" spans="1:19" ht="15" x14ac:dyDescent="0.25">
      <c r="A940" s="7" t="s">
        <v>16</v>
      </c>
      <c r="B940" s="7" t="s">
        <v>55</v>
      </c>
      <c r="C940" s="7" t="s">
        <v>18</v>
      </c>
      <c r="D940" s="3">
        <v>42297507000107</v>
      </c>
      <c r="E940" s="8" t="s">
        <v>703</v>
      </c>
      <c r="F940" s="8" t="s">
        <v>652</v>
      </c>
      <c r="G940" s="8" t="s">
        <v>241</v>
      </c>
      <c r="H940" s="8" t="s">
        <v>795</v>
      </c>
      <c r="I940" s="3">
        <v>2</v>
      </c>
      <c r="J940" s="8" t="s">
        <v>733</v>
      </c>
      <c r="K940" s="8" t="s">
        <v>734</v>
      </c>
      <c r="L940" s="8" t="s">
        <v>730</v>
      </c>
      <c r="M940" s="1" t="s">
        <v>784</v>
      </c>
      <c r="N940" s="8" t="s">
        <v>785</v>
      </c>
      <c r="O940" s="6">
        <v>0</v>
      </c>
      <c r="P940" s="6">
        <v>0</v>
      </c>
      <c r="Q940" s="6">
        <v>0</v>
      </c>
      <c r="R940" s="6">
        <v>0</v>
      </c>
      <c r="S940" s="6">
        <v>0</v>
      </c>
    </row>
    <row r="941" spans="1:19" ht="15" x14ac:dyDescent="0.25">
      <c r="A941" s="7" t="s">
        <v>16</v>
      </c>
      <c r="B941" s="7" t="s">
        <v>55</v>
      </c>
      <c r="C941" s="7" t="s">
        <v>18</v>
      </c>
      <c r="D941" s="3">
        <v>42297507000107</v>
      </c>
      <c r="E941" s="8" t="s">
        <v>703</v>
      </c>
      <c r="F941" s="8" t="s">
        <v>652</v>
      </c>
      <c r="G941" s="8" t="s">
        <v>241</v>
      </c>
      <c r="H941" s="8" t="s">
        <v>795</v>
      </c>
      <c r="I941" s="3">
        <v>2</v>
      </c>
      <c r="J941" s="8" t="s">
        <v>760</v>
      </c>
      <c r="K941" s="8" t="s">
        <v>761</v>
      </c>
      <c r="L941" s="8" t="s">
        <v>723</v>
      </c>
      <c r="M941" s="1" t="s">
        <v>784</v>
      </c>
      <c r="N941" s="8" t="s">
        <v>785</v>
      </c>
      <c r="O941" s="6">
        <v>0</v>
      </c>
      <c r="P941" s="6">
        <v>4</v>
      </c>
      <c r="Q941" s="6">
        <v>4</v>
      </c>
      <c r="R941" s="6">
        <v>0</v>
      </c>
      <c r="S941" s="6">
        <v>0</v>
      </c>
    </row>
    <row r="942" spans="1:19" ht="15" x14ac:dyDescent="0.25">
      <c r="A942" s="7" t="s">
        <v>16</v>
      </c>
      <c r="B942" s="7" t="s">
        <v>55</v>
      </c>
      <c r="C942" s="7" t="s">
        <v>18</v>
      </c>
      <c r="D942" s="3">
        <v>2284062000521</v>
      </c>
      <c r="E942" s="8" t="s">
        <v>658</v>
      </c>
      <c r="F942" s="8" t="s">
        <v>652</v>
      </c>
      <c r="G942" s="8" t="s">
        <v>241</v>
      </c>
      <c r="H942" s="8" t="s">
        <v>795</v>
      </c>
      <c r="I942" s="3">
        <v>2</v>
      </c>
      <c r="J942" s="8" t="s">
        <v>733</v>
      </c>
      <c r="K942" s="8" t="s">
        <v>734</v>
      </c>
      <c r="L942" s="8" t="s">
        <v>730</v>
      </c>
      <c r="M942" s="1" t="s">
        <v>784</v>
      </c>
      <c r="N942" s="8" t="s">
        <v>785</v>
      </c>
      <c r="O942" s="6">
        <v>0</v>
      </c>
      <c r="P942" s="6">
        <v>0</v>
      </c>
      <c r="Q942" s="6">
        <v>0</v>
      </c>
      <c r="R942" s="6">
        <v>0</v>
      </c>
      <c r="S942" s="6">
        <v>0</v>
      </c>
    </row>
    <row r="943" spans="1:19" ht="15" x14ac:dyDescent="0.25">
      <c r="A943" s="7" t="s">
        <v>16</v>
      </c>
      <c r="B943" s="7" t="s">
        <v>55</v>
      </c>
      <c r="C943" s="7" t="s">
        <v>18</v>
      </c>
      <c r="D943" s="3">
        <v>2284062000521</v>
      </c>
      <c r="E943" s="8" t="s">
        <v>658</v>
      </c>
      <c r="F943" s="8" t="s">
        <v>652</v>
      </c>
      <c r="G943" s="8" t="s">
        <v>241</v>
      </c>
      <c r="H943" s="8" t="s">
        <v>795</v>
      </c>
      <c r="I943" s="3">
        <v>2</v>
      </c>
      <c r="J943" s="8" t="s">
        <v>752</v>
      </c>
      <c r="K943" s="8" t="s">
        <v>753</v>
      </c>
      <c r="L943" s="8" t="s">
        <v>723</v>
      </c>
      <c r="M943" s="1" t="s">
        <v>784</v>
      </c>
      <c r="N943" s="8" t="s">
        <v>785</v>
      </c>
      <c r="O943" s="6">
        <v>0</v>
      </c>
      <c r="P943" s="6">
        <v>22</v>
      </c>
      <c r="Q943" s="6">
        <v>3</v>
      </c>
      <c r="R943" s="6">
        <v>0</v>
      </c>
      <c r="S943" s="6">
        <v>0</v>
      </c>
    </row>
    <row r="944" spans="1:19" ht="15" x14ac:dyDescent="0.25">
      <c r="A944" s="7" t="s">
        <v>16</v>
      </c>
      <c r="B944" s="7" t="s">
        <v>55</v>
      </c>
      <c r="C944" s="7" t="s">
        <v>18</v>
      </c>
      <c r="D944" s="3">
        <v>24217779000160</v>
      </c>
      <c r="E944" s="8" t="s">
        <v>674</v>
      </c>
      <c r="F944" s="8" t="s">
        <v>652</v>
      </c>
      <c r="G944" s="8" t="s">
        <v>241</v>
      </c>
      <c r="H944" s="8" t="s">
        <v>795</v>
      </c>
      <c r="I944" s="3">
        <v>2</v>
      </c>
      <c r="J944" s="8" t="s">
        <v>733</v>
      </c>
      <c r="K944" s="8" t="s">
        <v>734</v>
      </c>
      <c r="L944" s="8" t="s">
        <v>730</v>
      </c>
      <c r="M944" s="1" t="s">
        <v>784</v>
      </c>
      <c r="N944" s="8" t="s">
        <v>785</v>
      </c>
      <c r="O944" s="6">
        <v>0</v>
      </c>
      <c r="P944" s="6">
        <v>0</v>
      </c>
      <c r="Q944" s="6">
        <v>0</v>
      </c>
      <c r="R944" s="6">
        <v>0</v>
      </c>
      <c r="S944" s="6">
        <v>0</v>
      </c>
    </row>
    <row r="945" spans="1:19" ht="15" x14ac:dyDescent="0.25">
      <c r="A945" s="7" t="s">
        <v>16</v>
      </c>
      <c r="B945" s="7" t="s">
        <v>55</v>
      </c>
      <c r="C945" s="7" t="s">
        <v>18</v>
      </c>
      <c r="D945" s="3">
        <v>24217779000160</v>
      </c>
      <c r="E945" s="8" t="s">
        <v>674</v>
      </c>
      <c r="F945" s="8" t="s">
        <v>652</v>
      </c>
      <c r="G945" s="8" t="s">
        <v>241</v>
      </c>
      <c r="H945" s="8" t="s">
        <v>795</v>
      </c>
      <c r="I945" s="3">
        <v>2</v>
      </c>
      <c r="J945" s="8" t="s">
        <v>752</v>
      </c>
      <c r="K945" s="8" t="s">
        <v>753</v>
      </c>
      <c r="L945" s="8" t="s">
        <v>723</v>
      </c>
      <c r="M945" s="1" t="s">
        <v>784</v>
      </c>
      <c r="N945" s="8" t="s">
        <v>785</v>
      </c>
      <c r="O945" s="6">
        <v>0</v>
      </c>
      <c r="P945" s="6">
        <v>4</v>
      </c>
      <c r="Q945" s="6">
        <v>0</v>
      </c>
      <c r="R945" s="6">
        <v>0</v>
      </c>
      <c r="S945" s="6">
        <v>0</v>
      </c>
    </row>
    <row r="946" spans="1:19" ht="15" x14ac:dyDescent="0.25">
      <c r="A946" s="7" t="s">
        <v>16</v>
      </c>
      <c r="B946" s="7" t="s">
        <v>55</v>
      </c>
      <c r="C946" s="7" t="s">
        <v>18</v>
      </c>
      <c r="D946" s="3">
        <v>6047087000996</v>
      </c>
      <c r="E946" s="8" t="s">
        <v>660</v>
      </c>
      <c r="F946" s="8" t="s">
        <v>652</v>
      </c>
      <c r="G946" s="8" t="s">
        <v>241</v>
      </c>
      <c r="H946" s="8" t="s">
        <v>795</v>
      </c>
      <c r="I946" s="3">
        <v>2</v>
      </c>
      <c r="J946" s="8" t="s">
        <v>733</v>
      </c>
      <c r="K946" s="8" t="s">
        <v>734</v>
      </c>
      <c r="L946" s="8" t="s">
        <v>730</v>
      </c>
      <c r="M946" s="1" t="s">
        <v>784</v>
      </c>
      <c r="N946" s="8" t="s">
        <v>785</v>
      </c>
      <c r="O946" s="6">
        <v>0</v>
      </c>
      <c r="P946" s="6">
        <v>0</v>
      </c>
      <c r="Q946" s="6">
        <v>0</v>
      </c>
      <c r="R946" s="6">
        <v>0</v>
      </c>
      <c r="S946" s="6">
        <v>0</v>
      </c>
    </row>
    <row r="947" spans="1:19" ht="15" x14ac:dyDescent="0.25">
      <c r="A947" s="7" t="s">
        <v>16</v>
      </c>
      <c r="B947" s="7" t="s">
        <v>55</v>
      </c>
      <c r="C947" s="7" t="s">
        <v>18</v>
      </c>
      <c r="D947" s="3">
        <v>6047087000996</v>
      </c>
      <c r="E947" s="8" t="s">
        <v>660</v>
      </c>
      <c r="F947" s="8" t="s">
        <v>652</v>
      </c>
      <c r="G947" s="8" t="s">
        <v>241</v>
      </c>
      <c r="H947" s="8" t="s">
        <v>795</v>
      </c>
      <c r="I947" s="3">
        <v>2</v>
      </c>
      <c r="J947" s="8" t="s">
        <v>760</v>
      </c>
      <c r="K947" s="8" t="s">
        <v>761</v>
      </c>
      <c r="L947" s="8" t="s">
        <v>723</v>
      </c>
      <c r="M947" s="1" t="s">
        <v>784</v>
      </c>
      <c r="N947" s="8" t="s">
        <v>785</v>
      </c>
      <c r="O947" s="6">
        <v>0</v>
      </c>
      <c r="P947" s="6">
        <v>15</v>
      </c>
      <c r="Q947" s="6">
        <v>10</v>
      </c>
      <c r="R947" s="6">
        <v>0</v>
      </c>
      <c r="S947" s="6">
        <v>0</v>
      </c>
    </row>
    <row r="948" spans="1:19" ht="15" x14ac:dyDescent="0.25">
      <c r="A948" s="7" t="s">
        <v>16</v>
      </c>
      <c r="B948" s="7" t="s">
        <v>55</v>
      </c>
      <c r="C948" s="7" t="s">
        <v>18</v>
      </c>
      <c r="D948" s="3">
        <v>6047087002697</v>
      </c>
      <c r="E948" s="8" t="s">
        <v>662</v>
      </c>
      <c r="F948" s="8" t="s">
        <v>652</v>
      </c>
      <c r="G948" s="8" t="s">
        <v>241</v>
      </c>
      <c r="H948" s="8" t="s">
        <v>795</v>
      </c>
      <c r="I948" s="3">
        <v>2</v>
      </c>
      <c r="J948" s="8" t="s">
        <v>733</v>
      </c>
      <c r="K948" s="8" t="s">
        <v>734</v>
      </c>
      <c r="L948" s="8" t="s">
        <v>730</v>
      </c>
      <c r="M948" s="1" t="s">
        <v>784</v>
      </c>
      <c r="N948" s="8" t="s">
        <v>785</v>
      </c>
      <c r="O948" s="6">
        <v>0</v>
      </c>
      <c r="P948" s="6">
        <v>0</v>
      </c>
      <c r="Q948" s="6">
        <v>0</v>
      </c>
      <c r="R948" s="6">
        <v>0</v>
      </c>
      <c r="S948" s="6">
        <v>75</v>
      </c>
    </row>
    <row r="949" spans="1:19" ht="15" x14ac:dyDescent="0.25">
      <c r="A949" s="7" t="s">
        <v>16</v>
      </c>
      <c r="B949" s="7" t="s">
        <v>55</v>
      </c>
      <c r="C949" s="7" t="s">
        <v>18</v>
      </c>
      <c r="D949" s="3">
        <v>6047087002697</v>
      </c>
      <c r="E949" s="8" t="s">
        <v>662</v>
      </c>
      <c r="F949" s="8" t="s">
        <v>652</v>
      </c>
      <c r="G949" s="8" t="s">
        <v>241</v>
      </c>
      <c r="H949" s="8" t="s">
        <v>795</v>
      </c>
      <c r="I949" s="3">
        <v>2</v>
      </c>
      <c r="J949" s="8" t="s">
        <v>760</v>
      </c>
      <c r="K949" s="8" t="s">
        <v>761</v>
      </c>
      <c r="L949" s="8" t="s">
        <v>723</v>
      </c>
      <c r="M949" s="1" t="s">
        <v>784</v>
      </c>
      <c r="N949" s="8" t="s">
        <v>785</v>
      </c>
      <c r="O949" s="6">
        <v>0</v>
      </c>
      <c r="P949" s="6">
        <v>0</v>
      </c>
      <c r="Q949" s="6">
        <v>9</v>
      </c>
      <c r="R949" s="6">
        <v>0</v>
      </c>
      <c r="S949" s="6">
        <v>75</v>
      </c>
    </row>
    <row r="950" spans="1:19" ht="15" x14ac:dyDescent="0.25">
      <c r="A950" s="7" t="s">
        <v>16</v>
      </c>
      <c r="B950" s="7" t="s">
        <v>55</v>
      </c>
      <c r="C950" s="7" t="s">
        <v>18</v>
      </c>
      <c r="D950" s="3">
        <v>34058123000103</v>
      </c>
      <c r="E950" s="8" t="s">
        <v>701</v>
      </c>
      <c r="F950" s="8" t="s">
        <v>652</v>
      </c>
      <c r="G950" s="8" t="s">
        <v>241</v>
      </c>
      <c r="H950" s="8" t="s">
        <v>795</v>
      </c>
      <c r="I950" s="3">
        <v>2</v>
      </c>
      <c r="J950" s="8" t="s">
        <v>733</v>
      </c>
      <c r="K950" s="8" t="s">
        <v>734</v>
      </c>
      <c r="L950" s="8" t="s">
        <v>730</v>
      </c>
      <c r="M950" s="1" t="s">
        <v>784</v>
      </c>
      <c r="N950" s="8" t="s">
        <v>785</v>
      </c>
      <c r="O950" s="6">
        <v>0</v>
      </c>
      <c r="P950" s="6">
        <v>0</v>
      </c>
      <c r="Q950" s="6">
        <v>0</v>
      </c>
      <c r="R950" s="6">
        <v>0</v>
      </c>
      <c r="S950" s="6">
        <v>0</v>
      </c>
    </row>
    <row r="951" spans="1:19" ht="15" x14ac:dyDescent="0.25">
      <c r="A951" s="7" t="s">
        <v>16</v>
      </c>
      <c r="B951" s="7" t="s">
        <v>55</v>
      </c>
      <c r="C951" s="7" t="s">
        <v>18</v>
      </c>
      <c r="D951" s="3">
        <v>34058123000103</v>
      </c>
      <c r="E951" s="8" t="s">
        <v>701</v>
      </c>
      <c r="F951" s="8" t="s">
        <v>652</v>
      </c>
      <c r="G951" s="8" t="s">
        <v>241</v>
      </c>
      <c r="H951" s="8" t="s">
        <v>795</v>
      </c>
      <c r="I951" s="3">
        <v>2</v>
      </c>
      <c r="J951" s="8" t="s">
        <v>760</v>
      </c>
      <c r="K951" s="8" t="s">
        <v>761</v>
      </c>
      <c r="L951" s="8" t="s">
        <v>723</v>
      </c>
      <c r="M951" s="1" t="s">
        <v>784</v>
      </c>
      <c r="N951" s="8" t="s">
        <v>785</v>
      </c>
      <c r="O951" s="6">
        <v>0</v>
      </c>
      <c r="P951" s="6">
        <v>16</v>
      </c>
      <c r="Q951" s="6">
        <v>6</v>
      </c>
      <c r="R951" s="6">
        <v>0</v>
      </c>
      <c r="S951" s="6">
        <v>0</v>
      </c>
    </row>
    <row r="952" spans="1:19" ht="15" x14ac:dyDescent="0.25">
      <c r="A952" s="7" t="s">
        <v>16</v>
      </c>
      <c r="B952" s="7" t="s">
        <v>55</v>
      </c>
      <c r="C952" s="7" t="s">
        <v>18</v>
      </c>
      <c r="D952" s="3">
        <v>394502014870</v>
      </c>
      <c r="E952" s="8" t="s">
        <v>697</v>
      </c>
      <c r="F952" s="8" t="s">
        <v>652</v>
      </c>
      <c r="G952" s="8" t="s">
        <v>241</v>
      </c>
      <c r="H952" s="8" t="s">
        <v>795</v>
      </c>
      <c r="I952" s="3">
        <v>2</v>
      </c>
      <c r="J952" s="8" t="s">
        <v>733</v>
      </c>
      <c r="K952" s="8" t="s">
        <v>734</v>
      </c>
      <c r="L952" s="8" t="s">
        <v>730</v>
      </c>
      <c r="M952" s="1" t="s">
        <v>784</v>
      </c>
      <c r="N952" s="8" t="s">
        <v>785</v>
      </c>
      <c r="O952" s="6">
        <v>0</v>
      </c>
      <c r="P952" s="6">
        <v>0</v>
      </c>
      <c r="Q952" s="6">
        <v>0</v>
      </c>
      <c r="R952" s="6">
        <v>0</v>
      </c>
      <c r="S952" s="6">
        <v>0</v>
      </c>
    </row>
    <row r="953" spans="1:19" ht="15" x14ac:dyDescent="0.25">
      <c r="A953" s="7" t="s">
        <v>16</v>
      </c>
      <c r="B953" s="7" t="s">
        <v>55</v>
      </c>
      <c r="C953" s="7" t="s">
        <v>18</v>
      </c>
      <c r="D953" s="3">
        <v>394502014870</v>
      </c>
      <c r="E953" s="8" t="s">
        <v>697</v>
      </c>
      <c r="F953" s="8" t="s">
        <v>652</v>
      </c>
      <c r="G953" s="8" t="s">
        <v>241</v>
      </c>
      <c r="H953" s="8" t="s">
        <v>795</v>
      </c>
      <c r="I953" s="3">
        <v>2</v>
      </c>
      <c r="J953" s="8" t="s">
        <v>752</v>
      </c>
      <c r="K953" s="8" t="s">
        <v>753</v>
      </c>
      <c r="L953" s="8" t="s">
        <v>723</v>
      </c>
      <c r="M953" s="1" t="s">
        <v>784</v>
      </c>
      <c r="N953" s="8" t="s">
        <v>785</v>
      </c>
      <c r="O953" s="6">
        <v>0</v>
      </c>
      <c r="P953" s="6">
        <v>10</v>
      </c>
      <c r="Q953" s="6">
        <v>0</v>
      </c>
      <c r="R953" s="6">
        <v>0</v>
      </c>
      <c r="S953" s="6">
        <v>0</v>
      </c>
    </row>
    <row r="954" spans="1:19" ht="15" x14ac:dyDescent="0.25">
      <c r="A954" s="7" t="s">
        <v>16</v>
      </c>
      <c r="B954" s="7" t="s">
        <v>55</v>
      </c>
      <c r="C954" s="7" t="s">
        <v>18</v>
      </c>
      <c r="D954" s="3">
        <v>9578217000158</v>
      </c>
      <c r="E954" s="8" t="s">
        <v>668</v>
      </c>
      <c r="F954" s="8" t="s">
        <v>652</v>
      </c>
      <c r="G954" s="8" t="s">
        <v>241</v>
      </c>
      <c r="H954" s="8" t="s">
        <v>795</v>
      </c>
      <c r="I954" s="3">
        <v>2</v>
      </c>
      <c r="J954" s="8" t="s">
        <v>733</v>
      </c>
      <c r="K954" s="8" t="s">
        <v>734</v>
      </c>
      <c r="L954" s="8" t="s">
        <v>730</v>
      </c>
      <c r="M954" s="1" t="s">
        <v>784</v>
      </c>
      <c r="N954" s="8" t="s">
        <v>785</v>
      </c>
      <c r="O954" s="6">
        <v>0</v>
      </c>
      <c r="P954" s="6">
        <v>0</v>
      </c>
      <c r="Q954" s="6">
        <v>0</v>
      </c>
      <c r="R954" s="6">
        <v>0</v>
      </c>
      <c r="S954" s="6">
        <v>0</v>
      </c>
    </row>
    <row r="955" spans="1:19" ht="15" x14ac:dyDescent="0.25">
      <c r="A955" s="7" t="s">
        <v>16</v>
      </c>
      <c r="B955" s="7" t="s">
        <v>55</v>
      </c>
      <c r="C955" s="7" t="s">
        <v>18</v>
      </c>
      <c r="D955" s="3">
        <v>9578217000158</v>
      </c>
      <c r="E955" s="8" t="s">
        <v>668</v>
      </c>
      <c r="F955" s="8" t="s">
        <v>652</v>
      </c>
      <c r="G955" s="8" t="s">
        <v>241</v>
      </c>
      <c r="H955" s="8" t="s">
        <v>795</v>
      </c>
      <c r="I955" s="3">
        <v>2</v>
      </c>
      <c r="J955" s="8" t="s">
        <v>760</v>
      </c>
      <c r="K955" s="8" t="s">
        <v>761</v>
      </c>
      <c r="L955" s="8" t="s">
        <v>723</v>
      </c>
      <c r="M955" s="1" t="s">
        <v>784</v>
      </c>
      <c r="N955" s="8" t="s">
        <v>785</v>
      </c>
      <c r="O955" s="6">
        <v>0</v>
      </c>
      <c r="P955" s="6">
        <v>4</v>
      </c>
      <c r="Q955" s="6">
        <v>3</v>
      </c>
      <c r="R955" s="6">
        <v>0</v>
      </c>
      <c r="S955" s="6">
        <v>0</v>
      </c>
    </row>
    <row r="956" spans="1:19" ht="15" x14ac:dyDescent="0.25">
      <c r="A956" s="7" t="s">
        <v>16</v>
      </c>
      <c r="B956" s="7" t="s">
        <v>55</v>
      </c>
      <c r="C956" s="7" t="s">
        <v>18</v>
      </c>
      <c r="D956" s="3">
        <v>29435005005783</v>
      </c>
      <c r="E956" s="8" t="s">
        <v>680</v>
      </c>
      <c r="F956" s="8" t="s">
        <v>652</v>
      </c>
      <c r="G956" s="8" t="s">
        <v>241</v>
      </c>
      <c r="H956" s="8" t="s">
        <v>795</v>
      </c>
      <c r="I956" s="3">
        <v>2</v>
      </c>
      <c r="J956" s="8" t="s">
        <v>733</v>
      </c>
      <c r="K956" s="8" t="s">
        <v>734</v>
      </c>
      <c r="L956" s="8" t="s">
        <v>730</v>
      </c>
      <c r="M956" s="1" t="s">
        <v>784</v>
      </c>
      <c r="N956" s="8" t="s">
        <v>785</v>
      </c>
      <c r="O956" s="6">
        <v>0</v>
      </c>
      <c r="P956" s="6">
        <v>0</v>
      </c>
      <c r="Q956" s="6">
        <v>0</v>
      </c>
      <c r="R956" s="6">
        <v>0</v>
      </c>
      <c r="S956" s="6">
        <v>385</v>
      </c>
    </row>
    <row r="957" spans="1:19" ht="15" x14ac:dyDescent="0.25">
      <c r="A957" s="7" t="s">
        <v>16</v>
      </c>
      <c r="B957" s="7" t="s">
        <v>55</v>
      </c>
      <c r="C957" s="7" t="s">
        <v>18</v>
      </c>
      <c r="D957" s="3">
        <v>29435005005783</v>
      </c>
      <c r="E957" s="8" t="s">
        <v>680</v>
      </c>
      <c r="F957" s="8" t="s">
        <v>652</v>
      </c>
      <c r="G957" s="8" t="s">
        <v>241</v>
      </c>
      <c r="H957" s="8" t="s">
        <v>795</v>
      </c>
      <c r="I957" s="3">
        <v>2</v>
      </c>
      <c r="J957" s="8" t="s">
        <v>752</v>
      </c>
      <c r="K957" s="8" t="s">
        <v>753</v>
      </c>
      <c r="L957" s="8" t="s">
        <v>723</v>
      </c>
      <c r="M957" s="1" t="s">
        <v>784</v>
      </c>
      <c r="N957" s="8" t="s">
        <v>785</v>
      </c>
      <c r="O957" s="6">
        <v>0</v>
      </c>
      <c r="P957" s="6">
        <v>0</v>
      </c>
      <c r="Q957" s="6">
        <v>0</v>
      </c>
      <c r="R957" s="6">
        <v>0</v>
      </c>
      <c r="S957" s="6">
        <v>385</v>
      </c>
    </row>
    <row r="958" spans="1:19" ht="15" x14ac:dyDescent="0.25">
      <c r="A958" s="7" t="s">
        <v>16</v>
      </c>
      <c r="B958" s="7" t="s">
        <v>55</v>
      </c>
      <c r="C958" s="7" t="s">
        <v>18</v>
      </c>
      <c r="D958" s="3">
        <v>29435005005198</v>
      </c>
      <c r="E958" s="8" t="s">
        <v>679</v>
      </c>
      <c r="F958" s="8" t="s">
        <v>652</v>
      </c>
      <c r="G958" s="8" t="s">
        <v>241</v>
      </c>
      <c r="H958" s="8" t="s">
        <v>795</v>
      </c>
      <c r="I958" s="3">
        <v>2</v>
      </c>
      <c r="J958" s="8" t="s">
        <v>733</v>
      </c>
      <c r="K958" s="8" t="s">
        <v>734</v>
      </c>
      <c r="L958" s="8" t="s">
        <v>730</v>
      </c>
      <c r="M958" s="1" t="s">
        <v>784</v>
      </c>
      <c r="N958" s="8" t="s">
        <v>785</v>
      </c>
      <c r="O958" s="6">
        <v>0</v>
      </c>
      <c r="P958" s="6">
        <v>0</v>
      </c>
      <c r="Q958" s="6">
        <v>0</v>
      </c>
      <c r="R958" s="6">
        <v>0</v>
      </c>
      <c r="S958" s="6">
        <v>200</v>
      </c>
    </row>
    <row r="959" spans="1:19" ht="15" x14ac:dyDescent="0.25">
      <c r="A959" s="7" t="s">
        <v>16</v>
      </c>
      <c r="B959" s="7" t="s">
        <v>55</v>
      </c>
      <c r="C959" s="7" t="s">
        <v>18</v>
      </c>
      <c r="D959" s="3">
        <v>29435005005198</v>
      </c>
      <c r="E959" s="8" t="s">
        <v>679</v>
      </c>
      <c r="F959" s="8" t="s">
        <v>652</v>
      </c>
      <c r="G959" s="8" t="s">
        <v>241</v>
      </c>
      <c r="H959" s="8" t="s">
        <v>795</v>
      </c>
      <c r="I959" s="3">
        <v>2</v>
      </c>
      <c r="J959" s="8" t="s">
        <v>760</v>
      </c>
      <c r="K959" s="8" t="s">
        <v>761</v>
      </c>
      <c r="L959" s="8" t="s">
        <v>723</v>
      </c>
      <c r="M959" s="1" t="s">
        <v>784</v>
      </c>
      <c r="N959" s="8" t="s">
        <v>785</v>
      </c>
      <c r="O959" s="6">
        <v>0</v>
      </c>
      <c r="P959" s="6">
        <v>0</v>
      </c>
      <c r="Q959" s="6">
        <v>0</v>
      </c>
      <c r="R959" s="6">
        <v>0</v>
      </c>
      <c r="S959" s="6">
        <v>200</v>
      </c>
    </row>
    <row r="960" spans="1:19" ht="15" x14ac:dyDescent="0.25">
      <c r="A960" s="7" t="s">
        <v>16</v>
      </c>
      <c r="B960" s="7" t="s">
        <v>55</v>
      </c>
      <c r="C960" s="7" t="s">
        <v>18</v>
      </c>
      <c r="D960" s="3">
        <v>6047087001020</v>
      </c>
      <c r="E960" s="8" t="s">
        <v>661</v>
      </c>
      <c r="F960" s="8" t="s">
        <v>652</v>
      </c>
      <c r="G960" s="8" t="s">
        <v>241</v>
      </c>
      <c r="H960" s="8" t="s">
        <v>795</v>
      </c>
      <c r="I960" s="3">
        <v>2</v>
      </c>
      <c r="J960" s="8" t="s">
        <v>733</v>
      </c>
      <c r="K960" s="8" t="s">
        <v>734</v>
      </c>
      <c r="L960" s="8" t="s">
        <v>730</v>
      </c>
      <c r="M960" s="1" t="s">
        <v>784</v>
      </c>
      <c r="N960" s="8" t="s">
        <v>785</v>
      </c>
      <c r="O960" s="6">
        <v>0</v>
      </c>
      <c r="P960" s="6">
        <v>0</v>
      </c>
      <c r="Q960" s="6">
        <v>0</v>
      </c>
      <c r="R960" s="6">
        <v>0</v>
      </c>
      <c r="S960" s="6">
        <v>0</v>
      </c>
    </row>
    <row r="961" spans="1:19" ht="15" x14ac:dyDescent="0.25">
      <c r="A961" s="7" t="s">
        <v>16</v>
      </c>
      <c r="B961" s="7" t="s">
        <v>55</v>
      </c>
      <c r="C961" s="7" t="s">
        <v>18</v>
      </c>
      <c r="D961" s="3">
        <v>6047087001020</v>
      </c>
      <c r="E961" s="8" t="s">
        <v>661</v>
      </c>
      <c r="F961" s="8" t="s">
        <v>652</v>
      </c>
      <c r="G961" s="8" t="s">
        <v>241</v>
      </c>
      <c r="H961" s="8" t="s">
        <v>795</v>
      </c>
      <c r="I961" s="3">
        <v>2</v>
      </c>
      <c r="J961" s="8" t="s">
        <v>760</v>
      </c>
      <c r="K961" s="8" t="s">
        <v>761</v>
      </c>
      <c r="L961" s="8" t="s">
        <v>723</v>
      </c>
      <c r="M961" s="1" t="s">
        <v>784</v>
      </c>
      <c r="N961" s="8" t="s">
        <v>785</v>
      </c>
      <c r="O961" s="6">
        <v>0</v>
      </c>
      <c r="P961" s="6">
        <v>55</v>
      </c>
      <c r="Q961" s="6">
        <v>120</v>
      </c>
      <c r="R961" s="6">
        <v>0</v>
      </c>
      <c r="S961" s="6">
        <v>0</v>
      </c>
    </row>
    <row r="962" spans="1:19" ht="15" x14ac:dyDescent="0.25">
      <c r="A962" s="7" t="s">
        <v>16</v>
      </c>
      <c r="B962" s="7" t="s">
        <v>55</v>
      </c>
      <c r="C962" s="7" t="s">
        <v>18</v>
      </c>
      <c r="D962" s="3">
        <v>29259736000403</v>
      </c>
      <c r="E962" s="8" t="s">
        <v>678</v>
      </c>
      <c r="F962" s="8" t="s">
        <v>652</v>
      </c>
      <c r="G962" s="8" t="s">
        <v>241</v>
      </c>
      <c r="H962" s="8" t="s">
        <v>795</v>
      </c>
      <c r="I962" s="3">
        <v>2</v>
      </c>
      <c r="J962" s="8" t="s">
        <v>733</v>
      </c>
      <c r="K962" s="8" t="s">
        <v>734</v>
      </c>
      <c r="L962" s="8" t="s">
        <v>730</v>
      </c>
      <c r="M962" s="1" t="s">
        <v>784</v>
      </c>
      <c r="N962" s="8" t="s">
        <v>785</v>
      </c>
      <c r="O962" s="6">
        <v>0</v>
      </c>
      <c r="P962" s="6">
        <v>0</v>
      </c>
      <c r="Q962" s="6">
        <v>0</v>
      </c>
      <c r="R962" s="6">
        <v>16</v>
      </c>
      <c r="S962" s="6">
        <v>0</v>
      </c>
    </row>
    <row r="963" spans="1:19" ht="15" x14ac:dyDescent="0.25">
      <c r="A963" s="7" t="s">
        <v>16</v>
      </c>
      <c r="B963" s="7" t="s">
        <v>55</v>
      </c>
      <c r="C963" s="7" t="s">
        <v>18</v>
      </c>
      <c r="D963" s="3">
        <v>29259736000403</v>
      </c>
      <c r="E963" s="8" t="s">
        <v>678</v>
      </c>
      <c r="F963" s="8" t="s">
        <v>652</v>
      </c>
      <c r="G963" s="8" t="s">
        <v>241</v>
      </c>
      <c r="H963" s="8" t="s">
        <v>795</v>
      </c>
      <c r="I963" s="3">
        <v>2</v>
      </c>
      <c r="J963" s="8" t="s">
        <v>760</v>
      </c>
      <c r="K963" s="8" t="s">
        <v>761</v>
      </c>
      <c r="L963" s="8" t="s">
        <v>723</v>
      </c>
      <c r="M963" s="1" t="s">
        <v>784</v>
      </c>
      <c r="N963" s="8" t="s">
        <v>785</v>
      </c>
      <c r="O963" s="6">
        <v>0</v>
      </c>
      <c r="P963" s="6">
        <v>2</v>
      </c>
      <c r="Q963" s="6">
        <v>56</v>
      </c>
      <c r="R963" s="6">
        <v>0</v>
      </c>
      <c r="S963" s="6">
        <v>0</v>
      </c>
    </row>
    <row r="964" spans="1:19" ht="15" x14ac:dyDescent="0.25">
      <c r="A964" s="7" t="s">
        <v>16</v>
      </c>
      <c r="B964" s="7" t="s">
        <v>55</v>
      </c>
      <c r="C964" s="7" t="s">
        <v>18</v>
      </c>
      <c r="D964" s="3">
        <v>8100676002102</v>
      </c>
      <c r="E964" s="8" t="s">
        <v>665</v>
      </c>
      <c r="F964" s="8" t="s">
        <v>652</v>
      </c>
      <c r="G964" s="8" t="s">
        <v>241</v>
      </c>
      <c r="H964" s="8" t="s">
        <v>795</v>
      </c>
      <c r="I964" s="3">
        <v>2</v>
      </c>
      <c r="J964" s="8" t="s">
        <v>733</v>
      </c>
      <c r="K964" s="8" t="s">
        <v>734</v>
      </c>
      <c r="L964" s="8" t="s">
        <v>730</v>
      </c>
      <c r="M964" s="1" t="s">
        <v>784</v>
      </c>
      <c r="N964" s="8" t="s">
        <v>785</v>
      </c>
      <c r="O964" s="6">
        <v>0</v>
      </c>
      <c r="P964" s="6">
        <v>0</v>
      </c>
      <c r="Q964" s="6">
        <v>0</v>
      </c>
      <c r="R964" s="6">
        <v>0</v>
      </c>
      <c r="S964" s="6">
        <v>400</v>
      </c>
    </row>
    <row r="965" spans="1:19" ht="15" x14ac:dyDescent="0.25">
      <c r="A965" s="7" t="s">
        <v>16</v>
      </c>
      <c r="B965" s="7" t="s">
        <v>55</v>
      </c>
      <c r="C965" s="7" t="s">
        <v>18</v>
      </c>
      <c r="D965" s="3">
        <v>8100676002102</v>
      </c>
      <c r="E965" s="8" t="s">
        <v>665</v>
      </c>
      <c r="F965" s="8" t="s">
        <v>652</v>
      </c>
      <c r="G965" s="8" t="s">
        <v>241</v>
      </c>
      <c r="H965" s="8" t="s">
        <v>795</v>
      </c>
      <c r="I965" s="3">
        <v>2</v>
      </c>
      <c r="J965" s="8" t="s">
        <v>760</v>
      </c>
      <c r="K965" s="8" t="s">
        <v>761</v>
      </c>
      <c r="L965" s="8" t="s">
        <v>723</v>
      </c>
      <c r="M965" s="1" t="s">
        <v>784</v>
      </c>
      <c r="N965" s="8" t="s">
        <v>785</v>
      </c>
      <c r="O965" s="6">
        <v>0</v>
      </c>
      <c r="P965" s="6">
        <v>30</v>
      </c>
      <c r="Q965" s="6">
        <v>0</v>
      </c>
      <c r="R965" s="6">
        <v>0</v>
      </c>
      <c r="S965" s="6">
        <v>400</v>
      </c>
    </row>
    <row r="966" spans="1:19" ht="15" x14ac:dyDescent="0.25">
      <c r="A966" s="7" t="s">
        <v>16</v>
      </c>
      <c r="B966" s="7" t="s">
        <v>55</v>
      </c>
      <c r="C966" s="7" t="s">
        <v>18</v>
      </c>
      <c r="D966" s="3">
        <v>29435005006160</v>
      </c>
      <c r="E966" s="8" t="s">
        <v>681</v>
      </c>
      <c r="F966" s="8" t="s">
        <v>652</v>
      </c>
      <c r="G966" s="8" t="s">
        <v>241</v>
      </c>
      <c r="H966" s="8" t="s">
        <v>795</v>
      </c>
      <c r="I966" s="3">
        <v>2</v>
      </c>
      <c r="J966" s="8" t="s">
        <v>733</v>
      </c>
      <c r="K966" s="8" t="s">
        <v>734</v>
      </c>
      <c r="L966" s="8" t="s">
        <v>730</v>
      </c>
      <c r="M966" s="1" t="s">
        <v>784</v>
      </c>
      <c r="N966" s="8" t="s">
        <v>785</v>
      </c>
      <c r="O966" s="6">
        <v>0</v>
      </c>
      <c r="P966" s="6">
        <v>0</v>
      </c>
      <c r="Q966" s="6">
        <v>0</v>
      </c>
      <c r="R966" s="6">
        <v>0</v>
      </c>
      <c r="S966" s="6">
        <v>0</v>
      </c>
    </row>
    <row r="967" spans="1:19" ht="15" x14ac:dyDescent="0.25">
      <c r="A967" s="7" t="s">
        <v>16</v>
      </c>
      <c r="B967" s="7" t="s">
        <v>55</v>
      </c>
      <c r="C967" s="7" t="s">
        <v>18</v>
      </c>
      <c r="D967" s="3">
        <v>29435005006160</v>
      </c>
      <c r="E967" s="8" t="s">
        <v>681</v>
      </c>
      <c r="F967" s="8" t="s">
        <v>652</v>
      </c>
      <c r="G967" s="8" t="s">
        <v>241</v>
      </c>
      <c r="H967" s="8" t="s">
        <v>795</v>
      </c>
      <c r="I967" s="3">
        <v>2</v>
      </c>
      <c r="J967" s="8" t="s">
        <v>760</v>
      </c>
      <c r="K967" s="8" t="s">
        <v>761</v>
      </c>
      <c r="L967" s="8" t="s">
        <v>723</v>
      </c>
      <c r="M967" s="1" t="s">
        <v>784</v>
      </c>
      <c r="N967" s="8" t="s">
        <v>785</v>
      </c>
      <c r="O967" s="6">
        <v>0</v>
      </c>
      <c r="P967" s="6">
        <v>14</v>
      </c>
      <c r="Q967" s="6">
        <v>4</v>
      </c>
      <c r="R967" s="6">
        <v>0</v>
      </c>
      <c r="S967" s="6">
        <v>0</v>
      </c>
    </row>
    <row r="968" spans="1:19" ht="15" x14ac:dyDescent="0.25">
      <c r="A968" s="7" t="s">
        <v>16</v>
      </c>
      <c r="B968" s="7" t="s">
        <v>55</v>
      </c>
      <c r="C968" s="7" t="s">
        <v>18</v>
      </c>
      <c r="D968" s="3">
        <v>53221255004995</v>
      </c>
      <c r="E968" s="8" t="s">
        <v>692</v>
      </c>
      <c r="F968" s="8" t="s">
        <v>652</v>
      </c>
      <c r="G968" s="8" t="s">
        <v>241</v>
      </c>
      <c r="H968" s="8" t="s">
        <v>795</v>
      </c>
      <c r="I968" s="3">
        <v>2</v>
      </c>
      <c r="J968" s="8" t="s">
        <v>733</v>
      </c>
      <c r="K968" s="8" t="s">
        <v>734</v>
      </c>
      <c r="L968" s="8" t="s">
        <v>730</v>
      </c>
      <c r="M968" s="1" t="s">
        <v>784</v>
      </c>
      <c r="N968" s="8" t="s">
        <v>785</v>
      </c>
      <c r="O968" s="6">
        <v>0</v>
      </c>
      <c r="P968" s="6">
        <v>0</v>
      </c>
      <c r="Q968" s="6">
        <v>0</v>
      </c>
      <c r="R968" s="6">
        <v>0</v>
      </c>
      <c r="S968" s="6">
        <v>0</v>
      </c>
    </row>
    <row r="969" spans="1:19" ht="15" x14ac:dyDescent="0.25">
      <c r="A969" s="7" t="s">
        <v>16</v>
      </c>
      <c r="B969" s="7" t="s">
        <v>55</v>
      </c>
      <c r="C969" s="7" t="s">
        <v>18</v>
      </c>
      <c r="D969" s="3">
        <v>53221255004995</v>
      </c>
      <c r="E969" s="8" t="s">
        <v>692</v>
      </c>
      <c r="F969" s="8" t="s">
        <v>652</v>
      </c>
      <c r="G969" s="8" t="s">
        <v>241</v>
      </c>
      <c r="H969" s="8" t="s">
        <v>795</v>
      </c>
      <c r="I969" s="3">
        <v>2</v>
      </c>
      <c r="J969" s="8" t="s">
        <v>760</v>
      </c>
      <c r="K969" s="8" t="s">
        <v>761</v>
      </c>
      <c r="L969" s="8" t="s">
        <v>723</v>
      </c>
      <c r="M969" s="1" t="s">
        <v>784</v>
      </c>
      <c r="N969" s="8" t="s">
        <v>785</v>
      </c>
      <c r="O969" s="6">
        <v>0</v>
      </c>
      <c r="P969" s="6">
        <v>0</v>
      </c>
      <c r="Q969" s="6">
        <v>1</v>
      </c>
      <c r="R969" s="6">
        <v>0</v>
      </c>
      <c r="S969" s="6">
        <v>0</v>
      </c>
    </row>
    <row r="970" spans="1:19" ht="15" x14ac:dyDescent="0.25">
      <c r="A970" s="7" t="s">
        <v>16</v>
      </c>
      <c r="B970" s="7" t="s">
        <v>55</v>
      </c>
      <c r="C970" s="7" t="s">
        <v>18</v>
      </c>
      <c r="D970" s="3">
        <v>60884855001630</v>
      </c>
      <c r="E970" s="8" t="s">
        <v>693</v>
      </c>
      <c r="F970" s="8" t="s">
        <v>652</v>
      </c>
      <c r="G970" s="8" t="s">
        <v>241</v>
      </c>
      <c r="H970" s="8" t="s">
        <v>795</v>
      </c>
      <c r="I970" s="3">
        <v>2</v>
      </c>
      <c r="J970" s="8" t="s">
        <v>733</v>
      </c>
      <c r="K970" s="8" t="s">
        <v>734</v>
      </c>
      <c r="L970" s="8" t="s">
        <v>730</v>
      </c>
      <c r="M970" s="1" t="s">
        <v>784</v>
      </c>
      <c r="N970" s="8" t="s">
        <v>785</v>
      </c>
      <c r="O970" s="6">
        <v>0</v>
      </c>
      <c r="P970" s="6">
        <v>0</v>
      </c>
      <c r="Q970" s="6">
        <v>0</v>
      </c>
      <c r="R970" s="6">
        <v>0</v>
      </c>
      <c r="S970" s="6">
        <v>160</v>
      </c>
    </row>
    <row r="971" spans="1:19" ht="15" x14ac:dyDescent="0.25">
      <c r="A971" s="7" t="s">
        <v>16</v>
      </c>
      <c r="B971" s="7" t="s">
        <v>55</v>
      </c>
      <c r="C971" s="7" t="s">
        <v>18</v>
      </c>
      <c r="D971" s="3">
        <v>60884855001630</v>
      </c>
      <c r="E971" s="8" t="s">
        <v>693</v>
      </c>
      <c r="F971" s="8" t="s">
        <v>652</v>
      </c>
      <c r="G971" s="8" t="s">
        <v>241</v>
      </c>
      <c r="H971" s="8" t="s">
        <v>795</v>
      </c>
      <c r="I971" s="3">
        <v>2</v>
      </c>
      <c r="J971" s="8" t="s">
        <v>752</v>
      </c>
      <c r="K971" s="8" t="s">
        <v>753</v>
      </c>
      <c r="L971" s="8" t="s">
        <v>723</v>
      </c>
      <c r="M971" s="1" t="s">
        <v>784</v>
      </c>
      <c r="N971" s="8" t="s">
        <v>785</v>
      </c>
      <c r="O971" s="6">
        <v>0</v>
      </c>
      <c r="P971" s="6">
        <v>25</v>
      </c>
      <c r="Q971" s="6">
        <v>10</v>
      </c>
      <c r="R971" s="6">
        <v>0</v>
      </c>
      <c r="S971" s="6">
        <v>160</v>
      </c>
    </row>
    <row r="972" spans="1:19" ht="15" x14ac:dyDescent="0.25">
      <c r="A972" s="7" t="s">
        <v>16</v>
      </c>
      <c r="B972" s="7" t="s">
        <v>55</v>
      </c>
      <c r="C972" s="7" t="s">
        <v>18</v>
      </c>
      <c r="D972" s="3">
        <v>18010750000100</v>
      </c>
      <c r="E972" s="8" t="s">
        <v>671</v>
      </c>
      <c r="F972" s="8" t="s">
        <v>652</v>
      </c>
      <c r="G972" s="8" t="s">
        <v>241</v>
      </c>
      <c r="H972" s="8" t="s">
        <v>795</v>
      </c>
      <c r="I972" s="3">
        <v>2</v>
      </c>
      <c r="J972" s="8" t="s">
        <v>733</v>
      </c>
      <c r="K972" s="8" t="s">
        <v>734</v>
      </c>
      <c r="L972" s="8" t="s">
        <v>730</v>
      </c>
      <c r="M972" s="1" t="s">
        <v>784</v>
      </c>
      <c r="N972" s="8" t="s">
        <v>785</v>
      </c>
      <c r="O972" s="6">
        <v>0</v>
      </c>
      <c r="P972" s="6">
        <v>0</v>
      </c>
      <c r="Q972" s="6">
        <v>0</v>
      </c>
      <c r="R972" s="6">
        <v>0</v>
      </c>
      <c r="S972" s="6">
        <v>265</v>
      </c>
    </row>
    <row r="973" spans="1:19" ht="15" x14ac:dyDescent="0.25">
      <c r="A973" s="7" t="s">
        <v>16</v>
      </c>
      <c r="B973" s="7" t="s">
        <v>55</v>
      </c>
      <c r="C973" s="7" t="s">
        <v>18</v>
      </c>
      <c r="D973" s="3">
        <v>18010750000100</v>
      </c>
      <c r="E973" s="8" t="s">
        <v>671</v>
      </c>
      <c r="F973" s="8" t="s">
        <v>652</v>
      </c>
      <c r="G973" s="8" t="s">
        <v>241</v>
      </c>
      <c r="H973" s="8" t="s">
        <v>795</v>
      </c>
      <c r="I973" s="3">
        <v>2</v>
      </c>
      <c r="J973" s="8" t="s">
        <v>752</v>
      </c>
      <c r="K973" s="8" t="s">
        <v>753</v>
      </c>
      <c r="L973" s="8" t="s">
        <v>723</v>
      </c>
      <c r="M973" s="1" t="s">
        <v>784</v>
      </c>
      <c r="N973" s="8" t="s">
        <v>785</v>
      </c>
      <c r="O973" s="6">
        <v>0</v>
      </c>
      <c r="P973" s="6">
        <v>0</v>
      </c>
      <c r="Q973" s="6">
        <v>0</v>
      </c>
      <c r="R973" s="6">
        <v>0</v>
      </c>
      <c r="S973" s="6">
        <v>265</v>
      </c>
    </row>
    <row r="974" spans="1:19" ht="15" x14ac:dyDescent="0.25">
      <c r="A974" s="7" t="s">
        <v>16</v>
      </c>
      <c r="B974" s="7" t="s">
        <v>55</v>
      </c>
      <c r="C974" s="7" t="s">
        <v>18</v>
      </c>
      <c r="D974" s="3">
        <v>33663683005347</v>
      </c>
      <c r="E974" s="8" t="s">
        <v>688</v>
      </c>
      <c r="F974" s="8" t="s">
        <v>652</v>
      </c>
      <c r="G974" s="8" t="s">
        <v>241</v>
      </c>
      <c r="H974" s="8" t="s">
        <v>795</v>
      </c>
      <c r="I974" s="3">
        <v>2</v>
      </c>
      <c r="J974" s="8" t="s">
        <v>733</v>
      </c>
      <c r="K974" s="8" t="s">
        <v>734</v>
      </c>
      <c r="L974" s="8" t="s">
        <v>730</v>
      </c>
      <c r="M974" s="1" t="s">
        <v>784</v>
      </c>
      <c r="N974" s="8" t="s">
        <v>785</v>
      </c>
      <c r="O974" s="6">
        <v>0</v>
      </c>
      <c r="P974" s="6">
        <v>0</v>
      </c>
      <c r="Q974" s="6">
        <v>0</v>
      </c>
      <c r="R974" s="6">
        <v>0</v>
      </c>
      <c r="S974" s="6">
        <v>800</v>
      </c>
    </row>
    <row r="975" spans="1:19" ht="15" x14ac:dyDescent="0.25">
      <c r="A975" s="7" t="s">
        <v>16</v>
      </c>
      <c r="B975" s="7" t="s">
        <v>55</v>
      </c>
      <c r="C975" s="7" t="s">
        <v>18</v>
      </c>
      <c r="D975" s="3">
        <v>33663683005347</v>
      </c>
      <c r="E975" s="8" t="s">
        <v>688</v>
      </c>
      <c r="F975" s="8" t="s">
        <v>652</v>
      </c>
      <c r="G975" s="8" t="s">
        <v>241</v>
      </c>
      <c r="H975" s="8" t="s">
        <v>795</v>
      </c>
      <c r="I975" s="3">
        <v>2</v>
      </c>
      <c r="J975" s="8" t="s">
        <v>752</v>
      </c>
      <c r="K975" s="8" t="s">
        <v>753</v>
      </c>
      <c r="L975" s="8" t="s">
        <v>723</v>
      </c>
      <c r="M975" s="1" t="s">
        <v>784</v>
      </c>
      <c r="N975" s="8" t="s">
        <v>785</v>
      </c>
      <c r="O975" s="6">
        <v>0</v>
      </c>
      <c r="P975" s="6">
        <v>0</v>
      </c>
      <c r="Q975" s="6">
        <v>0</v>
      </c>
      <c r="R975" s="6">
        <v>0</v>
      </c>
      <c r="S975" s="6">
        <v>800</v>
      </c>
    </row>
    <row r="976" spans="1:19" ht="15" x14ac:dyDescent="0.25">
      <c r="A976" s="7" t="s">
        <v>16</v>
      </c>
      <c r="B976" s="7" t="s">
        <v>55</v>
      </c>
      <c r="C976" s="7" t="s">
        <v>18</v>
      </c>
      <c r="D976" s="3">
        <v>8850962000222</v>
      </c>
      <c r="E976" s="8" t="s">
        <v>666</v>
      </c>
      <c r="F976" s="8" t="s">
        <v>652</v>
      </c>
      <c r="G976" s="8" t="s">
        <v>241</v>
      </c>
      <c r="H976" s="8" t="s">
        <v>795</v>
      </c>
      <c r="I976" s="3">
        <v>2</v>
      </c>
      <c r="J976" s="8" t="s">
        <v>733</v>
      </c>
      <c r="K976" s="8" t="s">
        <v>734</v>
      </c>
      <c r="L976" s="8" t="s">
        <v>730</v>
      </c>
      <c r="M976" s="1" t="s">
        <v>784</v>
      </c>
      <c r="N976" s="8" t="s">
        <v>785</v>
      </c>
      <c r="O976" s="6">
        <v>0</v>
      </c>
      <c r="P976" s="6">
        <v>0</v>
      </c>
      <c r="Q976" s="6">
        <v>0</v>
      </c>
      <c r="R976" s="6">
        <v>0</v>
      </c>
      <c r="S976" s="6">
        <v>0</v>
      </c>
    </row>
    <row r="977" spans="1:19" ht="15" x14ac:dyDescent="0.25">
      <c r="A977" s="7" t="s">
        <v>16</v>
      </c>
      <c r="B977" s="7" t="s">
        <v>55</v>
      </c>
      <c r="C977" s="7" t="s">
        <v>18</v>
      </c>
      <c r="D977" s="3">
        <v>8850962000222</v>
      </c>
      <c r="E977" s="8" t="s">
        <v>666</v>
      </c>
      <c r="F977" s="8" t="s">
        <v>652</v>
      </c>
      <c r="G977" s="8" t="s">
        <v>241</v>
      </c>
      <c r="H977" s="8" t="s">
        <v>795</v>
      </c>
      <c r="I977" s="3">
        <v>2</v>
      </c>
      <c r="J977" s="8" t="s">
        <v>760</v>
      </c>
      <c r="K977" s="8" t="s">
        <v>761</v>
      </c>
      <c r="L977" s="8" t="s">
        <v>723</v>
      </c>
      <c r="M977" s="1" t="s">
        <v>784</v>
      </c>
      <c r="N977" s="8" t="s">
        <v>785</v>
      </c>
      <c r="O977" s="6">
        <v>0</v>
      </c>
      <c r="P977" s="6">
        <v>16</v>
      </c>
      <c r="Q977" s="6">
        <v>16</v>
      </c>
      <c r="R977" s="6">
        <v>0</v>
      </c>
      <c r="S977" s="6">
        <v>0</v>
      </c>
    </row>
    <row r="978" spans="1:19" ht="15" x14ac:dyDescent="0.25">
      <c r="A978" s="7" t="s">
        <v>16</v>
      </c>
      <c r="B978" s="7" t="s">
        <v>55</v>
      </c>
      <c r="C978" s="7" t="s">
        <v>18</v>
      </c>
      <c r="D978" s="3">
        <v>394544017150</v>
      </c>
      <c r="E978" s="8" t="s">
        <v>698</v>
      </c>
      <c r="F978" s="8" t="s">
        <v>652</v>
      </c>
      <c r="G978" s="8" t="s">
        <v>241</v>
      </c>
      <c r="H978" s="8" t="s">
        <v>795</v>
      </c>
      <c r="I978" s="3">
        <v>2</v>
      </c>
      <c r="J978" s="8" t="s">
        <v>733</v>
      </c>
      <c r="K978" s="8" t="s">
        <v>734</v>
      </c>
      <c r="L978" s="8" t="s">
        <v>730</v>
      </c>
      <c r="M978" s="1" t="s">
        <v>784</v>
      </c>
      <c r="N978" s="8" t="s">
        <v>785</v>
      </c>
      <c r="O978" s="6">
        <v>0</v>
      </c>
      <c r="P978" s="6">
        <v>0</v>
      </c>
      <c r="Q978" s="6">
        <v>0</v>
      </c>
      <c r="R978" s="6">
        <v>0</v>
      </c>
      <c r="S978" s="6">
        <v>0</v>
      </c>
    </row>
    <row r="979" spans="1:19" ht="15" x14ac:dyDescent="0.25">
      <c r="A979" s="7" t="s">
        <v>16</v>
      </c>
      <c r="B979" s="7" t="s">
        <v>55</v>
      </c>
      <c r="C979" s="7" t="s">
        <v>18</v>
      </c>
      <c r="D979" s="3">
        <v>394544017150</v>
      </c>
      <c r="E979" s="8" t="s">
        <v>698</v>
      </c>
      <c r="F979" s="8" t="s">
        <v>652</v>
      </c>
      <c r="G979" s="8" t="s">
        <v>241</v>
      </c>
      <c r="H979" s="8" t="s">
        <v>795</v>
      </c>
      <c r="I979" s="3">
        <v>2</v>
      </c>
      <c r="J979" s="8" t="s">
        <v>752</v>
      </c>
      <c r="K979" s="8" t="s">
        <v>753</v>
      </c>
      <c r="L979" s="8" t="s">
        <v>723</v>
      </c>
      <c r="M979" s="1" t="s">
        <v>784</v>
      </c>
      <c r="N979" s="8" t="s">
        <v>785</v>
      </c>
      <c r="O979" s="6">
        <v>0</v>
      </c>
      <c r="P979" s="6">
        <v>20</v>
      </c>
      <c r="Q979" s="6">
        <v>0</v>
      </c>
      <c r="R979" s="6">
        <v>0</v>
      </c>
      <c r="S979" s="6">
        <v>0</v>
      </c>
    </row>
    <row r="980" spans="1:19" ht="15" x14ac:dyDescent="0.25">
      <c r="A980" s="7" t="s">
        <v>16</v>
      </c>
      <c r="B980" s="7" t="s">
        <v>55</v>
      </c>
      <c r="C980" s="7" t="s">
        <v>18</v>
      </c>
      <c r="D980" s="3">
        <v>33419482000259</v>
      </c>
      <c r="E980" s="8" t="s">
        <v>686</v>
      </c>
      <c r="F980" s="8" t="s">
        <v>652</v>
      </c>
      <c r="G980" s="8" t="s">
        <v>241</v>
      </c>
      <c r="H980" s="8" t="s">
        <v>795</v>
      </c>
      <c r="I980" s="3">
        <v>2</v>
      </c>
      <c r="J980" s="8" t="s">
        <v>733</v>
      </c>
      <c r="K980" s="8" t="s">
        <v>734</v>
      </c>
      <c r="L980" s="8" t="s">
        <v>730</v>
      </c>
      <c r="M980" s="1" t="s">
        <v>784</v>
      </c>
      <c r="N980" s="8" t="s">
        <v>785</v>
      </c>
      <c r="O980" s="6">
        <v>0</v>
      </c>
      <c r="P980" s="6">
        <v>0</v>
      </c>
      <c r="Q980" s="6">
        <v>0</v>
      </c>
      <c r="R980" s="6">
        <v>0</v>
      </c>
      <c r="S980" s="6">
        <v>15</v>
      </c>
    </row>
    <row r="981" spans="1:19" ht="15" x14ac:dyDescent="0.25">
      <c r="A981" s="7" t="s">
        <v>16</v>
      </c>
      <c r="B981" s="7" t="s">
        <v>55</v>
      </c>
      <c r="C981" s="7" t="s">
        <v>18</v>
      </c>
      <c r="D981" s="3">
        <v>33419482000259</v>
      </c>
      <c r="E981" s="8" t="s">
        <v>686</v>
      </c>
      <c r="F981" s="8" t="s">
        <v>652</v>
      </c>
      <c r="G981" s="8" t="s">
        <v>241</v>
      </c>
      <c r="H981" s="8" t="s">
        <v>795</v>
      </c>
      <c r="I981" s="3">
        <v>2</v>
      </c>
      <c r="J981" s="8" t="s">
        <v>760</v>
      </c>
      <c r="K981" s="8" t="s">
        <v>761</v>
      </c>
      <c r="L981" s="8" t="s">
        <v>723</v>
      </c>
      <c r="M981" s="1" t="s">
        <v>784</v>
      </c>
      <c r="N981" s="8" t="s">
        <v>785</v>
      </c>
      <c r="O981" s="6">
        <v>0</v>
      </c>
      <c r="P981" s="6">
        <v>2</v>
      </c>
      <c r="Q981" s="6">
        <v>9</v>
      </c>
      <c r="R981" s="6">
        <v>0</v>
      </c>
      <c r="S981" s="6">
        <v>15</v>
      </c>
    </row>
    <row r="982" spans="1:19" ht="15" x14ac:dyDescent="0.25">
      <c r="A982" s="7" t="s">
        <v>16</v>
      </c>
      <c r="B982" s="7" t="s">
        <v>55</v>
      </c>
      <c r="C982" s="7" t="s">
        <v>18</v>
      </c>
      <c r="D982" s="3">
        <v>72101124000506</v>
      </c>
      <c r="E982" s="8" t="s">
        <v>695</v>
      </c>
      <c r="F982" s="8" t="s">
        <v>652</v>
      </c>
      <c r="G982" s="8" t="s">
        <v>241</v>
      </c>
      <c r="H982" s="8" t="s">
        <v>795</v>
      </c>
      <c r="I982" s="3">
        <v>2</v>
      </c>
      <c r="J982" s="8" t="s">
        <v>733</v>
      </c>
      <c r="K982" s="8" t="s">
        <v>734</v>
      </c>
      <c r="L982" s="8" t="s">
        <v>730</v>
      </c>
      <c r="M982" s="1" t="s">
        <v>784</v>
      </c>
      <c r="N982" s="8" t="s">
        <v>785</v>
      </c>
      <c r="O982" s="6">
        <v>0</v>
      </c>
      <c r="P982" s="6">
        <v>0</v>
      </c>
      <c r="Q982" s="6">
        <v>0</v>
      </c>
      <c r="R982" s="6">
        <v>135</v>
      </c>
      <c r="S982" s="6">
        <v>175</v>
      </c>
    </row>
    <row r="983" spans="1:19" ht="15" x14ac:dyDescent="0.25">
      <c r="A983" s="7" t="s">
        <v>16</v>
      </c>
      <c r="B983" s="7" t="s">
        <v>55</v>
      </c>
      <c r="C983" s="7" t="s">
        <v>18</v>
      </c>
      <c r="D983" s="3">
        <v>72101124000506</v>
      </c>
      <c r="E983" s="8" t="s">
        <v>695</v>
      </c>
      <c r="F983" s="8" t="s">
        <v>652</v>
      </c>
      <c r="G983" s="8" t="s">
        <v>241</v>
      </c>
      <c r="H983" s="8" t="s">
        <v>795</v>
      </c>
      <c r="I983" s="3">
        <v>2</v>
      </c>
      <c r="J983" s="8" t="s">
        <v>760</v>
      </c>
      <c r="K983" s="8" t="s">
        <v>761</v>
      </c>
      <c r="L983" s="8" t="s">
        <v>723</v>
      </c>
      <c r="M983" s="1" t="s">
        <v>784</v>
      </c>
      <c r="N983" s="8" t="s">
        <v>785</v>
      </c>
      <c r="O983" s="6">
        <v>0</v>
      </c>
      <c r="P983" s="6">
        <v>0</v>
      </c>
      <c r="Q983" s="6">
        <v>0</v>
      </c>
      <c r="R983" s="6">
        <v>0</v>
      </c>
      <c r="S983" s="6">
        <v>175</v>
      </c>
    </row>
    <row r="984" spans="1:19" ht="15" x14ac:dyDescent="0.25">
      <c r="A984" s="7" t="s">
        <v>16</v>
      </c>
      <c r="B984" s="7" t="s">
        <v>55</v>
      </c>
      <c r="C984" s="7" t="s">
        <v>18</v>
      </c>
      <c r="D984" s="3">
        <v>28000107000159</v>
      </c>
      <c r="E984" s="8" t="s">
        <v>676</v>
      </c>
      <c r="F984" s="8" t="s">
        <v>652</v>
      </c>
      <c r="G984" s="8" t="s">
        <v>241</v>
      </c>
      <c r="H984" s="8" t="s">
        <v>795</v>
      </c>
      <c r="I984" s="3">
        <v>2</v>
      </c>
      <c r="J984" s="8" t="s">
        <v>733</v>
      </c>
      <c r="K984" s="8" t="s">
        <v>734</v>
      </c>
      <c r="L984" s="8" t="s">
        <v>730</v>
      </c>
      <c r="M984" s="1" t="s">
        <v>784</v>
      </c>
      <c r="N984" s="8" t="s">
        <v>785</v>
      </c>
      <c r="O984" s="6">
        <v>0</v>
      </c>
      <c r="P984" s="6">
        <v>0</v>
      </c>
      <c r="Q984" s="6">
        <v>0</v>
      </c>
      <c r="R984" s="6">
        <v>140</v>
      </c>
      <c r="S984" s="6">
        <v>90</v>
      </c>
    </row>
    <row r="985" spans="1:19" ht="15" x14ac:dyDescent="0.25">
      <c r="A985" s="7" t="s">
        <v>16</v>
      </c>
      <c r="B985" s="7" t="s">
        <v>55</v>
      </c>
      <c r="C985" s="7" t="s">
        <v>18</v>
      </c>
      <c r="D985" s="3">
        <v>28000107000159</v>
      </c>
      <c r="E985" s="8" t="s">
        <v>676</v>
      </c>
      <c r="F985" s="8" t="s">
        <v>652</v>
      </c>
      <c r="G985" s="8" t="s">
        <v>241</v>
      </c>
      <c r="H985" s="8" t="s">
        <v>795</v>
      </c>
      <c r="I985" s="3">
        <v>2</v>
      </c>
      <c r="J985" s="8" t="s">
        <v>760</v>
      </c>
      <c r="K985" s="8" t="s">
        <v>761</v>
      </c>
      <c r="L985" s="8" t="s">
        <v>723</v>
      </c>
      <c r="M985" s="1" t="s">
        <v>784</v>
      </c>
      <c r="N985" s="8" t="s">
        <v>785</v>
      </c>
      <c r="O985" s="6">
        <v>0</v>
      </c>
      <c r="P985" s="6">
        <v>0</v>
      </c>
      <c r="Q985" s="6">
        <v>0</v>
      </c>
      <c r="R985" s="6">
        <v>0</v>
      </c>
      <c r="S985" s="6">
        <v>90</v>
      </c>
    </row>
    <row r="986" spans="1:19" ht="15" x14ac:dyDescent="0.25">
      <c r="A986" s="7" t="s">
        <v>16</v>
      </c>
      <c r="B986" s="7" t="s">
        <v>55</v>
      </c>
      <c r="C986" s="7" t="s">
        <v>18</v>
      </c>
      <c r="D986" s="3">
        <v>9219138000584</v>
      </c>
      <c r="E986" s="8" t="s">
        <v>667</v>
      </c>
      <c r="F986" s="8" t="s">
        <v>652</v>
      </c>
      <c r="G986" s="8" t="s">
        <v>241</v>
      </c>
      <c r="H986" s="8" t="s">
        <v>795</v>
      </c>
      <c r="I986" s="3">
        <v>2</v>
      </c>
      <c r="J986" s="8" t="s">
        <v>733</v>
      </c>
      <c r="K986" s="8" t="s">
        <v>734</v>
      </c>
      <c r="L986" s="8" t="s">
        <v>730</v>
      </c>
      <c r="M986" s="1" t="s">
        <v>784</v>
      </c>
      <c r="N986" s="8" t="s">
        <v>785</v>
      </c>
      <c r="O986" s="6">
        <v>0</v>
      </c>
      <c r="P986" s="6">
        <v>0</v>
      </c>
      <c r="Q986" s="6">
        <v>0</v>
      </c>
      <c r="R986" s="6">
        <v>188</v>
      </c>
      <c r="S986" s="6">
        <v>670</v>
      </c>
    </row>
    <row r="987" spans="1:19" ht="15" x14ac:dyDescent="0.25">
      <c r="A987" s="7" t="s">
        <v>16</v>
      </c>
      <c r="B987" s="7" t="s">
        <v>55</v>
      </c>
      <c r="C987" s="7" t="s">
        <v>18</v>
      </c>
      <c r="D987" s="3">
        <v>9219138000584</v>
      </c>
      <c r="E987" s="8" t="s">
        <v>667</v>
      </c>
      <c r="F987" s="8" t="s">
        <v>652</v>
      </c>
      <c r="G987" s="8" t="s">
        <v>241</v>
      </c>
      <c r="H987" s="8" t="s">
        <v>795</v>
      </c>
      <c r="I987" s="3">
        <v>2</v>
      </c>
      <c r="J987" s="8" t="s">
        <v>752</v>
      </c>
      <c r="K987" s="8" t="s">
        <v>753</v>
      </c>
      <c r="L987" s="8" t="s">
        <v>723</v>
      </c>
      <c r="M987" s="1" t="s">
        <v>784</v>
      </c>
      <c r="N987" s="8" t="s">
        <v>785</v>
      </c>
      <c r="O987" s="6">
        <v>0</v>
      </c>
      <c r="P987" s="6">
        <v>4</v>
      </c>
      <c r="Q987" s="6">
        <v>0</v>
      </c>
      <c r="R987" s="6">
        <v>0</v>
      </c>
      <c r="S987" s="6">
        <v>670</v>
      </c>
    </row>
    <row r="988" spans="1:19" ht="15" x14ac:dyDescent="0.25">
      <c r="A988" s="7" t="s">
        <v>16</v>
      </c>
      <c r="B988" s="7" t="s">
        <v>55</v>
      </c>
      <c r="C988" s="7" t="s">
        <v>18</v>
      </c>
      <c r="D988" s="3">
        <v>28602407000108</v>
      </c>
      <c r="E988" s="8" t="s">
        <v>677</v>
      </c>
      <c r="F988" s="8" t="s">
        <v>652</v>
      </c>
      <c r="G988" s="8" t="s">
        <v>241</v>
      </c>
      <c r="H988" s="8" t="s">
        <v>795</v>
      </c>
      <c r="I988" s="3">
        <v>2</v>
      </c>
      <c r="J988" s="8" t="s">
        <v>733</v>
      </c>
      <c r="K988" s="8" t="s">
        <v>734</v>
      </c>
      <c r="L988" s="8" t="s">
        <v>730</v>
      </c>
      <c r="M988" s="1" t="s">
        <v>784</v>
      </c>
      <c r="N988" s="8" t="s">
        <v>785</v>
      </c>
      <c r="O988" s="6">
        <v>0</v>
      </c>
      <c r="P988" s="6">
        <v>0</v>
      </c>
      <c r="Q988" s="6">
        <v>0</v>
      </c>
      <c r="R988" s="6">
        <v>4</v>
      </c>
      <c r="S988" s="6">
        <v>0</v>
      </c>
    </row>
    <row r="989" spans="1:19" ht="15" x14ac:dyDescent="0.25">
      <c r="A989" s="7" t="s">
        <v>16</v>
      </c>
      <c r="B989" s="7" t="s">
        <v>55</v>
      </c>
      <c r="C989" s="7" t="s">
        <v>18</v>
      </c>
      <c r="D989" s="3">
        <v>28602407000108</v>
      </c>
      <c r="E989" s="8" t="s">
        <v>677</v>
      </c>
      <c r="F989" s="8" t="s">
        <v>652</v>
      </c>
      <c r="G989" s="8" t="s">
        <v>241</v>
      </c>
      <c r="H989" s="8" t="s">
        <v>795</v>
      </c>
      <c r="I989" s="3">
        <v>2</v>
      </c>
      <c r="J989" s="8" t="s">
        <v>760</v>
      </c>
      <c r="K989" s="8" t="s">
        <v>761</v>
      </c>
      <c r="L989" s="8" t="s">
        <v>723</v>
      </c>
      <c r="M989" s="1" t="s">
        <v>784</v>
      </c>
      <c r="N989" s="8" t="s">
        <v>785</v>
      </c>
      <c r="O989" s="6">
        <v>0</v>
      </c>
      <c r="P989" s="6">
        <v>0</v>
      </c>
      <c r="Q989" s="6">
        <v>0</v>
      </c>
      <c r="R989" s="6">
        <v>0</v>
      </c>
      <c r="S989" s="6">
        <v>0</v>
      </c>
    </row>
    <row r="990" spans="1:19" ht="15" x14ac:dyDescent="0.25">
      <c r="A990" s="7" t="s">
        <v>16</v>
      </c>
      <c r="B990" s="7" t="s">
        <v>55</v>
      </c>
      <c r="C990" s="7" t="s">
        <v>18</v>
      </c>
      <c r="D990" s="3">
        <v>36238913000198</v>
      </c>
      <c r="E990" s="8" t="s">
        <v>503</v>
      </c>
      <c r="F990" s="8" t="s">
        <v>504</v>
      </c>
      <c r="G990" s="8" t="s">
        <v>241</v>
      </c>
      <c r="H990" s="8" t="s">
        <v>795</v>
      </c>
      <c r="I990" s="3">
        <v>2</v>
      </c>
      <c r="J990" s="8" t="s">
        <v>733</v>
      </c>
      <c r="K990" s="8" t="s">
        <v>734</v>
      </c>
      <c r="L990" s="8" t="s">
        <v>730</v>
      </c>
      <c r="M990" s="1" t="s">
        <v>784</v>
      </c>
      <c r="N990" s="8" t="s">
        <v>785</v>
      </c>
      <c r="O990" s="6">
        <v>0</v>
      </c>
      <c r="P990" s="6">
        <v>0</v>
      </c>
      <c r="Q990" s="6">
        <v>0</v>
      </c>
      <c r="R990" s="6">
        <v>0</v>
      </c>
      <c r="S990" s="6">
        <v>125</v>
      </c>
    </row>
    <row r="991" spans="1:19" ht="15" x14ac:dyDescent="0.25">
      <c r="A991" s="7" t="s">
        <v>16</v>
      </c>
      <c r="B991" s="7" t="s">
        <v>55</v>
      </c>
      <c r="C991" s="7" t="s">
        <v>18</v>
      </c>
      <c r="D991" s="3">
        <v>36238913000198</v>
      </c>
      <c r="E991" s="8" t="s">
        <v>503</v>
      </c>
      <c r="F991" s="8" t="s">
        <v>504</v>
      </c>
      <c r="G991" s="8" t="s">
        <v>241</v>
      </c>
      <c r="H991" s="8" t="s">
        <v>795</v>
      </c>
      <c r="I991" s="3">
        <v>2</v>
      </c>
      <c r="J991" s="8" t="s">
        <v>752</v>
      </c>
      <c r="K991" s="8" t="s">
        <v>753</v>
      </c>
      <c r="L991" s="8" t="s">
        <v>723</v>
      </c>
      <c r="M991" s="1" t="s">
        <v>784</v>
      </c>
      <c r="N991" s="8" t="s">
        <v>785</v>
      </c>
      <c r="O991" s="6">
        <v>0</v>
      </c>
      <c r="P991" s="6">
        <v>0</v>
      </c>
      <c r="Q991" s="6">
        <v>0</v>
      </c>
      <c r="R991" s="6">
        <v>0</v>
      </c>
      <c r="S991" s="6">
        <v>125</v>
      </c>
    </row>
    <row r="992" spans="1:19" ht="15" x14ac:dyDescent="0.25">
      <c r="A992" s="7" t="s">
        <v>16</v>
      </c>
      <c r="B992" s="7" t="s">
        <v>55</v>
      </c>
      <c r="C992" s="7" t="s">
        <v>18</v>
      </c>
      <c r="D992" s="3">
        <v>35917970000726</v>
      </c>
      <c r="E992" s="8" t="s">
        <v>457</v>
      </c>
      <c r="F992" s="8" t="s">
        <v>458</v>
      </c>
      <c r="G992" s="8" t="s">
        <v>241</v>
      </c>
      <c r="H992" s="8" t="s">
        <v>795</v>
      </c>
      <c r="I992" s="3">
        <v>2</v>
      </c>
      <c r="J992" s="8" t="s">
        <v>733</v>
      </c>
      <c r="K992" s="8" t="s">
        <v>734</v>
      </c>
      <c r="L992" s="8" t="s">
        <v>730</v>
      </c>
      <c r="M992" s="1" t="s">
        <v>784</v>
      </c>
      <c r="N992" s="8" t="s">
        <v>785</v>
      </c>
      <c r="O992" s="6">
        <v>0</v>
      </c>
      <c r="P992" s="6">
        <v>0</v>
      </c>
      <c r="Q992" s="6">
        <v>0</v>
      </c>
      <c r="R992" s="6">
        <v>15</v>
      </c>
      <c r="S992" s="6">
        <v>0</v>
      </c>
    </row>
    <row r="993" spans="1:19" ht="15" x14ac:dyDescent="0.25">
      <c r="A993" s="7" t="s">
        <v>16</v>
      </c>
      <c r="B993" s="7" t="s">
        <v>55</v>
      </c>
      <c r="C993" s="7" t="s">
        <v>18</v>
      </c>
      <c r="D993" s="3">
        <v>35917970000726</v>
      </c>
      <c r="E993" s="8" t="s">
        <v>457</v>
      </c>
      <c r="F993" s="8" t="s">
        <v>458</v>
      </c>
      <c r="G993" s="8" t="s">
        <v>241</v>
      </c>
      <c r="H993" s="8" t="s">
        <v>795</v>
      </c>
      <c r="I993" s="3">
        <v>2</v>
      </c>
      <c r="J993" s="8" t="s">
        <v>752</v>
      </c>
      <c r="K993" s="8" t="s">
        <v>753</v>
      </c>
      <c r="L993" s="8" t="s">
        <v>723</v>
      </c>
      <c r="M993" s="1" t="s">
        <v>784</v>
      </c>
      <c r="N993" s="8" t="s">
        <v>785</v>
      </c>
      <c r="O993" s="6">
        <v>0</v>
      </c>
      <c r="P993" s="6">
        <v>0</v>
      </c>
      <c r="Q993" s="6">
        <v>0</v>
      </c>
      <c r="R993" s="6">
        <v>0</v>
      </c>
      <c r="S993" s="6">
        <v>0</v>
      </c>
    </row>
    <row r="994" spans="1:19" ht="15" x14ac:dyDescent="0.25">
      <c r="A994" s="7" t="s">
        <v>16</v>
      </c>
      <c r="B994" s="7" t="s">
        <v>55</v>
      </c>
      <c r="C994" s="7" t="s">
        <v>18</v>
      </c>
      <c r="D994" s="3">
        <v>12361267009140</v>
      </c>
      <c r="E994" s="8" t="s">
        <v>561</v>
      </c>
      <c r="F994" s="8" t="s">
        <v>562</v>
      </c>
      <c r="G994" s="8" t="s">
        <v>247</v>
      </c>
      <c r="H994" s="8" t="s">
        <v>795</v>
      </c>
      <c r="I994" s="3">
        <v>2</v>
      </c>
      <c r="J994" s="8" t="s">
        <v>778</v>
      </c>
      <c r="K994" s="8" t="s">
        <v>779</v>
      </c>
      <c r="L994" s="8" t="s">
        <v>730</v>
      </c>
      <c r="M994" s="1" t="s">
        <v>790</v>
      </c>
      <c r="N994" s="8" t="s">
        <v>791</v>
      </c>
      <c r="O994" s="6">
        <v>0</v>
      </c>
      <c r="P994" s="6">
        <v>0</v>
      </c>
      <c r="Q994" s="6">
        <v>0</v>
      </c>
      <c r="R994" s="6">
        <v>0</v>
      </c>
      <c r="S994" s="6">
        <v>5</v>
      </c>
    </row>
    <row r="995" spans="1:19" ht="15" x14ac:dyDescent="0.25">
      <c r="A995" s="7" t="s">
        <v>16</v>
      </c>
      <c r="B995" s="7" t="s">
        <v>55</v>
      </c>
      <c r="C995" s="7" t="s">
        <v>18</v>
      </c>
      <c r="D995" s="3">
        <v>12361267009140</v>
      </c>
      <c r="E995" s="8" t="s">
        <v>561</v>
      </c>
      <c r="F995" s="8" t="s">
        <v>562</v>
      </c>
      <c r="G995" s="8" t="s">
        <v>247</v>
      </c>
      <c r="H995" s="8" t="s">
        <v>795</v>
      </c>
      <c r="I995" s="3">
        <v>2</v>
      </c>
      <c r="J995" s="8" t="s">
        <v>748</v>
      </c>
      <c r="K995" s="8" t="s">
        <v>749</v>
      </c>
      <c r="L995" s="8" t="s">
        <v>723</v>
      </c>
      <c r="M995" s="1" t="s">
        <v>790</v>
      </c>
      <c r="N995" s="8" t="s">
        <v>791</v>
      </c>
      <c r="O995" s="6">
        <v>0</v>
      </c>
      <c r="P995" s="6">
        <v>0</v>
      </c>
      <c r="Q995" s="6">
        <v>0</v>
      </c>
      <c r="R995" s="6">
        <v>0</v>
      </c>
      <c r="S995" s="6">
        <v>5</v>
      </c>
    </row>
    <row r="996" spans="1:19" ht="15" x14ac:dyDescent="0.25">
      <c r="A996" s="7" t="s">
        <v>16</v>
      </c>
      <c r="B996" s="7" t="s">
        <v>55</v>
      </c>
      <c r="C996" s="7" t="s">
        <v>18</v>
      </c>
      <c r="D996" s="3">
        <v>8319329000121</v>
      </c>
      <c r="E996" s="8" t="s">
        <v>301</v>
      </c>
      <c r="F996" s="8" t="s">
        <v>246</v>
      </c>
      <c r="G996" s="8" t="s">
        <v>247</v>
      </c>
      <c r="H996" s="8" t="s">
        <v>795</v>
      </c>
      <c r="I996" s="3">
        <v>2</v>
      </c>
      <c r="J996" s="8" t="s">
        <v>778</v>
      </c>
      <c r="K996" s="8" t="s">
        <v>779</v>
      </c>
      <c r="L996" s="8" t="s">
        <v>730</v>
      </c>
      <c r="M996" s="1" t="s">
        <v>790</v>
      </c>
      <c r="N996" s="8" t="s">
        <v>791</v>
      </c>
      <c r="O996" s="6">
        <v>0</v>
      </c>
      <c r="P996" s="6">
        <v>0</v>
      </c>
      <c r="Q996" s="6">
        <v>0</v>
      </c>
      <c r="R996" s="6">
        <v>0</v>
      </c>
      <c r="S996" s="6">
        <v>0</v>
      </c>
    </row>
    <row r="997" spans="1:19" ht="15" x14ac:dyDescent="0.25">
      <c r="A997" s="7" t="s">
        <v>16</v>
      </c>
      <c r="B997" s="7" t="s">
        <v>55</v>
      </c>
      <c r="C997" s="7" t="s">
        <v>18</v>
      </c>
      <c r="D997" s="3">
        <v>8319329000121</v>
      </c>
      <c r="E997" s="8" t="s">
        <v>301</v>
      </c>
      <c r="F997" s="8" t="s">
        <v>246</v>
      </c>
      <c r="G997" s="8" t="s">
        <v>247</v>
      </c>
      <c r="H997" s="8" t="s">
        <v>795</v>
      </c>
      <c r="I997" s="3">
        <v>2</v>
      </c>
      <c r="J997" s="8" t="s">
        <v>748</v>
      </c>
      <c r="K997" s="8" t="s">
        <v>749</v>
      </c>
      <c r="L997" s="8" t="s">
        <v>723</v>
      </c>
      <c r="M997" s="1" t="s">
        <v>790</v>
      </c>
      <c r="N997" s="8" t="s">
        <v>791</v>
      </c>
      <c r="O997" s="6">
        <v>0</v>
      </c>
      <c r="P997" s="6">
        <v>26</v>
      </c>
      <c r="Q997" s="6">
        <v>0</v>
      </c>
      <c r="R997" s="6">
        <v>0</v>
      </c>
      <c r="S997" s="6">
        <v>0</v>
      </c>
    </row>
    <row r="998" spans="1:19" ht="15" x14ac:dyDescent="0.25">
      <c r="A998" s="7" t="s">
        <v>16</v>
      </c>
      <c r="B998" s="7" t="s">
        <v>55</v>
      </c>
      <c r="C998" s="7" t="s">
        <v>18</v>
      </c>
      <c r="D998" s="3">
        <v>13262578000168</v>
      </c>
      <c r="E998" s="8" t="s">
        <v>438</v>
      </c>
      <c r="F998" s="8" t="s">
        <v>246</v>
      </c>
      <c r="G998" s="8" t="s">
        <v>247</v>
      </c>
      <c r="H998" s="8" t="s">
        <v>795</v>
      </c>
      <c r="I998" s="3">
        <v>2</v>
      </c>
      <c r="J998" s="8" t="s">
        <v>778</v>
      </c>
      <c r="K998" s="8" t="s">
        <v>779</v>
      </c>
      <c r="L998" s="8" t="s">
        <v>730</v>
      </c>
      <c r="M998" s="1" t="s">
        <v>790</v>
      </c>
      <c r="N998" s="8" t="s">
        <v>791</v>
      </c>
      <c r="O998" s="6">
        <v>6</v>
      </c>
      <c r="P998" s="6">
        <v>0</v>
      </c>
      <c r="Q998" s="6">
        <v>0</v>
      </c>
      <c r="R998" s="6">
        <v>0</v>
      </c>
      <c r="S998" s="6">
        <v>0</v>
      </c>
    </row>
    <row r="999" spans="1:19" ht="15" x14ac:dyDescent="0.25">
      <c r="A999" s="7" t="s">
        <v>16</v>
      </c>
      <c r="B999" s="7" t="s">
        <v>55</v>
      </c>
      <c r="C999" s="7" t="s">
        <v>18</v>
      </c>
      <c r="D999" s="3">
        <v>13262578000168</v>
      </c>
      <c r="E999" s="8" t="s">
        <v>438</v>
      </c>
      <c r="F999" s="8" t="s">
        <v>246</v>
      </c>
      <c r="G999" s="8" t="s">
        <v>247</v>
      </c>
      <c r="H999" s="8" t="s">
        <v>795</v>
      </c>
      <c r="I999" s="3">
        <v>2</v>
      </c>
      <c r="J999" s="8" t="s">
        <v>748</v>
      </c>
      <c r="K999" s="8" t="s">
        <v>749</v>
      </c>
      <c r="L999" s="8" t="s">
        <v>723</v>
      </c>
      <c r="M999" s="1" t="s">
        <v>790</v>
      </c>
      <c r="N999" s="8" t="s">
        <v>791</v>
      </c>
      <c r="O999" s="6">
        <v>0</v>
      </c>
      <c r="P999" s="6">
        <v>0</v>
      </c>
      <c r="Q999" s="6">
        <v>0</v>
      </c>
      <c r="R999" s="6">
        <v>0</v>
      </c>
      <c r="S999" s="6">
        <v>0</v>
      </c>
    </row>
    <row r="1000" spans="1:19" ht="15" x14ac:dyDescent="0.25">
      <c r="A1000" s="7" t="s">
        <v>16</v>
      </c>
      <c r="B1000" s="7" t="s">
        <v>55</v>
      </c>
      <c r="C1000" s="7" t="s">
        <v>18</v>
      </c>
      <c r="D1000" s="3">
        <v>29435005009851</v>
      </c>
      <c r="E1000" s="8" t="s">
        <v>372</v>
      </c>
      <c r="F1000" s="8" t="s">
        <v>246</v>
      </c>
      <c r="G1000" s="8" t="s">
        <v>247</v>
      </c>
      <c r="H1000" s="8" t="s">
        <v>795</v>
      </c>
      <c r="I1000" s="3">
        <v>2</v>
      </c>
      <c r="J1000" s="8" t="s">
        <v>778</v>
      </c>
      <c r="K1000" s="8" t="s">
        <v>779</v>
      </c>
      <c r="L1000" s="8" t="s">
        <v>730</v>
      </c>
      <c r="M1000" s="1" t="s">
        <v>790</v>
      </c>
      <c r="N1000" s="8" t="s">
        <v>791</v>
      </c>
      <c r="O1000" s="6">
        <v>0</v>
      </c>
      <c r="P1000" s="6">
        <v>0</v>
      </c>
      <c r="Q1000" s="6">
        <v>0</v>
      </c>
      <c r="R1000" s="6">
        <v>0</v>
      </c>
      <c r="S1000" s="6">
        <v>200</v>
      </c>
    </row>
    <row r="1001" spans="1:19" ht="15" x14ac:dyDescent="0.25">
      <c r="A1001" s="7" t="s">
        <v>16</v>
      </c>
      <c r="B1001" s="7" t="s">
        <v>55</v>
      </c>
      <c r="C1001" s="7" t="s">
        <v>18</v>
      </c>
      <c r="D1001" s="3">
        <v>29435005009851</v>
      </c>
      <c r="E1001" s="8" t="s">
        <v>372</v>
      </c>
      <c r="F1001" s="8" t="s">
        <v>246</v>
      </c>
      <c r="G1001" s="8" t="s">
        <v>247</v>
      </c>
      <c r="H1001" s="8" t="s">
        <v>795</v>
      </c>
      <c r="I1001" s="3">
        <v>2</v>
      </c>
      <c r="J1001" s="8" t="s">
        <v>748</v>
      </c>
      <c r="K1001" s="8" t="s">
        <v>749</v>
      </c>
      <c r="L1001" s="8" t="s">
        <v>723</v>
      </c>
      <c r="M1001" s="1" t="s">
        <v>790</v>
      </c>
      <c r="N1001" s="8" t="s">
        <v>791</v>
      </c>
      <c r="O1001" s="6">
        <v>0</v>
      </c>
      <c r="P1001" s="6">
        <v>15</v>
      </c>
      <c r="Q1001" s="6">
        <v>0</v>
      </c>
      <c r="R1001" s="6">
        <v>0</v>
      </c>
      <c r="S1001" s="6">
        <v>200</v>
      </c>
    </row>
    <row r="1002" spans="1:19" ht="15" x14ac:dyDescent="0.25">
      <c r="A1002" s="7" t="s">
        <v>16</v>
      </c>
      <c r="B1002" s="7" t="s">
        <v>55</v>
      </c>
      <c r="C1002" s="7" t="s">
        <v>18</v>
      </c>
      <c r="D1002" s="3">
        <v>12361267009654</v>
      </c>
      <c r="E1002" s="8" t="s">
        <v>494</v>
      </c>
      <c r="F1002" s="8" t="s">
        <v>246</v>
      </c>
      <c r="G1002" s="8" t="s">
        <v>247</v>
      </c>
      <c r="H1002" s="8" t="s">
        <v>795</v>
      </c>
      <c r="I1002" s="3">
        <v>2</v>
      </c>
      <c r="J1002" s="8" t="s">
        <v>778</v>
      </c>
      <c r="K1002" s="8" t="s">
        <v>779</v>
      </c>
      <c r="L1002" s="8" t="s">
        <v>730</v>
      </c>
      <c r="M1002" s="1" t="s">
        <v>790</v>
      </c>
      <c r="N1002" s="8" t="s">
        <v>791</v>
      </c>
      <c r="O1002" s="6">
        <v>0</v>
      </c>
      <c r="P1002" s="6">
        <v>0</v>
      </c>
      <c r="Q1002" s="6">
        <v>0</v>
      </c>
      <c r="R1002" s="6">
        <v>0</v>
      </c>
      <c r="S1002" s="6">
        <v>125</v>
      </c>
    </row>
    <row r="1003" spans="1:19" ht="15" x14ac:dyDescent="0.25">
      <c r="A1003" s="7" t="s">
        <v>16</v>
      </c>
      <c r="B1003" s="7" t="s">
        <v>55</v>
      </c>
      <c r="C1003" s="7" t="s">
        <v>18</v>
      </c>
      <c r="D1003" s="3">
        <v>12361267009654</v>
      </c>
      <c r="E1003" s="8" t="s">
        <v>494</v>
      </c>
      <c r="F1003" s="8" t="s">
        <v>246</v>
      </c>
      <c r="G1003" s="8" t="s">
        <v>247</v>
      </c>
      <c r="H1003" s="8" t="s">
        <v>795</v>
      </c>
      <c r="I1003" s="3">
        <v>2</v>
      </c>
      <c r="J1003" s="8" t="s">
        <v>748</v>
      </c>
      <c r="K1003" s="8" t="s">
        <v>749</v>
      </c>
      <c r="L1003" s="8" t="s">
        <v>723</v>
      </c>
      <c r="M1003" s="1" t="s">
        <v>790</v>
      </c>
      <c r="N1003" s="8" t="s">
        <v>791</v>
      </c>
      <c r="O1003" s="6">
        <v>0</v>
      </c>
      <c r="P1003" s="6">
        <v>0</v>
      </c>
      <c r="Q1003" s="6">
        <v>0</v>
      </c>
      <c r="R1003" s="6">
        <v>0</v>
      </c>
      <c r="S1003" s="6">
        <v>125</v>
      </c>
    </row>
    <row r="1004" spans="1:19" ht="15" x14ac:dyDescent="0.25">
      <c r="A1004" s="7" t="s">
        <v>16</v>
      </c>
      <c r="B1004" s="7" t="s">
        <v>55</v>
      </c>
      <c r="C1004" s="7" t="s">
        <v>18</v>
      </c>
      <c r="D1004" s="3">
        <v>820737000150</v>
      </c>
      <c r="E1004" s="8" t="s">
        <v>245</v>
      </c>
      <c r="F1004" s="8" t="s">
        <v>246</v>
      </c>
      <c r="G1004" s="8" t="s">
        <v>247</v>
      </c>
      <c r="H1004" s="8" t="s">
        <v>795</v>
      </c>
      <c r="I1004" s="3">
        <v>2</v>
      </c>
      <c r="J1004" s="8" t="s">
        <v>778</v>
      </c>
      <c r="K1004" s="8" t="s">
        <v>779</v>
      </c>
      <c r="L1004" s="8" t="s">
        <v>730</v>
      </c>
      <c r="M1004" s="1" t="s">
        <v>790</v>
      </c>
      <c r="N1004" s="8" t="s">
        <v>791</v>
      </c>
      <c r="O1004" s="6">
        <v>0</v>
      </c>
      <c r="P1004" s="6">
        <v>0</v>
      </c>
      <c r="Q1004" s="6">
        <v>0</v>
      </c>
      <c r="R1004" s="6">
        <v>0</v>
      </c>
      <c r="S1004" s="6">
        <v>0</v>
      </c>
    </row>
    <row r="1005" spans="1:19" ht="15" x14ac:dyDescent="0.25">
      <c r="A1005" s="7" t="s">
        <v>16</v>
      </c>
      <c r="B1005" s="7" t="s">
        <v>55</v>
      </c>
      <c r="C1005" s="7" t="s">
        <v>18</v>
      </c>
      <c r="D1005" s="3">
        <v>820737000150</v>
      </c>
      <c r="E1005" s="8" t="s">
        <v>245</v>
      </c>
      <c r="F1005" s="8" t="s">
        <v>246</v>
      </c>
      <c r="G1005" s="8" t="s">
        <v>247</v>
      </c>
      <c r="H1005" s="8" t="s">
        <v>795</v>
      </c>
      <c r="I1005" s="3">
        <v>2</v>
      </c>
      <c r="J1005" s="8" t="s">
        <v>748</v>
      </c>
      <c r="K1005" s="8" t="s">
        <v>749</v>
      </c>
      <c r="L1005" s="8" t="s">
        <v>723</v>
      </c>
      <c r="M1005" s="1" t="s">
        <v>790</v>
      </c>
      <c r="N1005" s="8" t="s">
        <v>791</v>
      </c>
      <c r="O1005" s="6">
        <v>0</v>
      </c>
      <c r="P1005" s="6">
        <v>173</v>
      </c>
      <c r="Q1005" s="6">
        <v>0</v>
      </c>
      <c r="R1005" s="6">
        <v>0</v>
      </c>
      <c r="S1005" s="6">
        <v>0</v>
      </c>
    </row>
    <row r="1006" spans="1:19" ht="15" x14ac:dyDescent="0.25">
      <c r="A1006" s="7" t="s">
        <v>16</v>
      </c>
      <c r="B1006" s="7" t="s">
        <v>55</v>
      </c>
      <c r="C1006" s="7" t="s">
        <v>18</v>
      </c>
      <c r="D1006" s="3">
        <v>2109397000180</v>
      </c>
      <c r="E1006" s="8" t="s">
        <v>413</v>
      </c>
      <c r="F1006" s="8" t="s">
        <v>246</v>
      </c>
      <c r="G1006" s="8" t="s">
        <v>247</v>
      </c>
      <c r="H1006" s="8" t="s">
        <v>795</v>
      </c>
      <c r="I1006" s="3">
        <v>2</v>
      </c>
      <c r="J1006" s="8" t="s">
        <v>778</v>
      </c>
      <c r="K1006" s="8" t="s">
        <v>779</v>
      </c>
      <c r="L1006" s="8" t="s">
        <v>730</v>
      </c>
      <c r="M1006" s="1" t="s">
        <v>790</v>
      </c>
      <c r="N1006" s="8" t="s">
        <v>791</v>
      </c>
      <c r="O1006" s="6">
        <v>0</v>
      </c>
      <c r="P1006" s="6">
        <v>0</v>
      </c>
      <c r="Q1006" s="6">
        <v>0</v>
      </c>
      <c r="R1006" s="6">
        <v>0</v>
      </c>
      <c r="S1006" s="6">
        <v>0</v>
      </c>
    </row>
    <row r="1007" spans="1:19" ht="15" x14ac:dyDescent="0.25">
      <c r="A1007" s="7" t="s">
        <v>16</v>
      </c>
      <c r="B1007" s="7" t="s">
        <v>55</v>
      </c>
      <c r="C1007" s="7" t="s">
        <v>18</v>
      </c>
      <c r="D1007" s="3">
        <v>2109397000180</v>
      </c>
      <c r="E1007" s="8" t="s">
        <v>413</v>
      </c>
      <c r="F1007" s="8" t="s">
        <v>246</v>
      </c>
      <c r="G1007" s="8" t="s">
        <v>247</v>
      </c>
      <c r="H1007" s="8" t="s">
        <v>795</v>
      </c>
      <c r="I1007" s="3">
        <v>2</v>
      </c>
      <c r="J1007" s="8" t="s">
        <v>748</v>
      </c>
      <c r="K1007" s="8" t="s">
        <v>749</v>
      </c>
      <c r="L1007" s="8" t="s">
        <v>723</v>
      </c>
      <c r="M1007" s="1" t="s">
        <v>790</v>
      </c>
      <c r="N1007" s="8" t="s">
        <v>791</v>
      </c>
      <c r="O1007" s="6">
        <v>0</v>
      </c>
      <c r="P1007" s="6">
        <v>30</v>
      </c>
      <c r="Q1007" s="6">
        <v>0</v>
      </c>
      <c r="R1007" s="6">
        <v>0</v>
      </c>
      <c r="S1007" s="6">
        <v>0</v>
      </c>
    </row>
    <row r="1008" spans="1:19" ht="15" x14ac:dyDescent="0.25">
      <c r="A1008" s="7" t="s">
        <v>16</v>
      </c>
      <c r="B1008" s="7" t="s">
        <v>55</v>
      </c>
      <c r="C1008" s="7" t="s">
        <v>18</v>
      </c>
      <c r="D1008" s="3">
        <v>8380701001772</v>
      </c>
      <c r="E1008" s="8" t="s">
        <v>426</v>
      </c>
      <c r="F1008" s="8" t="s">
        <v>246</v>
      </c>
      <c r="G1008" s="8" t="s">
        <v>247</v>
      </c>
      <c r="H1008" s="8" t="s">
        <v>795</v>
      </c>
      <c r="I1008" s="3">
        <v>2</v>
      </c>
      <c r="J1008" s="8" t="s">
        <v>778</v>
      </c>
      <c r="K1008" s="8" t="s">
        <v>779</v>
      </c>
      <c r="L1008" s="8" t="s">
        <v>730</v>
      </c>
      <c r="M1008" s="1" t="s">
        <v>790</v>
      </c>
      <c r="N1008" s="8" t="s">
        <v>791</v>
      </c>
      <c r="O1008" s="6">
        <v>0</v>
      </c>
      <c r="P1008" s="6">
        <v>0</v>
      </c>
      <c r="Q1008" s="6">
        <v>0</v>
      </c>
      <c r="R1008" s="6">
        <v>0</v>
      </c>
      <c r="S1008" s="6">
        <v>0</v>
      </c>
    </row>
    <row r="1009" spans="1:19" ht="15" x14ac:dyDescent="0.25">
      <c r="A1009" s="7" t="s">
        <v>16</v>
      </c>
      <c r="B1009" s="7" t="s">
        <v>55</v>
      </c>
      <c r="C1009" s="7" t="s">
        <v>18</v>
      </c>
      <c r="D1009" s="3">
        <v>8380701001772</v>
      </c>
      <c r="E1009" s="8" t="s">
        <v>426</v>
      </c>
      <c r="F1009" s="8" t="s">
        <v>246</v>
      </c>
      <c r="G1009" s="8" t="s">
        <v>247</v>
      </c>
      <c r="H1009" s="8" t="s">
        <v>795</v>
      </c>
      <c r="I1009" s="3">
        <v>2</v>
      </c>
      <c r="J1009" s="8" t="s">
        <v>748</v>
      </c>
      <c r="K1009" s="8" t="s">
        <v>749</v>
      </c>
      <c r="L1009" s="8" t="s">
        <v>723</v>
      </c>
      <c r="M1009" s="1" t="s">
        <v>790</v>
      </c>
      <c r="N1009" s="8" t="s">
        <v>791</v>
      </c>
      <c r="O1009" s="6">
        <v>0</v>
      </c>
      <c r="P1009" s="6">
        <v>50</v>
      </c>
      <c r="Q1009" s="6">
        <v>0</v>
      </c>
      <c r="R1009" s="6">
        <v>0</v>
      </c>
      <c r="S1009" s="6">
        <v>0</v>
      </c>
    </row>
    <row r="1010" spans="1:19" ht="15" x14ac:dyDescent="0.25">
      <c r="A1010" s="7" t="s">
        <v>16</v>
      </c>
      <c r="B1010" s="7" t="s">
        <v>55</v>
      </c>
      <c r="C1010" s="7" t="s">
        <v>18</v>
      </c>
      <c r="D1010" s="3">
        <v>87547444000120</v>
      </c>
      <c r="E1010" s="8" t="s">
        <v>392</v>
      </c>
      <c r="F1010" s="8" t="s">
        <v>393</v>
      </c>
      <c r="G1010" s="8" t="s">
        <v>253</v>
      </c>
      <c r="H1010" s="8" t="s">
        <v>795</v>
      </c>
      <c r="I1010" s="3">
        <v>2</v>
      </c>
      <c r="J1010" s="8" t="s">
        <v>754</v>
      </c>
      <c r="K1010" s="8" t="s">
        <v>755</v>
      </c>
      <c r="L1010" s="8" t="s">
        <v>730</v>
      </c>
      <c r="M1010" s="1" t="s">
        <v>784</v>
      </c>
      <c r="N1010" s="8" t="s">
        <v>785</v>
      </c>
      <c r="O1010" s="6">
        <v>0</v>
      </c>
      <c r="P1010" s="6">
        <v>0</v>
      </c>
      <c r="Q1010" s="6">
        <v>0</v>
      </c>
      <c r="R1010" s="6">
        <v>0</v>
      </c>
      <c r="S1010" s="6">
        <v>0</v>
      </c>
    </row>
    <row r="1011" spans="1:19" ht="15" x14ac:dyDescent="0.25">
      <c r="A1011" s="7" t="s">
        <v>16</v>
      </c>
      <c r="B1011" s="7" t="s">
        <v>55</v>
      </c>
      <c r="C1011" s="7" t="s">
        <v>18</v>
      </c>
      <c r="D1011" s="3">
        <v>87547444000120</v>
      </c>
      <c r="E1011" s="8" t="s">
        <v>392</v>
      </c>
      <c r="F1011" s="8" t="s">
        <v>393</v>
      </c>
      <c r="G1011" s="8" t="s">
        <v>253</v>
      </c>
      <c r="H1011" s="8" t="s">
        <v>795</v>
      </c>
      <c r="I1011" s="3">
        <v>2</v>
      </c>
      <c r="J1011" s="8" t="s">
        <v>720</v>
      </c>
      <c r="K1011" s="8" t="s">
        <v>721</v>
      </c>
      <c r="L1011" s="8" t="s">
        <v>723</v>
      </c>
      <c r="M1011" s="1" t="s">
        <v>784</v>
      </c>
      <c r="N1011" s="8" t="s">
        <v>785</v>
      </c>
      <c r="O1011" s="6">
        <v>0</v>
      </c>
      <c r="P1011" s="6">
        <v>5</v>
      </c>
      <c r="Q1011" s="6">
        <v>0</v>
      </c>
      <c r="R1011" s="6">
        <v>0</v>
      </c>
      <c r="S1011" s="6">
        <v>0</v>
      </c>
    </row>
    <row r="1012" spans="1:19" ht="15" x14ac:dyDescent="0.25">
      <c r="A1012" s="7" t="s">
        <v>16</v>
      </c>
      <c r="B1012" s="7" t="s">
        <v>55</v>
      </c>
      <c r="C1012" s="7" t="s">
        <v>18</v>
      </c>
      <c r="D1012" s="3">
        <v>9549061000268</v>
      </c>
      <c r="E1012" s="8" t="s">
        <v>431</v>
      </c>
      <c r="F1012" s="8" t="s">
        <v>432</v>
      </c>
      <c r="G1012" s="8" t="s">
        <v>253</v>
      </c>
      <c r="H1012" s="8" t="s">
        <v>795</v>
      </c>
      <c r="I1012" s="3">
        <v>2</v>
      </c>
      <c r="J1012" s="8" t="s">
        <v>754</v>
      </c>
      <c r="K1012" s="8" t="s">
        <v>755</v>
      </c>
      <c r="L1012" s="8" t="s">
        <v>730</v>
      </c>
      <c r="M1012" s="1" t="s">
        <v>784</v>
      </c>
      <c r="N1012" s="8" t="s">
        <v>785</v>
      </c>
      <c r="O1012" s="6">
        <v>0</v>
      </c>
      <c r="P1012" s="6">
        <v>0</v>
      </c>
      <c r="Q1012" s="6">
        <v>0</v>
      </c>
      <c r="R1012" s="6">
        <v>0</v>
      </c>
      <c r="S1012" s="6">
        <v>0</v>
      </c>
    </row>
    <row r="1013" spans="1:19" ht="15" x14ac:dyDescent="0.25">
      <c r="A1013" s="7" t="s">
        <v>16</v>
      </c>
      <c r="B1013" s="7" t="s">
        <v>55</v>
      </c>
      <c r="C1013" s="7" t="s">
        <v>18</v>
      </c>
      <c r="D1013" s="3">
        <v>9549061000268</v>
      </c>
      <c r="E1013" s="8" t="s">
        <v>431</v>
      </c>
      <c r="F1013" s="8" t="s">
        <v>432</v>
      </c>
      <c r="G1013" s="8" t="s">
        <v>253</v>
      </c>
      <c r="H1013" s="8" t="s">
        <v>795</v>
      </c>
      <c r="I1013" s="3">
        <v>2</v>
      </c>
      <c r="J1013" s="8" t="s">
        <v>720</v>
      </c>
      <c r="K1013" s="8" t="s">
        <v>721</v>
      </c>
      <c r="L1013" s="8" t="s">
        <v>723</v>
      </c>
      <c r="M1013" s="1" t="s">
        <v>784</v>
      </c>
      <c r="N1013" s="8" t="s">
        <v>785</v>
      </c>
      <c r="O1013" s="6">
        <v>0</v>
      </c>
      <c r="P1013" s="6">
        <v>3</v>
      </c>
      <c r="Q1013" s="6">
        <v>0</v>
      </c>
      <c r="R1013" s="6">
        <v>0</v>
      </c>
      <c r="S1013" s="6">
        <v>0</v>
      </c>
    </row>
    <row r="1014" spans="1:19" ht="15" x14ac:dyDescent="0.25">
      <c r="A1014" s="7" t="s">
        <v>16</v>
      </c>
      <c r="B1014" s="7" t="s">
        <v>55</v>
      </c>
      <c r="C1014" s="7" t="s">
        <v>18</v>
      </c>
      <c r="D1014" s="3">
        <v>88645403001372</v>
      </c>
      <c r="E1014" s="8" t="s">
        <v>462</v>
      </c>
      <c r="F1014" s="8" t="s">
        <v>252</v>
      </c>
      <c r="G1014" s="8" t="s">
        <v>253</v>
      </c>
      <c r="H1014" s="8" t="s">
        <v>795</v>
      </c>
      <c r="I1014" s="3">
        <v>2</v>
      </c>
      <c r="J1014" s="8" t="s">
        <v>754</v>
      </c>
      <c r="K1014" s="8" t="s">
        <v>755</v>
      </c>
      <c r="L1014" s="8" t="s">
        <v>730</v>
      </c>
      <c r="M1014" s="1" t="s">
        <v>784</v>
      </c>
      <c r="N1014" s="8" t="s">
        <v>785</v>
      </c>
      <c r="O1014" s="6">
        <v>0</v>
      </c>
      <c r="P1014" s="6">
        <v>0</v>
      </c>
      <c r="Q1014" s="6">
        <v>0</v>
      </c>
      <c r="R1014" s="6">
        <v>32</v>
      </c>
      <c r="S1014" s="6">
        <v>0</v>
      </c>
    </row>
    <row r="1015" spans="1:19" ht="15" x14ac:dyDescent="0.25">
      <c r="A1015" s="7" t="s">
        <v>16</v>
      </c>
      <c r="B1015" s="7" t="s">
        <v>55</v>
      </c>
      <c r="C1015" s="7" t="s">
        <v>18</v>
      </c>
      <c r="D1015" s="3">
        <v>88645403001372</v>
      </c>
      <c r="E1015" s="8" t="s">
        <v>462</v>
      </c>
      <c r="F1015" s="8" t="s">
        <v>252</v>
      </c>
      <c r="G1015" s="8" t="s">
        <v>253</v>
      </c>
      <c r="H1015" s="8" t="s">
        <v>795</v>
      </c>
      <c r="I1015" s="3">
        <v>2</v>
      </c>
      <c r="J1015" s="8" t="s">
        <v>720</v>
      </c>
      <c r="K1015" s="8" t="s">
        <v>721</v>
      </c>
      <c r="L1015" s="8" t="s">
        <v>723</v>
      </c>
      <c r="M1015" s="1" t="s">
        <v>784</v>
      </c>
      <c r="N1015" s="8" t="s">
        <v>785</v>
      </c>
      <c r="O1015" s="6">
        <v>0</v>
      </c>
      <c r="P1015" s="6">
        <v>0</v>
      </c>
      <c r="Q1015" s="6">
        <v>0</v>
      </c>
      <c r="R1015" s="6">
        <v>0</v>
      </c>
      <c r="S1015" s="6">
        <v>0</v>
      </c>
    </row>
    <row r="1016" spans="1:19" ht="15" x14ac:dyDescent="0.25">
      <c r="A1016" s="7" t="s">
        <v>16</v>
      </c>
      <c r="B1016" s="7" t="s">
        <v>55</v>
      </c>
      <c r="C1016" s="7" t="s">
        <v>18</v>
      </c>
      <c r="D1016" s="3">
        <v>87827689002405</v>
      </c>
      <c r="E1016" s="8" t="s">
        <v>394</v>
      </c>
      <c r="F1016" s="8" t="s">
        <v>252</v>
      </c>
      <c r="G1016" s="8" t="s">
        <v>253</v>
      </c>
      <c r="H1016" s="8" t="s">
        <v>795</v>
      </c>
      <c r="I1016" s="3">
        <v>2</v>
      </c>
      <c r="J1016" s="8" t="s">
        <v>754</v>
      </c>
      <c r="K1016" s="8" t="s">
        <v>755</v>
      </c>
      <c r="L1016" s="8" t="s">
        <v>730</v>
      </c>
      <c r="M1016" s="1" t="s">
        <v>784</v>
      </c>
      <c r="N1016" s="8" t="s">
        <v>785</v>
      </c>
      <c r="O1016" s="6">
        <v>0</v>
      </c>
      <c r="P1016" s="6">
        <v>0</v>
      </c>
      <c r="Q1016" s="6">
        <v>0</v>
      </c>
      <c r="R1016" s="6">
        <v>274</v>
      </c>
      <c r="S1016" s="6">
        <v>90</v>
      </c>
    </row>
    <row r="1017" spans="1:19" ht="15" x14ac:dyDescent="0.25">
      <c r="A1017" s="7" t="s">
        <v>16</v>
      </c>
      <c r="B1017" s="7" t="s">
        <v>55</v>
      </c>
      <c r="C1017" s="7" t="s">
        <v>18</v>
      </c>
      <c r="D1017" s="3">
        <v>87827689002405</v>
      </c>
      <c r="E1017" s="8" t="s">
        <v>394</v>
      </c>
      <c r="F1017" s="8" t="s">
        <v>252</v>
      </c>
      <c r="G1017" s="8" t="s">
        <v>253</v>
      </c>
      <c r="H1017" s="8" t="s">
        <v>795</v>
      </c>
      <c r="I1017" s="3">
        <v>2</v>
      </c>
      <c r="J1017" s="8" t="s">
        <v>720</v>
      </c>
      <c r="K1017" s="8" t="s">
        <v>721</v>
      </c>
      <c r="L1017" s="8" t="s">
        <v>723</v>
      </c>
      <c r="M1017" s="1" t="s">
        <v>784</v>
      </c>
      <c r="N1017" s="8" t="s">
        <v>785</v>
      </c>
      <c r="O1017" s="6">
        <v>0</v>
      </c>
      <c r="P1017" s="6">
        <v>0</v>
      </c>
      <c r="Q1017" s="6">
        <v>0</v>
      </c>
      <c r="R1017" s="6">
        <v>0</v>
      </c>
      <c r="S1017" s="6">
        <v>90</v>
      </c>
    </row>
    <row r="1018" spans="1:19" ht="15" x14ac:dyDescent="0.25">
      <c r="A1018" s="7" t="s">
        <v>16</v>
      </c>
      <c r="B1018" s="7" t="s">
        <v>55</v>
      </c>
      <c r="C1018" s="7" t="s">
        <v>18</v>
      </c>
      <c r="D1018" s="3">
        <v>88830609000139</v>
      </c>
      <c r="E1018" s="8" t="s">
        <v>632</v>
      </c>
      <c r="F1018" s="8" t="s">
        <v>252</v>
      </c>
      <c r="G1018" s="8" t="s">
        <v>253</v>
      </c>
      <c r="H1018" s="8" t="s">
        <v>795</v>
      </c>
      <c r="I1018" s="3">
        <v>2</v>
      </c>
      <c r="J1018" s="8" t="s">
        <v>754</v>
      </c>
      <c r="K1018" s="8" t="s">
        <v>755</v>
      </c>
      <c r="L1018" s="8" t="s">
        <v>730</v>
      </c>
      <c r="M1018" s="1" t="s">
        <v>784</v>
      </c>
      <c r="N1018" s="8" t="s">
        <v>785</v>
      </c>
      <c r="O1018" s="6">
        <v>0</v>
      </c>
      <c r="P1018" s="6">
        <v>0</v>
      </c>
      <c r="Q1018" s="6">
        <v>0</v>
      </c>
      <c r="R1018" s="6">
        <v>0</v>
      </c>
      <c r="S1018" s="6">
        <v>140</v>
      </c>
    </row>
    <row r="1019" spans="1:19" ht="15" x14ac:dyDescent="0.25">
      <c r="A1019" s="7" t="s">
        <v>16</v>
      </c>
      <c r="B1019" s="7" t="s">
        <v>55</v>
      </c>
      <c r="C1019" s="7" t="s">
        <v>18</v>
      </c>
      <c r="D1019" s="3">
        <v>88830609000139</v>
      </c>
      <c r="E1019" s="8" t="s">
        <v>632</v>
      </c>
      <c r="F1019" s="8" t="s">
        <v>252</v>
      </c>
      <c r="G1019" s="8" t="s">
        <v>253</v>
      </c>
      <c r="H1019" s="8" t="s">
        <v>795</v>
      </c>
      <c r="I1019" s="3">
        <v>2</v>
      </c>
      <c r="J1019" s="8" t="s">
        <v>720</v>
      </c>
      <c r="K1019" s="8" t="s">
        <v>721</v>
      </c>
      <c r="L1019" s="8" t="s">
        <v>723</v>
      </c>
      <c r="M1019" s="1" t="s">
        <v>784</v>
      </c>
      <c r="N1019" s="8" t="s">
        <v>785</v>
      </c>
      <c r="O1019" s="6">
        <v>0</v>
      </c>
      <c r="P1019" s="6">
        <v>0</v>
      </c>
      <c r="Q1019" s="6">
        <v>0</v>
      </c>
      <c r="R1019" s="6">
        <v>0</v>
      </c>
      <c r="S1019" s="6">
        <v>140</v>
      </c>
    </row>
    <row r="1020" spans="1:19" ht="15" x14ac:dyDescent="0.25">
      <c r="A1020" s="7" t="s">
        <v>16</v>
      </c>
      <c r="B1020" s="7" t="s">
        <v>55</v>
      </c>
      <c r="C1020" s="7" t="s">
        <v>18</v>
      </c>
      <c r="D1020" s="3">
        <v>87638334000505</v>
      </c>
      <c r="E1020" s="8" t="s">
        <v>630</v>
      </c>
      <c r="F1020" s="8" t="s">
        <v>631</v>
      </c>
      <c r="G1020" s="8" t="s">
        <v>253</v>
      </c>
      <c r="H1020" s="8" t="s">
        <v>795</v>
      </c>
      <c r="I1020" s="3">
        <v>2</v>
      </c>
      <c r="J1020" s="8" t="s">
        <v>754</v>
      </c>
      <c r="K1020" s="8" t="s">
        <v>755</v>
      </c>
      <c r="L1020" s="8" t="s">
        <v>730</v>
      </c>
      <c r="M1020" s="1" t="s">
        <v>784</v>
      </c>
      <c r="N1020" s="8" t="s">
        <v>785</v>
      </c>
      <c r="O1020" s="6">
        <v>0</v>
      </c>
      <c r="P1020" s="6">
        <v>0</v>
      </c>
      <c r="Q1020" s="6">
        <v>0</v>
      </c>
      <c r="R1020" s="6">
        <v>0</v>
      </c>
      <c r="S1020" s="6">
        <v>10</v>
      </c>
    </row>
    <row r="1021" spans="1:19" ht="15" x14ac:dyDescent="0.25">
      <c r="A1021" s="7" t="s">
        <v>16</v>
      </c>
      <c r="B1021" s="7" t="s">
        <v>55</v>
      </c>
      <c r="C1021" s="7" t="s">
        <v>18</v>
      </c>
      <c r="D1021" s="3">
        <v>87638334000505</v>
      </c>
      <c r="E1021" s="8" t="s">
        <v>630</v>
      </c>
      <c r="F1021" s="8" t="s">
        <v>631</v>
      </c>
      <c r="G1021" s="8" t="s">
        <v>253</v>
      </c>
      <c r="H1021" s="8" t="s">
        <v>795</v>
      </c>
      <c r="I1021" s="3">
        <v>2</v>
      </c>
      <c r="J1021" s="8" t="s">
        <v>720</v>
      </c>
      <c r="K1021" s="8" t="s">
        <v>721</v>
      </c>
      <c r="L1021" s="8" t="s">
        <v>723</v>
      </c>
      <c r="M1021" s="1" t="s">
        <v>784</v>
      </c>
      <c r="N1021" s="8" t="s">
        <v>785</v>
      </c>
      <c r="O1021" s="6">
        <v>0</v>
      </c>
      <c r="P1021" s="6">
        <v>0</v>
      </c>
      <c r="Q1021" s="6">
        <v>0</v>
      </c>
      <c r="R1021" s="6">
        <v>0</v>
      </c>
      <c r="S1021" s="6">
        <v>10</v>
      </c>
    </row>
    <row r="1022" spans="1:19" ht="15" x14ac:dyDescent="0.25">
      <c r="A1022" s="7" t="s">
        <v>16</v>
      </c>
      <c r="B1022" s="7" t="s">
        <v>55</v>
      </c>
      <c r="C1022" s="7" t="s">
        <v>18</v>
      </c>
      <c r="D1022" s="3">
        <v>92404789000164</v>
      </c>
      <c r="E1022" s="8" t="s">
        <v>463</v>
      </c>
      <c r="F1022" s="8" t="s">
        <v>464</v>
      </c>
      <c r="G1022" s="8" t="s">
        <v>253</v>
      </c>
      <c r="H1022" s="8" t="s">
        <v>795</v>
      </c>
      <c r="I1022" s="3">
        <v>2</v>
      </c>
      <c r="J1022" s="8" t="s">
        <v>754</v>
      </c>
      <c r="K1022" s="8" t="s">
        <v>755</v>
      </c>
      <c r="L1022" s="8" t="s">
        <v>730</v>
      </c>
      <c r="M1022" s="1" t="s">
        <v>784</v>
      </c>
      <c r="N1022" s="8" t="s">
        <v>785</v>
      </c>
      <c r="O1022" s="6">
        <v>0</v>
      </c>
      <c r="P1022" s="6">
        <v>0</v>
      </c>
      <c r="Q1022" s="6">
        <v>0</v>
      </c>
      <c r="R1022" s="6">
        <v>8</v>
      </c>
      <c r="S1022" s="6">
        <v>0</v>
      </c>
    </row>
    <row r="1023" spans="1:19" ht="15" x14ac:dyDescent="0.25">
      <c r="A1023" s="7" t="s">
        <v>16</v>
      </c>
      <c r="B1023" s="7" t="s">
        <v>55</v>
      </c>
      <c r="C1023" s="7" t="s">
        <v>18</v>
      </c>
      <c r="D1023" s="3">
        <v>92404789000164</v>
      </c>
      <c r="E1023" s="8" t="s">
        <v>463</v>
      </c>
      <c r="F1023" s="8" t="s">
        <v>464</v>
      </c>
      <c r="G1023" s="8" t="s">
        <v>253</v>
      </c>
      <c r="H1023" s="8" t="s">
        <v>795</v>
      </c>
      <c r="I1023" s="3">
        <v>2</v>
      </c>
      <c r="J1023" s="8" t="s">
        <v>720</v>
      </c>
      <c r="K1023" s="8" t="s">
        <v>721</v>
      </c>
      <c r="L1023" s="8" t="s">
        <v>723</v>
      </c>
      <c r="M1023" s="1" t="s">
        <v>784</v>
      </c>
      <c r="N1023" s="8" t="s">
        <v>785</v>
      </c>
      <c r="O1023" s="6">
        <v>0</v>
      </c>
      <c r="P1023" s="6">
        <v>0</v>
      </c>
      <c r="Q1023" s="6">
        <v>0</v>
      </c>
      <c r="R1023" s="6">
        <v>0</v>
      </c>
      <c r="S1023" s="6">
        <v>0</v>
      </c>
    </row>
    <row r="1024" spans="1:19" ht="15" x14ac:dyDescent="0.25">
      <c r="A1024" s="7" t="s">
        <v>16</v>
      </c>
      <c r="B1024" s="7" t="s">
        <v>55</v>
      </c>
      <c r="C1024" s="7" t="s">
        <v>18</v>
      </c>
      <c r="D1024" s="3">
        <v>29908956000178</v>
      </c>
      <c r="E1024" s="8" t="s">
        <v>454</v>
      </c>
      <c r="F1024" s="8" t="s">
        <v>455</v>
      </c>
      <c r="G1024" s="8" t="s">
        <v>253</v>
      </c>
      <c r="H1024" s="8" t="s">
        <v>795</v>
      </c>
      <c r="I1024" s="3">
        <v>2</v>
      </c>
      <c r="J1024" s="8" t="s">
        <v>754</v>
      </c>
      <c r="K1024" s="8" t="s">
        <v>755</v>
      </c>
      <c r="L1024" s="8" t="s">
        <v>730</v>
      </c>
      <c r="M1024" s="1" t="s">
        <v>784</v>
      </c>
      <c r="N1024" s="8" t="s">
        <v>785</v>
      </c>
      <c r="O1024" s="6">
        <v>4</v>
      </c>
      <c r="P1024" s="6">
        <v>0</v>
      </c>
      <c r="Q1024" s="6">
        <v>0</v>
      </c>
      <c r="R1024" s="6">
        <v>0</v>
      </c>
      <c r="S1024" s="6">
        <v>0</v>
      </c>
    </row>
    <row r="1025" spans="1:19" ht="15" x14ac:dyDescent="0.25">
      <c r="A1025" s="7" t="s">
        <v>16</v>
      </c>
      <c r="B1025" s="7" t="s">
        <v>55</v>
      </c>
      <c r="C1025" s="7" t="s">
        <v>18</v>
      </c>
      <c r="D1025" s="3">
        <v>29908956000178</v>
      </c>
      <c r="E1025" s="8" t="s">
        <v>454</v>
      </c>
      <c r="F1025" s="8" t="s">
        <v>455</v>
      </c>
      <c r="G1025" s="8" t="s">
        <v>253</v>
      </c>
      <c r="H1025" s="8" t="s">
        <v>795</v>
      </c>
      <c r="I1025" s="3">
        <v>2</v>
      </c>
      <c r="J1025" s="8" t="s">
        <v>720</v>
      </c>
      <c r="K1025" s="8" t="s">
        <v>721</v>
      </c>
      <c r="L1025" s="8" t="s">
        <v>723</v>
      </c>
      <c r="M1025" s="1" t="s">
        <v>784</v>
      </c>
      <c r="N1025" s="8" t="s">
        <v>785</v>
      </c>
      <c r="O1025" s="6">
        <v>0</v>
      </c>
      <c r="P1025" s="6">
        <v>0</v>
      </c>
      <c r="Q1025" s="6">
        <v>0</v>
      </c>
      <c r="R1025" s="6">
        <v>0</v>
      </c>
      <c r="S1025" s="6">
        <v>0</v>
      </c>
    </row>
    <row r="1026" spans="1:19" ht="15" x14ac:dyDescent="0.25">
      <c r="A1026" s="7" t="s">
        <v>16</v>
      </c>
      <c r="B1026" s="7" t="s">
        <v>55</v>
      </c>
      <c r="C1026" s="7" t="s">
        <v>18</v>
      </c>
      <c r="D1026" s="3">
        <v>11055682000156</v>
      </c>
      <c r="E1026" s="8" t="s">
        <v>605</v>
      </c>
      <c r="F1026" s="8" t="s">
        <v>606</v>
      </c>
      <c r="G1026" s="8" t="s">
        <v>253</v>
      </c>
      <c r="H1026" s="8" t="s">
        <v>795</v>
      </c>
      <c r="I1026" s="3">
        <v>2</v>
      </c>
      <c r="J1026" s="8" t="s">
        <v>754</v>
      </c>
      <c r="K1026" s="8" t="s">
        <v>755</v>
      </c>
      <c r="L1026" s="8" t="s">
        <v>730</v>
      </c>
      <c r="M1026" s="1" t="s">
        <v>784</v>
      </c>
      <c r="N1026" s="8" t="s">
        <v>785</v>
      </c>
      <c r="O1026" s="6">
        <v>0</v>
      </c>
      <c r="P1026" s="6">
        <v>0</v>
      </c>
      <c r="Q1026" s="6">
        <v>0</v>
      </c>
      <c r="R1026" s="6">
        <v>0</v>
      </c>
      <c r="S1026" s="6">
        <v>225</v>
      </c>
    </row>
    <row r="1027" spans="1:19" ht="15" x14ac:dyDescent="0.25">
      <c r="A1027" s="7" t="s">
        <v>16</v>
      </c>
      <c r="B1027" s="7" t="s">
        <v>55</v>
      </c>
      <c r="C1027" s="7" t="s">
        <v>18</v>
      </c>
      <c r="D1027" s="3">
        <v>11055682000156</v>
      </c>
      <c r="E1027" s="8" t="s">
        <v>605</v>
      </c>
      <c r="F1027" s="8" t="s">
        <v>606</v>
      </c>
      <c r="G1027" s="8" t="s">
        <v>253</v>
      </c>
      <c r="H1027" s="8" t="s">
        <v>795</v>
      </c>
      <c r="I1027" s="3">
        <v>2</v>
      </c>
      <c r="J1027" s="8" t="s">
        <v>720</v>
      </c>
      <c r="K1027" s="8" t="s">
        <v>721</v>
      </c>
      <c r="L1027" s="8" t="s">
        <v>723</v>
      </c>
      <c r="M1027" s="1" t="s">
        <v>784</v>
      </c>
      <c r="N1027" s="8" t="s">
        <v>785</v>
      </c>
      <c r="O1027" s="6">
        <v>0</v>
      </c>
      <c r="P1027" s="6">
        <v>0</v>
      </c>
      <c r="Q1027" s="6">
        <v>0</v>
      </c>
      <c r="R1027" s="6">
        <v>0</v>
      </c>
      <c r="S1027" s="6">
        <v>225</v>
      </c>
    </row>
    <row r="1028" spans="1:19" ht="15" x14ac:dyDescent="0.25">
      <c r="A1028" s="7" t="s">
        <v>16</v>
      </c>
      <c r="B1028" s="7" t="s">
        <v>55</v>
      </c>
      <c r="C1028" s="7" t="s">
        <v>18</v>
      </c>
      <c r="D1028" s="3">
        <v>87607149000626</v>
      </c>
      <c r="E1028" s="8" t="s">
        <v>592</v>
      </c>
      <c r="F1028" s="8" t="s">
        <v>399</v>
      </c>
      <c r="G1028" s="8" t="s">
        <v>253</v>
      </c>
      <c r="H1028" s="8" t="s">
        <v>795</v>
      </c>
      <c r="I1028" s="3">
        <v>2</v>
      </c>
      <c r="J1028" s="8" t="s">
        <v>754</v>
      </c>
      <c r="K1028" s="8" t="s">
        <v>755</v>
      </c>
      <c r="L1028" s="8" t="s">
        <v>730</v>
      </c>
      <c r="M1028" s="1" t="s">
        <v>784</v>
      </c>
      <c r="N1028" s="8" t="s">
        <v>785</v>
      </c>
      <c r="O1028" s="6">
        <v>0</v>
      </c>
      <c r="P1028" s="6">
        <v>0</v>
      </c>
      <c r="Q1028" s="6">
        <v>0</v>
      </c>
      <c r="R1028" s="6">
        <v>0</v>
      </c>
      <c r="S1028" s="6">
        <v>235</v>
      </c>
    </row>
    <row r="1029" spans="1:19" ht="15" x14ac:dyDescent="0.25">
      <c r="A1029" s="7" t="s">
        <v>16</v>
      </c>
      <c r="B1029" s="7" t="s">
        <v>55</v>
      </c>
      <c r="C1029" s="7" t="s">
        <v>18</v>
      </c>
      <c r="D1029" s="3">
        <v>87607149000626</v>
      </c>
      <c r="E1029" s="8" t="s">
        <v>592</v>
      </c>
      <c r="F1029" s="8" t="s">
        <v>399</v>
      </c>
      <c r="G1029" s="8" t="s">
        <v>253</v>
      </c>
      <c r="H1029" s="8" t="s">
        <v>795</v>
      </c>
      <c r="I1029" s="3">
        <v>2</v>
      </c>
      <c r="J1029" s="8" t="s">
        <v>720</v>
      </c>
      <c r="K1029" s="8" t="s">
        <v>721</v>
      </c>
      <c r="L1029" s="8" t="s">
        <v>723</v>
      </c>
      <c r="M1029" s="1" t="s">
        <v>784</v>
      </c>
      <c r="N1029" s="8" t="s">
        <v>785</v>
      </c>
      <c r="O1029" s="6">
        <v>0</v>
      </c>
      <c r="P1029" s="6">
        <v>0</v>
      </c>
      <c r="Q1029" s="6">
        <v>0</v>
      </c>
      <c r="R1029" s="6">
        <v>0</v>
      </c>
      <c r="S1029" s="6">
        <v>235</v>
      </c>
    </row>
    <row r="1030" spans="1:19" ht="15" x14ac:dyDescent="0.25">
      <c r="A1030" s="7" t="s">
        <v>16</v>
      </c>
      <c r="B1030" s="7" t="s">
        <v>55</v>
      </c>
      <c r="C1030" s="7" t="s">
        <v>18</v>
      </c>
      <c r="D1030" s="3">
        <v>92685833000151</v>
      </c>
      <c r="E1030" s="8" t="s">
        <v>400</v>
      </c>
      <c r="F1030" s="8" t="s">
        <v>305</v>
      </c>
      <c r="G1030" s="8" t="s">
        <v>253</v>
      </c>
      <c r="H1030" s="8" t="s">
        <v>795</v>
      </c>
      <c r="I1030" s="3">
        <v>2</v>
      </c>
      <c r="J1030" s="8" t="s">
        <v>754</v>
      </c>
      <c r="K1030" s="8" t="s">
        <v>755</v>
      </c>
      <c r="L1030" s="8" t="s">
        <v>730</v>
      </c>
      <c r="M1030" s="1" t="s">
        <v>784</v>
      </c>
      <c r="N1030" s="8" t="s">
        <v>785</v>
      </c>
      <c r="O1030" s="6">
        <v>0</v>
      </c>
      <c r="P1030" s="6">
        <v>0</v>
      </c>
      <c r="Q1030" s="6">
        <v>0</v>
      </c>
      <c r="R1030" s="6">
        <v>8</v>
      </c>
      <c r="S1030" s="6">
        <v>0</v>
      </c>
    </row>
    <row r="1031" spans="1:19" ht="15" x14ac:dyDescent="0.25">
      <c r="A1031" s="7" t="s">
        <v>16</v>
      </c>
      <c r="B1031" s="7" t="s">
        <v>55</v>
      </c>
      <c r="C1031" s="7" t="s">
        <v>18</v>
      </c>
      <c r="D1031" s="3">
        <v>92685833000151</v>
      </c>
      <c r="E1031" s="8" t="s">
        <v>400</v>
      </c>
      <c r="F1031" s="8" t="s">
        <v>305</v>
      </c>
      <c r="G1031" s="8" t="s">
        <v>253</v>
      </c>
      <c r="H1031" s="8" t="s">
        <v>795</v>
      </c>
      <c r="I1031" s="3">
        <v>2</v>
      </c>
      <c r="J1031" s="8" t="s">
        <v>720</v>
      </c>
      <c r="K1031" s="8" t="s">
        <v>721</v>
      </c>
      <c r="L1031" s="8" t="s">
        <v>723</v>
      </c>
      <c r="M1031" s="1" t="s">
        <v>784</v>
      </c>
      <c r="N1031" s="8" t="s">
        <v>785</v>
      </c>
      <c r="O1031" s="6">
        <v>0</v>
      </c>
      <c r="P1031" s="6">
        <v>14</v>
      </c>
      <c r="Q1031" s="6">
        <v>0</v>
      </c>
      <c r="R1031" s="6">
        <v>0</v>
      </c>
      <c r="S1031" s="6">
        <v>0</v>
      </c>
    </row>
    <row r="1032" spans="1:19" ht="15" x14ac:dyDescent="0.25">
      <c r="A1032" s="7" t="s">
        <v>16</v>
      </c>
      <c r="B1032" s="7" t="s">
        <v>55</v>
      </c>
      <c r="C1032" s="7" t="s">
        <v>18</v>
      </c>
      <c r="D1032" s="3">
        <v>87096616003101</v>
      </c>
      <c r="E1032" s="8" t="s">
        <v>629</v>
      </c>
      <c r="F1032" s="8" t="s">
        <v>305</v>
      </c>
      <c r="G1032" s="8" t="s">
        <v>253</v>
      </c>
      <c r="H1032" s="8" t="s">
        <v>795</v>
      </c>
      <c r="I1032" s="3">
        <v>2</v>
      </c>
      <c r="J1032" s="8" t="s">
        <v>754</v>
      </c>
      <c r="K1032" s="8" t="s">
        <v>755</v>
      </c>
      <c r="L1032" s="8" t="s">
        <v>730</v>
      </c>
      <c r="M1032" s="1" t="s">
        <v>784</v>
      </c>
      <c r="N1032" s="8" t="s">
        <v>785</v>
      </c>
      <c r="O1032" s="6">
        <v>0</v>
      </c>
      <c r="P1032" s="6">
        <v>0</v>
      </c>
      <c r="Q1032" s="6">
        <v>0</v>
      </c>
      <c r="R1032" s="6">
        <v>0</v>
      </c>
      <c r="S1032" s="6">
        <v>1500</v>
      </c>
    </row>
    <row r="1033" spans="1:19" ht="15" x14ac:dyDescent="0.25">
      <c r="A1033" s="7" t="s">
        <v>16</v>
      </c>
      <c r="B1033" s="7" t="s">
        <v>55</v>
      </c>
      <c r="C1033" s="7" t="s">
        <v>18</v>
      </c>
      <c r="D1033" s="3">
        <v>87096616003101</v>
      </c>
      <c r="E1033" s="8" t="s">
        <v>629</v>
      </c>
      <c r="F1033" s="8" t="s">
        <v>305</v>
      </c>
      <c r="G1033" s="8" t="s">
        <v>253</v>
      </c>
      <c r="H1033" s="8" t="s">
        <v>795</v>
      </c>
      <c r="I1033" s="3">
        <v>2</v>
      </c>
      <c r="J1033" s="8" t="s">
        <v>720</v>
      </c>
      <c r="K1033" s="8" t="s">
        <v>721</v>
      </c>
      <c r="L1033" s="8" t="s">
        <v>723</v>
      </c>
      <c r="M1033" s="1" t="s">
        <v>784</v>
      </c>
      <c r="N1033" s="8" t="s">
        <v>785</v>
      </c>
      <c r="O1033" s="6">
        <v>0</v>
      </c>
      <c r="P1033" s="6">
        <v>0</v>
      </c>
      <c r="Q1033" s="6">
        <v>0</v>
      </c>
      <c r="R1033" s="6">
        <v>0</v>
      </c>
      <c r="S1033" s="6">
        <v>1500</v>
      </c>
    </row>
    <row r="1034" spans="1:19" ht="15" x14ac:dyDescent="0.25">
      <c r="A1034" s="7" t="s">
        <v>16</v>
      </c>
      <c r="B1034" s="7" t="s">
        <v>55</v>
      </c>
      <c r="C1034" s="7" t="s">
        <v>18</v>
      </c>
      <c r="D1034" s="3">
        <v>92898550000198</v>
      </c>
      <c r="E1034" s="8" t="s">
        <v>404</v>
      </c>
      <c r="F1034" s="8" t="s">
        <v>305</v>
      </c>
      <c r="G1034" s="8" t="s">
        <v>253</v>
      </c>
      <c r="H1034" s="8" t="s">
        <v>795</v>
      </c>
      <c r="I1034" s="3">
        <v>2</v>
      </c>
      <c r="J1034" s="8" t="s">
        <v>754</v>
      </c>
      <c r="K1034" s="8" t="s">
        <v>755</v>
      </c>
      <c r="L1034" s="8" t="s">
        <v>730</v>
      </c>
      <c r="M1034" s="1" t="s">
        <v>784</v>
      </c>
      <c r="N1034" s="8" t="s">
        <v>785</v>
      </c>
      <c r="O1034" s="6">
        <v>0</v>
      </c>
      <c r="P1034" s="6">
        <v>0</v>
      </c>
      <c r="Q1034" s="6">
        <v>0</v>
      </c>
      <c r="R1034" s="6">
        <v>0</v>
      </c>
      <c r="S1034" s="6">
        <v>0</v>
      </c>
    </row>
    <row r="1035" spans="1:19" ht="15" x14ac:dyDescent="0.25">
      <c r="A1035" s="7" t="s">
        <v>16</v>
      </c>
      <c r="B1035" s="7" t="s">
        <v>55</v>
      </c>
      <c r="C1035" s="7" t="s">
        <v>18</v>
      </c>
      <c r="D1035" s="3">
        <v>92898550000198</v>
      </c>
      <c r="E1035" s="8" t="s">
        <v>404</v>
      </c>
      <c r="F1035" s="8" t="s">
        <v>305</v>
      </c>
      <c r="G1035" s="8" t="s">
        <v>253</v>
      </c>
      <c r="H1035" s="8" t="s">
        <v>795</v>
      </c>
      <c r="I1035" s="3">
        <v>2</v>
      </c>
      <c r="J1035" s="8" t="s">
        <v>720</v>
      </c>
      <c r="K1035" s="8" t="s">
        <v>721</v>
      </c>
      <c r="L1035" s="8" t="s">
        <v>723</v>
      </c>
      <c r="M1035" s="1" t="s">
        <v>784</v>
      </c>
      <c r="N1035" s="8" t="s">
        <v>785</v>
      </c>
      <c r="O1035" s="6">
        <v>0</v>
      </c>
      <c r="P1035" s="6">
        <v>0</v>
      </c>
      <c r="Q1035" s="6">
        <v>2</v>
      </c>
      <c r="R1035" s="6">
        <v>0</v>
      </c>
      <c r="S1035" s="6">
        <v>0</v>
      </c>
    </row>
    <row r="1036" spans="1:19" ht="15" x14ac:dyDescent="0.25">
      <c r="A1036" s="7" t="s">
        <v>16</v>
      </c>
      <c r="B1036" s="7" t="s">
        <v>55</v>
      </c>
      <c r="C1036" s="7" t="s">
        <v>18</v>
      </c>
      <c r="D1036" s="3">
        <v>82854246004</v>
      </c>
      <c r="E1036" s="8" t="s">
        <v>411</v>
      </c>
      <c r="F1036" s="8" t="s">
        <v>305</v>
      </c>
      <c r="G1036" s="8" t="s">
        <v>253</v>
      </c>
      <c r="H1036" s="8" t="s">
        <v>795</v>
      </c>
      <c r="I1036" s="3">
        <v>2</v>
      </c>
      <c r="J1036" s="8" t="s">
        <v>754</v>
      </c>
      <c r="K1036" s="8" t="s">
        <v>755</v>
      </c>
      <c r="L1036" s="8" t="s">
        <v>730</v>
      </c>
      <c r="M1036" s="1" t="s">
        <v>784</v>
      </c>
      <c r="N1036" s="8" t="s">
        <v>785</v>
      </c>
      <c r="O1036" s="6">
        <v>0</v>
      </c>
      <c r="P1036" s="6">
        <v>0</v>
      </c>
      <c r="Q1036" s="6">
        <v>0</v>
      </c>
      <c r="R1036" s="6">
        <v>64</v>
      </c>
      <c r="S1036" s="6">
        <v>0</v>
      </c>
    </row>
    <row r="1037" spans="1:19" ht="15" x14ac:dyDescent="0.25">
      <c r="A1037" s="7" t="s">
        <v>16</v>
      </c>
      <c r="B1037" s="7" t="s">
        <v>55</v>
      </c>
      <c r="C1037" s="7" t="s">
        <v>18</v>
      </c>
      <c r="D1037" s="3">
        <v>82854246004</v>
      </c>
      <c r="E1037" s="8" t="s">
        <v>411</v>
      </c>
      <c r="F1037" s="8" t="s">
        <v>305</v>
      </c>
      <c r="G1037" s="8" t="s">
        <v>253</v>
      </c>
      <c r="H1037" s="8" t="s">
        <v>795</v>
      </c>
      <c r="I1037" s="3">
        <v>2</v>
      </c>
      <c r="J1037" s="8" t="s">
        <v>720</v>
      </c>
      <c r="K1037" s="8" t="s">
        <v>721</v>
      </c>
      <c r="L1037" s="8" t="s">
        <v>723</v>
      </c>
      <c r="M1037" s="1" t="s">
        <v>784</v>
      </c>
      <c r="N1037" s="8" t="s">
        <v>785</v>
      </c>
      <c r="O1037" s="6">
        <v>0</v>
      </c>
      <c r="P1037" s="6">
        <v>0</v>
      </c>
      <c r="Q1037" s="6">
        <v>0</v>
      </c>
      <c r="R1037" s="6">
        <v>0</v>
      </c>
      <c r="S1037" s="6">
        <v>0</v>
      </c>
    </row>
    <row r="1038" spans="1:19" ht="15" x14ac:dyDescent="0.25">
      <c r="A1038" s="7" t="s">
        <v>16</v>
      </c>
      <c r="B1038" s="7" t="s">
        <v>55</v>
      </c>
      <c r="C1038" s="7" t="s">
        <v>18</v>
      </c>
      <c r="D1038" s="3">
        <v>87020517000120</v>
      </c>
      <c r="E1038" s="8" t="s">
        <v>391</v>
      </c>
      <c r="F1038" s="8" t="s">
        <v>305</v>
      </c>
      <c r="G1038" s="8" t="s">
        <v>253</v>
      </c>
      <c r="H1038" s="8" t="s">
        <v>795</v>
      </c>
      <c r="I1038" s="3">
        <v>2</v>
      </c>
      <c r="J1038" s="8" t="s">
        <v>754</v>
      </c>
      <c r="K1038" s="8" t="s">
        <v>755</v>
      </c>
      <c r="L1038" s="8" t="s">
        <v>730</v>
      </c>
      <c r="M1038" s="1" t="s">
        <v>784</v>
      </c>
      <c r="N1038" s="8" t="s">
        <v>785</v>
      </c>
      <c r="O1038" s="6">
        <v>0</v>
      </c>
      <c r="P1038" s="6">
        <v>0</v>
      </c>
      <c r="Q1038" s="6">
        <v>0</v>
      </c>
      <c r="R1038" s="6">
        <v>0</v>
      </c>
      <c r="S1038" s="6">
        <v>0</v>
      </c>
    </row>
    <row r="1039" spans="1:19" ht="15" x14ac:dyDescent="0.25">
      <c r="A1039" s="7" t="s">
        <v>16</v>
      </c>
      <c r="B1039" s="7" t="s">
        <v>55</v>
      </c>
      <c r="C1039" s="7" t="s">
        <v>18</v>
      </c>
      <c r="D1039" s="3">
        <v>87020517000120</v>
      </c>
      <c r="E1039" s="8" t="s">
        <v>391</v>
      </c>
      <c r="F1039" s="8" t="s">
        <v>305</v>
      </c>
      <c r="G1039" s="8" t="s">
        <v>253</v>
      </c>
      <c r="H1039" s="8" t="s">
        <v>795</v>
      </c>
      <c r="I1039" s="3">
        <v>2</v>
      </c>
      <c r="J1039" s="8" t="s">
        <v>720</v>
      </c>
      <c r="K1039" s="8" t="s">
        <v>721</v>
      </c>
      <c r="L1039" s="8" t="s">
        <v>723</v>
      </c>
      <c r="M1039" s="1" t="s">
        <v>784</v>
      </c>
      <c r="N1039" s="8" t="s">
        <v>785</v>
      </c>
      <c r="O1039" s="6">
        <v>0</v>
      </c>
      <c r="P1039" s="6">
        <v>8</v>
      </c>
      <c r="Q1039" s="6">
        <v>30</v>
      </c>
      <c r="R1039" s="6">
        <v>0</v>
      </c>
      <c r="S1039" s="6">
        <v>0</v>
      </c>
    </row>
    <row r="1040" spans="1:19" ht="15" x14ac:dyDescent="0.25">
      <c r="A1040" s="7" t="s">
        <v>16</v>
      </c>
      <c r="B1040" s="7" t="s">
        <v>55</v>
      </c>
      <c r="C1040" s="7" t="s">
        <v>18</v>
      </c>
      <c r="D1040" s="3">
        <v>87317764001084</v>
      </c>
      <c r="E1040" s="8" t="s">
        <v>461</v>
      </c>
      <c r="F1040" s="8" t="s">
        <v>305</v>
      </c>
      <c r="G1040" s="8" t="s">
        <v>253</v>
      </c>
      <c r="H1040" s="8" t="s">
        <v>795</v>
      </c>
      <c r="I1040" s="3">
        <v>2</v>
      </c>
      <c r="J1040" s="8" t="s">
        <v>754</v>
      </c>
      <c r="K1040" s="8" t="s">
        <v>755</v>
      </c>
      <c r="L1040" s="8" t="s">
        <v>730</v>
      </c>
      <c r="M1040" s="1" t="s">
        <v>784</v>
      </c>
      <c r="N1040" s="8" t="s">
        <v>785</v>
      </c>
      <c r="O1040" s="6">
        <v>0</v>
      </c>
      <c r="P1040" s="6">
        <v>0</v>
      </c>
      <c r="Q1040" s="6">
        <v>0</v>
      </c>
      <c r="R1040" s="6">
        <v>0</v>
      </c>
      <c r="S1040" s="6">
        <v>240</v>
      </c>
    </row>
    <row r="1041" spans="1:19" ht="15" x14ac:dyDescent="0.25">
      <c r="A1041" s="7" t="s">
        <v>16</v>
      </c>
      <c r="B1041" s="7" t="s">
        <v>55</v>
      </c>
      <c r="C1041" s="7" t="s">
        <v>18</v>
      </c>
      <c r="D1041" s="3">
        <v>87317764001084</v>
      </c>
      <c r="E1041" s="8" t="s">
        <v>461</v>
      </c>
      <c r="F1041" s="8" t="s">
        <v>305</v>
      </c>
      <c r="G1041" s="8" t="s">
        <v>253</v>
      </c>
      <c r="H1041" s="8" t="s">
        <v>795</v>
      </c>
      <c r="I1041" s="3">
        <v>2</v>
      </c>
      <c r="J1041" s="8" t="s">
        <v>720</v>
      </c>
      <c r="K1041" s="8" t="s">
        <v>721</v>
      </c>
      <c r="L1041" s="8" t="s">
        <v>723</v>
      </c>
      <c r="M1041" s="1" t="s">
        <v>784</v>
      </c>
      <c r="N1041" s="8" t="s">
        <v>785</v>
      </c>
      <c r="O1041" s="6">
        <v>0</v>
      </c>
      <c r="P1041" s="6">
        <v>0</v>
      </c>
      <c r="Q1041" s="6">
        <v>4</v>
      </c>
      <c r="R1041" s="6">
        <v>0</v>
      </c>
      <c r="S1041" s="6">
        <v>240</v>
      </c>
    </row>
    <row r="1042" spans="1:19" ht="15" x14ac:dyDescent="0.25">
      <c r="A1042" s="7" t="s">
        <v>16</v>
      </c>
      <c r="B1042" s="7" t="s">
        <v>55</v>
      </c>
      <c r="C1042" s="7" t="s">
        <v>18</v>
      </c>
      <c r="D1042" s="3">
        <v>92741016000254</v>
      </c>
      <c r="E1042" s="8" t="s">
        <v>401</v>
      </c>
      <c r="F1042" s="8" t="s">
        <v>305</v>
      </c>
      <c r="G1042" s="8" t="s">
        <v>253</v>
      </c>
      <c r="H1042" s="8" t="s">
        <v>795</v>
      </c>
      <c r="I1042" s="3">
        <v>2</v>
      </c>
      <c r="J1042" s="8" t="s">
        <v>754</v>
      </c>
      <c r="K1042" s="8" t="s">
        <v>755</v>
      </c>
      <c r="L1042" s="8" t="s">
        <v>730</v>
      </c>
      <c r="M1042" s="1" t="s">
        <v>784</v>
      </c>
      <c r="N1042" s="8" t="s">
        <v>785</v>
      </c>
      <c r="O1042" s="6">
        <v>0</v>
      </c>
      <c r="P1042" s="6">
        <v>0</v>
      </c>
      <c r="Q1042" s="6">
        <v>0</v>
      </c>
      <c r="R1042" s="6">
        <v>0</v>
      </c>
      <c r="S1042" s="6">
        <v>0</v>
      </c>
    </row>
    <row r="1043" spans="1:19" ht="15" x14ac:dyDescent="0.25">
      <c r="A1043" s="7" t="s">
        <v>16</v>
      </c>
      <c r="B1043" s="7" t="s">
        <v>55</v>
      </c>
      <c r="C1043" s="7" t="s">
        <v>18</v>
      </c>
      <c r="D1043" s="3">
        <v>92741016000254</v>
      </c>
      <c r="E1043" s="8" t="s">
        <v>401</v>
      </c>
      <c r="F1043" s="8" t="s">
        <v>305</v>
      </c>
      <c r="G1043" s="8" t="s">
        <v>253</v>
      </c>
      <c r="H1043" s="8" t="s">
        <v>795</v>
      </c>
      <c r="I1043" s="3">
        <v>2</v>
      </c>
      <c r="J1043" s="8" t="s">
        <v>720</v>
      </c>
      <c r="K1043" s="8" t="s">
        <v>721</v>
      </c>
      <c r="L1043" s="8" t="s">
        <v>723</v>
      </c>
      <c r="M1043" s="1" t="s">
        <v>784</v>
      </c>
      <c r="N1043" s="8" t="s">
        <v>785</v>
      </c>
      <c r="O1043" s="6">
        <v>0</v>
      </c>
      <c r="P1043" s="6">
        <v>11</v>
      </c>
      <c r="Q1043" s="6">
        <v>3</v>
      </c>
      <c r="R1043" s="6">
        <v>0</v>
      </c>
      <c r="S1043" s="6">
        <v>0</v>
      </c>
    </row>
    <row r="1044" spans="1:19" ht="15" x14ac:dyDescent="0.25">
      <c r="A1044" s="7" t="s">
        <v>16</v>
      </c>
      <c r="B1044" s="7" t="s">
        <v>55</v>
      </c>
      <c r="C1044" s="7" t="s">
        <v>18</v>
      </c>
      <c r="D1044" s="3">
        <v>88625686002443</v>
      </c>
      <c r="E1044" s="8" t="s">
        <v>396</v>
      </c>
      <c r="F1044" s="8" t="s">
        <v>305</v>
      </c>
      <c r="G1044" s="8" t="s">
        <v>253</v>
      </c>
      <c r="H1044" s="8" t="s">
        <v>795</v>
      </c>
      <c r="I1044" s="3">
        <v>2</v>
      </c>
      <c r="J1044" s="8" t="s">
        <v>754</v>
      </c>
      <c r="K1044" s="8" t="s">
        <v>755</v>
      </c>
      <c r="L1044" s="8" t="s">
        <v>730</v>
      </c>
      <c r="M1044" s="1" t="s">
        <v>784</v>
      </c>
      <c r="N1044" s="8" t="s">
        <v>785</v>
      </c>
      <c r="O1044" s="6">
        <v>0</v>
      </c>
      <c r="P1044" s="6">
        <v>0</v>
      </c>
      <c r="Q1044" s="6">
        <v>0</v>
      </c>
      <c r="R1044" s="6">
        <v>0</v>
      </c>
      <c r="S1044" s="6">
        <v>240</v>
      </c>
    </row>
    <row r="1045" spans="1:19" ht="15" x14ac:dyDescent="0.25">
      <c r="A1045" s="7" t="s">
        <v>16</v>
      </c>
      <c r="B1045" s="7" t="s">
        <v>55</v>
      </c>
      <c r="C1045" s="7" t="s">
        <v>18</v>
      </c>
      <c r="D1045" s="3">
        <v>88625686002443</v>
      </c>
      <c r="E1045" s="8" t="s">
        <v>396</v>
      </c>
      <c r="F1045" s="8" t="s">
        <v>305</v>
      </c>
      <c r="G1045" s="8" t="s">
        <v>253</v>
      </c>
      <c r="H1045" s="8" t="s">
        <v>795</v>
      </c>
      <c r="I1045" s="3">
        <v>2</v>
      </c>
      <c r="J1045" s="8" t="s">
        <v>720</v>
      </c>
      <c r="K1045" s="8" t="s">
        <v>721</v>
      </c>
      <c r="L1045" s="8" t="s">
        <v>723</v>
      </c>
      <c r="M1045" s="1" t="s">
        <v>784</v>
      </c>
      <c r="N1045" s="8" t="s">
        <v>785</v>
      </c>
      <c r="O1045" s="6">
        <v>0</v>
      </c>
      <c r="P1045" s="6">
        <v>10</v>
      </c>
      <c r="Q1045" s="6">
        <v>0</v>
      </c>
      <c r="R1045" s="6">
        <v>0</v>
      </c>
      <c r="S1045" s="6">
        <v>240</v>
      </c>
    </row>
    <row r="1046" spans="1:19" ht="15" x14ac:dyDescent="0.25">
      <c r="A1046" s="7" t="s">
        <v>16</v>
      </c>
      <c r="B1046" s="7" t="s">
        <v>55</v>
      </c>
      <c r="C1046" s="7" t="s">
        <v>18</v>
      </c>
      <c r="D1046" s="3">
        <v>88630413000796</v>
      </c>
      <c r="E1046" s="8" t="s">
        <v>397</v>
      </c>
      <c r="F1046" s="8" t="s">
        <v>305</v>
      </c>
      <c r="G1046" s="8" t="s">
        <v>253</v>
      </c>
      <c r="H1046" s="8" t="s">
        <v>795</v>
      </c>
      <c r="I1046" s="3">
        <v>2</v>
      </c>
      <c r="J1046" s="8" t="s">
        <v>754</v>
      </c>
      <c r="K1046" s="8" t="s">
        <v>755</v>
      </c>
      <c r="L1046" s="8" t="s">
        <v>730</v>
      </c>
      <c r="M1046" s="1" t="s">
        <v>784</v>
      </c>
      <c r="N1046" s="8" t="s">
        <v>785</v>
      </c>
      <c r="O1046" s="6">
        <v>0</v>
      </c>
      <c r="P1046" s="6">
        <v>0</v>
      </c>
      <c r="Q1046" s="6">
        <v>0</v>
      </c>
      <c r="R1046" s="6">
        <v>0</v>
      </c>
      <c r="S1046" s="6">
        <v>0</v>
      </c>
    </row>
    <row r="1047" spans="1:19" ht="15" x14ac:dyDescent="0.25">
      <c r="A1047" s="7" t="s">
        <v>16</v>
      </c>
      <c r="B1047" s="7" t="s">
        <v>55</v>
      </c>
      <c r="C1047" s="7" t="s">
        <v>18</v>
      </c>
      <c r="D1047" s="3">
        <v>88630413000796</v>
      </c>
      <c r="E1047" s="8" t="s">
        <v>397</v>
      </c>
      <c r="F1047" s="8" t="s">
        <v>305</v>
      </c>
      <c r="G1047" s="8" t="s">
        <v>253</v>
      </c>
      <c r="H1047" s="8" t="s">
        <v>795</v>
      </c>
      <c r="I1047" s="3">
        <v>2</v>
      </c>
      <c r="J1047" s="8" t="s">
        <v>720</v>
      </c>
      <c r="K1047" s="8" t="s">
        <v>721</v>
      </c>
      <c r="L1047" s="8" t="s">
        <v>723</v>
      </c>
      <c r="M1047" s="1" t="s">
        <v>784</v>
      </c>
      <c r="N1047" s="8" t="s">
        <v>785</v>
      </c>
      <c r="O1047" s="6">
        <v>0</v>
      </c>
      <c r="P1047" s="6">
        <v>0</v>
      </c>
      <c r="Q1047" s="6">
        <v>3</v>
      </c>
      <c r="R1047" s="6">
        <v>0</v>
      </c>
      <c r="S1047" s="6">
        <v>0</v>
      </c>
    </row>
    <row r="1048" spans="1:19" ht="15" x14ac:dyDescent="0.25">
      <c r="A1048" s="7" t="s">
        <v>16</v>
      </c>
      <c r="B1048" s="7" t="s">
        <v>55</v>
      </c>
      <c r="C1048" s="7" t="s">
        <v>18</v>
      </c>
      <c r="D1048" s="3">
        <v>94831294000147</v>
      </c>
      <c r="E1048" s="8" t="s">
        <v>593</v>
      </c>
      <c r="F1048" s="8" t="s">
        <v>305</v>
      </c>
      <c r="G1048" s="8" t="s">
        <v>253</v>
      </c>
      <c r="H1048" s="8" t="s">
        <v>795</v>
      </c>
      <c r="I1048" s="3">
        <v>2</v>
      </c>
      <c r="J1048" s="8" t="s">
        <v>754</v>
      </c>
      <c r="K1048" s="8" t="s">
        <v>755</v>
      </c>
      <c r="L1048" s="8" t="s">
        <v>730</v>
      </c>
      <c r="M1048" s="1" t="s">
        <v>784</v>
      </c>
      <c r="N1048" s="8" t="s">
        <v>785</v>
      </c>
      <c r="O1048" s="6">
        <v>0</v>
      </c>
      <c r="P1048" s="6">
        <v>0</v>
      </c>
      <c r="Q1048" s="6">
        <v>0</v>
      </c>
      <c r="R1048" s="6">
        <v>0</v>
      </c>
      <c r="S1048" s="6">
        <v>30</v>
      </c>
    </row>
    <row r="1049" spans="1:19" ht="15" x14ac:dyDescent="0.25">
      <c r="A1049" s="7" t="s">
        <v>16</v>
      </c>
      <c r="B1049" s="7" t="s">
        <v>55</v>
      </c>
      <c r="C1049" s="7" t="s">
        <v>18</v>
      </c>
      <c r="D1049" s="3">
        <v>94831294000147</v>
      </c>
      <c r="E1049" s="8" t="s">
        <v>593</v>
      </c>
      <c r="F1049" s="8" t="s">
        <v>305</v>
      </c>
      <c r="G1049" s="8" t="s">
        <v>253</v>
      </c>
      <c r="H1049" s="8" t="s">
        <v>795</v>
      </c>
      <c r="I1049" s="3">
        <v>2</v>
      </c>
      <c r="J1049" s="8" t="s">
        <v>720</v>
      </c>
      <c r="K1049" s="8" t="s">
        <v>721</v>
      </c>
      <c r="L1049" s="8" t="s">
        <v>723</v>
      </c>
      <c r="M1049" s="1" t="s">
        <v>784</v>
      </c>
      <c r="N1049" s="8" t="s">
        <v>785</v>
      </c>
      <c r="O1049" s="6">
        <v>0</v>
      </c>
      <c r="P1049" s="6">
        <v>0</v>
      </c>
      <c r="Q1049" s="6">
        <v>0</v>
      </c>
      <c r="R1049" s="6">
        <v>0</v>
      </c>
      <c r="S1049" s="6">
        <v>30</v>
      </c>
    </row>
    <row r="1050" spans="1:19" ht="15" x14ac:dyDescent="0.25">
      <c r="A1050" s="7" t="s">
        <v>16</v>
      </c>
      <c r="B1050" s="7" t="s">
        <v>55</v>
      </c>
      <c r="C1050" s="7" t="s">
        <v>18</v>
      </c>
      <c r="D1050" s="3">
        <v>92815000000168</v>
      </c>
      <c r="E1050" s="8" t="s">
        <v>403</v>
      </c>
      <c r="F1050" s="8" t="s">
        <v>305</v>
      </c>
      <c r="G1050" s="8" t="s">
        <v>253</v>
      </c>
      <c r="H1050" s="8" t="s">
        <v>795</v>
      </c>
      <c r="I1050" s="3">
        <v>2</v>
      </c>
      <c r="J1050" s="8" t="s">
        <v>754</v>
      </c>
      <c r="K1050" s="8" t="s">
        <v>755</v>
      </c>
      <c r="L1050" s="8" t="s">
        <v>730</v>
      </c>
      <c r="M1050" s="1" t="s">
        <v>784</v>
      </c>
      <c r="N1050" s="8" t="s">
        <v>785</v>
      </c>
      <c r="O1050" s="6">
        <v>0</v>
      </c>
      <c r="P1050" s="6">
        <v>0</v>
      </c>
      <c r="Q1050" s="6">
        <v>0</v>
      </c>
      <c r="R1050" s="6">
        <v>54</v>
      </c>
      <c r="S1050" s="6">
        <v>90</v>
      </c>
    </row>
    <row r="1051" spans="1:19" ht="15" x14ac:dyDescent="0.25">
      <c r="A1051" s="7" t="s">
        <v>16</v>
      </c>
      <c r="B1051" s="7" t="s">
        <v>55</v>
      </c>
      <c r="C1051" s="7" t="s">
        <v>18</v>
      </c>
      <c r="D1051" s="3">
        <v>92815000000168</v>
      </c>
      <c r="E1051" s="8" t="s">
        <v>403</v>
      </c>
      <c r="F1051" s="8" t="s">
        <v>305</v>
      </c>
      <c r="G1051" s="8" t="s">
        <v>253</v>
      </c>
      <c r="H1051" s="8" t="s">
        <v>795</v>
      </c>
      <c r="I1051" s="3">
        <v>2</v>
      </c>
      <c r="J1051" s="8" t="s">
        <v>720</v>
      </c>
      <c r="K1051" s="8" t="s">
        <v>721</v>
      </c>
      <c r="L1051" s="8" t="s">
        <v>723</v>
      </c>
      <c r="M1051" s="1" t="s">
        <v>784</v>
      </c>
      <c r="N1051" s="8" t="s">
        <v>785</v>
      </c>
      <c r="O1051" s="6">
        <v>0</v>
      </c>
      <c r="P1051" s="6">
        <v>23</v>
      </c>
      <c r="Q1051" s="6">
        <v>56</v>
      </c>
      <c r="R1051" s="6">
        <v>0</v>
      </c>
      <c r="S1051" s="6">
        <v>90</v>
      </c>
    </row>
    <row r="1052" spans="1:19" ht="15" x14ac:dyDescent="0.25">
      <c r="A1052" s="7" t="s">
        <v>16</v>
      </c>
      <c r="B1052" s="7" t="s">
        <v>55</v>
      </c>
      <c r="C1052" s="7" t="s">
        <v>18</v>
      </c>
      <c r="D1052" s="3">
        <v>92963560000160</v>
      </c>
      <c r="E1052" s="8" t="s">
        <v>465</v>
      </c>
      <c r="F1052" s="8" t="s">
        <v>305</v>
      </c>
      <c r="G1052" s="8" t="s">
        <v>253</v>
      </c>
      <c r="H1052" s="8" t="s">
        <v>795</v>
      </c>
      <c r="I1052" s="3">
        <v>2</v>
      </c>
      <c r="J1052" s="8" t="s">
        <v>754</v>
      </c>
      <c r="K1052" s="8" t="s">
        <v>755</v>
      </c>
      <c r="L1052" s="8" t="s">
        <v>730</v>
      </c>
      <c r="M1052" s="1" t="s">
        <v>784</v>
      </c>
      <c r="N1052" s="8" t="s">
        <v>785</v>
      </c>
      <c r="O1052" s="6">
        <v>0</v>
      </c>
      <c r="P1052" s="6">
        <v>0</v>
      </c>
      <c r="Q1052" s="6">
        <v>0</v>
      </c>
      <c r="R1052" s="6">
        <v>0</v>
      </c>
      <c r="S1052" s="6">
        <v>100</v>
      </c>
    </row>
    <row r="1053" spans="1:19" ht="15" x14ac:dyDescent="0.25">
      <c r="A1053" s="7" t="s">
        <v>16</v>
      </c>
      <c r="B1053" s="7" t="s">
        <v>55</v>
      </c>
      <c r="C1053" s="7" t="s">
        <v>18</v>
      </c>
      <c r="D1053" s="3">
        <v>92963560000160</v>
      </c>
      <c r="E1053" s="8" t="s">
        <v>465</v>
      </c>
      <c r="F1053" s="8" t="s">
        <v>305</v>
      </c>
      <c r="G1053" s="8" t="s">
        <v>253</v>
      </c>
      <c r="H1053" s="8" t="s">
        <v>795</v>
      </c>
      <c r="I1053" s="3">
        <v>2</v>
      </c>
      <c r="J1053" s="8" t="s">
        <v>720</v>
      </c>
      <c r="K1053" s="8" t="s">
        <v>721</v>
      </c>
      <c r="L1053" s="8" t="s">
        <v>723</v>
      </c>
      <c r="M1053" s="1" t="s">
        <v>784</v>
      </c>
      <c r="N1053" s="8" t="s">
        <v>785</v>
      </c>
      <c r="O1053" s="6">
        <v>0</v>
      </c>
      <c r="P1053" s="6">
        <v>20</v>
      </c>
      <c r="Q1053" s="6">
        <v>0</v>
      </c>
      <c r="R1053" s="6">
        <v>0</v>
      </c>
      <c r="S1053" s="6">
        <v>100</v>
      </c>
    </row>
    <row r="1054" spans="1:19" ht="15" x14ac:dyDescent="0.25">
      <c r="A1054" s="7" t="s">
        <v>16</v>
      </c>
      <c r="B1054" s="7" t="s">
        <v>55</v>
      </c>
      <c r="C1054" s="7" t="s">
        <v>18</v>
      </c>
      <c r="D1054" s="3">
        <v>9087150000230</v>
      </c>
      <c r="E1054" s="8" t="s">
        <v>304</v>
      </c>
      <c r="F1054" s="8" t="s">
        <v>305</v>
      </c>
      <c r="G1054" s="8" t="s">
        <v>253</v>
      </c>
      <c r="H1054" s="8" t="s">
        <v>795</v>
      </c>
      <c r="I1054" s="3">
        <v>2</v>
      </c>
      <c r="J1054" s="8" t="s">
        <v>754</v>
      </c>
      <c r="K1054" s="8" t="s">
        <v>755</v>
      </c>
      <c r="L1054" s="8" t="s">
        <v>730</v>
      </c>
      <c r="M1054" s="1" t="s">
        <v>784</v>
      </c>
      <c r="N1054" s="8" t="s">
        <v>785</v>
      </c>
      <c r="O1054" s="6">
        <v>0</v>
      </c>
      <c r="P1054" s="6">
        <v>0</v>
      </c>
      <c r="Q1054" s="6">
        <v>0</v>
      </c>
      <c r="R1054" s="6">
        <v>10</v>
      </c>
      <c r="S1054" s="6">
        <v>0</v>
      </c>
    </row>
    <row r="1055" spans="1:19" ht="15" x14ac:dyDescent="0.25">
      <c r="A1055" s="7" t="s">
        <v>16</v>
      </c>
      <c r="B1055" s="7" t="s">
        <v>55</v>
      </c>
      <c r="C1055" s="7" t="s">
        <v>18</v>
      </c>
      <c r="D1055" s="3">
        <v>9087150000230</v>
      </c>
      <c r="E1055" s="8" t="s">
        <v>304</v>
      </c>
      <c r="F1055" s="8" t="s">
        <v>305</v>
      </c>
      <c r="G1055" s="8" t="s">
        <v>253</v>
      </c>
      <c r="H1055" s="8" t="s">
        <v>795</v>
      </c>
      <c r="I1055" s="3">
        <v>2</v>
      </c>
      <c r="J1055" s="8" t="s">
        <v>720</v>
      </c>
      <c r="K1055" s="8" t="s">
        <v>721</v>
      </c>
      <c r="L1055" s="8" t="s">
        <v>723</v>
      </c>
      <c r="M1055" s="1" t="s">
        <v>784</v>
      </c>
      <c r="N1055" s="8" t="s">
        <v>785</v>
      </c>
      <c r="O1055" s="6">
        <v>0</v>
      </c>
      <c r="P1055" s="6">
        <v>0</v>
      </c>
      <c r="Q1055" s="6">
        <v>0</v>
      </c>
      <c r="R1055" s="6">
        <v>0</v>
      </c>
      <c r="S1055" s="6">
        <v>0</v>
      </c>
    </row>
    <row r="1056" spans="1:19" ht="15" x14ac:dyDescent="0.25">
      <c r="A1056" s="7" t="s">
        <v>16</v>
      </c>
      <c r="B1056" s="7" t="s">
        <v>55</v>
      </c>
      <c r="C1056" s="7" t="s">
        <v>18</v>
      </c>
      <c r="D1056" s="3">
        <v>12508728000108</v>
      </c>
      <c r="E1056" s="8" t="s">
        <v>517</v>
      </c>
      <c r="F1056" s="8" t="s">
        <v>331</v>
      </c>
      <c r="G1056" s="8" t="s">
        <v>253</v>
      </c>
      <c r="H1056" s="8" t="s">
        <v>795</v>
      </c>
      <c r="I1056" s="3">
        <v>2</v>
      </c>
      <c r="J1056" s="8" t="s">
        <v>754</v>
      </c>
      <c r="K1056" s="8" t="s">
        <v>755</v>
      </c>
      <c r="L1056" s="8" t="s">
        <v>730</v>
      </c>
      <c r="M1056" s="1" t="s">
        <v>784</v>
      </c>
      <c r="N1056" s="8" t="s">
        <v>785</v>
      </c>
      <c r="O1056" s="6">
        <v>0</v>
      </c>
      <c r="P1056" s="6">
        <v>0</v>
      </c>
      <c r="Q1056" s="6">
        <v>0</v>
      </c>
      <c r="R1056" s="6">
        <v>0</v>
      </c>
      <c r="S1056" s="6">
        <v>40</v>
      </c>
    </row>
    <row r="1057" spans="1:19" ht="15" x14ac:dyDescent="0.25">
      <c r="A1057" s="7" t="s">
        <v>16</v>
      </c>
      <c r="B1057" s="7" t="s">
        <v>55</v>
      </c>
      <c r="C1057" s="7" t="s">
        <v>18</v>
      </c>
      <c r="D1057" s="3">
        <v>12508728000108</v>
      </c>
      <c r="E1057" s="8" t="s">
        <v>517</v>
      </c>
      <c r="F1057" s="8" t="s">
        <v>331</v>
      </c>
      <c r="G1057" s="8" t="s">
        <v>253</v>
      </c>
      <c r="H1057" s="8" t="s">
        <v>795</v>
      </c>
      <c r="I1057" s="3">
        <v>2</v>
      </c>
      <c r="J1057" s="8" t="s">
        <v>720</v>
      </c>
      <c r="K1057" s="8" t="s">
        <v>721</v>
      </c>
      <c r="L1057" s="8" t="s">
        <v>723</v>
      </c>
      <c r="M1057" s="1" t="s">
        <v>784</v>
      </c>
      <c r="N1057" s="8" t="s">
        <v>785</v>
      </c>
      <c r="O1057" s="6">
        <v>0</v>
      </c>
      <c r="P1057" s="6">
        <v>0</v>
      </c>
      <c r="Q1057" s="6">
        <v>0</v>
      </c>
      <c r="R1057" s="6">
        <v>0</v>
      </c>
      <c r="S1057" s="6">
        <v>40</v>
      </c>
    </row>
    <row r="1058" spans="1:19" ht="15" x14ac:dyDescent="0.25">
      <c r="A1058" s="7" t="s">
        <v>16</v>
      </c>
      <c r="B1058" s="7" t="s">
        <v>55</v>
      </c>
      <c r="C1058" s="7" t="s">
        <v>18</v>
      </c>
      <c r="D1058" s="3">
        <v>15126437001972</v>
      </c>
      <c r="E1058" s="8" t="s">
        <v>330</v>
      </c>
      <c r="F1058" s="8" t="s">
        <v>331</v>
      </c>
      <c r="G1058" s="8" t="s">
        <v>253</v>
      </c>
      <c r="H1058" s="8" t="s">
        <v>795</v>
      </c>
      <c r="I1058" s="3">
        <v>2</v>
      </c>
      <c r="J1058" s="8" t="s">
        <v>754</v>
      </c>
      <c r="K1058" s="8" t="s">
        <v>755</v>
      </c>
      <c r="L1058" s="8" t="s">
        <v>730</v>
      </c>
      <c r="M1058" s="1" t="s">
        <v>784</v>
      </c>
      <c r="N1058" s="8" t="s">
        <v>785</v>
      </c>
      <c r="O1058" s="6">
        <v>0</v>
      </c>
      <c r="P1058" s="6">
        <v>0</v>
      </c>
      <c r="Q1058" s="6">
        <v>0</v>
      </c>
      <c r="R1058" s="6">
        <v>0</v>
      </c>
      <c r="S1058" s="6">
        <v>0</v>
      </c>
    </row>
    <row r="1059" spans="1:19" ht="15" x14ac:dyDescent="0.25">
      <c r="A1059" s="7" t="s">
        <v>16</v>
      </c>
      <c r="B1059" s="7" t="s">
        <v>55</v>
      </c>
      <c r="C1059" s="7" t="s">
        <v>18</v>
      </c>
      <c r="D1059" s="3">
        <v>15126437001972</v>
      </c>
      <c r="E1059" s="8" t="s">
        <v>330</v>
      </c>
      <c r="F1059" s="8" t="s">
        <v>331</v>
      </c>
      <c r="G1059" s="8" t="s">
        <v>253</v>
      </c>
      <c r="H1059" s="8" t="s">
        <v>795</v>
      </c>
      <c r="I1059" s="3">
        <v>2</v>
      </c>
      <c r="J1059" s="8" t="s">
        <v>720</v>
      </c>
      <c r="K1059" s="8" t="s">
        <v>721</v>
      </c>
      <c r="L1059" s="8" t="s">
        <v>723</v>
      </c>
      <c r="M1059" s="1" t="s">
        <v>784</v>
      </c>
      <c r="N1059" s="8" t="s">
        <v>785</v>
      </c>
      <c r="O1059" s="6">
        <v>0</v>
      </c>
      <c r="P1059" s="6">
        <v>0</v>
      </c>
      <c r="Q1059" s="6">
        <v>15</v>
      </c>
      <c r="R1059" s="6">
        <v>0</v>
      </c>
      <c r="S1059" s="6">
        <v>0</v>
      </c>
    </row>
    <row r="1060" spans="1:19" ht="15" x14ac:dyDescent="0.25">
      <c r="A1060" s="7" t="s">
        <v>16</v>
      </c>
      <c r="B1060" s="7" t="s">
        <v>55</v>
      </c>
      <c r="C1060" s="7" t="s">
        <v>18</v>
      </c>
      <c r="D1060" s="3">
        <v>95610887000146</v>
      </c>
      <c r="E1060" s="8" t="s">
        <v>406</v>
      </c>
      <c r="F1060" s="8" t="s">
        <v>331</v>
      </c>
      <c r="G1060" s="8" t="s">
        <v>253</v>
      </c>
      <c r="H1060" s="8" t="s">
        <v>795</v>
      </c>
      <c r="I1060" s="3">
        <v>2</v>
      </c>
      <c r="J1060" s="8" t="s">
        <v>754</v>
      </c>
      <c r="K1060" s="8" t="s">
        <v>755</v>
      </c>
      <c r="L1060" s="8" t="s">
        <v>730</v>
      </c>
      <c r="M1060" s="1" t="s">
        <v>784</v>
      </c>
      <c r="N1060" s="8" t="s">
        <v>785</v>
      </c>
      <c r="O1060" s="6">
        <v>0</v>
      </c>
      <c r="P1060" s="6">
        <v>0</v>
      </c>
      <c r="Q1060" s="6">
        <v>0</v>
      </c>
      <c r="R1060" s="6">
        <v>0</v>
      </c>
      <c r="S1060" s="6">
        <v>100</v>
      </c>
    </row>
    <row r="1061" spans="1:19" ht="15" x14ac:dyDescent="0.25">
      <c r="A1061" s="7" t="s">
        <v>16</v>
      </c>
      <c r="B1061" s="7" t="s">
        <v>55</v>
      </c>
      <c r="C1061" s="7" t="s">
        <v>18</v>
      </c>
      <c r="D1061" s="3">
        <v>95610887000146</v>
      </c>
      <c r="E1061" s="8" t="s">
        <v>406</v>
      </c>
      <c r="F1061" s="8" t="s">
        <v>331</v>
      </c>
      <c r="G1061" s="8" t="s">
        <v>253</v>
      </c>
      <c r="H1061" s="8" t="s">
        <v>795</v>
      </c>
      <c r="I1061" s="3">
        <v>2</v>
      </c>
      <c r="J1061" s="8" t="s">
        <v>720</v>
      </c>
      <c r="K1061" s="8" t="s">
        <v>721</v>
      </c>
      <c r="L1061" s="8" t="s">
        <v>723</v>
      </c>
      <c r="M1061" s="1" t="s">
        <v>784</v>
      </c>
      <c r="N1061" s="8" t="s">
        <v>785</v>
      </c>
      <c r="O1061" s="6">
        <v>0</v>
      </c>
      <c r="P1061" s="6">
        <v>9</v>
      </c>
      <c r="Q1061" s="6">
        <v>9</v>
      </c>
      <c r="R1061" s="6">
        <v>0</v>
      </c>
      <c r="S1061" s="6">
        <v>100</v>
      </c>
    </row>
    <row r="1062" spans="1:19" ht="15" x14ac:dyDescent="0.25">
      <c r="A1062" s="7" t="s">
        <v>16</v>
      </c>
      <c r="B1062" s="7" t="s">
        <v>55</v>
      </c>
      <c r="C1062" s="7" t="s">
        <v>18</v>
      </c>
      <c r="D1062" s="3">
        <v>1517626000132</v>
      </c>
      <c r="E1062" s="8" t="s">
        <v>257</v>
      </c>
      <c r="F1062" s="8" t="s">
        <v>258</v>
      </c>
      <c r="G1062" s="8" t="s">
        <v>259</v>
      </c>
      <c r="H1062" s="8" t="s">
        <v>795</v>
      </c>
      <c r="I1062" s="3">
        <v>2</v>
      </c>
      <c r="J1062" s="8" t="s">
        <v>754</v>
      </c>
      <c r="K1062" s="8" t="s">
        <v>755</v>
      </c>
      <c r="L1062" s="8" t="s">
        <v>730</v>
      </c>
      <c r="M1062" s="1" t="s">
        <v>784</v>
      </c>
      <c r="N1062" s="8" t="s">
        <v>785</v>
      </c>
      <c r="O1062" s="6">
        <v>0</v>
      </c>
      <c r="P1062" s="6">
        <v>0</v>
      </c>
      <c r="Q1062" s="6">
        <v>0</v>
      </c>
      <c r="R1062" s="6">
        <v>0</v>
      </c>
      <c r="S1062" s="6">
        <v>190</v>
      </c>
    </row>
    <row r="1063" spans="1:19" ht="15" x14ac:dyDescent="0.25">
      <c r="A1063" s="7" t="s">
        <v>16</v>
      </c>
      <c r="B1063" s="7" t="s">
        <v>55</v>
      </c>
      <c r="C1063" s="7" t="s">
        <v>18</v>
      </c>
      <c r="D1063" s="3">
        <v>1517626000132</v>
      </c>
      <c r="E1063" s="8" t="s">
        <v>257</v>
      </c>
      <c r="F1063" s="8" t="s">
        <v>258</v>
      </c>
      <c r="G1063" s="8" t="s">
        <v>259</v>
      </c>
      <c r="H1063" s="8" t="s">
        <v>795</v>
      </c>
      <c r="I1063" s="3">
        <v>2</v>
      </c>
      <c r="J1063" s="8" t="s">
        <v>735</v>
      </c>
      <c r="K1063" s="8" t="s">
        <v>736</v>
      </c>
      <c r="L1063" s="8" t="s">
        <v>723</v>
      </c>
      <c r="M1063" s="1" t="s">
        <v>784</v>
      </c>
      <c r="N1063" s="8" t="s">
        <v>785</v>
      </c>
      <c r="O1063" s="6">
        <v>0</v>
      </c>
      <c r="P1063" s="6">
        <v>0</v>
      </c>
      <c r="Q1063" s="6">
        <v>0</v>
      </c>
      <c r="R1063" s="6">
        <v>0</v>
      </c>
      <c r="S1063" s="6">
        <v>190</v>
      </c>
    </row>
    <row r="1064" spans="1:19" ht="15" x14ac:dyDescent="0.25">
      <c r="A1064" s="7" t="s">
        <v>16</v>
      </c>
      <c r="B1064" s="7" t="s">
        <v>55</v>
      </c>
      <c r="C1064" s="7" t="s">
        <v>18</v>
      </c>
      <c r="D1064" s="3">
        <v>85377174000392</v>
      </c>
      <c r="E1064" s="8" t="s">
        <v>390</v>
      </c>
      <c r="F1064" s="8" t="s">
        <v>258</v>
      </c>
      <c r="G1064" s="8" t="s">
        <v>259</v>
      </c>
      <c r="H1064" s="8" t="s">
        <v>795</v>
      </c>
      <c r="I1064" s="3">
        <v>2</v>
      </c>
      <c r="J1064" s="8" t="s">
        <v>754</v>
      </c>
      <c r="K1064" s="8" t="s">
        <v>755</v>
      </c>
      <c r="L1064" s="8" t="s">
        <v>730</v>
      </c>
      <c r="M1064" s="1" t="s">
        <v>784</v>
      </c>
      <c r="N1064" s="8" t="s">
        <v>785</v>
      </c>
      <c r="O1064" s="6">
        <v>0</v>
      </c>
      <c r="P1064" s="6">
        <v>0</v>
      </c>
      <c r="Q1064" s="6">
        <v>0</v>
      </c>
      <c r="R1064" s="6">
        <v>12</v>
      </c>
      <c r="S1064" s="6">
        <v>0</v>
      </c>
    </row>
    <row r="1065" spans="1:19" ht="15" x14ac:dyDescent="0.25">
      <c r="A1065" s="7" t="s">
        <v>16</v>
      </c>
      <c r="B1065" s="7" t="s">
        <v>55</v>
      </c>
      <c r="C1065" s="7" t="s">
        <v>18</v>
      </c>
      <c r="D1065" s="3">
        <v>85377174000392</v>
      </c>
      <c r="E1065" s="8" t="s">
        <v>390</v>
      </c>
      <c r="F1065" s="8" t="s">
        <v>258</v>
      </c>
      <c r="G1065" s="8" t="s">
        <v>259</v>
      </c>
      <c r="H1065" s="8" t="s">
        <v>795</v>
      </c>
      <c r="I1065" s="3">
        <v>2</v>
      </c>
      <c r="J1065" s="8" t="s">
        <v>735</v>
      </c>
      <c r="K1065" s="8" t="s">
        <v>736</v>
      </c>
      <c r="L1065" s="8" t="s">
        <v>723</v>
      </c>
      <c r="M1065" s="1" t="s">
        <v>784</v>
      </c>
      <c r="N1065" s="8" t="s">
        <v>785</v>
      </c>
      <c r="O1065" s="6">
        <v>0</v>
      </c>
      <c r="P1065" s="6">
        <v>0</v>
      </c>
      <c r="Q1065" s="6">
        <v>0</v>
      </c>
      <c r="R1065" s="6">
        <v>0</v>
      </c>
      <c r="S1065" s="6">
        <v>0</v>
      </c>
    </row>
    <row r="1066" spans="1:19" ht="15" x14ac:dyDescent="0.25">
      <c r="A1066" s="7" t="s">
        <v>16</v>
      </c>
      <c r="B1066" s="7" t="s">
        <v>55</v>
      </c>
      <c r="C1066" s="7" t="s">
        <v>18</v>
      </c>
      <c r="D1066" s="3">
        <v>1880344000103</v>
      </c>
      <c r="E1066" s="8" t="s">
        <v>513</v>
      </c>
      <c r="F1066" s="8" t="s">
        <v>380</v>
      </c>
      <c r="G1066" s="8" t="s">
        <v>259</v>
      </c>
      <c r="H1066" s="8" t="s">
        <v>795</v>
      </c>
      <c r="I1066" s="3">
        <v>2</v>
      </c>
      <c r="J1066" s="8" t="s">
        <v>754</v>
      </c>
      <c r="K1066" s="8" t="s">
        <v>755</v>
      </c>
      <c r="L1066" s="8" t="s">
        <v>730</v>
      </c>
      <c r="M1066" s="1" t="s">
        <v>784</v>
      </c>
      <c r="N1066" s="8" t="s">
        <v>785</v>
      </c>
      <c r="O1066" s="6">
        <v>0</v>
      </c>
      <c r="P1066" s="6">
        <v>0</v>
      </c>
      <c r="Q1066" s="6">
        <v>0</v>
      </c>
      <c r="R1066" s="6">
        <v>0</v>
      </c>
      <c r="S1066" s="6">
        <v>70</v>
      </c>
    </row>
    <row r="1067" spans="1:19" ht="15" x14ac:dyDescent="0.25">
      <c r="A1067" s="7" t="s">
        <v>16</v>
      </c>
      <c r="B1067" s="7" t="s">
        <v>55</v>
      </c>
      <c r="C1067" s="7" t="s">
        <v>18</v>
      </c>
      <c r="D1067" s="3">
        <v>1880344000103</v>
      </c>
      <c r="E1067" s="8" t="s">
        <v>513</v>
      </c>
      <c r="F1067" s="8" t="s">
        <v>380</v>
      </c>
      <c r="G1067" s="8" t="s">
        <v>259</v>
      </c>
      <c r="H1067" s="8" t="s">
        <v>795</v>
      </c>
      <c r="I1067" s="3">
        <v>2</v>
      </c>
      <c r="J1067" s="8" t="s">
        <v>735</v>
      </c>
      <c r="K1067" s="8" t="s">
        <v>736</v>
      </c>
      <c r="L1067" s="8" t="s">
        <v>723</v>
      </c>
      <c r="M1067" s="1" t="s">
        <v>784</v>
      </c>
      <c r="N1067" s="8" t="s">
        <v>785</v>
      </c>
      <c r="O1067" s="6">
        <v>0</v>
      </c>
      <c r="P1067" s="6">
        <v>0</v>
      </c>
      <c r="Q1067" s="6">
        <v>0</v>
      </c>
      <c r="R1067" s="6">
        <v>0</v>
      </c>
      <c r="S1067" s="6">
        <v>70</v>
      </c>
    </row>
    <row r="1068" spans="1:19" ht="15" x14ac:dyDescent="0.25">
      <c r="A1068" s="7" t="s">
        <v>16</v>
      </c>
      <c r="B1068" s="7" t="s">
        <v>55</v>
      </c>
      <c r="C1068" s="7" t="s">
        <v>18</v>
      </c>
      <c r="D1068" s="3">
        <v>60922168005226</v>
      </c>
      <c r="E1068" s="8" t="s">
        <v>379</v>
      </c>
      <c r="F1068" s="8" t="s">
        <v>380</v>
      </c>
      <c r="G1068" s="8" t="s">
        <v>259</v>
      </c>
      <c r="H1068" s="8" t="s">
        <v>795</v>
      </c>
      <c r="I1068" s="3">
        <v>2</v>
      </c>
      <c r="J1068" s="8" t="s">
        <v>754</v>
      </c>
      <c r="K1068" s="8" t="s">
        <v>755</v>
      </c>
      <c r="L1068" s="8" t="s">
        <v>730</v>
      </c>
      <c r="M1068" s="1" t="s">
        <v>784</v>
      </c>
      <c r="N1068" s="8" t="s">
        <v>785</v>
      </c>
      <c r="O1068" s="6">
        <v>0</v>
      </c>
      <c r="P1068" s="6">
        <v>0</v>
      </c>
      <c r="Q1068" s="6">
        <v>0</v>
      </c>
      <c r="R1068" s="6">
        <v>0</v>
      </c>
      <c r="S1068" s="6">
        <v>0</v>
      </c>
    </row>
    <row r="1069" spans="1:19" ht="15" x14ac:dyDescent="0.25">
      <c r="A1069" s="7" t="s">
        <v>16</v>
      </c>
      <c r="B1069" s="7" t="s">
        <v>55</v>
      </c>
      <c r="C1069" s="7" t="s">
        <v>18</v>
      </c>
      <c r="D1069" s="3">
        <v>60922168005226</v>
      </c>
      <c r="E1069" s="8" t="s">
        <v>379</v>
      </c>
      <c r="F1069" s="8" t="s">
        <v>380</v>
      </c>
      <c r="G1069" s="8" t="s">
        <v>259</v>
      </c>
      <c r="H1069" s="8" t="s">
        <v>795</v>
      </c>
      <c r="I1069" s="3">
        <v>2</v>
      </c>
      <c r="J1069" s="8" t="s">
        <v>735</v>
      </c>
      <c r="K1069" s="8" t="s">
        <v>736</v>
      </c>
      <c r="L1069" s="8" t="s">
        <v>723</v>
      </c>
      <c r="M1069" s="1" t="s">
        <v>784</v>
      </c>
      <c r="N1069" s="8" t="s">
        <v>785</v>
      </c>
      <c r="O1069" s="6">
        <v>0</v>
      </c>
      <c r="P1069" s="6">
        <v>2</v>
      </c>
      <c r="Q1069" s="6">
        <v>7</v>
      </c>
      <c r="R1069" s="6">
        <v>0</v>
      </c>
      <c r="S1069" s="6">
        <v>0</v>
      </c>
    </row>
    <row r="1070" spans="1:19" ht="15" x14ac:dyDescent="0.25">
      <c r="A1070" s="7" t="s">
        <v>16</v>
      </c>
      <c r="B1070" s="7" t="s">
        <v>55</v>
      </c>
      <c r="C1070" s="7" t="s">
        <v>18</v>
      </c>
      <c r="D1070" s="3">
        <v>1554266000300</v>
      </c>
      <c r="E1070" s="8" t="s">
        <v>534</v>
      </c>
      <c r="F1070" s="8" t="s">
        <v>512</v>
      </c>
      <c r="G1070" s="8" t="s">
        <v>259</v>
      </c>
      <c r="H1070" s="8" t="s">
        <v>795</v>
      </c>
      <c r="I1070" s="3">
        <v>2</v>
      </c>
      <c r="J1070" s="8" t="s">
        <v>754</v>
      </c>
      <c r="K1070" s="8" t="s">
        <v>755</v>
      </c>
      <c r="L1070" s="8" t="s">
        <v>730</v>
      </c>
      <c r="M1070" s="1" t="s">
        <v>784</v>
      </c>
      <c r="N1070" s="8" t="s">
        <v>785</v>
      </c>
      <c r="O1070" s="6">
        <v>0</v>
      </c>
      <c r="P1070" s="6">
        <v>0</v>
      </c>
      <c r="Q1070" s="6">
        <v>0</v>
      </c>
      <c r="R1070" s="6">
        <v>0</v>
      </c>
      <c r="S1070" s="6">
        <v>140</v>
      </c>
    </row>
    <row r="1071" spans="1:19" ht="15" x14ac:dyDescent="0.25">
      <c r="A1071" s="7" t="s">
        <v>16</v>
      </c>
      <c r="B1071" s="7" t="s">
        <v>55</v>
      </c>
      <c r="C1071" s="7" t="s">
        <v>18</v>
      </c>
      <c r="D1071" s="3">
        <v>1554266000300</v>
      </c>
      <c r="E1071" s="8" t="s">
        <v>534</v>
      </c>
      <c r="F1071" s="8" t="s">
        <v>512</v>
      </c>
      <c r="G1071" s="8" t="s">
        <v>259</v>
      </c>
      <c r="H1071" s="8" t="s">
        <v>795</v>
      </c>
      <c r="I1071" s="3">
        <v>2</v>
      </c>
      <c r="J1071" s="8" t="s">
        <v>735</v>
      </c>
      <c r="K1071" s="8" t="s">
        <v>736</v>
      </c>
      <c r="L1071" s="8" t="s">
        <v>723</v>
      </c>
      <c r="M1071" s="1" t="s">
        <v>784</v>
      </c>
      <c r="N1071" s="8" t="s">
        <v>785</v>
      </c>
      <c r="O1071" s="6">
        <v>0</v>
      </c>
      <c r="P1071" s="6">
        <v>0</v>
      </c>
      <c r="Q1071" s="6">
        <v>0</v>
      </c>
      <c r="R1071" s="6">
        <v>0</v>
      </c>
      <c r="S1071" s="6">
        <v>140</v>
      </c>
    </row>
    <row r="1072" spans="1:19" ht="15" x14ac:dyDescent="0.25">
      <c r="A1072" s="7" t="s">
        <v>16</v>
      </c>
      <c r="B1072" s="7" t="s">
        <v>55</v>
      </c>
      <c r="C1072" s="7" t="s">
        <v>18</v>
      </c>
      <c r="D1072" s="3">
        <v>1125832000105</v>
      </c>
      <c r="E1072" s="8" t="s">
        <v>529</v>
      </c>
      <c r="F1072" s="8" t="s">
        <v>388</v>
      </c>
      <c r="G1072" s="8" t="s">
        <v>259</v>
      </c>
      <c r="H1072" s="8" t="s">
        <v>795</v>
      </c>
      <c r="I1072" s="3">
        <v>2</v>
      </c>
      <c r="J1072" s="8" t="s">
        <v>754</v>
      </c>
      <c r="K1072" s="8" t="s">
        <v>755</v>
      </c>
      <c r="L1072" s="8" t="s">
        <v>730</v>
      </c>
      <c r="M1072" s="1" t="s">
        <v>784</v>
      </c>
      <c r="N1072" s="8" t="s">
        <v>785</v>
      </c>
      <c r="O1072" s="6">
        <v>0</v>
      </c>
      <c r="P1072" s="6">
        <v>0</v>
      </c>
      <c r="Q1072" s="6">
        <v>0</v>
      </c>
      <c r="R1072" s="6">
        <v>0</v>
      </c>
      <c r="S1072" s="6">
        <v>60</v>
      </c>
    </row>
    <row r="1073" spans="1:19" ht="15" x14ac:dyDescent="0.25">
      <c r="A1073" s="7" t="s">
        <v>16</v>
      </c>
      <c r="B1073" s="7" t="s">
        <v>55</v>
      </c>
      <c r="C1073" s="7" t="s">
        <v>18</v>
      </c>
      <c r="D1073" s="3">
        <v>1125832000105</v>
      </c>
      <c r="E1073" s="8" t="s">
        <v>529</v>
      </c>
      <c r="F1073" s="8" t="s">
        <v>388</v>
      </c>
      <c r="G1073" s="8" t="s">
        <v>259</v>
      </c>
      <c r="H1073" s="8" t="s">
        <v>795</v>
      </c>
      <c r="I1073" s="3">
        <v>2</v>
      </c>
      <c r="J1073" s="8" t="s">
        <v>735</v>
      </c>
      <c r="K1073" s="8" t="s">
        <v>736</v>
      </c>
      <c r="L1073" s="8" t="s">
        <v>723</v>
      </c>
      <c r="M1073" s="1" t="s">
        <v>784</v>
      </c>
      <c r="N1073" s="8" t="s">
        <v>785</v>
      </c>
      <c r="O1073" s="6">
        <v>0</v>
      </c>
      <c r="P1073" s="6">
        <v>0</v>
      </c>
      <c r="Q1073" s="6">
        <v>0</v>
      </c>
      <c r="R1073" s="6">
        <v>0</v>
      </c>
      <c r="S1073" s="6">
        <v>60</v>
      </c>
    </row>
    <row r="1074" spans="1:19" ht="15" x14ac:dyDescent="0.25">
      <c r="A1074" s="7" t="s">
        <v>16</v>
      </c>
      <c r="B1074" s="7" t="s">
        <v>55</v>
      </c>
      <c r="C1074" s="7" t="s">
        <v>18</v>
      </c>
      <c r="D1074" s="3">
        <v>80673411000187</v>
      </c>
      <c r="E1074" s="8" t="s">
        <v>387</v>
      </c>
      <c r="F1074" s="8" t="s">
        <v>388</v>
      </c>
      <c r="G1074" s="8" t="s">
        <v>259</v>
      </c>
      <c r="H1074" s="8" t="s">
        <v>795</v>
      </c>
      <c r="I1074" s="3">
        <v>2</v>
      </c>
      <c r="J1074" s="8" t="s">
        <v>754</v>
      </c>
      <c r="K1074" s="8" t="s">
        <v>755</v>
      </c>
      <c r="L1074" s="8" t="s">
        <v>730</v>
      </c>
      <c r="M1074" s="1" t="s">
        <v>784</v>
      </c>
      <c r="N1074" s="8" t="s">
        <v>785</v>
      </c>
      <c r="O1074" s="6">
        <v>0</v>
      </c>
      <c r="P1074" s="6">
        <v>0</v>
      </c>
      <c r="Q1074" s="6">
        <v>0</v>
      </c>
      <c r="R1074" s="6">
        <v>48</v>
      </c>
      <c r="S1074" s="6">
        <v>0</v>
      </c>
    </row>
    <row r="1075" spans="1:19" ht="15" x14ac:dyDescent="0.25">
      <c r="A1075" s="7" t="s">
        <v>16</v>
      </c>
      <c r="B1075" s="7" t="s">
        <v>55</v>
      </c>
      <c r="C1075" s="7" t="s">
        <v>18</v>
      </c>
      <c r="D1075" s="3">
        <v>80673411000187</v>
      </c>
      <c r="E1075" s="8" t="s">
        <v>387</v>
      </c>
      <c r="F1075" s="8" t="s">
        <v>388</v>
      </c>
      <c r="G1075" s="8" t="s">
        <v>259</v>
      </c>
      <c r="H1075" s="8" t="s">
        <v>795</v>
      </c>
      <c r="I1075" s="3">
        <v>2</v>
      </c>
      <c r="J1075" s="8" t="s">
        <v>735</v>
      </c>
      <c r="K1075" s="8" t="s">
        <v>736</v>
      </c>
      <c r="L1075" s="8" t="s">
        <v>723</v>
      </c>
      <c r="M1075" s="1" t="s">
        <v>784</v>
      </c>
      <c r="N1075" s="8" t="s">
        <v>785</v>
      </c>
      <c r="O1075" s="6">
        <v>0</v>
      </c>
      <c r="P1075" s="6">
        <v>0</v>
      </c>
      <c r="Q1075" s="6">
        <v>0</v>
      </c>
      <c r="R1075" s="6">
        <v>0</v>
      </c>
      <c r="S1075" s="6">
        <v>0</v>
      </c>
    </row>
    <row r="1076" spans="1:19" ht="15" x14ac:dyDescent="0.25">
      <c r="A1076" s="7" t="s">
        <v>16</v>
      </c>
      <c r="B1076" s="7" t="s">
        <v>55</v>
      </c>
      <c r="C1076" s="7" t="s">
        <v>18</v>
      </c>
      <c r="D1076" s="3">
        <v>83899526000425</v>
      </c>
      <c r="E1076" s="8" t="s">
        <v>389</v>
      </c>
      <c r="F1076" s="8" t="s">
        <v>388</v>
      </c>
      <c r="G1076" s="8" t="s">
        <v>259</v>
      </c>
      <c r="H1076" s="8" t="s">
        <v>795</v>
      </c>
      <c r="I1076" s="3">
        <v>2</v>
      </c>
      <c r="J1076" s="8" t="s">
        <v>754</v>
      </c>
      <c r="K1076" s="8" t="s">
        <v>755</v>
      </c>
      <c r="L1076" s="8" t="s">
        <v>730</v>
      </c>
      <c r="M1076" s="1" t="s">
        <v>784</v>
      </c>
      <c r="N1076" s="8" t="s">
        <v>785</v>
      </c>
      <c r="O1076" s="6">
        <v>0</v>
      </c>
      <c r="P1076" s="6">
        <v>0</v>
      </c>
      <c r="Q1076" s="6">
        <v>0</v>
      </c>
      <c r="R1076" s="6">
        <v>0</v>
      </c>
      <c r="S1076" s="6">
        <v>0</v>
      </c>
    </row>
    <row r="1077" spans="1:19" ht="15" x14ac:dyDescent="0.25">
      <c r="A1077" s="7" t="s">
        <v>16</v>
      </c>
      <c r="B1077" s="7" t="s">
        <v>55</v>
      </c>
      <c r="C1077" s="7" t="s">
        <v>18</v>
      </c>
      <c r="D1077" s="3">
        <v>83899526000425</v>
      </c>
      <c r="E1077" s="8" t="s">
        <v>389</v>
      </c>
      <c r="F1077" s="8" t="s">
        <v>388</v>
      </c>
      <c r="G1077" s="8" t="s">
        <v>259</v>
      </c>
      <c r="H1077" s="8" t="s">
        <v>795</v>
      </c>
      <c r="I1077" s="3">
        <v>2</v>
      </c>
      <c r="J1077" s="8" t="s">
        <v>735</v>
      </c>
      <c r="K1077" s="8" t="s">
        <v>736</v>
      </c>
      <c r="L1077" s="8" t="s">
        <v>723</v>
      </c>
      <c r="M1077" s="1" t="s">
        <v>784</v>
      </c>
      <c r="N1077" s="8" t="s">
        <v>785</v>
      </c>
      <c r="O1077" s="6">
        <v>0</v>
      </c>
      <c r="P1077" s="6">
        <v>0</v>
      </c>
      <c r="Q1077" s="6">
        <v>3</v>
      </c>
      <c r="R1077" s="6">
        <v>0</v>
      </c>
      <c r="S1077" s="6">
        <v>0</v>
      </c>
    </row>
    <row r="1078" spans="1:19" ht="15" x14ac:dyDescent="0.25">
      <c r="A1078" s="7" t="s">
        <v>16</v>
      </c>
      <c r="B1078" s="7" t="s">
        <v>55</v>
      </c>
      <c r="C1078" s="7" t="s">
        <v>18</v>
      </c>
      <c r="D1078" s="3">
        <v>4670913000176</v>
      </c>
      <c r="E1078" s="8" t="s">
        <v>515</v>
      </c>
      <c r="F1078" s="8" t="s">
        <v>388</v>
      </c>
      <c r="G1078" s="8" t="s">
        <v>259</v>
      </c>
      <c r="H1078" s="8" t="s">
        <v>795</v>
      </c>
      <c r="I1078" s="3">
        <v>2</v>
      </c>
      <c r="J1078" s="8" t="s">
        <v>754</v>
      </c>
      <c r="K1078" s="8" t="s">
        <v>755</v>
      </c>
      <c r="L1078" s="8" t="s">
        <v>730</v>
      </c>
      <c r="M1078" s="1" t="s">
        <v>784</v>
      </c>
      <c r="N1078" s="8" t="s">
        <v>785</v>
      </c>
      <c r="O1078" s="6">
        <v>0</v>
      </c>
      <c r="P1078" s="6">
        <v>0</v>
      </c>
      <c r="Q1078" s="6">
        <v>0</v>
      </c>
      <c r="R1078" s="6">
        <v>0</v>
      </c>
      <c r="S1078" s="6">
        <v>245</v>
      </c>
    </row>
    <row r="1079" spans="1:19" ht="15" x14ac:dyDescent="0.25">
      <c r="A1079" s="7" t="s">
        <v>16</v>
      </c>
      <c r="B1079" s="7" t="s">
        <v>55</v>
      </c>
      <c r="C1079" s="7" t="s">
        <v>18</v>
      </c>
      <c r="D1079" s="3">
        <v>4670913000176</v>
      </c>
      <c r="E1079" s="8" t="s">
        <v>515</v>
      </c>
      <c r="F1079" s="8" t="s">
        <v>388</v>
      </c>
      <c r="G1079" s="8" t="s">
        <v>259</v>
      </c>
      <c r="H1079" s="8" t="s">
        <v>795</v>
      </c>
      <c r="I1079" s="3">
        <v>2</v>
      </c>
      <c r="J1079" s="8" t="s">
        <v>735</v>
      </c>
      <c r="K1079" s="8" t="s">
        <v>736</v>
      </c>
      <c r="L1079" s="8" t="s">
        <v>723</v>
      </c>
      <c r="M1079" s="1" t="s">
        <v>784</v>
      </c>
      <c r="N1079" s="8" t="s">
        <v>785</v>
      </c>
      <c r="O1079" s="6">
        <v>0</v>
      </c>
      <c r="P1079" s="6">
        <v>0</v>
      </c>
      <c r="Q1079" s="6">
        <v>0</v>
      </c>
      <c r="R1079" s="6">
        <v>0</v>
      </c>
      <c r="S1079" s="6">
        <v>245</v>
      </c>
    </row>
    <row r="1080" spans="1:19" ht="15" x14ac:dyDescent="0.25">
      <c r="A1080" s="7" t="s">
        <v>16</v>
      </c>
      <c r="B1080" s="7" t="s">
        <v>55</v>
      </c>
      <c r="C1080" s="7" t="s">
        <v>18</v>
      </c>
      <c r="D1080" s="3">
        <v>12361267004261</v>
      </c>
      <c r="E1080" s="8" t="s">
        <v>609</v>
      </c>
      <c r="F1080" s="8" t="s">
        <v>610</v>
      </c>
      <c r="G1080" s="8" t="s">
        <v>259</v>
      </c>
      <c r="H1080" s="8" t="s">
        <v>795</v>
      </c>
      <c r="I1080" s="3">
        <v>2</v>
      </c>
      <c r="J1080" s="8" t="s">
        <v>754</v>
      </c>
      <c r="K1080" s="8" t="s">
        <v>755</v>
      </c>
      <c r="L1080" s="8" t="s">
        <v>730</v>
      </c>
      <c r="M1080" s="1" t="s">
        <v>784</v>
      </c>
      <c r="N1080" s="8" t="s">
        <v>785</v>
      </c>
      <c r="O1080" s="6">
        <v>0</v>
      </c>
      <c r="P1080" s="6">
        <v>0</v>
      </c>
      <c r="Q1080" s="6">
        <v>0</v>
      </c>
      <c r="R1080" s="6">
        <v>0</v>
      </c>
      <c r="S1080" s="6">
        <v>120</v>
      </c>
    </row>
    <row r="1081" spans="1:19" ht="15" x14ac:dyDescent="0.25">
      <c r="A1081" s="7" t="s">
        <v>16</v>
      </c>
      <c r="B1081" s="7" t="s">
        <v>55</v>
      </c>
      <c r="C1081" s="7" t="s">
        <v>18</v>
      </c>
      <c r="D1081" s="3">
        <v>12361267004261</v>
      </c>
      <c r="E1081" s="8" t="s">
        <v>609</v>
      </c>
      <c r="F1081" s="8" t="s">
        <v>610</v>
      </c>
      <c r="G1081" s="8" t="s">
        <v>259</v>
      </c>
      <c r="H1081" s="8" t="s">
        <v>795</v>
      </c>
      <c r="I1081" s="3">
        <v>2</v>
      </c>
      <c r="J1081" s="8" t="s">
        <v>735</v>
      </c>
      <c r="K1081" s="8" t="s">
        <v>736</v>
      </c>
      <c r="L1081" s="8" t="s">
        <v>723</v>
      </c>
      <c r="M1081" s="1" t="s">
        <v>784</v>
      </c>
      <c r="N1081" s="8" t="s">
        <v>785</v>
      </c>
      <c r="O1081" s="6">
        <v>0</v>
      </c>
      <c r="P1081" s="6">
        <v>0</v>
      </c>
      <c r="Q1081" s="6">
        <v>0</v>
      </c>
      <c r="R1081" s="6">
        <v>0</v>
      </c>
      <c r="S1081" s="6">
        <v>120</v>
      </c>
    </row>
    <row r="1082" spans="1:19" ht="15" x14ac:dyDescent="0.25">
      <c r="A1082" s="7" t="s">
        <v>16</v>
      </c>
      <c r="B1082" s="7" t="s">
        <v>55</v>
      </c>
      <c r="C1082" s="7" t="s">
        <v>18</v>
      </c>
      <c r="D1082" s="3">
        <v>77858611001414</v>
      </c>
      <c r="E1082" s="8" t="s">
        <v>460</v>
      </c>
      <c r="F1082" s="8" t="s">
        <v>344</v>
      </c>
      <c r="G1082" s="8" t="s">
        <v>259</v>
      </c>
      <c r="H1082" s="8" t="s">
        <v>795</v>
      </c>
      <c r="I1082" s="3">
        <v>2</v>
      </c>
      <c r="J1082" s="8" t="s">
        <v>754</v>
      </c>
      <c r="K1082" s="8" t="s">
        <v>755</v>
      </c>
      <c r="L1082" s="8" t="s">
        <v>730</v>
      </c>
      <c r="M1082" s="1" t="s">
        <v>784</v>
      </c>
      <c r="N1082" s="8" t="s">
        <v>785</v>
      </c>
      <c r="O1082" s="6">
        <v>0</v>
      </c>
      <c r="P1082" s="6">
        <v>0</v>
      </c>
      <c r="Q1082" s="6">
        <v>0</v>
      </c>
      <c r="R1082" s="6">
        <v>0</v>
      </c>
      <c r="S1082" s="6">
        <v>0</v>
      </c>
    </row>
    <row r="1083" spans="1:19" ht="15" x14ac:dyDescent="0.25">
      <c r="A1083" s="7" t="s">
        <v>16</v>
      </c>
      <c r="B1083" s="7" t="s">
        <v>55</v>
      </c>
      <c r="C1083" s="7" t="s">
        <v>18</v>
      </c>
      <c r="D1083" s="3">
        <v>77858611001414</v>
      </c>
      <c r="E1083" s="8" t="s">
        <v>460</v>
      </c>
      <c r="F1083" s="8" t="s">
        <v>344</v>
      </c>
      <c r="G1083" s="8" t="s">
        <v>259</v>
      </c>
      <c r="H1083" s="8" t="s">
        <v>795</v>
      </c>
      <c r="I1083" s="3">
        <v>2</v>
      </c>
      <c r="J1083" s="8" t="s">
        <v>735</v>
      </c>
      <c r="K1083" s="8" t="s">
        <v>736</v>
      </c>
      <c r="L1083" s="8" t="s">
        <v>723</v>
      </c>
      <c r="M1083" s="1" t="s">
        <v>784</v>
      </c>
      <c r="N1083" s="8" t="s">
        <v>785</v>
      </c>
      <c r="O1083" s="6">
        <v>0</v>
      </c>
      <c r="P1083" s="6">
        <v>5</v>
      </c>
      <c r="Q1083" s="6">
        <v>0</v>
      </c>
      <c r="R1083" s="6">
        <v>0</v>
      </c>
      <c r="S1083" s="6">
        <v>0</v>
      </c>
    </row>
    <row r="1084" spans="1:19" ht="15" x14ac:dyDescent="0.25">
      <c r="A1084" s="7" t="s">
        <v>16</v>
      </c>
      <c r="B1084" s="7" t="s">
        <v>55</v>
      </c>
      <c r="C1084" s="7" t="s">
        <v>18</v>
      </c>
      <c r="D1084" s="3">
        <v>80490618000116</v>
      </c>
      <c r="E1084" s="8" t="s">
        <v>588</v>
      </c>
      <c r="F1084" s="8" t="s">
        <v>524</v>
      </c>
      <c r="G1084" s="8" t="s">
        <v>259</v>
      </c>
      <c r="H1084" s="8" t="s">
        <v>795</v>
      </c>
      <c r="I1084" s="3">
        <v>2</v>
      </c>
      <c r="J1084" s="8" t="s">
        <v>754</v>
      </c>
      <c r="K1084" s="8" t="s">
        <v>755</v>
      </c>
      <c r="L1084" s="8" t="s">
        <v>730</v>
      </c>
      <c r="M1084" s="1" t="s">
        <v>784</v>
      </c>
      <c r="N1084" s="8" t="s">
        <v>785</v>
      </c>
      <c r="O1084" s="6">
        <v>0</v>
      </c>
      <c r="P1084" s="6">
        <v>0</v>
      </c>
      <c r="Q1084" s="6">
        <v>0</v>
      </c>
      <c r="R1084" s="6">
        <v>0</v>
      </c>
      <c r="S1084" s="6">
        <v>60</v>
      </c>
    </row>
    <row r="1085" spans="1:19" ht="15" x14ac:dyDescent="0.25">
      <c r="A1085" s="7" t="s">
        <v>16</v>
      </c>
      <c r="B1085" s="7" t="s">
        <v>55</v>
      </c>
      <c r="C1085" s="7" t="s">
        <v>18</v>
      </c>
      <c r="D1085" s="3">
        <v>80490618000116</v>
      </c>
      <c r="E1085" s="8" t="s">
        <v>588</v>
      </c>
      <c r="F1085" s="8" t="s">
        <v>524</v>
      </c>
      <c r="G1085" s="8" t="s">
        <v>259</v>
      </c>
      <c r="H1085" s="8" t="s">
        <v>795</v>
      </c>
      <c r="I1085" s="3">
        <v>2</v>
      </c>
      <c r="J1085" s="8" t="s">
        <v>735</v>
      </c>
      <c r="K1085" s="8" t="s">
        <v>736</v>
      </c>
      <c r="L1085" s="8" t="s">
        <v>723</v>
      </c>
      <c r="M1085" s="1" t="s">
        <v>784</v>
      </c>
      <c r="N1085" s="8" t="s">
        <v>785</v>
      </c>
      <c r="O1085" s="6">
        <v>0</v>
      </c>
      <c r="P1085" s="6">
        <v>0</v>
      </c>
      <c r="Q1085" s="6">
        <v>0</v>
      </c>
      <c r="R1085" s="6">
        <v>0</v>
      </c>
      <c r="S1085" s="6">
        <v>60</v>
      </c>
    </row>
    <row r="1086" spans="1:19" ht="15" x14ac:dyDescent="0.25">
      <c r="A1086" s="7" t="s">
        <v>16</v>
      </c>
      <c r="B1086" s="7" t="s">
        <v>55</v>
      </c>
      <c r="C1086" s="7" t="s">
        <v>18</v>
      </c>
      <c r="D1086" s="3">
        <v>12361267000517</v>
      </c>
      <c r="E1086" s="8" t="s">
        <v>486</v>
      </c>
      <c r="F1086" s="8" t="s">
        <v>317</v>
      </c>
      <c r="G1086" s="8" t="s">
        <v>318</v>
      </c>
      <c r="H1086" s="8" t="s">
        <v>795</v>
      </c>
      <c r="I1086" s="3">
        <v>2</v>
      </c>
      <c r="J1086" s="8" t="s">
        <v>778</v>
      </c>
      <c r="K1086" s="8" t="s">
        <v>779</v>
      </c>
      <c r="L1086" s="8" t="s">
        <v>730</v>
      </c>
      <c r="M1086" s="1" t="s">
        <v>790</v>
      </c>
      <c r="N1086" s="8" t="s">
        <v>791</v>
      </c>
      <c r="O1086" s="6">
        <v>0</v>
      </c>
      <c r="P1086" s="6">
        <v>0</v>
      </c>
      <c r="Q1086" s="6">
        <v>0</v>
      </c>
      <c r="R1086" s="6">
        <v>0</v>
      </c>
      <c r="S1086" s="6">
        <v>85</v>
      </c>
    </row>
    <row r="1087" spans="1:19" ht="15" x14ac:dyDescent="0.25">
      <c r="A1087" s="7" t="s">
        <v>16</v>
      </c>
      <c r="B1087" s="7" t="s">
        <v>55</v>
      </c>
      <c r="C1087" s="7" t="s">
        <v>18</v>
      </c>
      <c r="D1087" s="3">
        <v>12361267000517</v>
      </c>
      <c r="E1087" s="8" t="s">
        <v>486</v>
      </c>
      <c r="F1087" s="8" t="s">
        <v>317</v>
      </c>
      <c r="G1087" s="8" t="s">
        <v>318</v>
      </c>
      <c r="H1087" s="8" t="s">
        <v>795</v>
      </c>
      <c r="I1087" s="3">
        <v>2</v>
      </c>
      <c r="J1087" s="8" t="s">
        <v>746</v>
      </c>
      <c r="K1087" s="8" t="s">
        <v>747</v>
      </c>
      <c r="L1087" s="8" t="s">
        <v>723</v>
      </c>
      <c r="M1087" s="1" t="s">
        <v>790</v>
      </c>
      <c r="N1087" s="8" t="s">
        <v>791</v>
      </c>
      <c r="O1087" s="6">
        <v>0</v>
      </c>
      <c r="P1087" s="6">
        <v>0</v>
      </c>
      <c r="Q1087" s="6">
        <v>0</v>
      </c>
      <c r="R1087" s="6">
        <v>0</v>
      </c>
      <c r="S1087" s="6">
        <v>85</v>
      </c>
    </row>
    <row r="1088" spans="1:19" ht="15" x14ac:dyDescent="0.25">
      <c r="A1088" s="7" t="s">
        <v>16</v>
      </c>
      <c r="B1088" s="7" t="s">
        <v>55</v>
      </c>
      <c r="C1088" s="7" t="s">
        <v>18</v>
      </c>
      <c r="D1088" s="3">
        <v>13086053000119</v>
      </c>
      <c r="E1088" s="8" t="s">
        <v>611</v>
      </c>
      <c r="F1088" s="8" t="s">
        <v>317</v>
      </c>
      <c r="G1088" s="8" t="s">
        <v>318</v>
      </c>
      <c r="H1088" s="8" t="s">
        <v>795</v>
      </c>
      <c r="I1088" s="3">
        <v>2</v>
      </c>
      <c r="J1088" s="8" t="s">
        <v>778</v>
      </c>
      <c r="K1088" s="8" t="s">
        <v>779</v>
      </c>
      <c r="L1088" s="8" t="s">
        <v>730</v>
      </c>
      <c r="M1088" s="1" t="s">
        <v>790</v>
      </c>
      <c r="N1088" s="8" t="s">
        <v>791</v>
      </c>
      <c r="O1088" s="6">
        <v>0</v>
      </c>
      <c r="P1088" s="6">
        <v>0</v>
      </c>
      <c r="Q1088" s="6">
        <v>0</v>
      </c>
      <c r="R1088" s="6">
        <v>0</v>
      </c>
      <c r="S1088" s="6">
        <v>5</v>
      </c>
    </row>
    <row r="1089" spans="1:19" ht="15" x14ac:dyDescent="0.25">
      <c r="A1089" s="7" t="s">
        <v>16</v>
      </c>
      <c r="B1089" s="7" t="s">
        <v>55</v>
      </c>
      <c r="C1089" s="7" t="s">
        <v>18</v>
      </c>
      <c r="D1089" s="3">
        <v>13086053000119</v>
      </c>
      <c r="E1089" s="8" t="s">
        <v>611</v>
      </c>
      <c r="F1089" s="8" t="s">
        <v>317</v>
      </c>
      <c r="G1089" s="8" t="s">
        <v>318</v>
      </c>
      <c r="H1089" s="8" t="s">
        <v>795</v>
      </c>
      <c r="I1089" s="3">
        <v>2</v>
      </c>
      <c r="J1089" s="8" t="s">
        <v>746</v>
      </c>
      <c r="K1089" s="8" t="s">
        <v>747</v>
      </c>
      <c r="L1089" s="8" t="s">
        <v>723</v>
      </c>
      <c r="M1089" s="1" t="s">
        <v>790</v>
      </c>
      <c r="N1089" s="8" t="s">
        <v>791</v>
      </c>
      <c r="O1089" s="6">
        <v>0</v>
      </c>
      <c r="P1089" s="6">
        <v>0</v>
      </c>
      <c r="Q1089" s="6">
        <v>0</v>
      </c>
      <c r="R1089" s="6">
        <v>0</v>
      </c>
      <c r="S1089" s="6">
        <v>5</v>
      </c>
    </row>
    <row r="1090" spans="1:19" ht="15" x14ac:dyDescent="0.25">
      <c r="A1090" s="7" t="s">
        <v>16</v>
      </c>
      <c r="B1090" s="7" t="s">
        <v>55</v>
      </c>
      <c r="C1090" s="7" t="s">
        <v>18</v>
      </c>
      <c r="D1090" s="3">
        <v>13016332000106</v>
      </c>
      <c r="E1090" s="8" t="s">
        <v>316</v>
      </c>
      <c r="F1090" s="8" t="s">
        <v>317</v>
      </c>
      <c r="G1090" s="8" t="s">
        <v>318</v>
      </c>
      <c r="H1090" s="8" t="s">
        <v>795</v>
      </c>
      <c r="I1090" s="3">
        <v>2</v>
      </c>
      <c r="J1090" s="8" t="s">
        <v>778</v>
      </c>
      <c r="K1090" s="8" t="s">
        <v>779</v>
      </c>
      <c r="L1090" s="8" t="s">
        <v>730</v>
      </c>
      <c r="M1090" s="1" t="s">
        <v>790</v>
      </c>
      <c r="N1090" s="8" t="s">
        <v>791</v>
      </c>
      <c r="O1090" s="6">
        <v>0</v>
      </c>
      <c r="P1090" s="6">
        <v>0</v>
      </c>
      <c r="Q1090" s="6">
        <v>0</v>
      </c>
      <c r="R1090" s="6">
        <v>0</v>
      </c>
      <c r="S1090" s="6">
        <v>0</v>
      </c>
    </row>
    <row r="1091" spans="1:19" ht="15" x14ac:dyDescent="0.25">
      <c r="A1091" s="7" t="s">
        <v>16</v>
      </c>
      <c r="B1091" s="7" t="s">
        <v>55</v>
      </c>
      <c r="C1091" s="7" t="s">
        <v>18</v>
      </c>
      <c r="D1091" s="3">
        <v>13016332000106</v>
      </c>
      <c r="E1091" s="8" t="s">
        <v>316</v>
      </c>
      <c r="F1091" s="8" t="s">
        <v>317</v>
      </c>
      <c r="G1091" s="8" t="s">
        <v>318</v>
      </c>
      <c r="H1091" s="8" t="s">
        <v>795</v>
      </c>
      <c r="I1091" s="3">
        <v>2</v>
      </c>
      <c r="J1091" s="8" t="s">
        <v>746</v>
      </c>
      <c r="K1091" s="8" t="s">
        <v>747</v>
      </c>
      <c r="L1091" s="8" t="s">
        <v>723</v>
      </c>
      <c r="M1091" s="1" t="s">
        <v>790</v>
      </c>
      <c r="N1091" s="8" t="s">
        <v>791</v>
      </c>
      <c r="O1091" s="6">
        <v>0</v>
      </c>
      <c r="P1091" s="6">
        <v>0</v>
      </c>
      <c r="Q1091" s="6">
        <v>6</v>
      </c>
      <c r="R1091" s="6">
        <v>0</v>
      </c>
      <c r="S1091" s="6">
        <v>0</v>
      </c>
    </row>
    <row r="1092" spans="1:19" ht="15" x14ac:dyDescent="0.25">
      <c r="A1092" s="7" t="s">
        <v>16</v>
      </c>
      <c r="B1092" s="7" t="s">
        <v>55</v>
      </c>
      <c r="C1092" s="7" t="s">
        <v>18</v>
      </c>
      <c r="D1092" s="3">
        <v>13131370000100</v>
      </c>
      <c r="E1092" s="8" t="s">
        <v>319</v>
      </c>
      <c r="F1092" s="8" t="s">
        <v>317</v>
      </c>
      <c r="G1092" s="8" t="s">
        <v>318</v>
      </c>
      <c r="H1092" s="8" t="s">
        <v>795</v>
      </c>
      <c r="I1092" s="3">
        <v>2</v>
      </c>
      <c r="J1092" s="8" t="s">
        <v>778</v>
      </c>
      <c r="K1092" s="8" t="s">
        <v>779</v>
      </c>
      <c r="L1092" s="8" t="s">
        <v>730</v>
      </c>
      <c r="M1092" s="1" t="s">
        <v>790</v>
      </c>
      <c r="N1092" s="8" t="s">
        <v>791</v>
      </c>
      <c r="O1092" s="6">
        <v>0</v>
      </c>
      <c r="P1092" s="6">
        <v>0</v>
      </c>
      <c r="Q1092" s="6">
        <v>0</v>
      </c>
      <c r="R1092" s="6">
        <v>44</v>
      </c>
      <c r="S1092" s="6">
        <v>400</v>
      </c>
    </row>
    <row r="1093" spans="1:19" ht="15" x14ac:dyDescent="0.25">
      <c r="A1093" s="7" t="s">
        <v>16</v>
      </c>
      <c r="B1093" s="7" t="s">
        <v>55</v>
      </c>
      <c r="C1093" s="7" t="s">
        <v>18</v>
      </c>
      <c r="D1093" s="3">
        <v>13131370000100</v>
      </c>
      <c r="E1093" s="8" t="s">
        <v>319</v>
      </c>
      <c r="F1093" s="8" t="s">
        <v>317</v>
      </c>
      <c r="G1093" s="8" t="s">
        <v>318</v>
      </c>
      <c r="H1093" s="8" t="s">
        <v>795</v>
      </c>
      <c r="I1093" s="3">
        <v>2</v>
      </c>
      <c r="J1093" s="8" t="s">
        <v>746</v>
      </c>
      <c r="K1093" s="8" t="s">
        <v>747</v>
      </c>
      <c r="L1093" s="8" t="s">
        <v>723</v>
      </c>
      <c r="M1093" s="1" t="s">
        <v>790</v>
      </c>
      <c r="N1093" s="8" t="s">
        <v>791</v>
      </c>
      <c r="O1093" s="6">
        <v>0</v>
      </c>
      <c r="P1093" s="6">
        <v>0</v>
      </c>
      <c r="Q1093" s="6">
        <v>6</v>
      </c>
      <c r="R1093" s="6">
        <v>0</v>
      </c>
      <c r="S1093" s="6">
        <v>400</v>
      </c>
    </row>
    <row r="1094" spans="1:19" ht="15" x14ac:dyDescent="0.25">
      <c r="A1094" s="7" t="s">
        <v>16</v>
      </c>
      <c r="B1094" s="7" t="s">
        <v>55</v>
      </c>
      <c r="C1094" s="7" t="s">
        <v>18</v>
      </c>
      <c r="D1094" s="3">
        <v>15592785000106</v>
      </c>
      <c r="E1094" s="8" t="s">
        <v>566</v>
      </c>
      <c r="F1094" s="8" t="s">
        <v>317</v>
      </c>
      <c r="G1094" s="8" t="s">
        <v>318</v>
      </c>
      <c r="H1094" s="8" t="s">
        <v>795</v>
      </c>
      <c r="I1094" s="3">
        <v>2</v>
      </c>
      <c r="J1094" s="8" t="s">
        <v>778</v>
      </c>
      <c r="K1094" s="8" t="s">
        <v>779</v>
      </c>
      <c r="L1094" s="8" t="s">
        <v>730</v>
      </c>
      <c r="M1094" s="1" t="s">
        <v>790</v>
      </c>
      <c r="N1094" s="8" t="s">
        <v>791</v>
      </c>
      <c r="O1094" s="6">
        <v>0</v>
      </c>
      <c r="P1094" s="6">
        <v>0</v>
      </c>
      <c r="Q1094" s="6">
        <v>0</v>
      </c>
      <c r="R1094" s="6">
        <v>0</v>
      </c>
      <c r="S1094" s="6">
        <v>25</v>
      </c>
    </row>
    <row r="1095" spans="1:19" ht="15" x14ac:dyDescent="0.25">
      <c r="A1095" s="7" t="s">
        <v>16</v>
      </c>
      <c r="B1095" s="7" t="s">
        <v>55</v>
      </c>
      <c r="C1095" s="7" t="s">
        <v>18</v>
      </c>
      <c r="D1095" s="3">
        <v>15592785000106</v>
      </c>
      <c r="E1095" s="8" t="s">
        <v>566</v>
      </c>
      <c r="F1095" s="8" t="s">
        <v>317</v>
      </c>
      <c r="G1095" s="8" t="s">
        <v>318</v>
      </c>
      <c r="H1095" s="8" t="s">
        <v>795</v>
      </c>
      <c r="I1095" s="3">
        <v>2</v>
      </c>
      <c r="J1095" s="8" t="s">
        <v>746</v>
      </c>
      <c r="K1095" s="8" t="s">
        <v>747</v>
      </c>
      <c r="L1095" s="8" t="s">
        <v>723</v>
      </c>
      <c r="M1095" s="1" t="s">
        <v>790</v>
      </c>
      <c r="N1095" s="8" t="s">
        <v>791</v>
      </c>
      <c r="O1095" s="6">
        <v>0</v>
      </c>
      <c r="P1095" s="6">
        <v>0</v>
      </c>
      <c r="Q1095" s="6">
        <v>0</v>
      </c>
      <c r="R1095" s="6">
        <v>0</v>
      </c>
      <c r="S1095" s="6">
        <v>25</v>
      </c>
    </row>
    <row r="1096" spans="1:19" ht="15" x14ac:dyDescent="0.25">
      <c r="A1096" s="7" t="s">
        <v>16</v>
      </c>
      <c r="B1096" s="7" t="s">
        <v>55</v>
      </c>
      <c r="C1096" s="7" t="s">
        <v>18</v>
      </c>
      <c r="D1096" s="3">
        <v>3091003000176</v>
      </c>
      <c r="E1096" s="8" t="s">
        <v>596</v>
      </c>
      <c r="F1096" s="8" t="s">
        <v>317</v>
      </c>
      <c r="G1096" s="8" t="s">
        <v>318</v>
      </c>
      <c r="H1096" s="8" t="s">
        <v>795</v>
      </c>
      <c r="I1096" s="3">
        <v>2</v>
      </c>
      <c r="J1096" s="8" t="s">
        <v>778</v>
      </c>
      <c r="K1096" s="8" t="s">
        <v>779</v>
      </c>
      <c r="L1096" s="8" t="s">
        <v>730</v>
      </c>
      <c r="M1096" s="1" t="s">
        <v>790</v>
      </c>
      <c r="N1096" s="8" t="s">
        <v>791</v>
      </c>
      <c r="O1096" s="6">
        <v>0</v>
      </c>
      <c r="P1096" s="6">
        <v>0</v>
      </c>
      <c r="Q1096" s="6">
        <v>0</v>
      </c>
      <c r="R1096" s="6">
        <v>0</v>
      </c>
      <c r="S1096" s="6">
        <v>175</v>
      </c>
    </row>
    <row r="1097" spans="1:19" ht="15" x14ac:dyDescent="0.25">
      <c r="A1097" s="7" t="s">
        <v>16</v>
      </c>
      <c r="B1097" s="7" t="s">
        <v>55</v>
      </c>
      <c r="C1097" s="7" t="s">
        <v>18</v>
      </c>
      <c r="D1097" s="3">
        <v>3091003000176</v>
      </c>
      <c r="E1097" s="8" t="s">
        <v>596</v>
      </c>
      <c r="F1097" s="8" t="s">
        <v>317</v>
      </c>
      <c r="G1097" s="8" t="s">
        <v>318</v>
      </c>
      <c r="H1097" s="8" t="s">
        <v>795</v>
      </c>
      <c r="I1097" s="3">
        <v>2</v>
      </c>
      <c r="J1097" s="8" t="s">
        <v>746</v>
      </c>
      <c r="K1097" s="8" t="s">
        <v>747</v>
      </c>
      <c r="L1097" s="8" t="s">
        <v>723</v>
      </c>
      <c r="M1097" s="1" t="s">
        <v>790</v>
      </c>
      <c r="N1097" s="8" t="s">
        <v>791</v>
      </c>
      <c r="O1097" s="6">
        <v>0</v>
      </c>
      <c r="P1097" s="6">
        <v>0</v>
      </c>
      <c r="Q1097" s="6">
        <v>0</v>
      </c>
      <c r="R1097" s="6">
        <v>0</v>
      </c>
      <c r="S1097" s="6">
        <v>175</v>
      </c>
    </row>
    <row r="1098" spans="1:19" ht="15" x14ac:dyDescent="0.25">
      <c r="A1098" s="7" t="s">
        <v>16</v>
      </c>
      <c r="B1098" s="7" t="s">
        <v>55</v>
      </c>
      <c r="C1098" s="7" t="s">
        <v>18</v>
      </c>
      <c r="D1098" s="3">
        <v>16064313000577</v>
      </c>
      <c r="E1098" s="8" t="s">
        <v>441</v>
      </c>
      <c r="F1098" s="8" t="s">
        <v>317</v>
      </c>
      <c r="G1098" s="8" t="s">
        <v>318</v>
      </c>
      <c r="H1098" s="8" t="s">
        <v>795</v>
      </c>
      <c r="I1098" s="3">
        <v>2</v>
      </c>
      <c r="J1098" s="8" t="s">
        <v>778</v>
      </c>
      <c r="K1098" s="8" t="s">
        <v>779</v>
      </c>
      <c r="L1098" s="8" t="s">
        <v>730</v>
      </c>
      <c r="M1098" s="1" t="s">
        <v>790</v>
      </c>
      <c r="N1098" s="8" t="s">
        <v>791</v>
      </c>
      <c r="O1098" s="6">
        <v>0</v>
      </c>
      <c r="P1098" s="6">
        <v>0</v>
      </c>
      <c r="Q1098" s="6">
        <v>0</v>
      </c>
      <c r="R1098" s="6">
        <v>23</v>
      </c>
      <c r="S1098" s="6">
        <v>0</v>
      </c>
    </row>
    <row r="1099" spans="1:19" ht="15" x14ac:dyDescent="0.25">
      <c r="A1099" s="7" t="s">
        <v>16</v>
      </c>
      <c r="B1099" s="7" t="s">
        <v>55</v>
      </c>
      <c r="C1099" s="7" t="s">
        <v>18</v>
      </c>
      <c r="D1099" s="3">
        <v>16064313000577</v>
      </c>
      <c r="E1099" s="8" t="s">
        <v>441</v>
      </c>
      <c r="F1099" s="8" t="s">
        <v>317</v>
      </c>
      <c r="G1099" s="8" t="s">
        <v>318</v>
      </c>
      <c r="H1099" s="8" t="s">
        <v>795</v>
      </c>
      <c r="I1099" s="3">
        <v>2</v>
      </c>
      <c r="J1099" s="8" t="s">
        <v>746</v>
      </c>
      <c r="K1099" s="8" t="s">
        <v>747</v>
      </c>
      <c r="L1099" s="8" t="s">
        <v>723</v>
      </c>
      <c r="M1099" s="1" t="s">
        <v>790</v>
      </c>
      <c r="N1099" s="8" t="s">
        <v>791</v>
      </c>
      <c r="O1099" s="6">
        <v>0</v>
      </c>
      <c r="P1099" s="6">
        <v>0</v>
      </c>
      <c r="Q1099" s="6">
        <v>0</v>
      </c>
      <c r="R1099" s="6">
        <v>0</v>
      </c>
      <c r="S1099" s="6">
        <v>0</v>
      </c>
    </row>
    <row r="1100" spans="1:19" ht="15" x14ac:dyDescent="0.25">
      <c r="A1100" s="7" t="s">
        <v>16</v>
      </c>
      <c r="B1100" s="7" t="s">
        <v>55</v>
      </c>
      <c r="C1100" s="7" t="s">
        <v>18</v>
      </c>
      <c r="D1100" s="3">
        <v>700386513</v>
      </c>
      <c r="E1100" s="8" t="s">
        <v>407</v>
      </c>
      <c r="F1100" s="8" t="s">
        <v>408</v>
      </c>
      <c r="G1100" s="8" t="s">
        <v>318</v>
      </c>
      <c r="H1100" s="8" t="s">
        <v>795</v>
      </c>
      <c r="I1100" s="3">
        <v>2</v>
      </c>
      <c r="J1100" s="8" t="s">
        <v>778</v>
      </c>
      <c r="K1100" s="8" t="s">
        <v>779</v>
      </c>
      <c r="L1100" s="8" t="s">
        <v>730</v>
      </c>
      <c r="M1100" s="1" t="s">
        <v>790</v>
      </c>
      <c r="N1100" s="8" t="s">
        <v>791</v>
      </c>
      <c r="O1100" s="6">
        <v>4</v>
      </c>
      <c r="P1100" s="6">
        <v>0</v>
      </c>
      <c r="Q1100" s="6">
        <v>0</v>
      </c>
      <c r="R1100" s="6">
        <v>0</v>
      </c>
      <c r="S1100" s="6">
        <v>0</v>
      </c>
    </row>
    <row r="1101" spans="1:19" ht="15" x14ac:dyDescent="0.25">
      <c r="A1101" s="7" t="s">
        <v>16</v>
      </c>
      <c r="B1101" s="7" t="s">
        <v>55</v>
      </c>
      <c r="C1101" s="7" t="s">
        <v>18</v>
      </c>
      <c r="D1101" s="3">
        <v>700386513</v>
      </c>
      <c r="E1101" s="8" t="s">
        <v>407</v>
      </c>
      <c r="F1101" s="8" t="s">
        <v>408</v>
      </c>
      <c r="G1101" s="8" t="s">
        <v>318</v>
      </c>
      <c r="H1101" s="8" t="s">
        <v>795</v>
      </c>
      <c r="I1101" s="3">
        <v>2</v>
      </c>
      <c r="J1101" s="8" t="s">
        <v>746</v>
      </c>
      <c r="K1101" s="8" t="s">
        <v>747</v>
      </c>
      <c r="L1101" s="8" t="s">
        <v>723</v>
      </c>
      <c r="M1101" s="1" t="s">
        <v>790</v>
      </c>
      <c r="N1101" s="8" t="s">
        <v>791</v>
      </c>
      <c r="O1101" s="6">
        <v>0</v>
      </c>
      <c r="P1101" s="6">
        <v>0</v>
      </c>
      <c r="Q1101" s="6">
        <v>0</v>
      </c>
      <c r="R1101" s="6">
        <v>0</v>
      </c>
      <c r="S1101" s="6">
        <v>0</v>
      </c>
    </row>
    <row r="1102" spans="1:19" ht="15" x14ac:dyDescent="0.25">
      <c r="A1102" s="7" t="s">
        <v>16</v>
      </c>
      <c r="B1102" s="7" t="s">
        <v>55</v>
      </c>
      <c r="C1102" s="7" t="s">
        <v>18</v>
      </c>
      <c r="D1102" s="3">
        <v>25026561000190</v>
      </c>
      <c r="E1102" s="8" t="s">
        <v>126</v>
      </c>
      <c r="F1102" s="8" t="s">
        <v>127</v>
      </c>
      <c r="G1102" s="8" t="s">
        <v>21</v>
      </c>
      <c r="H1102" s="8" t="s">
        <v>795</v>
      </c>
      <c r="I1102" s="3">
        <v>2</v>
      </c>
      <c r="J1102" s="8" t="s">
        <v>728</v>
      </c>
      <c r="K1102" s="8" t="s">
        <v>729</v>
      </c>
      <c r="L1102" s="8" t="s">
        <v>730</v>
      </c>
      <c r="M1102" s="1" t="s">
        <v>786</v>
      </c>
      <c r="N1102" s="8" t="s">
        <v>787</v>
      </c>
      <c r="O1102" s="6">
        <v>0</v>
      </c>
      <c r="P1102" s="6">
        <v>0</v>
      </c>
      <c r="Q1102" s="6">
        <v>0</v>
      </c>
      <c r="R1102" s="6">
        <v>0</v>
      </c>
      <c r="S1102" s="6">
        <v>20</v>
      </c>
    </row>
    <row r="1103" spans="1:19" ht="15" x14ac:dyDescent="0.25">
      <c r="A1103" s="7" t="s">
        <v>16</v>
      </c>
      <c r="B1103" s="7" t="s">
        <v>55</v>
      </c>
      <c r="C1103" s="7" t="s">
        <v>18</v>
      </c>
      <c r="D1103" s="3">
        <v>25026561000190</v>
      </c>
      <c r="E1103" s="8" t="s">
        <v>126</v>
      </c>
      <c r="F1103" s="8" t="s">
        <v>127</v>
      </c>
      <c r="G1103" s="8" t="s">
        <v>21</v>
      </c>
      <c r="H1103" s="8" t="s">
        <v>795</v>
      </c>
      <c r="I1103" s="3">
        <v>2</v>
      </c>
      <c r="J1103" s="8" t="s">
        <v>726</v>
      </c>
      <c r="K1103" s="8" t="s">
        <v>727</v>
      </c>
      <c r="L1103" s="8" t="s">
        <v>723</v>
      </c>
      <c r="M1103" s="1" t="s">
        <v>786</v>
      </c>
      <c r="N1103" s="8" t="s">
        <v>787</v>
      </c>
      <c r="O1103" s="6">
        <v>0</v>
      </c>
      <c r="P1103" s="6">
        <v>0</v>
      </c>
      <c r="Q1103" s="6">
        <v>0</v>
      </c>
      <c r="R1103" s="6">
        <v>0</v>
      </c>
      <c r="S1103" s="6">
        <v>20</v>
      </c>
    </row>
    <row r="1104" spans="1:19" ht="15" x14ac:dyDescent="0.25">
      <c r="A1104" s="7" t="s">
        <v>16</v>
      </c>
      <c r="B1104" s="7" t="s">
        <v>55</v>
      </c>
      <c r="C1104" s="7" t="s">
        <v>18</v>
      </c>
      <c r="D1104" s="3">
        <v>46374500003886</v>
      </c>
      <c r="E1104" s="8" t="s">
        <v>184</v>
      </c>
      <c r="F1104" s="8" t="s">
        <v>185</v>
      </c>
      <c r="G1104" s="8" t="s">
        <v>21</v>
      </c>
      <c r="H1104" s="8" t="s">
        <v>795</v>
      </c>
      <c r="I1104" s="3">
        <v>2</v>
      </c>
      <c r="J1104" s="8" t="s">
        <v>728</v>
      </c>
      <c r="K1104" s="8" t="s">
        <v>729</v>
      </c>
      <c r="L1104" s="8" t="s">
        <v>730</v>
      </c>
      <c r="M1104" s="1" t="s">
        <v>786</v>
      </c>
      <c r="N1104" s="8" t="s">
        <v>787</v>
      </c>
      <c r="O1104" s="6">
        <v>18</v>
      </c>
      <c r="P1104" s="6">
        <v>0</v>
      </c>
      <c r="Q1104" s="6">
        <v>0</v>
      </c>
      <c r="R1104" s="6">
        <v>0</v>
      </c>
      <c r="S1104" s="6">
        <v>0</v>
      </c>
    </row>
    <row r="1105" spans="1:19" ht="15" x14ac:dyDescent="0.25">
      <c r="A1105" s="7" t="s">
        <v>16</v>
      </c>
      <c r="B1105" s="7" t="s">
        <v>55</v>
      </c>
      <c r="C1105" s="7" t="s">
        <v>18</v>
      </c>
      <c r="D1105" s="3">
        <v>46374500003886</v>
      </c>
      <c r="E1105" s="8" t="s">
        <v>184</v>
      </c>
      <c r="F1105" s="8" t="s">
        <v>185</v>
      </c>
      <c r="G1105" s="8" t="s">
        <v>21</v>
      </c>
      <c r="H1105" s="8" t="s">
        <v>795</v>
      </c>
      <c r="I1105" s="3">
        <v>2</v>
      </c>
      <c r="J1105" s="8" t="s">
        <v>726</v>
      </c>
      <c r="K1105" s="8" t="s">
        <v>727</v>
      </c>
      <c r="L1105" s="8" t="s">
        <v>723</v>
      </c>
      <c r="M1105" s="1" t="s">
        <v>786</v>
      </c>
      <c r="N1105" s="8" t="s">
        <v>787</v>
      </c>
      <c r="O1105" s="6">
        <v>0</v>
      </c>
      <c r="P1105" s="6">
        <v>0</v>
      </c>
      <c r="Q1105" s="6">
        <v>0</v>
      </c>
      <c r="R1105" s="6">
        <v>0</v>
      </c>
      <c r="S1105" s="6">
        <v>0</v>
      </c>
    </row>
    <row r="1106" spans="1:19" ht="15" x14ac:dyDescent="0.25">
      <c r="A1106" s="7" t="s">
        <v>16</v>
      </c>
      <c r="B1106" s="7" t="s">
        <v>55</v>
      </c>
      <c r="C1106" s="7" t="s">
        <v>18</v>
      </c>
      <c r="D1106" s="3">
        <v>54012406000385</v>
      </c>
      <c r="E1106" s="8" t="s">
        <v>167</v>
      </c>
      <c r="F1106" s="8" t="s">
        <v>168</v>
      </c>
      <c r="G1106" s="8" t="s">
        <v>21</v>
      </c>
      <c r="H1106" s="8" t="s">
        <v>795</v>
      </c>
      <c r="I1106" s="3">
        <v>2</v>
      </c>
      <c r="J1106" s="8" t="s">
        <v>728</v>
      </c>
      <c r="K1106" s="8" t="s">
        <v>729</v>
      </c>
      <c r="L1106" s="8" t="s">
        <v>730</v>
      </c>
      <c r="M1106" s="1" t="s">
        <v>786</v>
      </c>
      <c r="N1106" s="8" t="s">
        <v>787</v>
      </c>
      <c r="O1106" s="6">
        <v>0</v>
      </c>
      <c r="P1106" s="6">
        <v>0</v>
      </c>
      <c r="Q1106" s="6">
        <v>0</v>
      </c>
      <c r="R1106" s="6">
        <v>0</v>
      </c>
      <c r="S1106" s="6">
        <v>70</v>
      </c>
    </row>
    <row r="1107" spans="1:19" ht="15" x14ac:dyDescent="0.25">
      <c r="A1107" s="7" t="s">
        <v>16</v>
      </c>
      <c r="B1107" s="7" t="s">
        <v>55</v>
      </c>
      <c r="C1107" s="7" t="s">
        <v>18</v>
      </c>
      <c r="D1107" s="3">
        <v>54012406000385</v>
      </c>
      <c r="E1107" s="8" t="s">
        <v>167</v>
      </c>
      <c r="F1107" s="8" t="s">
        <v>168</v>
      </c>
      <c r="G1107" s="8" t="s">
        <v>21</v>
      </c>
      <c r="H1107" s="8" t="s">
        <v>795</v>
      </c>
      <c r="I1107" s="3">
        <v>2</v>
      </c>
      <c r="J1107" s="8" t="s">
        <v>726</v>
      </c>
      <c r="K1107" s="8" t="s">
        <v>727</v>
      </c>
      <c r="L1107" s="8" t="s">
        <v>723</v>
      </c>
      <c r="M1107" s="1" t="s">
        <v>786</v>
      </c>
      <c r="N1107" s="8" t="s">
        <v>787</v>
      </c>
      <c r="O1107" s="6">
        <v>0</v>
      </c>
      <c r="P1107" s="6">
        <v>0</v>
      </c>
      <c r="Q1107" s="6">
        <v>0</v>
      </c>
      <c r="R1107" s="6">
        <v>0</v>
      </c>
      <c r="S1107" s="6">
        <v>70</v>
      </c>
    </row>
    <row r="1108" spans="1:19" ht="15" x14ac:dyDescent="0.25">
      <c r="A1108" s="7" t="s">
        <v>16</v>
      </c>
      <c r="B1108" s="7" t="s">
        <v>55</v>
      </c>
      <c r="C1108" s="7" t="s">
        <v>18</v>
      </c>
      <c r="D1108" s="3">
        <v>4275687000129</v>
      </c>
      <c r="E1108" s="8" t="s">
        <v>112</v>
      </c>
      <c r="F1108" s="8" t="s">
        <v>113</v>
      </c>
      <c r="G1108" s="8" t="s">
        <v>21</v>
      </c>
      <c r="H1108" s="8" t="s">
        <v>795</v>
      </c>
      <c r="I1108" s="3">
        <v>2</v>
      </c>
      <c r="J1108" s="8" t="s">
        <v>728</v>
      </c>
      <c r="K1108" s="8" t="s">
        <v>729</v>
      </c>
      <c r="L1108" s="8" t="s">
        <v>730</v>
      </c>
      <c r="M1108" s="1" t="s">
        <v>786</v>
      </c>
      <c r="N1108" s="8" t="s">
        <v>787</v>
      </c>
      <c r="O1108" s="6">
        <v>0</v>
      </c>
      <c r="P1108" s="6">
        <v>0</v>
      </c>
      <c r="Q1108" s="6">
        <v>0</v>
      </c>
      <c r="R1108" s="6">
        <v>15</v>
      </c>
      <c r="S1108" s="6">
        <v>0</v>
      </c>
    </row>
    <row r="1109" spans="1:19" ht="15" x14ac:dyDescent="0.25">
      <c r="A1109" s="7" t="s">
        <v>16</v>
      </c>
      <c r="B1109" s="7" t="s">
        <v>55</v>
      </c>
      <c r="C1109" s="7" t="s">
        <v>18</v>
      </c>
      <c r="D1109" s="3">
        <v>4275687000129</v>
      </c>
      <c r="E1109" s="8" t="s">
        <v>112</v>
      </c>
      <c r="F1109" s="8" t="s">
        <v>113</v>
      </c>
      <c r="G1109" s="8" t="s">
        <v>21</v>
      </c>
      <c r="H1109" s="8" t="s">
        <v>795</v>
      </c>
      <c r="I1109" s="3">
        <v>2</v>
      </c>
      <c r="J1109" s="8" t="s">
        <v>726</v>
      </c>
      <c r="K1109" s="8" t="s">
        <v>727</v>
      </c>
      <c r="L1109" s="8" t="s">
        <v>723</v>
      </c>
      <c r="M1109" s="1" t="s">
        <v>786</v>
      </c>
      <c r="N1109" s="8" t="s">
        <v>787</v>
      </c>
      <c r="O1109" s="6">
        <v>0</v>
      </c>
      <c r="P1109" s="6">
        <v>0</v>
      </c>
      <c r="Q1109" s="6">
        <v>0</v>
      </c>
      <c r="R1109" s="6">
        <v>0</v>
      </c>
      <c r="S1109" s="6">
        <v>0</v>
      </c>
    </row>
    <row r="1110" spans="1:19" ht="15" x14ac:dyDescent="0.25">
      <c r="A1110" s="7" t="s">
        <v>16</v>
      </c>
      <c r="B1110" s="7" t="s">
        <v>55</v>
      </c>
      <c r="C1110" s="7" t="s">
        <v>18</v>
      </c>
      <c r="D1110" s="3">
        <v>63025530008270</v>
      </c>
      <c r="E1110" s="8" t="s">
        <v>189</v>
      </c>
      <c r="F1110" s="8" t="s">
        <v>136</v>
      </c>
      <c r="G1110" s="8" t="s">
        <v>21</v>
      </c>
      <c r="H1110" s="8" t="s">
        <v>795</v>
      </c>
      <c r="I1110" s="3">
        <v>2</v>
      </c>
      <c r="J1110" s="8" t="s">
        <v>728</v>
      </c>
      <c r="K1110" s="8" t="s">
        <v>729</v>
      </c>
      <c r="L1110" s="8" t="s">
        <v>730</v>
      </c>
      <c r="M1110" s="1" t="s">
        <v>786</v>
      </c>
      <c r="N1110" s="8" t="s">
        <v>787</v>
      </c>
      <c r="O1110" s="6">
        <v>0</v>
      </c>
      <c r="P1110" s="6">
        <v>0</v>
      </c>
      <c r="Q1110" s="6">
        <v>0</v>
      </c>
      <c r="R1110" s="6">
        <v>0</v>
      </c>
      <c r="S1110" s="6">
        <v>5</v>
      </c>
    </row>
    <row r="1111" spans="1:19" ht="15" x14ac:dyDescent="0.25">
      <c r="A1111" s="7" t="s">
        <v>16</v>
      </c>
      <c r="B1111" s="7" t="s">
        <v>55</v>
      </c>
      <c r="C1111" s="7" t="s">
        <v>18</v>
      </c>
      <c r="D1111" s="3">
        <v>63025530008270</v>
      </c>
      <c r="E1111" s="8" t="s">
        <v>189</v>
      </c>
      <c r="F1111" s="8" t="s">
        <v>136</v>
      </c>
      <c r="G1111" s="8" t="s">
        <v>21</v>
      </c>
      <c r="H1111" s="8" t="s">
        <v>795</v>
      </c>
      <c r="I1111" s="3">
        <v>2</v>
      </c>
      <c r="J1111" s="8" t="s">
        <v>726</v>
      </c>
      <c r="K1111" s="8" t="s">
        <v>727</v>
      </c>
      <c r="L1111" s="8" t="s">
        <v>723</v>
      </c>
      <c r="M1111" s="1" t="s">
        <v>786</v>
      </c>
      <c r="N1111" s="8" t="s">
        <v>787</v>
      </c>
      <c r="O1111" s="6">
        <v>0</v>
      </c>
      <c r="P1111" s="6">
        <v>0</v>
      </c>
      <c r="Q1111" s="6">
        <v>0</v>
      </c>
      <c r="R1111" s="6">
        <v>0</v>
      </c>
      <c r="S1111" s="6">
        <v>5</v>
      </c>
    </row>
    <row r="1112" spans="1:19" ht="15" x14ac:dyDescent="0.25">
      <c r="A1112" s="7" t="s">
        <v>16</v>
      </c>
      <c r="B1112" s="7" t="s">
        <v>55</v>
      </c>
      <c r="C1112" s="7" t="s">
        <v>18</v>
      </c>
      <c r="D1112" s="3">
        <v>44456036000311</v>
      </c>
      <c r="E1112" s="8" t="s">
        <v>135</v>
      </c>
      <c r="F1112" s="8" t="s">
        <v>136</v>
      </c>
      <c r="G1112" s="8" t="s">
        <v>21</v>
      </c>
      <c r="H1112" s="8" t="s">
        <v>795</v>
      </c>
      <c r="I1112" s="3">
        <v>2</v>
      </c>
      <c r="J1112" s="8" t="s">
        <v>728</v>
      </c>
      <c r="K1112" s="8" t="s">
        <v>729</v>
      </c>
      <c r="L1112" s="8" t="s">
        <v>730</v>
      </c>
      <c r="M1112" s="1" t="s">
        <v>786</v>
      </c>
      <c r="N1112" s="8" t="s">
        <v>787</v>
      </c>
      <c r="O1112" s="6">
        <v>0</v>
      </c>
      <c r="P1112" s="6">
        <v>0</v>
      </c>
      <c r="Q1112" s="6">
        <v>0</v>
      </c>
      <c r="R1112" s="6">
        <v>0</v>
      </c>
      <c r="S1112" s="6">
        <v>0</v>
      </c>
    </row>
    <row r="1113" spans="1:19" ht="15" x14ac:dyDescent="0.25">
      <c r="A1113" s="7" t="s">
        <v>16</v>
      </c>
      <c r="B1113" s="7" t="s">
        <v>55</v>
      </c>
      <c r="C1113" s="7" t="s">
        <v>18</v>
      </c>
      <c r="D1113" s="3">
        <v>44456036000311</v>
      </c>
      <c r="E1113" s="8" t="s">
        <v>135</v>
      </c>
      <c r="F1113" s="8" t="s">
        <v>136</v>
      </c>
      <c r="G1113" s="8" t="s">
        <v>21</v>
      </c>
      <c r="H1113" s="8" t="s">
        <v>795</v>
      </c>
      <c r="I1113" s="3">
        <v>2</v>
      </c>
      <c r="J1113" s="8" t="s">
        <v>726</v>
      </c>
      <c r="K1113" s="8" t="s">
        <v>727</v>
      </c>
      <c r="L1113" s="8" t="s">
        <v>723</v>
      </c>
      <c r="M1113" s="1" t="s">
        <v>786</v>
      </c>
      <c r="N1113" s="8" t="s">
        <v>787</v>
      </c>
      <c r="O1113" s="6">
        <v>0</v>
      </c>
      <c r="P1113" s="6">
        <v>4</v>
      </c>
      <c r="Q1113" s="6">
        <v>28</v>
      </c>
      <c r="R1113" s="6">
        <v>0</v>
      </c>
      <c r="S1113" s="6">
        <v>0</v>
      </c>
    </row>
    <row r="1114" spans="1:19" ht="15" x14ac:dyDescent="0.25">
      <c r="A1114" s="7" t="s">
        <v>16</v>
      </c>
      <c r="B1114" s="7" t="s">
        <v>55</v>
      </c>
      <c r="C1114" s="7" t="s">
        <v>18</v>
      </c>
      <c r="D1114" s="3">
        <v>46020301000269</v>
      </c>
      <c r="E1114" s="8" t="s">
        <v>155</v>
      </c>
      <c r="F1114" s="8" t="s">
        <v>123</v>
      </c>
      <c r="G1114" s="8" t="s">
        <v>21</v>
      </c>
      <c r="H1114" s="8" t="s">
        <v>795</v>
      </c>
      <c r="I1114" s="3">
        <v>2</v>
      </c>
      <c r="J1114" s="8" t="s">
        <v>728</v>
      </c>
      <c r="K1114" s="8" t="s">
        <v>729</v>
      </c>
      <c r="L1114" s="8" t="s">
        <v>730</v>
      </c>
      <c r="M1114" s="1" t="s">
        <v>786</v>
      </c>
      <c r="N1114" s="8" t="s">
        <v>787</v>
      </c>
      <c r="O1114" s="6">
        <v>0</v>
      </c>
      <c r="P1114" s="6">
        <v>0</v>
      </c>
      <c r="Q1114" s="6">
        <v>0</v>
      </c>
      <c r="R1114" s="6">
        <v>35</v>
      </c>
      <c r="S1114" s="6">
        <v>0</v>
      </c>
    </row>
    <row r="1115" spans="1:19" ht="15" x14ac:dyDescent="0.25">
      <c r="A1115" s="7" t="s">
        <v>16</v>
      </c>
      <c r="B1115" s="7" t="s">
        <v>55</v>
      </c>
      <c r="C1115" s="7" t="s">
        <v>18</v>
      </c>
      <c r="D1115" s="3">
        <v>46020301000269</v>
      </c>
      <c r="E1115" s="8" t="s">
        <v>155</v>
      </c>
      <c r="F1115" s="8" t="s">
        <v>123</v>
      </c>
      <c r="G1115" s="8" t="s">
        <v>21</v>
      </c>
      <c r="H1115" s="8" t="s">
        <v>795</v>
      </c>
      <c r="I1115" s="3">
        <v>2</v>
      </c>
      <c r="J1115" s="8" t="s">
        <v>726</v>
      </c>
      <c r="K1115" s="8" t="s">
        <v>727</v>
      </c>
      <c r="L1115" s="8" t="s">
        <v>723</v>
      </c>
      <c r="M1115" s="1" t="s">
        <v>786</v>
      </c>
      <c r="N1115" s="8" t="s">
        <v>787</v>
      </c>
      <c r="O1115" s="6">
        <v>0</v>
      </c>
      <c r="P1115" s="6">
        <v>0</v>
      </c>
      <c r="Q1115" s="6">
        <v>0</v>
      </c>
      <c r="R1115" s="6">
        <v>0</v>
      </c>
      <c r="S1115" s="6">
        <v>0</v>
      </c>
    </row>
    <row r="1116" spans="1:19" ht="15" x14ac:dyDescent="0.25">
      <c r="A1116" s="7" t="s">
        <v>16</v>
      </c>
      <c r="B1116" s="7" t="s">
        <v>55</v>
      </c>
      <c r="C1116" s="7" t="s">
        <v>18</v>
      </c>
      <c r="D1116" s="3">
        <v>46009718000140</v>
      </c>
      <c r="E1116" s="8" t="s">
        <v>154</v>
      </c>
      <c r="F1116" s="8" t="s">
        <v>123</v>
      </c>
      <c r="G1116" s="8" t="s">
        <v>21</v>
      </c>
      <c r="H1116" s="8" t="s">
        <v>795</v>
      </c>
      <c r="I1116" s="3">
        <v>2</v>
      </c>
      <c r="J1116" s="8" t="s">
        <v>728</v>
      </c>
      <c r="K1116" s="8" t="s">
        <v>729</v>
      </c>
      <c r="L1116" s="8" t="s">
        <v>730</v>
      </c>
      <c r="M1116" s="1" t="s">
        <v>786</v>
      </c>
      <c r="N1116" s="8" t="s">
        <v>787</v>
      </c>
      <c r="O1116" s="6">
        <v>6</v>
      </c>
      <c r="P1116" s="6">
        <v>0</v>
      </c>
      <c r="Q1116" s="6">
        <v>0</v>
      </c>
      <c r="R1116" s="6">
        <v>83</v>
      </c>
      <c r="S1116" s="6">
        <v>1150</v>
      </c>
    </row>
    <row r="1117" spans="1:19" ht="15" x14ac:dyDescent="0.25">
      <c r="A1117" s="7" t="s">
        <v>16</v>
      </c>
      <c r="B1117" s="7" t="s">
        <v>55</v>
      </c>
      <c r="C1117" s="7" t="s">
        <v>18</v>
      </c>
      <c r="D1117" s="3">
        <v>46009718000140</v>
      </c>
      <c r="E1117" s="8" t="s">
        <v>154</v>
      </c>
      <c r="F1117" s="8" t="s">
        <v>123</v>
      </c>
      <c r="G1117" s="8" t="s">
        <v>21</v>
      </c>
      <c r="H1117" s="8" t="s">
        <v>795</v>
      </c>
      <c r="I1117" s="3">
        <v>2</v>
      </c>
      <c r="J1117" s="8" t="s">
        <v>726</v>
      </c>
      <c r="K1117" s="8" t="s">
        <v>727</v>
      </c>
      <c r="L1117" s="8" t="s">
        <v>723</v>
      </c>
      <c r="M1117" s="1" t="s">
        <v>786</v>
      </c>
      <c r="N1117" s="8" t="s">
        <v>787</v>
      </c>
      <c r="O1117" s="6">
        <v>0</v>
      </c>
      <c r="P1117" s="6">
        <v>0</v>
      </c>
      <c r="Q1117" s="6">
        <v>0</v>
      </c>
      <c r="R1117" s="6">
        <v>0</v>
      </c>
      <c r="S1117" s="6">
        <v>1150</v>
      </c>
    </row>
    <row r="1118" spans="1:19" ht="15" x14ac:dyDescent="0.25">
      <c r="A1118" s="7" t="s">
        <v>16</v>
      </c>
      <c r="B1118" s="7" t="s">
        <v>55</v>
      </c>
      <c r="C1118" s="7" t="s">
        <v>18</v>
      </c>
      <c r="D1118" s="3">
        <v>44649812019238</v>
      </c>
      <c r="E1118" s="8" t="s">
        <v>139</v>
      </c>
      <c r="F1118" s="8" t="s">
        <v>123</v>
      </c>
      <c r="G1118" s="8" t="s">
        <v>21</v>
      </c>
      <c r="H1118" s="8" t="s">
        <v>795</v>
      </c>
      <c r="I1118" s="3">
        <v>2</v>
      </c>
      <c r="J1118" s="8" t="s">
        <v>728</v>
      </c>
      <c r="K1118" s="8" t="s">
        <v>729</v>
      </c>
      <c r="L1118" s="8" t="s">
        <v>730</v>
      </c>
      <c r="M1118" s="1" t="s">
        <v>786</v>
      </c>
      <c r="N1118" s="8" t="s">
        <v>787</v>
      </c>
      <c r="O1118" s="6">
        <v>0</v>
      </c>
      <c r="P1118" s="6">
        <v>0</v>
      </c>
      <c r="Q1118" s="6">
        <v>0</v>
      </c>
      <c r="R1118" s="6">
        <v>8</v>
      </c>
      <c r="S1118" s="6">
        <v>0</v>
      </c>
    </row>
    <row r="1119" spans="1:19" ht="15" x14ac:dyDescent="0.25">
      <c r="A1119" s="7" t="s">
        <v>16</v>
      </c>
      <c r="B1119" s="7" t="s">
        <v>55</v>
      </c>
      <c r="C1119" s="7" t="s">
        <v>18</v>
      </c>
      <c r="D1119" s="3">
        <v>44649812019238</v>
      </c>
      <c r="E1119" s="8" t="s">
        <v>139</v>
      </c>
      <c r="F1119" s="8" t="s">
        <v>123</v>
      </c>
      <c r="G1119" s="8" t="s">
        <v>21</v>
      </c>
      <c r="H1119" s="8" t="s">
        <v>795</v>
      </c>
      <c r="I1119" s="3">
        <v>2</v>
      </c>
      <c r="J1119" s="8" t="s">
        <v>726</v>
      </c>
      <c r="K1119" s="8" t="s">
        <v>727</v>
      </c>
      <c r="L1119" s="8" t="s">
        <v>723</v>
      </c>
      <c r="M1119" s="1" t="s">
        <v>786</v>
      </c>
      <c r="N1119" s="8" t="s">
        <v>787</v>
      </c>
      <c r="O1119" s="6">
        <v>0</v>
      </c>
      <c r="P1119" s="6">
        <v>0</v>
      </c>
      <c r="Q1119" s="6">
        <v>0</v>
      </c>
      <c r="R1119" s="6">
        <v>0</v>
      </c>
      <c r="S1119" s="6">
        <v>0</v>
      </c>
    </row>
    <row r="1120" spans="1:19" ht="15" x14ac:dyDescent="0.25">
      <c r="A1120" s="7" t="s">
        <v>16</v>
      </c>
      <c r="B1120" s="7" t="s">
        <v>55</v>
      </c>
      <c r="C1120" s="7" t="s">
        <v>18</v>
      </c>
      <c r="D1120" s="3">
        <v>29435005008456</v>
      </c>
      <c r="E1120" s="8" t="s">
        <v>132</v>
      </c>
      <c r="F1120" s="8" t="s">
        <v>123</v>
      </c>
      <c r="G1120" s="8" t="s">
        <v>21</v>
      </c>
      <c r="H1120" s="8" t="s">
        <v>795</v>
      </c>
      <c r="I1120" s="3">
        <v>2</v>
      </c>
      <c r="J1120" s="8" t="s">
        <v>728</v>
      </c>
      <c r="K1120" s="8" t="s">
        <v>729</v>
      </c>
      <c r="L1120" s="8" t="s">
        <v>730</v>
      </c>
      <c r="M1120" s="1" t="s">
        <v>786</v>
      </c>
      <c r="N1120" s="8" t="s">
        <v>787</v>
      </c>
      <c r="O1120" s="6">
        <v>0</v>
      </c>
      <c r="P1120" s="6">
        <v>0</v>
      </c>
      <c r="Q1120" s="6">
        <v>0</v>
      </c>
      <c r="R1120" s="6">
        <v>0</v>
      </c>
      <c r="S1120" s="6">
        <v>35</v>
      </c>
    </row>
    <row r="1121" spans="1:19" ht="15" x14ac:dyDescent="0.25">
      <c r="A1121" s="7" t="s">
        <v>16</v>
      </c>
      <c r="B1121" s="7" t="s">
        <v>55</v>
      </c>
      <c r="C1121" s="7" t="s">
        <v>18</v>
      </c>
      <c r="D1121" s="3">
        <v>29435005008456</v>
      </c>
      <c r="E1121" s="8" t="s">
        <v>132</v>
      </c>
      <c r="F1121" s="8" t="s">
        <v>123</v>
      </c>
      <c r="G1121" s="8" t="s">
        <v>21</v>
      </c>
      <c r="H1121" s="8" t="s">
        <v>795</v>
      </c>
      <c r="I1121" s="3">
        <v>2</v>
      </c>
      <c r="J1121" s="8" t="s">
        <v>726</v>
      </c>
      <c r="K1121" s="8" t="s">
        <v>727</v>
      </c>
      <c r="L1121" s="8" t="s">
        <v>723</v>
      </c>
      <c r="M1121" s="1" t="s">
        <v>786</v>
      </c>
      <c r="N1121" s="8" t="s">
        <v>787</v>
      </c>
      <c r="O1121" s="6">
        <v>0</v>
      </c>
      <c r="P1121" s="6">
        <v>0</v>
      </c>
      <c r="Q1121" s="6">
        <v>0</v>
      </c>
      <c r="R1121" s="6">
        <v>0</v>
      </c>
      <c r="S1121" s="6">
        <v>35</v>
      </c>
    </row>
    <row r="1122" spans="1:19" ht="15" x14ac:dyDescent="0.25">
      <c r="A1122" s="7" t="s">
        <v>16</v>
      </c>
      <c r="B1122" s="7" t="s">
        <v>55</v>
      </c>
      <c r="C1122" s="7" t="s">
        <v>18</v>
      </c>
      <c r="D1122" s="3">
        <v>46124624000111</v>
      </c>
      <c r="E1122" s="8" t="s">
        <v>156</v>
      </c>
      <c r="F1122" s="8" t="s">
        <v>123</v>
      </c>
      <c r="G1122" s="8" t="s">
        <v>21</v>
      </c>
      <c r="H1122" s="8" t="s">
        <v>795</v>
      </c>
      <c r="I1122" s="3">
        <v>2</v>
      </c>
      <c r="J1122" s="8" t="s">
        <v>728</v>
      </c>
      <c r="K1122" s="8" t="s">
        <v>729</v>
      </c>
      <c r="L1122" s="8" t="s">
        <v>730</v>
      </c>
      <c r="M1122" s="1" t="s">
        <v>786</v>
      </c>
      <c r="N1122" s="8" t="s">
        <v>787</v>
      </c>
      <c r="O1122" s="6">
        <v>0</v>
      </c>
      <c r="P1122" s="6">
        <v>0</v>
      </c>
      <c r="Q1122" s="6">
        <v>0</v>
      </c>
      <c r="R1122" s="6">
        <v>48</v>
      </c>
      <c r="S1122" s="6">
        <v>340</v>
      </c>
    </row>
    <row r="1123" spans="1:19" ht="15" x14ac:dyDescent="0.25">
      <c r="A1123" s="7" t="s">
        <v>16</v>
      </c>
      <c r="B1123" s="7" t="s">
        <v>55</v>
      </c>
      <c r="C1123" s="7" t="s">
        <v>18</v>
      </c>
      <c r="D1123" s="3">
        <v>46124624000111</v>
      </c>
      <c r="E1123" s="8" t="s">
        <v>156</v>
      </c>
      <c r="F1123" s="8" t="s">
        <v>123</v>
      </c>
      <c r="G1123" s="8" t="s">
        <v>21</v>
      </c>
      <c r="H1123" s="8" t="s">
        <v>795</v>
      </c>
      <c r="I1123" s="3">
        <v>2</v>
      </c>
      <c r="J1123" s="8" t="s">
        <v>726</v>
      </c>
      <c r="K1123" s="8" t="s">
        <v>727</v>
      </c>
      <c r="L1123" s="8" t="s">
        <v>723</v>
      </c>
      <c r="M1123" s="1" t="s">
        <v>786</v>
      </c>
      <c r="N1123" s="8" t="s">
        <v>787</v>
      </c>
      <c r="O1123" s="6">
        <v>0</v>
      </c>
      <c r="P1123" s="6">
        <v>0</v>
      </c>
      <c r="Q1123" s="6">
        <v>0</v>
      </c>
      <c r="R1123" s="6">
        <v>0</v>
      </c>
      <c r="S1123" s="6">
        <v>340</v>
      </c>
    </row>
    <row r="1124" spans="1:19" ht="15" x14ac:dyDescent="0.25">
      <c r="A1124" s="7" t="s">
        <v>16</v>
      </c>
      <c r="B1124" s="7" t="s">
        <v>55</v>
      </c>
      <c r="C1124" s="7" t="s">
        <v>18</v>
      </c>
      <c r="D1124" s="3">
        <v>46068425000133</v>
      </c>
      <c r="E1124" s="8" t="s">
        <v>183</v>
      </c>
      <c r="F1124" s="8" t="s">
        <v>123</v>
      </c>
      <c r="G1124" s="8" t="s">
        <v>21</v>
      </c>
      <c r="H1124" s="8" t="s">
        <v>795</v>
      </c>
      <c r="I1124" s="3">
        <v>2</v>
      </c>
      <c r="J1124" s="8" t="s">
        <v>728</v>
      </c>
      <c r="K1124" s="8" t="s">
        <v>729</v>
      </c>
      <c r="L1124" s="8" t="s">
        <v>730</v>
      </c>
      <c r="M1124" s="1" t="s">
        <v>786</v>
      </c>
      <c r="N1124" s="8" t="s">
        <v>787</v>
      </c>
      <c r="O1124" s="6">
        <v>2</v>
      </c>
      <c r="P1124" s="6">
        <v>0</v>
      </c>
      <c r="Q1124" s="6">
        <v>0</v>
      </c>
      <c r="R1124" s="6">
        <v>0</v>
      </c>
      <c r="S1124" s="6">
        <v>0</v>
      </c>
    </row>
    <row r="1125" spans="1:19" ht="15" x14ac:dyDescent="0.25">
      <c r="A1125" s="7" t="s">
        <v>16</v>
      </c>
      <c r="B1125" s="7" t="s">
        <v>55</v>
      </c>
      <c r="C1125" s="7" t="s">
        <v>18</v>
      </c>
      <c r="D1125" s="3">
        <v>46068425000133</v>
      </c>
      <c r="E1125" s="8" t="s">
        <v>183</v>
      </c>
      <c r="F1125" s="8" t="s">
        <v>123</v>
      </c>
      <c r="G1125" s="8" t="s">
        <v>21</v>
      </c>
      <c r="H1125" s="8" t="s">
        <v>795</v>
      </c>
      <c r="I1125" s="3">
        <v>2</v>
      </c>
      <c r="J1125" s="8" t="s">
        <v>726</v>
      </c>
      <c r="K1125" s="8" t="s">
        <v>727</v>
      </c>
      <c r="L1125" s="8" t="s">
        <v>723</v>
      </c>
      <c r="M1125" s="1" t="s">
        <v>786</v>
      </c>
      <c r="N1125" s="8" t="s">
        <v>787</v>
      </c>
      <c r="O1125" s="6">
        <v>0</v>
      </c>
      <c r="P1125" s="6">
        <v>0</v>
      </c>
      <c r="Q1125" s="6">
        <v>0</v>
      </c>
      <c r="R1125" s="6">
        <v>0</v>
      </c>
      <c r="S1125" s="6">
        <v>0</v>
      </c>
    </row>
    <row r="1126" spans="1:19" ht="15" x14ac:dyDescent="0.25">
      <c r="A1126" s="7" t="s">
        <v>16</v>
      </c>
      <c r="B1126" s="7" t="s">
        <v>55</v>
      </c>
      <c r="C1126" s="7" t="s">
        <v>18</v>
      </c>
      <c r="D1126" s="3">
        <v>10447300000177</v>
      </c>
      <c r="E1126" s="8" t="s">
        <v>122</v>
      </c>
      <c r="F1126" s="8" t="s">
        <v>804</v>
      </c>
      <c r="G1126" s="8" t="s">
        <v>21</v>
      </c>
      <c r="H1126" s="8" t="s">
        <v>795</v>
      </c>
      <c r="I1126" s="3">
        <v>2</v>
      </c>
      <c r="J1126" s="8" t="s">
        <v>728</v>
      </c>
      <c r="K1126" s="8" t="s">
        <v>729</v>
      </c>
      <c r="L1126" s="8" t="s">
        <v>730</v>
      </c>
      <c r="M1126" s="1" t="s">
        <v>786</v>
      </c>
      <c r="N1126" s="8" t="s">
        <v>787</v>
      </c>
      <c r="O1126" s="6">
        <v>0</v>
      </c>
      <c r="P1126" s="6">
        <v>0</v>
      </c>
      <c r="Q1126" s="6">
        <v>0</v>
      </c>
      <c r="R1126" s="6">
        <v>4</v>
      </c>
      <c r="S1126" s="6">
        <v>0</v>
      </c>
    </row>
    <row r="1127" spans="1:19" ht="15" x14ac:dyDescent="0.25">
      <c r="A1127" s="7" t="s">
        <v>16</v>
      </c>
      <c r="B1127" s="7" t="s">
        <v>55</v>
      </c>
      <c r="C1127" s="7" t="s">
        <v>18</v>
      </c>
      <c r="D1127" s="3">
        <v>10447300000177</v>
      </c>
      <c r="E1127" s="8" t="s">
        <v>122</v>
      </c>
      <c r="F1127" s="8" t="s">
        <v>804</v>
      </c>
      <c r="G1127" s="8" t="s">
        <v>21</v>
      </c>
      <c r="H1127" s="8" t="s">
        <v>795</v>
      </c>
      <c r="I1127" s="3">
        <v>2</v>
      </c>
      <c r="J1127" s="8" t="s">
        <v>726</v>
      </c>
      <c r="K1127" s="8" t="s">
        <v>727</v>
      </c>
      <c r="L1127" s="8" t="s">
        <v>723</v>
      </c>
      <c r="M1127" s="1" t="s">
        <v>786</v>
      </c>
      <c r="N1127" s="8" t="s">
        <v>787</v>
      </c>
      <c r="O1127" s="6">
        <v>0</v>
      </c>
      <c r="P1127" s="6">
        <v>0</v>
      </c>
      <c r="Q1127" s="6">
        <v>0</v>
      </c>
      <c r="R1127" s="6">
        <v>0</v>
      </c>
      <c r="S1127" s="6">
        <v>0</v>
      </c>
    </row>
    <row r="1128" spans="1:19" ht="15" x14ac:dyDescent="0.25">
      <c r="A1128" s="7" t="s">
        <v>16</v>
      </c>
      <c r="B1128" s="7" t="s">
        <v>55</v>
      </c>
      <c r="C1128" s="7" t="s">
        <v>18</v>
      </c>
      <c r="D1128" s="3">
        <v>47074851000819</v>
      </c>
      <c r="E1128" s="8" t="s">
        <v>160</v>
      </c>
      <c r="F1128" s="8" t="s">
        <v>145</v>
      </c>
      <c r="G1128" s="8" t="s">
        <v>21</v>
      </c>
      <c r="H1128" s="8" t="s">
        <v>795</v>
      </c>
      <c r="I1128" s="3">
        <v>2</v>
      </c>
      <c r="J1128" s="8" t="s">
        <v>728</v>
      </c>
      <c r="K1128" s="8" t="s">
        <v>729</v>
      </c>
      <c r="L1128" s="8" t="s">
        <v>730</v>
      </c>
      <c r="M1128" s="1" t="s">
        <v>786</v>
      </c>
      <c r="N1128" s="8" t="s">
        <v>787</v>
      </c>
      <c r="O1128" s="6">
        <v>0</v>
      </c>
      <c r="P1128" s="6">
        <v>0</v>
      </c>
      <c r="Q1128" s="6">
        <v>0</v>
      </c>
      <c r="R1128" s="6">
        <v>6</v>
      </c>
      <c r="S1128" s="6">
        <v>0</v>
      </c>
    </row>
    <row r="1129" spans="1:19" ht="15" x14ac:dyDescent="0.25">
      <c r="A1129" s="7" t="s">
        <v>16</v>
      </c>
      <c r="B1129" s="7" t="s">
        <v>55</v>
      </c>
      <c r="C1129" s="7" t="s">
        <v>18</v>
      </c>
      <c r="D1129" s="3">
        <v>47074851000819</v>
      </c>
      <c r="E1129" s="8" t="s">
        <v>160</v>
      </c>
      <c r="F1129" s="8" t="s">
        <v>145</v>
      </c>
      <c r="G1129" s="8" t="s">
        <v>21</v>
      </c>
      <c r="H1129" s="8" t="s">
        <v>795</v>
      </c>
      <c r="I1129" s="3">
        <v>2</v>
      </c>
      <c r="J1129" s="8" t="s">
        <v>726</v>
      </c>
      <c r="K1129" s="8" t="s">
        <v>727</v>
      </c>
      <c r="L1129" s="8" t="s">
        <v>723</v>
      </c>
      <c r="M1129" s="1" t="s">
        <v>786</v>
      </c>
      <c r="N1129" s="8" t="s">
        <v>787</v>
      </c>
      <c r="O1129" s="6">
        <v>0</v>
      </c>
      <c r="P1129" s="6">
        <v>0</v>
      </c>
      <c r="Q1129" s="6">
        <v>0</v>
      </c>
      <c r="R1129" s="6">
        <v>0</v>
      </c>
      <c r="S1129" s="6">
        <v>0</v>
      </c>
    </row>
    <row r="1130" spans="1:19" ht="15" x14ac:dyDescent="0.25">
      <c r="A1130" s="7" t="s">
        <v>16</v>
      </c>
      <c r="B1130" s="7" t="s">
        <v>55</v>
      </c>
      <c r="C1130" s="7" t="s">
        <v>18</v>
      </c>
      <c r="D1130" s="3">
        <v>68204486000113</v>
      </c>
      <c r="E1130" s="8" t="s">
        <v>190</v>
      </c>
      <c r="F1130" s="8" t="s">
        <v>191</v>
      </c>
      <c r="G1130" s="8" t="s">
        <v>21</v>
      </c>
      <c r="H1130" s="8" t="s">
        <v>795</v>
      </c>
      <c r="I1130" s="3">
        <v>2</v>
      </c>
      <c r="J1130" s="8" t="s">
        <v>728</v>
      </c>
      <c r="K1130" s="8" t="s">
        <v>729</v>
      </c>
      <c r="L1130" s="8" t="s">
        <v>730</v>
      </c>
      <c r="M1130" s="1" t="s">
        <v>786</v>
      </c>
      <c r="N1130" s="8" t="s">
        <v>787</v>
      </c>
      <c r="O1130" s="6">
        <v>0</v>
      </c>
      <c r="P1130" s="6">
        <v>0</v>
      </c>
      <c r="Q1130" s="6">
        <v>0</v>
      </c>
      <c r="R1130" s="6">
        <v>0</v>
      </c>
      <c r="S1130" s="6">
        <v>150</v>
      </c>
    </row>
    <row r="1131" spans="1:19" ht="15" x14ac:dyDescent="0.25">
      <c r="A1131" s="7" t="s">
        <v>16</v>
      </c>
      <c r="B1131" s="7" t="s">
        <v>55</v>
      </c>
      <c r="C1131" s="7" t="s">
        <v>18</v>
      </c>
      <c r="D1131" s="3">
        <v>68204486000113</v>
      </c>
      <c r="E1131" s="8" t="s">
        <v>190</v>
      </c>
      <c r="F1131" s="8" t="s">
        <v>191</v>
      </c>
      <c r="G1131" s="8" t="s">
        <v>21</v>
      </c>
      <c r="H1131" s="8" t="s">
        <v>795</v>
      </c>
      <c r="I1131" s="3">
        <v>2</v>
      </c>
      <c r="J1131" s="8" t="s">
        <v>726</v>
      </c>
      <c r="K1131" s="8" t="s">
        <v>727</v>
      </c>
      <c r="L1131" s="8" t="s">
        <v>723</v>
      </c>
      <c r="M1131" s="1" t="s">
        <v>786</v>
      </c>
      <c r="N1131" s="8" t="s">
        <v>787</v>
      </c>
      <c r="O1131" s="6">
        <v>0</v>
      </c>
      <c r="P1131" s="6">
        <v>0</v>
      </c>
      <c r="Q1131" s="6">
        <v>0</v>
      </c>
      <c r="R1131" s="6">
        <v>0</v>
      </c>
      <c r="S1131" s="6">
        <v>150</v>
      </c>
    </row>
    <row r="1132" spans="1:19" ht="15" x14ac:dyDescent="0.25">
      <c r="A1132" s="7" t="s">
        <v>16</v>
      </c>
      <c r="B1132" s="7" t="s">
        <v>55</v>
      </c>
      <c r="C1132" s="7" t="s">
        <v>18</v>
      </c>
      <c r="D1132" s="3">
        <v>50486026000160</v>
      </c>
      <c r="E1132" s="8" t="s">
        <v>163</v>
      </c>
      <c r="F1132" s="8" t="s">
        <v>164</v>
      </c>
      <c r="G1132" s="8" t="s">
        <v>21</v>
      </c>
      <c r="H1132" s="8" t="s">
        <v>795</v>
      </c>
      <c r="I1132" s="3">
        <v>2</v>
      </c>
      <c r="J1132" s="8" t="s">
        <v>728</v>
      </c>
      <c r="K1132" s="8" t="s">
        <v>729</v>
      </c>
      <c r="L1132" s="8" t="s">
        <v>730</v>
      </c>
      <c r="M1132" s="1" t="s">
        <v>786</v>
      </c>
      <c r="N1132" s="8" t="s">
        <v>787</v>
      </c>
      <c r="O1132" s="6">
        <v>0</v>
      </c>
      <c r="P1132" s="6">
        <v>0</v>
      </c>
      <c r="Q1132" s="6">
        <v>0</v>
      </c>
      <c r="R1132" s="6">
        <v>0</v>
      </c>
      <c r="S1132" s="6">
        <v>100</v>
      </c>
    </row>
    <row r="1133" spans="1:19" ht="15" x14ac:dyDescent="0.25">
      <c r="A1133" s="7" t="s">
        <v>16</v>
      </c>
      <c r="B1133" s="7" t="s">
        <v>55</v>
      </c>
      <c r="C1133" s="7" t="s">
        <v>18</v>
      </c>
      <c r="D1133" s="3">
        <v>50486026000160</v>
      </c>
      <c r="E1133" s="8" t="s">
        <v>163</v>
      </c>
      <c r="F1133" s="8" t="s">
        <v>164</v>
      </c>
      <c r="G1133" s="8" t="s">
        <v>21</v>
      </c>
      <c r="H1133" s="8" t="s">
        <v>795</v>
      </c>
      <c r="I1133" s="3">
        <v>2</v>
      </c>
      <c r="J1133" s="8" t="s">
        <v>726</v>
      </c>
      <c r="K1133" s="8" t="s">
        <v>727</v>
      </c>
      <c r="L1133" s="8" t="s">
        <v>723</v>
      </c>
      <c r="M1133" s="1" t="s">
        <v>786</v>
      </c>
      <c r="N1133" s="8" t="s">
        <v>787</v>
      </c>
      <c r="O1133" s="6">
        <v>0</v>
      </c>
      <c r="P1133" s="6">
        <v>0</v>
      </c>
      <c r="Q1133" s="6">
        <v>0</v>
      </c>
      <c r="R1133" s="6">
        <v>0</v>
      </c>
      <c r="S1133" s="6">
        <v>100</v>
      </c>
    </row>
    <row r="1134" spans="1:19" ht="15" x14ac:dyDescent="0.25">
      <c r="A1134" s="7" t="s">
        <v>16</v>
      </c>
      <c r="B1134" s="7" t="s">
        <v>55</v>
      </c>
      <c r="C1134" s="7" t="s">
        <v>18</v>
      </c>
      <c r="D1134" s="3">
        <v>29435005008294</v>
      </c>
      <c r="E1134" s="8" t="s">
        <v>130</v>
      </c>
      <c r="F1134" s="8" t="s">
        <v>131</v>
      </c>
      <c r="G1134" s="8" t="s">
        <v>21</v>
      </c>
      <c r="H1134" s="8" t="s">
        <v>795</v>
      </c>
      <c r="I1134" s="3">
        <v>2</v>
      </c>
      <c r="J1134" s="8" t="s">
        <v>740</v>
      </c>
      <c r="K1134" s="8" t="s">
        <v>741</v>
      </c>
      <c r="L1134" s="8" t="s">
        <v>730</v>
      </c>
      <c r="M1134" s="1" t="s">
        <v>786</v>
      </c>
      <c r="N1134" s="8" t="s">
        <v>787</v>
      </c>
      <c r="O1134" s="6">
        <v>0</v>
      </c>
      <c r="P1134" s="6">
        <v>0</v>
      </c>
      <c r="Q1134" s="6">
        <v>0</v>
      </c>
      <c r="R1134" s="6">
        <v>0</v>
      </c>
      <c r="S1134" s="6">
        <v>150</v>
      </c>
    </row>
    <row r="1135" spans="1:19" ht="15" x14ac:dyDescent="0.25">
      <c r="A1135" s="7" t="s">
        <v>16</v>
      </c>
      <c r="B1135" s="7" t="s">
        <v>55</v>
      </c>
      <c r="C1135" s="7" t="s">
        <v>18</v>
      </c>
      <c r="D1135" s="3">
        <v>29435005008294</v>
      </c>
      <c r="E1135" s="8" t="s">
        <v>130</v>
      </c>
      <c r="F1135" s="8" t="s">
        <v>131</v>
      </c>
      <c r="G1135" s="8" t="s">
        <v>21</v>
      </c>
      <c r="H1135" s="8" t="s">
        <v>795</v>
      </c>
      <c r="I1135" s="3">
        <v>2</v>
      </c>
      <c r="J1135" s="8" t="s">
        <v>724</v>
      </c>
      <c r="K1135" s="8" t="s">
        <v>725</v>
      </c>
      <c r="L1135" s="8" t="s">
        <v>723</v>
      </c>
      <c r="M1135" s="1" t="s">
        <v>786</v>
      </c>
      <c r="N1135" s="8" t="s">
        <v>787</v>
      </c>
      <c r="O1135" s="6">
        <v>0</v>
      </c>
      <c r="P1135" s="6">
        <v>0</v>
      </c>
      <c r="Q1135" s="6">
        <v>0</v>
      </c>
      <c r="R1135" s="6">
        <v>0</v>
      </c>
      <c r="S1135" s="6">
        <v>150</v>
      </c>
    </row>
    <row r="1136" spans="1:19" ht="15" x14ac:dyDescent="0.25">
      <c r="A1136" s="7" t="s">
        <v>16</v>
      </c>
      <c r="B1136" s="7" t="s">
        <v>55</v>
      </c>
      <c r="C1136" s="7" t="s">
        <v>18</v>
      </c>
      <c r="D1136" s="3">
        <v>24082016000159</v>
      </c>
      <c r="E1136" s="8" t="s">
        <v>181</v>
      </c>
      <c r="F1136" s="8" t="s">
        <v>182</v>
      </c>
      <c r="G1136" s="8" t="s">
        <v>21</v>
      </c>
      <c r="H1136" s="8" t="s">
        <v>795</v>
      </c>
      <c r="I1136" s="3">
        <v>2</v>
      </c>
      <c r="J1136" s="8" t="s">
        <v>728</v>
      </c>
      <c r="K1136" s="8" t="s">
        <v>729</v>
      </c>
      <c r="L1136" s="8" t="s">
        <v>730</v>
      </c>
      <c r="M1136" s="1" t="s">
        <v>786</v>
      </c>
      <c r="N1136" s="8" t="s">
        <v>787</v>
      </c>
      <c r="O1136" s="6">
        <v>0</v>
      </c>
      <c r="P1136" s="6">
        <v>0</v>
      </c>
      <c r="Q1136" s="6">
        <v>0</v>
      </c>
      <c r="R1136" s="6">
        <v>0</v>
      </c>
      <c r="S1136" s="6">
        <v>2000</v>
      </c>
    </row>
    <row r="1137" spans="1:19" ht="15" x14ac:dyDescent="0.25">
      <c r="A1137" s="7" t="s">
        <v>16</v>
      </c>
      <c r="B1137" s="7" t="s">
        <v>55</v>
      </c>
      <c r="C1137" s="7" t="s">
        <v>18</v>
      </c>
      <c r="D1137" s="3">
        <v>24082016000159</v>
      </c>
      <c r="E1137" s="8" t="s">
        <v>181</v>
      </c>
      <c r="F1137" s="8" t="s">
        <v>182</v>
      </c>
      <c r="G1137" s="8" t="s">
        <v>21</v>
      </c>
      <c r="H1137" s="8" t="s">
        <v>795</v>
      </c>
      <c r="I1137" s="3">
        <v>2</v>
      </c>
      <c r="J1137" s="8" t="s">
        <v>726</v>
      </c>
      <c r="K1137" s="8" t="s">
        <v>727</v>
      </c>
      <c r="L1137" s="8" t="s">
        <v>723</v>
      </c>
      <c r="M1137" s="1" t="s">
        <v>786</v>
      </c>
      <c r="N1137" s="8" t="s">
        <v>787</v>
      </c>
      <c r="O1137" s="6">
        <v>0</v>
      </c>
      <c r="P1137" s="6">
        <v>0</v>
      </c>
      <c r="Q1137" s="6">
        <v>0</v>
      </c>
      <c r="R1137" s="6">
        <v>0</v>
      </c>
      <c r="S1137" s="6">
        <v>2000</v>
      </c>
    </row>
    <row r="1138" spans="1:19" ht="15" x14ac:dyDescent="0.25">
      <c r="A1138" s="7" t="s">
        <v>16</v>
      </c>
      <c r="B1138" s="7" t="s">
        <v>55</v>
      </c>
      <c r="C1138" s="7" t="s">
        <v>18</v>
      </c>
      <c r="D1138" s="3">
        <v>46374500009060</v>
      </c>
      <c r="E1138" s="8" t="s">
        <v>186</v>
      </c>
      <c r="F1138" s="8" t="s">
        <v>143</v>
      </c>
      <c r="G1138" s="8" t="s">
        <v>21</v>
      </c>
      <c r="H1138" s="8" t="s">
        <v>795</v>
      </c>
      <c r="I1138" s="3">
        <v>2</v>
      </c>
      <c r="J1138" s="8" t="s">
        <v>728</v>
      </c>
      <c r="K1138" s="8" t="s">
        <v>729</v>
      </c>
      <c r="L1138" s="8" t="s">
        <v>730</v>
      </c>
      <c r="M1138" s="1" t="s">
        <v>786</v>
      </c>
      <c r="N1138" s="8" t="s">
        <v>787</v>
      </c>
      <c r="O1138" s="6">
        <v>0</v>
      </c>
      <c r="P1138" s="6">
        <v>0</v>
      </c>
      <c r="Q1138" s="6">
        <v>0</v>
      </c>
      <c r="R1138" s="6">
        <v>0</v>
      </c>
      <c r="S1138" s="6">
        <v>300</v>
      </c>
    </row>
    <row r="1139" spans="1:19" ht="15" x14ac:dyDescent="0.25">
      <c r="A1139" s="7" t="s">
        <v>16</v>
      </c>
      <c r="B1139" s="7" t="s">
        <v>55</v>
      </c>
      <c r="C1139" s="7" t="s">
        <v>18</v>
      </c>
      <c r="D1139" s="3">
        <v>46374500009060</v>
      </c>
      <c r="E1139" s="8" t="s">
        <v>186</v>
      </c>
      <c r="F1139" s="8" t="s">
        <v>143</v>
      </c>
      <c r="G1139" s="8" t="s">
        <v>21</v>
      </c>
      <c r="H1139" s="8" t="s">
        <v>795</v>
      </c>
      <c r="I1139" s="3">
        <v>2</v>
      </c>
      <c r="J1139" s="8" t="s">
        <v>726</v>
      </c>
      <c r="K1139" s="8" t="s">
        <v>727</v>
      </c>
      <c r="L1139" s="8" t="s">
        <v>723</v>
      </c>
      <c r="M1139" s="1" t="s">
        <v>786</v>
      </c>
      <c r="N1139" s="8" t="s">
        <v>787</v>
      </c>
      <c r="O1139" s="6">
        <v>0</v>
      </c>
      <c r="P1139" s="6">
        <v>0</v>
      </c>
      <c r="Q1139" s="6">
        <v>0</v>
      </c>
      <c r="R1139" s="6">
        <v>0</v>
      </c>
      <c r="S1139" s="6">
        <v>300</v>
      </c>
    </row>
    <row r="1140" spans="1:19" ht="15" x14ac:dyDescent="0.25">
      <c r="A1140" s="7" t="s">
        <v>16</v>
      </c>
      <c r="B1140" s="7" t="s">
        <v>55</v>
      </c>
      <c r="C1140" s="7" t="s">
        <v>18</v>
      </c>
      <c r="D1140" s="3">
        <v>44803922000293</v>
      </c>
      <c r="E1140" s="8" t="s">
        <v>142</v>
      </c>
      <c r="F1140" s="8" t="s">
        <v>143</v>
      </c>
      <c r="G1140" s="8" t="s">
        <v>21</v>
      </c>
      <c r="H1140" s="8" t="s">
        <v>795</v>
      </c>
      <c r="I1140" s="3">
        <v>2</v>
      </c>
      <c r="J1140" s="8" t="s">
        <v>728</v>
      </c>
      <c r="K1140" s="8" t="s">
        <v>729</v>
      </c>
      <c r="L1140" s="8" t="s">
        <v>730</v>
      </c>
      <c r="M1140" s="1" t="s">
        <v>786</v>
      </c>
      <c r="N1140" s="8" t="s">
        <v>787</v>
      </c>
      <c r="O1140" s="6">
        <v>0</v>
      </c>
      <c r="P1140" s="6">
        <v>0</v>
      </c>
      <c r="Q1140" s="6">
        <v>0</v>
      </c>
      <c r="R1140" s="6">
        <v>10</v>
      </c>
      <c r="S1140" s="6">
        <v>0</v>
      </c>
    </row>
    <row r="1141" spans="1:19" ht="15" x14ac:dyDescent="0.25">
      <c r="A1141" s="7" t="s">
        <v>16</v>
      </c>
      <c r="B1141" s="7" t="s">
        <v>55</v>
      </c>
      <c r="C1141" s="7" t="s">
        <v>18</v>
      </c>
      <c r="D1141" s="3">
        <v>44803922000293</v>
      </c>
      <c r="E1141" s="8" t="s">
        <v>142</v>
      </c>
      <c r="F1141" s="8" t="s">
        <v>143</v>
      </c>
      <c r="G1141" s="8" t="s">
        <v>21</v>
      </c>
      <c r="H1141" s="8" t="s">
        <v>795</v>
      </c>
      <c r="I1141" s="3">
        <v>2</v>
      </c>
      <c r="J1141" s="8" t="s">
        <v>726</v>
      </c>
      <c r="K1141" s="8" t="s">
        <v>727</v>
      </c>
      <c r="L1141" s="8" t="s">
        <v>723</v>
      </c>
      <c r="M1141" s="1" t="s">
        <v>786</v>
      </c>
      <c r="N1141" s="8" t="s">
        <v>787</v>
      </c>
      <c r="O1141" s="6">
        <v>0</v>
      </c>
      <c r="P1141" s="6">
        <v>0</v>
      </c>
      <c r="Q1141" s="6">
        <v>0</v>
      </c>
      <c r="R1141" s="6">
        <v>0</v>
      </c>
      <c r="S1141" s="6">
        <v>0</v>
      </c>
    </row>
    <row r="1142" spans="1:19" ht="15" x14ac:dyDescent="0.25">
      <c r="A1142" s="7" t="s">
        <v>16</v>
      </c>
      <c r="B1142" s="7" t="s">
        <v>55</v>
      </c>
      <c r="C1142" s="7" t="s">
        <v>18</v>
      </c>
      <c r="D1142" s="3">
        <v>840048000450</v>
      </c>
      <c r="E1142" s="8" t="s">
        <v>106</v>
      </c>
      <c r="F1142" s="8" t="s">
        <v>107</v>
      </c>
      <c r="G1142" s="8" t="s">
        <v>21</v>
      </c>
      <c r="H1142" s="8" t="s">
        <v>795</v>
      </c>
      <c r="I1142" s="3">
        <v>2</v>
      </c>
      <c r="J1142" s="8" t="s">
        <v>728</v>
      </c>
      <c r="K1142" s="8" t="s">
        <v>729</v>
      </c>
      <c r="L1142" s="8" t="s">
        <v>730</v>
      </c>
      <c r="M1142" s="1" t="s">
        <v>786</v>
      </c>
      <c r="N1142" s="8" t="s">
        <v>787</v>
      </c>
      <c r="O1142" s="6">
        <v>0</v>
      </c>
      <c r="P1142" s="6">
        <v>0</v>
      </c>
      <c r="Q1142" s="6">
        <v>0</v>
      </c>
      <c r="R1142" s="6">
        <v>0</v>
      </c>
      <c r="S1142" s="6">
        <v>5</v>
      </c>
    </row>
    <row r="1143" spans="1:19" ht="15" x14ac:dyDescent="0.25">
      <c r="A1143" s="7" t="s">
        <v>16</v>
      </c>
      <c r="B1143" s="7" t="s">
        <v>55</v>
      </c>
      <c r="C1143" s="7" t="s">
        <v>18</v>
      </c>
      <c r="D1143" s="3">
        <v>840048000450</v>
      </c>
      <c r="E1143" s="8" t="s">
        <v>106</v>
      </c>
      <c r="F1143" s="8" t="s">
        <v>107</v>
      </c>
      <c r="G1143" s="8" t="s">
        <v>21</v>
      </c>
      <c r="H1143" s="8" t="s">
        <v>795</v>
      </c>
      <c r="I1143" s="3">
        <v>2</v>
      </c>
      <c r="J1143" s="8" t="s">
        <v>726</v>
      </c>
      <c r="K1143" s="8" t="s">
        <v>727</v>
      </c>
      <c r="L1143" s="8" t="s">
        <v>723</v>
      </c>
      <c r="M1143" s="1" t="s">
        <v>786</v>
      </c>
      <c r="N1143" s="8" t="s">
        <v>787</v>
      </c>
      <c r="O1143" s="6">
        <v>0</v>
      </c>
      <c r="P1143" s="6">
        <v>0</v>
      </c>
      <c r="Q1143" s="6">
        <v>0</v>
      </c>
      <c r="R1143" s="6">
        <v>0</v>
      </c>
      <c r="S1143" s="6">
        <v>5</v>
      </c>
    </row>
    <row r="1144" spans="1:19" ht="15" x14ac:dyDescent="0.25">
      <c r="A1144" s="7" t="s">
        <v>16</v>
      </c>
      <c r="B1144" s="7" t="s">
        <v>55</v>
      </c>
      <c r="C1144" s="7" t="s">
        <v>18</v>
      </c>
      <c r="D1144" s="3">
        <v>57722118000140</v>
      </c>
      <c r="E1144" s="8" t="s">
        <v>188</v>
      </c>
      <c r="F1144" s="8" t="s">
        <v>109</v>
      </c>
      <c r="G1144" s="8" t="s">
        <v>21</v>
      </c>
      <c r="H1144" s="8" t="s">
        <v>795</v>
      </c>
      <c r="I1144" s="3">
        <v>2</v>
      </c>
      <c r="J1144" s="8" t="s">
        <v>728</v>
      </c>
      <c r="K1144" s="8" t="s">
        <v>729</v>
      </c>
      <c r="L1144" s="8" t="s">
        <v>730</v>
      </c>
      <c r="M1144" s="1" t="s">
        <v>786</v>
      </c>
      <c r="N1144" s="8" t="s">
        <v>787</v>
      </c>
      <c r="O1144" s="6">
        <v>0</v>
      </c>
      <c r="P1144" s="6">
        <v>0</v>
      </c>
      <c r="Q1144" s="6">
        <v>0</v>
      </c>
      <c r="R1144" s="6">
        <v>0</v>
      </c>
      <c r="S1144" s="6">
        <v>150</v>
      </c>
    </row>
    <row r="1145" spans="1:19" ht="15" x14ac:dyDescent="0.25">
      <c r="A1145" s="7" t="s">
        <v>16</v>
      </c>
      <c r="B1145" s="7" t="s">
        <v>55</v>
      </c>
      <c r="C1145" s="7" t="s">
        <v>18</v>
      </c>
      <c r="D1145" s="3">
        <v>57722118000140</v>
      </c>
      <c r="E1145" s="8" t="s">
        <v>188</v>
      </c>
      <c r="F1145" s="8" t="s">
        <v>109</v>
      </c>
      <c r="G1145" s="8" t="s">
        <v>21</v>
      </c>
      <c r="H1145" s="8" t="s">
        <v>795</v>
      </c>
      <c r="I1145" s="3">
        <v>2</v>
      </c>
      <c r="J1145" s="8" t="s">
        <v>726</v>
      </c>
      <c r="K1145" s="8" t="s">
        <v>727</v>
      </c>
      <c r="L1145" s="8" t="s">
        <v>723</v>
      </c>
      <c r="M1145" s="1" t="s">
        <v>786</v>
      </c>
      <c r="N1145" s="8" t="s">
        <v>787</v>
      </c>
      <c r="O1145" s="6">
        <v>0</v>
      </c>
      <c r="P1145" s="6">
        <v>0</v>
      </c>
      <c r="Q1145" s="6">
        <v>0</v>
      </c>
      <c r="R1145" s="6">
        <v>0</v>
      </c>
      <c r="S1145" s="6">
        <v>150</v>
      </c>
    </row>
    <row r="1146" spans="1:19" ht="15" x14ac:dyDescent="0.25">
      <c r="A1146" s="7" t="s">
        <v>16</v>
      </c>
      <c r="B1146" s="7" t="s">
        <v>55</v>
      </c>
      <c r="C1146" s="7" t="s">
        <v>18</v>
      </c>
      <c r="D1146" s="3">
        <v>1613433006892</v>
      </c>
      <c r="E1146" s="8" t="s">
        <v>108</v>
      </c>
      <c r="F1146" s="8" t="s">
        <v>109</v>
      </c>
      <c r="G1146" s="8" t="s">
        <v>21</v>
      </c>
      <c r="H1146" s="8" t="s">
        <v>795</v>
      </c>
      <c r="I1146" s="3">
        <v>2</v>
      </c>
      <c r="J1146" s="8" t="s">
        <v>728</v>
      </c>
      <c r="K1146" s="8" t="s">
        <v>729</v>
      </c>
      <c r="L1146" s="8" t="s">
        <v>730</v>
      </c>
      <c r="M1146" s="1" t="s">
        <v>786</v>
      </c>
      <c r="N1146" s="8" t="s">
        <v>787</v>
      </c>
      <c r="O1146" s="6">
        <v>0</v>
      </c>
      <c r="P1146" s="6">
        <v>0</v>
      </c>
      <c r="Q1146" s="6">
        <v>0</v>
      </c>
      <c r="R1146" s="6">
        <v>0</v>
      </c>
      <c r="S1146" s="6">
        <v>450</v>
      </c>
    </row>
    <row r="1147" spans="1:19" ht="15" x14ac:dyDescent="0.25">
      <c r="A1147" s="7" t="s">
        <v>16</v>
      </c>
      <c r="B1147" s="7" t="s">
        <v>55</v>
      </c>
      <c r="C1147" s="7" t="s">
        <v>18</v>
      </c>
      <c r="D1147" s="3">
        <v>1613433006892</v>
      </c>
      <c r="E1147" s="8" t="s">
        <v>108</v>
      </c>
      <c r="F1147" s="8" t="s">
        <v>109</v>
      </c>
      <c r="G1147" s="8" t="s">
        <v>21</v>
      </c>
      <c r="H1147" s="8" t="s">
        <v>795</v>
      </c>
      <c r="I1147" s="3">
        <v>2</v>
      </c>
      <c r="J1147" s="8" t="s">
        <v>726</v>
      </c>
      <c r="K1147" s="8" t="s">
        <v>727</v>
      </c>
      <c r="L1147" s="8" t="s">
        <v>723</v>
      </c>
      <c r="M1147" s="1" t="s">
        <v>786</v>
      </c>
      <c r="N1147" s="8" t="s">
        <v>787</v>
      </c>
      <c r="O1147" s="6">
        <v>0</v>
      </c>
      <c r="P1147" s="6">
        <v>0</v>
      </c>
      <c r="Q1147" s="6">
        <v>0</v>
      </c>
      <c r="R1147" s="6">
        <v>0</v>
      </c>
      <c r="S1147" s="6">
        <v>450</v>
      </c>
    </row>
    <row r="1148" spans="1:19" ht="15" x14ac:dyDescent="0.25">
      <c r="A1148" s="7" t="s">
        <v>16</v>
      </c>
      <c r="B1148" s="7" t="s">
        <v>55</v>
      </c>
      <c r="C1148" s="7" t="s">
        <v>18</v>
      </c>
      <c r="D1148" s="3">
        <v>45232246000550</v>
      </c>
      <c r="E1148" s="8" t="s">
        <v>147</v>
      </c>
      <c r="F1148" s="8" t="s">
        <v>109</v>
      </c>
      <c r="G1148" s="8" t="s">
        <v>21</v>
      </c>
      <c r="H1148" s="8" t="s">
        <v>795</v>
      </c>
      <c r="I1148" s="3">
        <v>2</v>
      </c>
      <c r="J1148" s="8" t="s">
        <v>728</v>
      </c>
      <c r="K1148" s="8" t="s">
        <v>729</v>
      </c>
      <c r="L1148" s="8" t="s">
        <v>730</v>
      </c>
      <c r="M1148" s="1" t="s">
        <v>786</v>
      </c>
      <c r="N1148" s="8" t="s">
        <v>787</v>
      </c>
      <c r="O1148" s="6">
        <v>0</v>
      </c>
      <c r="P1148" s="6">
        <v>0</v>
      </c>
      <c r="Q1148" s="6">
        <v>0</v>
      </c>
      <c r="R1148" s="6">
        <v>51</v>
      </c>
      <c r="S1148" s="6">
        <v>60</v>
      </c>
    </row>
    <row r="1149" spans="1:19" ht="15" x14ac:dyDescent="0.25">
      <c r="A1149" s="7" t="s">
        <v>16</v>
      </c>
      <c r="B1149" s="7" t="s">
        <v>55</v>
      </c>
      <c r="C1149" s="7" t="s">
        <v>18</v>
      </c>
      <c r="D1149" s="3">
        <v>45232246000550</v>
      </c>
      <c r="E1149" s="8" t="s">
        <v>147</v>
      </c>
      <c r="F1149" s="8" t="s">
        <v>109</v>
      </c>
      <c r="G1149" s="8" t="s">
        <v>21</v>
      </c>
      <c r="H1149" s="8" t="s">
        <v>795</v>
      </c>
      <c r="I1149" s="3">
        <v>2</v>
      </c>
      <c r="J1149" s="8" t="s">
        <v>726</v>
      </c>
      <c r="K1149" s="8" t="s">
        <v>727</v>
      </c>
      <c r="L1149" s="8" t="s">
        <v>723</v>
      </c>
      <c r="M1149" s="1" t="s">
        <v>786</v>
      </c>
      <c r="N1149" s="8" t="s">
        <v>787</v>
      </c>
      <c r="O1149" s="6">
        <v>0</v>
      </c>
      <c r="P1149" s="6">
        <v>0</v>
      </c>
      <c r="Q1149" s="6">
        <v>0</v>
      </c>
      <c r="R1149" s="6">
        <v>0</v>
      </c>
      <c r="S1149" s="6">
        <v>60</v>
      </c>
    </row>
    <row r="1150" spans="1:19" ht="15" x14ac:dyDescent="0.25">
      <c r="A1150" s="7" t="s">
        <v>16</v>
      </c>
      <c r="B1150" s="7" t="s">
        <v>55</v>
      </c>
      <c r="C1150" s="7" t="s">
        <v>18</v>
      </c>
      <c r="D1150" s="3">
        <v>44663631000590</v>
      </c>
      <c r="E1150" s="8" t="s">
        <v>140</v>
      </c>
      <c r="F1150" s="8" t="s">
        <v>141</v>
      </c>
      <c r="G1150" s="8" t="s">
        <v>21</v>
      </c>
      <c r="H1150" s="8" t="s">
        <v>795</v>
      </c>
      <c r="I1150" s="3">
        <v>2</v>
      </c>
      <c r="J1150" s="8" t="s">
        <v>728</v>
      </c>
      <c r="K1150" s="8" t="s">
        <v>729</v>
      </c>
      <c r="L1150" s="8" t="s">
        <v>730</v>
      </c>
      <c r="M1150" s="1" t="s">
        <v>786</v>
      </c>
      <c r="N1150" s="8" t="s">
        <v>787</v>
      </c>
      <c r="O1150" s="6">
        <v>0</v>
      </c>
      <c r="P1150" s="6">
        <v>0</v>
      </c>
      <c r="Q1150" s="6">
        <v>0</v>
      </c>
      <c r="R1150" s="6">
        <v>32</v>
      </c>
      <c r="S1150" s="6">
        <v>165</v>
      </c>
    </row>
    <row r="1151" spans="1:19" ht="15" x14ac:dyDescent="0.25">
      <c r="A1151" s="7" t="s">
        <v>16</v>
      </c>
      <c r="B1151" s="7" t="s">
        <v>55</v>
      </c>
      <c r="C1151" s="7" t="s">
        <v>18</v>
      </c>
      <c r="D1151" s="3">
        <v>44663631000590</v>
      </c>
      <c r="E1151" s="8" t="s">
        <v>140</v>
      </c>
      <c r="F1151" s="8" t="s">
        <v>141</v>
      </c>
      <c r="G1151" s="8" t="s">
        <v>21</v>
      </c>
      <c r="H1151" s="8" t="s">
        <v>795</v>
      </c>
      <c r="I1151" s="3">
        <v>2</v>
      </c>
      <c r="J1151" s="8" t="s">
        <v>726</v>
      </c>
      <c r="K1151" s="8" t="s">
        <v>727</v>
      </c>
      <c r="L1151" s="8" t="s">
        <v>723</v>
      </c>
      <c r="M1151" s="1" t="s">
        <v>786</v>
      </c>
      <c r="N1151" s="8" t="s">
        <v>787</v>
      </c>
      <c r="O1151" s="6">
        <v>0</v>
      </c>
      <c r="P1151" s="6">
        <v>0</v>
      </c>
      <c r="Q1151" s="6">
        <v>0</v>
      </c>
      <c r="R1151" s="6">
        <v>0</v>
      </c>
      <c r="S1151" s="6">
        <v>165</v>
      </c>
    </row>
    <row r="1152" spans="1:19" ht="15" x14ac:dyDescent="0.25">
      <c r="A1152" s="7" t="s">
        <v>16</v>
      </c>
      <c r="B1152" s="7" t="s">
        <v>55</v>
      </c>
      <c r="C1152" s="7" t="s">
        <v>18</v>
      </c>
      <c r="D1152" s="3">
        <v>13718999001041</v>
      </c>
      <c r="E1152" s="8" t="s">
        <v>124</v>
      </c>
      <c r="F1152" s="8" t="s">
        <v>115</v>
      </c>
      <c r="G1152" s="8" t="s">
        <v>21</v>
      </c>
      <c r="H1152" s="8" t="s">
        <v>795</v>
      </c>
      <c r="I1152" s="3">
        <v>2</v>
      </c>
      <c r="J1152" s="8" t="s">
        <v>770</v>
      </c>
      <c r="K1152" s="8" t="s">
        <v>771</v>
      </c>
      <c r="L1152" s="8" t="s">
        <v>730</v>
      </c>
      <c r="M1152" s="1" t="s">
        <v>786</v>
      </c>
      <c r="N1152" s="8" t="s">
        <v>787</v>
      </c>
      <c r="O1152" s="6">
        <v>0</v>
      </c>
      <c r="P1152" s="6">
        <v>0</v>
      </c>
      <c r="Q1152" s="6">
        <v>0</v>
      </c>
      <c r="R1152" s="6">
        <v>4</v>
      </c>
      <c r="S1152" s="6">
        <v>0</v>
      </c>
    </row>
    <row r="1153" spans="1:19" ht="15" x14ac:dyDescent="0.25">
      <c r="A1153" s="7" t="s">
        <v>16</v>
      </c>
      <c r="B1153" s="7" t="s">
        <v>55</v>
      </c>
      <c r="C1153" s="7" t="s">
        <v>18</v>
      </c>
      <c r="D1153" s="3">
        <v>13718999001041</v>
      </c>
      <c r="E1153" s="8" t="s">
        <v>124</v>
      </c>
      <c r="F1153" s="8" t="s">
        <v>115</v>
      </c>
      <c r="G1153" s="8" t="s">
        <v>21</v>
      </c>
      <c r="H1153" s="8" t="s">
        <v>795</v>
      </c>
      <c r="I1153" s="3">
        <v>2</v>
      </c>
      <c r="J1153" s="8" t="s">
        <v>724</v>
      </c>
      <c r="K1153" s="8" t="s">
        <v>725</v>
      </c>
      <c r="L1153" s="8" t="s">
        <v>723</v>
      </c>
      <c r="M1153" s="1" t="s">
        <v>786</v>
      </c>
      <c r="N1153" s="8" t="s">
        <v>787</v>
      </c>
      <c r="O1153" s="6">
        <v>0</v>
      </c>
      <c r="P1153" s="6">
        <v>0</v>
      </c>
      <c r="Q1153" s="6">
        <v>0</v>
      </c>
      <c r="R1153" s="6">
        <v>0</v>
      </c>
      <c r="S1153" s="6">
        <v>0</v>
      </c>
    </row>
    <row r="1154" spans="1:19" ht="15" x14ac:dyDescent="0.25">
      <c r="A1154" s="7" t="s">
        <v>16</v>
      </c>
      <c r="B1154" s="7" t="s">
        <v>55</v>
      </c>
      <c r="C1154" s="7" t="s">
        <v>18</v>
      </c>
      <c r="D1154" s="3">
        <v>6047087007907</v>
      </c>
      <c r="E1154" s="8" t="s">
        <v>177</v>
      </c>
      <c r="F1154" s="8" t="s">
        <v>115</v>
      </c>
      <c r="G1154" s="8" t="s">
        <v>21</v>
      </c>
      <c r="H1154" s="8" t="s">
        <v>795</v>
      </c>
      <c r="I1154" s="3">
        <v>2</v>
      </c>
      <c r="J1154" s="8" t="s">
        <v>770</v>
      </c>
      <c r="K1154" s="8" t="s">
        <v>771</v>
      </c>
      <c r="L1154" s="8" t="s">
        <v>730</v>
      </c>
      <c r="M1154" s="1" t="s">
        <v>786</v>
      </c>
      <c r="N1154" s="8" t="s">
        <v>787</v>
      </c>
      <c r="O1154" s="6">
        <v>0</v>
      </c>
      <c r="P1154" s="6">
        <v>0</v>
      </c>
      <c r="Q1154" s="6">
        <v>0</v>
      </c>
      <c r="R1154" s="6">
        <v>0</v>
      </c>
      <c r="S1154" s="6">
        <v>0</v>
      </c>
    </row>
    <row r="1155" spans="1:19" ht="15" x14ac:dyDescent="0.25">
      <c r="A1155" s="7" t="s">
        <v>16</v>
      </c>
      <c r="B1155" s="7" t="s">
        <v>55</v>
      </c>
      <c r="C1155" s="7" t="s">
        <v>18</v>
      </c>
      <c r="D1155" s="3">
        <v>6047087007907</v>
      </c>
      <c r="E1155" s="8" t="s">
        <v>177</v>
      </c>
      <c r="F1155" s="8" t="s">
        <v>115</v>
      </c>
      <c r="G1155" s="8" t="s">
        <v>21</v>
      </c>
      <c r="H1155" s="8" t="s">
        <v>795</v>
      </c>
      <c r="I1155" s="3">
        <v>2</v>
      </c>
      <c r="J1155" s="8" t="s">
        <v>724</v>
      </c>
      <c r="K1155" s="8" t="s">
        <v>725</v>
      </c>
      <c r="L1155" s="8" t="s">
        <v>723</v>
      </c>
      <c r="M1155" s="1" t="s">
        <v>786</v>
      </c>
      <c r="N1155" s="8" t="s">
        <v>787</v>
      </c>
      <c r="O1155" s="6">
        <v>0</v>
      </c>
      <c r="P1155" s="6">
        <v>0</v>
      </c>
      <c r="Q1155" s="6">
        <v>12</v>
      </c>
      <c r="R1155" s="6">
        <v>0</v>
      </c>
      <c r="S1155" s="6">
        <v>0</v>
      </c>
    </row>
    <row r="1156" spans="1:19" ht="15" x14ac:dyDescent="0.25">
      <c r="A1156" s="7" t="s">
        <v>16</v>
      </c>
      <c r="B1156" s="7" t="s">
        <v>55</v>
      </c>
      <c r="C1156" s="7" t="s">
        <v>18</v>
      </c>
      <c r="D1156" s="3">
        <v>6033403000113</v>
      </c>
      <c r="E1156" s="8" t="s">
        <v>114</v>
      </c>
      <c r="F1156" s="8" t="s">
        <v>115</v>
      </c>
      <c r="G1156" s="8" t="s">
        <v>21</v>
      </c>
      <c r="H1156" s="8" t="s">
        <v>795</v>
      </c>
      <c r="I1156" s="3">
        <v>2</v>
      </c>
      <c r="J1156" s="8" t="s">
        <v>740</v>
      </c>
      <c r="K1156" s="8" t="s">
        <v>741</v>
      </c>
      <c r="L1156" s="8" t="s">
        <v>730</v>
      </c>
      <c r="M1156" s="1" t="s">
        <v>786</v>
      </c>
      <c r="N1156" s="8" t="s">
        <v>787</v>
      </c>
      <c r="O1156" s="6">
        <v>0</v>
      </c>
      <c r="P1156" s="6">
        <v>0</v>
      </c>
      <c r="Q1156" s="6">
        <v>0</v>
      </c>
      <c r="R1156" s="6">
        <v>0</v>
      </c>
      <c r="S1156" s="6">
        <v>0</v>
      </c>
    </row>
    <row r="1157" spans="1:19" ht="15" x14ac:dyDescent="0.25">
      <c r="A1157" s="7" t="s">
        <v>16</v>
      </c>
      <c r="B1157" s="7" t="s">
        <v>55</v>
      </c>
      <c r="C1157" s="7" t="s">
        <v>18</v>
      </c>
      <c r="D1157" s="3">
        <v>6033403000113</v>
      </c>
      <c r="E1157" s="8" t="s">
        <v>114</v>
      </c>
      <c r="F1157" s="8" t="s">
        <v>115</v>
      </c>
      <c r="G1157" s="8" t="s">
        <v>21</v>
      </c>
      <c r="H1157" s="8" t="s">
        <v>795</v>
      </c>
      <c r="I1157" s="3">
        <v>2</v>
      </c>
      <c r="J1157" s="8" t="s">
        <v>724</v>
      </c>
      <c r="K1157" s="8" t="s">
        <v>725</v>
      </c>
      <c r="L1157" s="8" t="s">
        <v>723</v>
      </c>
      <c r="M1157" s="1" t="s">
        <v>786</v>
      </c>
      <c r="N1157" s="8" t="s">
        <v>787</v>
      </c>
      <c r="O1157" s="6">
        <v>0</v>
      </c>
      <c r="P1157" s="6">
        <v>2</v>
      </c>
      <c r="Q1157" s="6">
        <v>0</v>
      </c>
      <c r="R1157" s="6">
        <v>0</v>
      </c>
      <c r="S1157" s="6">
        <v>0</v>
      </c>
    </row>
    <row r="1158" spans="1:19" ht="15" x14ac:dyDescent="0.25">
      <c r="A1158" s="7" t="s">
        <v>16</v>
      </c>
      <c r="B1158" s="7" t="s">
        <v>55</v>
      </c>
      <c r="C1158" s="7" t="s">
        <v>18</v>
      </c>
      <c r="D1158" s="3">
        <v>18290268000170</v>
      </c>
      <c r="E1158" s="8" t="s">
        <v>180</v>
      </c>
      <c r="F1158" s="8" t="s">
        <v>129</v>
      </c>
      <c r="G1158" s="8" t="s">
        <v>21</v>
      </c>
      <c r="H1158" s="8" t="s">
        <v>795</v>
      </c>
      <c r="I1158" s="3">
        <v>2</v>
      </c>
      <c r="J1158" s="8" t="s">
        <v>770</v>
      </c>
      <c r="K1158" s="8" t="s">
        <v>771</v>
      </c>
      <c r="L1158" s="8" t="s">
        <v>730</v>
      </c>
      <c r="M1158" s="1" t="s">
        <v>786</v>
      </c>
      <c r="N1158" s="8" t="s">
        <v>787</v>
      </c>
      <c r="O1158" s="6">
        <v>0</v>
      </c>
      <c r="P1158" s="6">
        <v>0</v>
      </c>
      <c r="Q1158" s="6">
        <v>0</v>
      </c>
      <c r="R1158" s="6">
        <v>0</v>
      </c>
      <c r="S1158" s="6">
        <v>0</v>
      </c>
    </row>
    <row r="1159" spans="1:19" ht="15" x14ac:dyDescent="0.25">
      <c r="A1159" s="7" t="s">
        <v>16</v>
      </c>
      <c r="B1159" s="7" t="s">
        <v>55</v>
      </c>
      <c r="C1159" s="7" t="s">
        <v>18</v>
      </c>
      <c r="D1159" s="3">
        <v>18290268000170</v>
      </c>
      <c r="E1159" s="8" t="s">
        <v>180</v>
      </c>
      <c r="F1159" s="8" t="s">
        <v>129</v>
      </c>
      <c r="G1159" s="8" t="s">
        <v>21</v>
      </c>
      <c r="H1159" s="8" t="s">
        <v>795</v>
      </c>
      <c r="I1159" s="3">
        <v>2</v>
      </c>
      <c r="J1159" s="8" t="s">
        <v>724</v>
      </c>
      <c r="K1159" s="8" t="s">
        <v>725</v>
      </c>
      <c r="L1159" s="8" t="s">
        <v>723</v>
      </c>
      <c r="M1159" s="1" t="s">
        <v>786</v>
      </c>
      <c r="N1159" s="8" t="s">
        <v>787</v>
      </c>
      <c r="O1159" s="6">
        <v>0</v>
      </c>
      <c r="P1159" s="6">
        <v>0</v>
      </c>
      <c r="Q1159" s="6">
        <v>0</v>
      </c>
      <c r="R1159" s="6">
        <v>0</v>
      </c>
      <c r="S1159" s="6">
        <v>0</v>
      </c>
    </row>
    <row r="1160" spans="1:19" ht="15" x14ac:dyDescent="0.25">
      <c r="A1160" s="7" t="s">
        <v>16</v>
      </c>
      <c r="B1160" s="7" t="s">
        <v>55</v>
      </c>
      <c r="C1160" s="7" t="s">
        <v>18</v>
      </c>
      <c r="D1160" s="3">
        <v>10868295000176</v>
      </c>
      <c r="E1160" s="8" t="s">
        <v>179</v>
      </c>
      <c r="F1160" s="8" t="s">
        <v>129</v>
      </c>
      <c r="G1160" s="8" t="s">
        <v>21</v>
      </c>
      <c r="H1160" s="8" t="s">
        <v>795</v>
      </c>
      <c r="I1160" s="3">
        <v>2</v>
      </c>
      <c r="J1160" s="8" t="s">
        <v>770</v>
      </c>
      <c r="K1160" s="8" t="s">
        <v>771</v>
      </c>
      <c r="L1160" s="8" t="s">
        <v>730</v>
      </c>
      <c r="M1160" s="1" t="s">
        <v>786</v>
      </c>
      <c r="N1160" s="8" t="s">
        <v>787</v>
      </c>
      <c r="O1160" s="6">
        <v>0</v>
      </c>
      <c r="P1160" s="6">
        <v>0</v>
      </c>
      <c r="Q1160" s="6">
        <v>0</v>
      </c>
      <c r="R1160" s="6">
        <v>0</v>
      </c>
      <c r="S1160" s="6">
        <v>40</v>
      </c>
    </row>
    <row r="1161" spans="1:19" ht="15" x14ac:dyDescent="0.25">
      <c r="A1161" s="7" t="s">
        <v>16</v>
      </c>
      <c r="B1161" s="7" t="s">
        <v>55</v>
      </c>
      <c r="C1161" s="7" t="s">
        <v>18</v>
      </c>
      <c r="D1161" s="3">
        <v>10868295000176</v>
      </c>
      <c r="E1161" s="8" t="s">
        <v>179</v>
      </c>
      <c r="F1161" s="8" t="s">
        <v>129</v>
      </c>
      <c r="G1161" s="8" t="s">
        <v>21</v>
      </c>
      <c r="H1161" s="8" t="s">
        <v>795</v>
      </c>
      <c r="I1161" s="3">
        <v>2</v>
      </c>
      <c r="J1161" s="8" t="s">
        <v>724</v>
      </c>
      <c r="K1161" s="8" t="s">
        <v>725</v>
      </c>
      <c r="L1161" s="8" t="s">
        <v>723</v>
      </c>
      <c r="M1161" s="1" t="s">
        <v>786</v>
      </c>
      <c r="N1161" s="8" t="s">
        <v>787</v>
      </c>
      <c r="O1161" s="6">
        <v>0</v>
      </c>
      <c r="P1161" s="6">
        <v>0</v>
      </c>
      <c r="Q1161" s="6">
        <v>0</v>
      </c>
      <c r="R1161" s="6">
        <v>0</v>
      </c>
      <c r="S1161" s="6">
        <v>40</v>
      </c>
    </row>
    <row r="1162" spans="1:19" ht="15" x14ac:dyDescent="0.25">
      <c r="A1162" s="7" t="s">
        <v>16</v>
      </c>
      <c r="B1162" s="7" t="s">
        <v>55</v>
      </c>
      <c r="C1162" s="7" t="s">
        <v>18</v>
      </c>
      <c r="D1162" s="3">
        <v>58229691001070</v>
      </c>
      <c r="E1162" s="8" t="s">
        <v>171</v>
      </c>
      <c r="F1162" s="8" t="s">
        <v>129</v>
      </c>
      <c r="G1162" s="8" t="s">
        <v>21</v>
      </c>
      <c r="H1162" s="8" t="s">
        <v>795</v>
      </c>
      <c r="I1162" s="3">
        <v>2</v>
      </c>
      <c r="J1162" s="8" t="s">
        <v>770</v>
      </c>
      <c r="K1162" s="8" t="s">
        <v>771</v>
      </c>
      <c r="L1162" s="8" t="s">
        <v>730</v>
      </c>
      <c r="M1162" s="1" t="s">
        <v>786</v>
      </c>
      <c r="N1162" s="8" t="s">
        <v>787</v>
      </c>
      <c r="O1162" s="6">
        <v>0</v>
      </c>
      <c r="P1162" s="6">
        <v>0</v>
      </c>
      <c r="Q1162" s="6">
        <v>0</v>
      </c>
      <c r="R1162" s="6">
        <v>32</v>
      </c>
      <c r="S1162" s="6">
        <v>0</v>
      </c>
    </row>
    <row r="1163" spans="1:19" ht="15" x14ac:dyDescent="0.25">
      <c r="A1163" s="7" t="s">
        <v>16</v>
      </c>
      <c r="B1163" s="7" t="s">
        <v>55</v>
      </c>
      <c r="C1163" s="7" t="s">
        <v>18</v>
      </c>
      <c r="D1163" s="3">
        <v>58229691001070</v>
      </c>
      <c r="E1163" s="8" t="s">
        <v>171</v>
      </c>
      <c r="F1163" s="8" t="s">
        <v>129</v>
      </c>
      <c r="G1163" s="8" t="s">
        <v>21</v>
      </c>
      <c r="H1163" s="8" t="s">
        <v>795</v>
      </c>
      <c r="I1163" s="3">
        <v>2</v>
      </c>
      <c r="J1163" s="8" t="s">
        <v>724</v>
      </c>
      <c r="K1163" s="8" t="s">
        <v>725</v>
      </c>
      <c r="L1163" s="8" t="s">
        <v>723</v>
      </c>
      <c r="M1163" s="1" t="s">
        <v>786</v>
      </c>
      <c r="N1163" s="8" t="s">
        <v>787</v>
      </c>
      <c r="O1163" s="6">
        <v>0</v>
      </c>
      <c r="P1163" s="6">
        <v>0</v>
      </c>
      <c r="Q1163" s="6">
        <v>0</v>
      </c>
      <c r="R1163" s="6">
        <v>0</v>
      </c>
      <c r="S1163" s="6">
        <v>0</v>
      </c>
    </row>
    <row r="1164" spans="1:19" ht="15" x14ac:dyDescent="0.25">
      <c r="A1164" s="7" t="s">
        <v>16</v>
      </c>
      <c r="B1164" s="7" t="s">
        <v>55</v>
      </c>
      <c r="C1164" s="7" t="s">
        <v>18</v>
      </c>
      <c r="D1164" s="3">
        <v>43293604002120</v>
      </c>
      <c r="E1164" s="8" t="s">
        <v>133</v>
      </c>
      <c r="F1164" s="8" t="s">
        <v>134</v>
      </c>
      <c r="G1164" s="8" t="s">
        <v>21</v>
      </c>
      <c r="H1164" s="8" t="s">
        <v>795</v>
      </c>
      <c r="I1164" s="3">
        <v>2</v>
      </c>
      <c r="J1164" s="8" t="s">
        <v>770</v>
      </c>
      <c r="K1164" s="8" t="s">
        <v>771</v>
      </c>
      <c r="L1164" s="8" t="s">
        <v>730</v>
      </c>
      <c r="M1164" s="1" t="s">
        <v>786</v>
      </c>
      <c r="N1164" s="8" t="s">
        <v>787</v>
      </c>
      <c r="O1164" s="6">
        <v>0</v>
      </c>
      <c r="P1164" s="6">
        <v>0</v>
      </c>
      <c r="Q1164" s="6">
        <v>0</v>
      </c>
      <c r="R1164" s="6">
        <v>0</v>
      </c>
      <c r="S1164" s="6">
        <v>80</v>
      </c>
    </row>
    <row r="1165" spans="1:19" ht="15" x14ac:dyDescent="0.25">
      <c r="A1165" s="7" t="s">
        <v>16</v>
      </c>
      <c r="B1165" s="7" t="s">
        <v>55</v>
      </c>
      <c r="C1165" s="7" t="s">
        <v>18</v>
      </c>
      <c r="D1165" s="3">
        <v>43293604002120</v>
      </c>
      <c r="E1165" s="8" t="s">
        <v>133</v>
      </c>
      <c r="F1165" s="8" t="s">
        <v>134</v>
      </c>
      <c r="G1165" s="8" t="s">
        <v>21</v>
      </c>
      <c r="H1165" s="8" t="s">
        <v>795</v>
      </c>
      <c r="I1165" s="3">
        <v>2</v>
      </c>
      <c r="J1165" s="8" t="s">
        <v>724</v>
      </c>
      <c r="K1165" s="8" t="s">
        <v>725</v>
      </c>
      <c r="L1165" s="8" t="s">
        <v>723</v>
      </c>
      <c r="M1165" s="1" t="s">
        <v>786</v>
      </c>
      <c r="N1165" s="8" t="s">
        <v>787</v>
      </c>
      <c r="O1165" s="6">
        <v>0</v>
      </c>
      <c r="P1165" s="6">
        <v>0</v>
      </c>
      <c r="Q1165" s="6">
        <v>0</v>
      </c>
      <c r="R1165" s="6">
        <v>0</v>
      </c>
      <c r="S1165" s="6">
        <v>80</v>
      </c>
    </row>
    <row r="1166" spans="1:19" ht="15" x14ac:dyDescent="0.25">
      <c r="A1166" s="7" t="s">
        <v>16</v>
      </c>
      <c r="B1166" s="7" t="s">
        <v>55</v>
      </c>
      <c r="C1166" s="7" t="s">
        <v>18</v>
      </c>
      <c r="D1166" s="3">
        <v>45359213000576</v>
      </c>
      <c r="E1166" s="8" t="s">
        <v>148</v>
      </c>
      <c r="F1166" s="8" t="s">
        <v>149</v>
      </c>
      <c r="G1166" s="8" t="s">
        <v>21</v>
      </c>
      <c r="H1166" s="8" t="s">
        <v>795</v>
      </c>
      <c r="I1166" s="3">
        <v>2</v>
      </c>
      <c r="J1166" s="8" t="s">
        <v>728</v>
      </c>
      <c r="K1166" s="8" t="s">
        <v>729</v>
      </c>
      <c r="L1166" s="8" t="s">
        <v>730</v>
      </c>
      <c r="M1166" s="1" t="s">
        <v>786</v>
      </c>
      <c r="N1166" s="8" t="s">
        <v>787</v>
      </c>
      <c r="O1166" s="6">
        <v>0</v>
      </c>
      <c r="P1166" s="6">
        <v>0</v>
      </c>
      <c r="Q1166" s="6">
        <v>0</v>
      </c>
      <c r="R1166" s="6">
        <v>40</v>
      </c>
      <c r="S1166" s="6">
        <v>0</v>
      </c>
    </row>
    <row r="1167" spans="1:19" ht="15" x14ac:dyDescent="0.25">
      <c r="A1167" s="7" t="s">
        <v>16</v>
      </c>
      <c r="B1167" s="7" t="s">
        <v>55</v>
      </c>
      <c r="C1167" s="7" t="s">
        <v>18</v>
      </c>
      <c r="D1167" s="3">
        <v>45359213000576</v>
      </c>
      <c r="E1167" s="8" t="s">
        <v>148</v>
      </c>
      <c r="F1167" s="8" t="s">
        <v>149</v>
      </c>
      <c r="G1167" s="8" t="s">
        <v>21</v>
      </c>
      <c r="H1167" s="8" t="s">
        <v>795</v>
      </c>
      <c r="I1167" s="3">
        <v>2</v>
      </c>
      <c r="J1167" s="8" t="s">
        <v>726</v>
      </c>
      <c r="K1167" s="8" t="s">
        <v>727</v>
      </c>
      <c r="L1167" s="8" t="s">
        <v>723</v>
      </c>
      <c r="M1167" s="1" t="s">
        <v>786</v>
      </c>
      <c r="N1167" s="8" t="s">
        <v>787</v>
      </c>
      <c r="O1167" s="6">
        <v>0</v>
      </c>
      <c r="P1167" s="6">
        <v>0</v>
      </c>
      <c r="Q1167" s="6">
        <v>0</v>
      </c>
      <c r="R1167" s="6">
        <v>0</v>
      </c>
      <c r="S1167" s="6">
        <v>0</v>
      </c>
    </row>
    <row r="1168" spans="1:19" ht="15" x14ac:dyDescent="0.25">
      <c r="A1168" s="7" t="s">
        <v>16</v>
      </c>
      <c r="B1168" s="7" t="s">
        <v>55</v>
      </c>
      <c r="C1168" s="7" t="s">
        <v>18</v>
      </c>
      <c r="D1168" s="3">
        <v>59970947000178</v>
      </c>
      <c r="E1168" s="8" t="s">
        <v>172</v>
      </c>
      <c r="F1168" s="8" t="s">
        <v>111</v>
      </c>
      <c r="G1168" s="8" t="s">
        <v>21</v>
      </c>
      <c r="H1168" s="8" t="s">
        <v>795</v>
      </c>
      <c r="I1168" s="3">
        <v>2</v>
      </c>
      <c r="J1168" s="8" t="s">
        <v>728</v>
      </c>
      <c r="K1168" s="8" t="s">
        <v>729</v>
      </c>
      <c r="L1168" s="8" t="s">
        <v>730</v>
      </c>
      <c r="M1168" s="1" t="s">
        <v>786</v>
      </c>
      <c r="N1168" s="8" t="s">
        <v>787</v>
      </c>
      <c r="O1168" s="6">
        <v>0</v>
      </c>
      <c r="P1168" s="6">
        <v>0</v>
      </c>
      <c r="Q1168" s="6">
        <v>0</v>
      </c>
      <c r="R1168" s="6">
        <v>0</v>
      </c>
      <c r="S1168" s="6">
        <v>0</v>
      </c>
    </row>
    <row r="1169" spans="1:19" ht="15" x14ac:dyDescent="0.25">
      <c r="A1169" s="7" t="s">
        <v>16</v>
      </c>
      <c r="B1169" s="7" t="s">
        <v>55</v>
      </c>
      <c r="C1169" s="7" t="s">
        <v>18</v>
      </c>
      <c r="D1169" s="3">
        <v>59970947000178</v>
      </c>
      <c r="E1169" s="8" t="s">
        <v>172</v>
      </c>
      <c r="F1169" s="8" t="s">
        <v>111</v>
      </c>
      <c r="G1169" s="8" t="s">
        <v>21</v>
      </c>
      <c r="H1169" s="8" t="s">
        <v>795</v>
      </c>
      <c r="I1169" s="3">
        <v>2</v>
      </c>
      <c r="J1169" s="8" t="s">
        <v>726</v>
      </c>
      <c r="K1169" s="8" t="s">
        <v>727</v>
      </c>
      <c r="L1169" s="8" t="s">
        <v>723</v>
      </c>
      <c r="M1169" s="1" t="s">
        <v>786</v>
      </c>
      <c r="N1169" s="8" t="s">
        <v>787</v>
      </c>
      <c r="O1169" s="6">
        <v>0</v>
      </c>
      <c r="P1169" s="6">
        <v>0</v>
      </c>
      <c r="Q1169" s="6">
        <v>4</v>
      </c>
      <c r="R1169" s="6">
        <v>0</v>
      </c>
      <c r="S1169" s="6">
        <v>0</v>
      </c>
    </row>
    <row r="1170" spans="1:19" ht="15" x14ac:dyDescent="0.25">
      <c r="A1170" s="7" t="s">
        <v>16</v>
      </c>
      <c r="B1170" s="7" t="s">
        <v>55</v>
      </c>
      <c r="C1170" s="7" t="s">
        <v>18</v>
      </c>
      <c r="D1170" s="3">
        <v>48310098000100</v>
      </c>
      <c r="E1170" s="8" t="s">
        <v>187</v>
      </c>
      <c r="F1170" s="8" t="s">
        <v>111</v>
      </c>
      <c r="G1170" s="8" t="s">
        <v>21</v>
      </c>
      <c r="H1170" s="8" t="s">
        <v>795</v>
      </c>
      <c r="I1170" s="3">
        <v>2</v>
      </c>
      <c r="J1170" s="8" t="s">
        <v>728</v>
      </c>
      <c r="K1170" s="8" t="s">
        <v>729</v>
      </c>
      <c r="L1170" s="8" t="s">
        <v>730</v>
      </c>
      <c r="M1170" s="1" t="s">
        <v>786</v>
      </c>
      <c r="N1170" s="8" t="s">
        <v>787</v>
      </c>
      <c r="O1170" s="6">
        <v>0</v>
      </c>
      <c r="P1170" s="6">
        <v>0</v>
      </c>
      <c r="Q1170" s="6">
        <v>0</v>
      </c>
      <c r="R1170" s="6">
        <v>0</v>
      </c>
      <c r="S1170" s="6">
        <v>0</v>
      </c>
    </row>
    <row r="1171" spans="1:19" ht="15" x14ac:dyDescent="0.25">
      <c r="A1171" s="7" t="s">
        <v>16</v>
      </c>
      <c r="B1171" s="7" t="s">
        <v>55</v>
      </c>
      <c r="C1171" s="7" t="s">
        <v>18</v>
      </c>
      <c r="D1171" s="3">
        <v>48310098000100</v>
      </c>
      <c r="E1171" s="8" t="s">
        <v>187</v>
      </c>
      <c r="F1171" s="8" t="s">
        <v>111</v>
      </c>
      <c r="G1171" s="8" t="s">
        <v>21</v>
      </c>
      <c r="H1171" s="8" t="s">
        <v>795</v>
      </c>
      <c r="I1171" s="3">
        <v>2</v>
      </c>
      <c r="J1171" s="8" t="s">
        <v>726</v>
      </c>
      <c r="K1171" s="8" t="s">
        <v>727</v>
      </c>
      <c r="L1171" s="8" t="s">
        <v>723</v>
      </c>
      <c r="M1171" s="1" t="s">
        <v>786</v>
      </c>
      <c r="N1171" s="8" t="s">
        <v>787</v>
      </c>
      <c r="O1171" s="6">
        <v>0</v>
      </c>
      <c r="P1171" s="6">
        <v>1</v>
      </c>
      <c r="Q1171" s="6">
        <v>0</v>
      </c>
      <c r="R1171" s="6">
        <v>0</v>
      </c>
      <c r="S1171" s="6">
        <v>0</v>
      </c>
    </row>
    <row r="1172" spans="1:19" ht="15" x14ac:dyDescent="0.25">
      <c r="A1172" s="7" t="s">
        <v>16</v>
      </c>
      <c r="B1172" s="7" t="s">
        <v>55</v>
      </c>
      <c r="C1172" s="7" t="s">
        <v>18</v>
      </c>
      <c r="D1172" s="3">
        <v>10576443000189</v>
      </c>
      <c r="E1172" s="8" t="s">
        <v>178</v>
      </c>
      <c r="F1172" s="8" t="s">
        <v>111</v>
      </c>
      <c r="G1172" s="8" t="s">
        <v>21</v>
      </c>
      <c r="H1172" s="8" t="s">
        <v>795</v>
      </c>
      <c r="I1172" s="3">
        <v>2</v>
      </c>
      <c r="J1172" s="8" t="s">
        <v>728</v>
      </c>
      <c r="K1172" s="8" t="s">
        <v>729</v>
      </c>
      <c r="L1172" s="8" t="s">
        <v>730</v>
      </c>
      <c r="M1172" s="1" t="s">
        <v>786</v>
      </c>
      <c r="N1172" s="8" t="s">
        <v>787</v>
      </c>
      <c r="O1172" s="6">
        <v>0</v>
      </c>
      <c r="P1172" s="6">
        <v>0</v>
      </c>
      <c r="Q1172" s="6">
        <v>0</v>
      </c>
      <c r="R1172" s="6">
        <v>0</v>
      </c>
      <c r="S1172" s="6">
        <v>140</v>
      </c>
    </row>
    <row r="1173" spans="1:19" ht="15" x14ac:dyDescent="0.25">
      <c r="A1173" s="7" t="s">
        <v>16</v>
      </c>
      <c r="B1173" s="7" t="s">
        <v>55</v>
      </c>
      <c r="C1173" s="7" t="s">
        <v>18</v>
      </c>
      <c r="D1173" s="3">
        <v>10576443000189</v>
      </c>
      <c r="E1173" s="8" t="s">
        <v>178</v>
      </c>
      <c r="F1173" s="8" t="s">
        <v>111</v>
      </c>
      <c r="G1173" s="8" t="s">
        <v>21</v>
      </c>
      <c r="H1173" s="8" t="s">
        <v>795</v>
      </c>
      <c r="I1173" s="3">
        <v>2</v>
      </c>
      <c r="J1173" s="8" t="s">
        <v>726</v>
      </c>
      <c r="K1173" s="8" t="s">
        <v>727</v>
      </c>
      <c r="L1173" s="8" t="s">
        <v>723</v>
      </c>
      <c r="M1173" s="1" t="s">
        <v>786</v>
      </c>
      <c r="N1173" s="8" t="s">
        <v>787</v>
      </c>
      <c r="O1173" s="6">
        <v>0</v>
      </c>
      <c r="P1173" s="6">
        <v>0</v>
      </c>
      <c r="Q1173" s="6">
        <v>0</v>
      </c>
      <c r="R1173" s="6">
        <v>0</v>
      </c>
      <c r="S1173" s="6">
        <v>140</v>
      </c>
    </row>
    <row r="1174" spans="1:19" ht="15" x14ac:dyDescent="0.25">
      <c r="A1174" s="7" t="s">
        <v>16</v>
      </c>
      <c r="B1174" s="7" t="s">
        <v>55</v>
      </c>
      <c r="C1174" s="7" t="s">
        <v>18</v>
      </c>
      <c r="D1174" s="3">
        <v>2643405000173</v>
      </c>
      <c r="E1174" s="8" t="s">
        <v>110</v>
      </c>
      <c r="F1174" s="8" t="s">
        <v>111</v>
      </c>
      <c r="G1174" s="8" t="s">
        <v>21</v>
      </c>
      <c r="H1174" s="8" t="s">
        <v>795</v>
      </c>
      <c r="I1174" s="3">
        <v>2</v>
      </c>
      <c r="J1174" s="8" t="s">
        <v>728</v>
      </c>
      <c r="K1174" s="8" t="s">
        <v>729</v>
      </c>
      <c r="L1174" s="8" t="s">
        <v>730</v>
      </c>
      <c r="M1174" s="1" t="s">
        <v>786</v>
      </c>
      <c r="N1174" s="8" t="s">
        <v>787</v>
      </c>
      <c r="O1174" s="6">
        <v>0</v>
      </c>
      <c r="P1174" s="6">
        <v>0</v>
      </c>
      <c r="Q1174" s="6">
        <v>0</v>
      </c>
      <c r="R1174" s="6">
        <v>12</v>
      </c>
      <c r="S1174" s="6">
        <v>0</v>
      </c>
    </row>
    <row r="1175" spans="1:19" ht="15" x14ac:dyDescent="0.25">
      <c r="A1175" s="7" t="s">
        <v>16</v>
      </c>
      <c r="B1175" s="7" t="s">
        <v>55</v>
      </c>
      <c r="C1175" s="7" t="s">
        <v>18</v>
      </c>
      <c r="D1175" s="3">
        <v>2643405000173</v>
      </c>
      <c r="E1175" s="8" t="s">
        <v>110</v>
      </c>
      <c r="F1175" s="8" t="s">
        <v>111</v>
      </c>
      <c r="G1175" s="8" t="s">
        <v>21</v>
      </c>
      <c r="H1175" s="8" t="s">
        <v>795</v>
      </c>
      <c r="I1175" s="3">
        <v>2</v>
      </c>
      <c r="J1175" s="8" t="s">
        <v>726</v>
      </c>
      <c r="K1175" s="8" t="s">
        <v>727</v>
      </c>
      <c r="L1175" s="8" t="s">
        <v>723</v>
      </c>
      <c r="M1175" s="1" t="s">
        <v>786</v>
      </c>
      <c r="N1175" s="8" t="s">
        <v>787</v>
      </c>
      <c r="O1175" s="6">
        <v>0</v>
      </c>
      <c r="P1175" s="6">
        <v>0</v>
      </c>
      <c r="Q1175" s="6">
        <v>0</v>
      </c>
      <c r="R1175" s="6">
        <v>0</v>
      </c>
      <c r="S1175" s="6">
        <v>0</v>
      </c>
    </row>
    <row r="1176" spans="1:19" ht="15" x14ac:dyDescent="0.25">
      <c r="A1176" s="7" t="s">
        <v>16</v>
      </c>
      <c r="B1176" s="7" t="s">
        <v>55</v>
      </c>
      <c r="C1176" s="7" t="s">
        <v>18</v>
      </c>
      <c r="D1176" s="3">
        <v>60003761000129</v>
      </c>
      <c r="E1176" s="8" t="s">
        <v>174</v>
      </c>
      <c r="F1176" s="8" t="s">
        <v>111</v>
      </c>
      <c r="G1176" s="8" t="s">
        <v>21</v>
      </c>
      <c r="H1176" s="8" t="s">
        <v>795</v>
      </c>
      <c r="I1176" s="3">
        <v>2</v>
      </c>
      <c r="J1176" s="8" t="s">
        <v>728</v>
      </c>
      <c r="K1176" s="8" t="s">
        <v>729</v>
      </c>
      <c r="L1176" s="8" t="s">
        <v>730</v>
      </c>
      <c r="M1176" s="1" t="s">
        <v>786</v>
      </c>
      <c r="N1176" s="8" t="s">
        <v>787</v>
      </c>
      <c r="O1176" s="6">
        <v>0</v>
      </c>
      <c r="P1176" s="6">
        <v>0</v>
      </c>
      <c r="Q1176" s="6">
        <v>0</v>
      </c>
      <c r="R1176" s="6">
        <v>0</v>
      </c>
      <c r="S1176" s="6">
        <v>0</v>
      </c>
    </row>
    <row r="1177" spans="1:19" ht="15" x14ac:dyDescent="0.25">
      <c r="A1177" s="7" t="s">
        <v>16</v>
      </c>
      <c r="B1177" s="7" t="s">
        <v>55</v>
      </c>
      <c r="C1177" s="7" t="s">
        <v>18</v>
      </c>
      <c r="D1177" s="3">
        <v>60003761000129</v>
      </c>
      <c r="E1177" s="8" t="s">
        <v>174</v>
      </c>
      <c r="F1177" s="8" t="s">
        <v>111</v>
      </c>
      <c r="G1177" s="8" t="s">
        <v>21</v>
      </c>
      <c r="H1177" s="8" t="s">
        <v>795</v>
      </c>
      <c r="I1177" s="3">
        <v>2</v>
      </c>
      <c r="J1177" s="8" t="s">
        <v>726</v>
      </c>
      <c r="K1177" s="8" t="s">
        <v>727</v>
      </c>
      <c r="L1177" s="8" t="s">
        <v>723</v>
      </c>
      <c r="M1177" s="1" t="s">
        <v>786</v>
      </c>
      <c r="N1177" s="8" t="s">
        <v>787</v>
      </c>
      <c r="O1177" s="6">
        <v>0</v>
      </c>
      <c r="P1177" s="6">
        <v>12</v>
      </c>
      <c r="Q1177" s="6">
        <v>5</v>
      </c>
      <c r="R1177" s="6">
        <v>0</v>
      </c>
      <c r="S1177" s="6">
        <v>0</v>
      </c>
    </row>
    <row r="1178" spans="1:19" ht="15" x14ac:dyDescent="0.25">
      <c r="A1178" s="7" t="s">
        <v>16</v>
      </c>
      <c r="B1178" s="7" t="s">
        <v>55</v>
      </c>
      <c r="C1178" s="7" t="s">
        <v>18</v>
      </c>
      <c r="D1178" s="3">
        <v>45184066000117</v>
      </c>
      <c r="E1178" s="8" t="s">
        <v>146</v>
      </c>
      <c r="F1178" s="8" t="s">
        <v>117</v>
      </c>
      <c r="G1178" s="8" t="s">
        <v>21</v>
      </c>
      <c r="H1178" s="8" t="s">
        <v>795</v>
      </c>
      <c r="I1178" s="3">
        <v>2</v>
      </c>
      <c r="J1178" s="8" t="s">
        <v>740</v>
      </c>
      <c r="K1178" s="8" t="s">
        <v>741</v>
      </c>
      <c r="L1178" s="8" t="s">
        <v>730</v>
      </c>
      <c r="M1178" s="1" t="s">
        <v>786</v>
      </c>
      <c r="N1178" s="8" t="s">
        <v>787</v>
      </c>
      <c r="O1178" s="6">
        <v>0</v>
      </c>
      <c r="P1178" s="6">
        <v>0</v>
      </c>
      <c r="Q1178" s="6">
        <v>0</v>
      </c>
      <c r="R1178" s="6">
        <v>15</v>
      </c>
      <c r="S1178" s="6">
        <v>50</v>
      </c>
    </row>
    <row r="1179" spans="1:19" ht="15" x14ac:dyDescent="0.25">
      <c r="A1179" s="7" t="s">
        <v>16</v>
      </c>
      <c r="B1179" s="7" t="s">
        <v>55</v>
      </c>
      <c r="C1179" s="7" t="s">
        <v>18</v>
      </c>
      <c r="D1179" s="3">
        <v>45184066000117</v>
      </c>
      <c r="E1179" s="8" t="s">
        <v>146</v>
      </c>
      <c r="F1179" s="8" t="s">
        <v>117</v>
      </c>
      <c r="G1179" s="8" t="s">
        <v>21</v>
      </c>
      <c r="H1179" s="8" t="s">
        <v>795</v>
      </c>
      <c r="I1179" s="3">
        <v>2</v>
      </c>
      <c r="J1179" s="8" t="s">
        <v>762</v>
      </c>
      <c r="K1179" s="8" t="s">
        <v>763</v>
      </c>
      <c r="L1179" s="8" t="s">
        <v>723</v>
      </c>
      <c r="M1179" s="1" t="s">
        <v>786</v>
      </c>
      <c r="N1179" s="8" t="s">
        <v>787</v>
      </c>
      <c r="O1179" s="6">
        <v>0</v>
      </c>
      <c r="P1179" s="6">
        <v>0</v>
      </c>
      <c r="Q1179" s="6">
        <v>0</v>
      </c>
      <c r="R1179" s="6">
        <v>0</v>
      </c>
      <c r="S1179" s="6">
        <v>50</v>
      </c>
    </row>
    <row r="1180" spans="1:19" ht="15" x14ac:dyDescent="0.25">
      <c r="A1180" s="7" t="s">
        <v>16</v>
      </c>
      <c r="B1180" s="7" t="s">
        <v>55</v>
      </c>
      <c r="C1180" s="7" t="s">
        <v>18</v>
      </c>
      <c r="D1180" s="3">
        <v>60214517001691</v>
      </c>
      <c r="E1180" s="8" t="s">
        <v>176</v>
      </c>
      <c r="F1180" s="8" t="s">
        <v>117</v>
      </c>
      <c r="G1180" s="8" t="s">
        <v>21</v>
      </c>
      <c r="H1180" s="8" t="s">
        <v>795</v>
      </c>
      <c r="I1180" s="3">
        <v>2</v>
      </c>
      <c r="J1180" s="8" t="s">
        <v>740</v>
      </c>
      <c r="K1180" s="8" t="s">
        <v>741</v>
      </c>
      <c r="L1180" s="8" t="s">
        <v>730</v>
      </c>
      <c r="M1180" s="1" t="s">
        <v>786</v>
      </c>
      <c r="N1180" s="8" t="s">
        <v>787</v>
      </c>
      <c r="O1180" s="6">
        <v>0</v>
      </c>
      <c r="P1180" s="6">
        <v>0</v>
      </c>
      <c r="Q1180" s="6">
        <v>0</v>
      </c>
      <c r="R1180" s="6">
        <v>0</v>
      </c>
      <c r="S1180" s="6">
        <v>660</v>
      </c>
    </row>
    <row r="1181" spans="1:19" ht="15" x14ac:dyDescent="0.25">
      <c r="A1181" s="7" t="s">
        <v>16</v>
      </c>
      <c r="B1181" s="7" t="s">
        <v>55</v>
      </c>
      <c r="C1181" s="7" t="s">
        <v>18</v>
      </c>
      <c r="D1181" s="3">
        <v>60214517001691</v>
      </c>
      <c r="E1181" s="8" t="s">
        <v>176</v>
      </c>
      <c r="F1181" s="8" t="s">
        <v>117</v>
      </c>
      <c r="G1181" s="8" t="s">
        <v>21</v>
      </c>
      <c r="H1181" s="8" t="s">
        <v>795</v>
      </c>
      <c r="I1181" s="3">
        <v>2</v>
      </c>
      <c r="J1181" s="8" t="s">
        <v>762</v>
      </c>
      <c r="K1181" s="8" t="s">
        <v>763</v>
      </c>
      <c r="L1181" s="8" t="s">
        <v>723</v>
      </c>
      <c r="M1181" s="1" t="s">
        <v>786</v>
      </c>
      <c r="N1181" s="8" t="s">
        <v>787</v>
      </c>
      <c r="O1181" s="6">
        <v>0</v>
      </c>
      <c r="P1181" s="6">
        <v>0</v>
      </c>
      <c r="Q1181" s="6">
        <v>0</v>
      </c>
      <c r="R1181" s="6">
        <v>0</v>
      </c>
      <c r="S1181" s="6">
        <v>660</v>
      </c>
    </row>
    <row r="1182" spans="1:19" ht="15" x14ac:dyDescent="0.25">
      <c r="A1182" s="7" t="s">
        <v>16</v>
      </c>
      <c r="B1182" s="7" t="s">
        <v>55</v>
      </c>
      <c r="C1182" s="7" t="s">
        <v>18</v>
      </c>
      <c r="D1182" s="3">
        <v>6047087003073</v>
      </c>
      <c r="E1182" s="8" t="s">
        <v>116</v>
      </c>
      <c r="F1182" s="8" t="s">
        <v>117</v>
      </c>
      <c r="G1182" s="8" t="s">
        <v>21</v>
      </c>
      <c r="H1182" s="8" t="s">
        <v>795</v>
      </c>
      <c r="I1182" s="3">
        <v>2</v>
      </c>
      <c r="J1182" s="8" t="s">
        <v>740</v>
      </c>
      <c r="K1182" s="8" t="s">
        <v>741</v>
      </c>
      <c r="L1182" s="8" t="s">
        <v>730</v>
      </c>
      <c r="M1182" s="1" t="s">
        <v>786</v>
      </c>
      <c r="N1182" s="8" t="s">
        <v>787</v>
      </c>
      <c r="O1182" s="6">
        <v>1</v>
      </c>
      <c r="P1182" s="6">
        <v>0</v>
      </c>
      <c r="Q1182" s="6">
        <v>0</v>
      </c>
      <c r="R1182" s="6">
        <v>48</v>
      </c>
      <c r="S1182" s="6">
        <v>0</v>
      </c>
    </row>
    <row r="1183" spans="1:19" ht="15" x14ac:dyDescent="0.25">
      <c r="A1183" s="7" t="s">
        <v>16</v>
      </c>
      <c r="B1183" s="7" t="s">
        <v>55</v>
      </c>
      <c r="C1183" s="7" t="s">
        <v>18</v>
      </c>
      <c r="D1183" s="3">
        <v>6047087003073</v>
      </c>
      <c r="E1183" s="8" t="s">
        <v>116</v>
      </c>
      <c r="F1183" s="8" t="s">
        <v>117</v>
      </c>
      <c r="G1183" s="8" t="s">
        <v>21</v>
      </c>
      <c r="H1183" s="8" t="s">
        <v>795</v>
      </c>
      <c r="I1183" s="3">
        <v>2</v>
      </c>
      <c r="J1183" s="8" t="s">
        <v>762</v>
      </c>
      <c r="K1183" s="8" t="s">
        <v>763</v>
      </c>
      <c r="L1183" s="8" t="s">
        <v>723</v>
      </c>
      <c r="M1183" s="1" t="s">
        <v>786</v>
      </c>
      <c r="N1183" s="8" t="s">
        <v>787</v>
      </c>
      <c r="O1183" s="6">
        <v>0</v>
      </c>
      <c r="P1183" s="6">
        <v>0</v>
      </c>
      <c r="Q1183" s="6">
        <v>0</v>
      </c>
      <c r="R1183" s="6">
        <v>0</v>
      </c>
      <c r="S1183" s="6">
        <v>0</v>
      </c>
    </row>
    <row r="1184" spans="1:19" ht="15" x14ac:dyDescent="0.25">
      <c r="A1184" s="7" t="s">
        <v>16</v>
      </c>
      <c r="B1184" s="7" t="s">
        <v>55</v>
      </c>
      <c r="C1184" s="7" t="s">
        <v>18</v>
      </c>
      <c r="D1184" s="3">
        <v>60214517000962</v>
      </c>
      <c r="E1184" s="8" t="s">
        <v>175</v>
      </c>
      <c r="F1184" s="8" t="s">
        <v>117</v>
      </c>
      <c r="G1184" s="8" t="s">
        <v>21</v>
      </c>
      <c r="H1184" s="8" t="s">
        <v>795</v>
      </c>
      <c r="I1184" s="3">
        <v>2</v>
      </c>
      <c r="J1184" s="8" t="s">
        <v>740</v>
      </c>
      <c r="K1184" s="8" t="s">
        <v>741</v>
      </c>
      <c r="L1184" s="8" t="s">
        <v>730</v>
      </c>
      <c r="M1184" s="1" t="s">
        <v>786</v>
      </c>
      <c r="N1184" s="8" t="s">
        <v>787</v>
      </c>
      <c r="O1184" s="6">
        <v>0</v>
      </c>
      <c r="P1184" s="6">
        <v>0</v>
      </c>
      <c r="Q1184" s="6">
        <v>0</v>
      </c>
      <c r="R1184" s="6">
        <v>0</v>
      </c>
      <c r="S1184" s="6">
        <v>60</v>
      </c>
    </row>
    <row r="1185" spans="1:19" ht="15" x14ac:dyDescent="0.25">
      <c r="A1185" s="7" t="s">
        <v>16</v>
      </c>
      <c r="B1185" s="7" t="s">
        <v>55</v>
      </c>
      <c r="C1185" s="7" t="s">
        <v>18</v>
      </c>
      <c r="D1185" s="3">
        <v>60214517000962</v>
      </c>
      <c r="E1185" s="8" t="s">
        <v>175</v>
      </c>
      <c r="F1185" s="8" t="s">
        <v>117</v>
      </c>
      <c r="G1185" s="8" t="s">
        <v>21</v>
      </c>
      <c r="H1185" s="8" t="s">
        <v>795</v>
      </c>
      <c r="I1185" s="3">
        <v>2</v>
      </c>
      <c r="J1185" s="8" t="s">
        <v>762</v>
      </c>
      <c r="K1185" s="8" t="s">
        <v>763</v>
      </c>
      <c r="L1185" s="8" t="s">
        <v>723</v>
      </c>
      <c r="M1185" s="1" t="s">
        <v>786</v>
      </c>
      <c r="N1185" s="8" t="s">
        <v>787</v>
      </c>
      <c r="O1185" s="6">
        <v>0</v>
      </c>
      <c r="P1185" s="6">
        <v>0</v>
      </c>
      <c r="Q1185" s="6">
        <v>0</v>
      </c>
      <c r="R1185" s="6">
        <v>0</v>
      </c>
      <c r="S1185" s="6">
        <v>60</v>
      </c>
    </row>
    <row r="1186" spans="1:19" ht="15" x14ac:dyDescent="0.25">
      <c r="A1186" s="7" t="s">
        <v>16</v>
      </c>
      <c r="B1186" s="7" t="s">
        <v>55</v>
      </c>
      <c r="C1186" s="7" t="s">
        <v>18</v>
      </c>
      <c r="D1186" s="3">
        <v>18321477000134</v>
      </c>
      <c r="E1186" s="8" t="s">
        <v>125</v>
      </c>
      <c r="F1186" s="8" t="s">
        <v>805</v>
      </c>
      <c r="G1186" s="8" t="s">
        <v>21</v>
      </c>
      <c r="H1186" s="8" t="s">
        <v>795</v>
      </c>
      <c r="I1186" s="3">
        <v>2</v>
      </c>
      <c r="J1186" s="8" t="s">
        <v>740</v>
      </c>
      <c r="K1186" s="8" t="s">
        <v>741</v>
      </c>
      <c r="L1186" s="8" t="s">
        <v>730</v>
      </c>
      <c r="M1186" s="1" t="s">
        <v>786</v>
      </c>
      <c r="N1186" s="8" t="s">
        <v>787</v>
      </c>
      <c r="O1186" s="6">
        <v>0</v>
      </c>
      <c r="P1186" s="6">
        <v>0</v>
      </c>
      <c r="Q1186" s="6">
        <v>0</v>
      </c>
      <c r="R1186" s="6">
        <v>48</v>
      </c>
      <c r="S1186" s="6">
        <v>0</v>
      </c>
    </row>
    <row r="1187" spans="1:19" ht="15" x14ac:dyDescent="0.25">
      <c r="A1187" s="7" t="s">
        <v>16</v>
      </c>
      <c r="B1187" s="7" t="s">
        <v>55</v>
      </c>
      <c r="C1187" s="7" t="s">
        <v>18</v>
      </c>
      <c r="D1187" s="3">
        <v>18321477000134</v>
      </c>
      <c r="E1187" s="8" t="s">
        <v>125</v>
      </c>
      <c r="F1187" s="8" t="s">
        <v>805</v>
      </c>
      <c r="G1187" s="8" t="s">
        <v>21</v>
      </c>
      <c r="H1187" s="8" t="s">
        <v>795</v>
      </c>
      <c r="I1187" s="3">
        <v>2</v>
      </c>
      <c r="J1187" s="8" t="s">
        <v>762</v>
      </c>
      <c r="K1187" s="8" t="s">
        <v>763</v>
      </c>
      <c r="L1187" s="8" t="s">
        <v>723</v>
      </c>
      <c r="M1187" s="1" t="s">
        <v>786</v>
      </c>
      <c r="N1187" s="8" t="s">
        <v>787</v>
      </c>
      <c r="O1187" s="6">
        <v>0</v>
      </c>
      <c r="P1187" s="6">
        <v>0</v>
      </c>
      <c r="Q1187" s="6">
        <v>0</v>
      </c>
      <c r="R1187" s="6">
        <v>0</v>
      </c>
      <c r="S1187" s="6">
        <v>0</v>
      </c>
    </row>
    <row r="1188" spans="1:19" ht="15" x14ac:dyDescent="0.25">
      <c r="A1188" s="7" t="s">
        <v>16</v>
      </c>
      <c r="B1188" s="7" t="s">
        <v>55</v>
      </c>
      <c r="C1188" s="7" t="s">
        <v>18</v>
      </c>
      <c r="D1188" s="3">
        <v>60961968000106</v>
      </c>
      <c r="E1188" s="8" t="s">
        <v>50</v>
      </c>
      <c r="F1188" s="8" t="s">
        <v>20</v>
      </c>
      <c r="G1188" s="8" t="s">
        <v>21</v>
      </c>
      <c r="H1188" s="8" t="s">
        <v>795</v>
      </c>
      <c r="I1188" s="3">
        <v>2</v>
      </c>
      <c r="J1188" s="8" t="s">
        <v>770</v>
      </c>
      <c r="K1188" s="8" t="s">
        <v>771</v>
      </c>
      <c r="L1188" s="8" t="s">
        <v>730</v>
      </c>
      <c r="M1188" s="1" t="s">
        <v>786</v>
      </c>
      <c r="N1188" s="8" t="s">
        <v>787</v>
      </c>
      <c r="O1188" s="6">
        <v>0</v>
      </c>
      <c r="P1188" s="6">
        <v>0</v>
      </c>
      <c r="Q1188" s="6">
        <v>0</v>
      </c>
      <c r="R1188" s="6">
        <v>0</v>
      </c>
      <c r="S1188" s="6">
        <v>1500</v>
      </c>
    </row>
    <row r="1189" spans="1:19" ht="15" x14ac:dyDescent="0.25">
      <c r="A1189" s="7" t="s">
        <v>16</v>
      </c>
      <c r="B1189" s="7" t="s">
        <v>55</v>
      </c>
      <c r="C1189" s="7" t="s">
        <v>18</v>
      </c>
      <c r="D1189" s="3">
        <v>60961968000106</v>
      </c>
      <c r="E1189" s="8" t="s">
        <v>50</v>
      </c>
      <c r="F1189" s="8" t="s">
        <v>20</v>
      </c>
      <c r="G1189" s="8" t="s">
        <v>21</v>
      </c>
      <c r="H1189" s="8" t="s">
        <v>795</v>
      </c>
      <c r="I1189" s="3">
        <v>2</v>
      </c>
      <c r="J1189" s="8" t="s">
        <v>756</v>
      </c>
      <c r="K1189" s="8" t="s">
        <v>757</v>
      </c>
      <c r="L1189" s="8" t="s">
        <v>723</v>
      </c>
      <c r="M1189" s="1" t="s">
        <v>786</v>
      </c>
      <c r="N1189" s="8" t="s">
        <v>787</v>
      </c>
      <c r="O1189" s="6">
        <v>0</v>
      </c>
      <c r="P1189" s="6">
        <v>10</v>
      </c>
      <c r="Q1189" s="6">
        <v>10</v>
      </c>
      <c r="R1189" s="6">
        <v>0</v>
      </c>
      <c r="S1189" s="6">
        <v>1500</v>
      </c>
    </row>
    <row r="1190" spans="1:19" ht="15" x14ac:dyDescent="0.25">
      <c r="A1190" s="7" t="s">
        <v>16</v>
      </c>
      <c r="B1190" s="7" t="s">
        <v>55</v>
      </c>
      <c r="C1190" s="7" t="s">
        <v>18</v>
      </c>
      <c r="D1190" s="3">
        <v>51722957010226</v>
      </c>
      <c r="E1190" s="8" t="s">
        <v>39</v>
      </c>
      <c r="F1190" s="8" t="s">
        <v>20</v>
      </c>
      <c r="G1190" s="8" t="s">
        <v>21</v>
      </c>
      <c r="H1190" s="8" t="s">
        <v>795</v>
      </c>
      <c r="I1190" s="3">
        <v>2</v>
      </c>
      <c r="J1190" s="8" t="s">
        <v>740</v>
      </c>
      <c r="K1190" s="8" t="s">
        <v>741</v>
      </c>
      <c r="L1190" s="8" t="s">
        <v>730</v>
      </c>
      <c r="M1190" s="1" t="s">
        <v>786</v>
      </c>
      <c r="N1190" s="8" t="s">
        <v>787</v>
      </c>
      <c r="O1190" s="6">
        <v>0</v>
      </c>
      <c r="P1190" s="6">
        <v>0</v>
      </c>
      <c r="Q1190" s="6">
        <v>0</v>
      </c>
      <c r="R1190" s="6">
        <v>42</v>
      </c>
      <c r="S1190" s="6">
        <v>950</v>
      </c>
    </row>
    <row r="1191" spans="1:19" ht="15" x14ac:dyDescent="0.25">
      <c r="A1191" s="7" t="s">
        <v>16</v>
      </c>
      <c r="B1191" s="7" t="s">
        <v>55</v>
      </c>
      <c r="C1191" s="7" t="s">
        <v>18</v>
      </c>
      <c r="D1191" s="3">
        <v>51722957010226</v>
      </c>
      <c r="E1191" s="8" t="s">
        <v>39</v>
      </c>
      <c r="F1191" s="8" t="s">
        <v>20</v>
      </c>
      <c r="G1191" s="8" t="s">
        <v>21</v>
      </c>
      <c r="H1191" s="8" t="s">
        <v>795</v>
      </c>
      <c r="I1191" s="3">
        <v>2</v>
      </c>
      <c r="J1191" s="8" t="s">
        <v>762</v>
      </c>
      <c r="K1191" s="8" t="s">
        <v>763</v>
      </c>
      <c r="L1191" s="8" t="s">
        <v>723</v>
      </c>
      <c r="M1191" s="1" t="s">
        <v>786</v>
      </c>
      <c r="N1191" s="8" t="s">
        <v>787</v>
      </c>
      <c r="O1191" s="6">
        <v>0</v>
      </c>
      <c r="P1191" s="6">
        <v>0</v>
      </c>
      <c r="Q1191" s="6">
        <v>0</v>
      </c>
      <c r="R1191" s="6">
        <v>0</v>
      </c>
      <c r="S1191" s="6">
        <v>950</v>
      </c>
    </row>
    <row r="1192" spans="1:19" ht="15" x14ac:dyDescent="0.25">
      <c r="A1192" s="7" t="s">
        <v>16</v>
      </c>
      <c r="B1192" s="7" t="s">
        <v>55</v>
      </c>
      <c r="C1192" s="7" t="s">
        <v>18</v>
      </c>
      <c r="D1192" s="3">
        <v>51722957000506</v>
      </c>
      <c r="E1192" s="8" t="s">
        <v>59</v>
      </c>
      <c r="F1192" s="8" t="s">
        <v>20</v>
      </c>
      <c r="G1192" s="8" t="s">
        <v>21</v>
      </c>
      <c r="H1192" s="8" t="s">
        <v>795</v>
      </c>
      <c r="I1192" s="3">
        <v>2</v>
      </c>
      <c r="J1192" s="8" t="s">
        <v>740</v>
      </c>
      <c r="K1192" s="8" t="s">
        <v>741</v>
      </c>
      <c r="L1192" s="8" t="s">
        <v>730</v>
      </c>
      <c r="M1192" s="1" t="s">
        <v>786</v>
      </c>
      <c r="N1192" s="8" t="s">
        <v>787</v>
      </c>
      <c r="O1192" s="6">
        <v>0</v>
      </c>
      <c r="P1192" s="6">
        <v>0</v>
      </c>
      <c r="Q1192" s="6">
        <v>0</v>
      </c>
      <c r="R1192" s="6">
        <v>0</v>
      </c>
      <c r="S1192" s="6">
        <v>400</v>
      </c>
    </row>
    <row r="1193" spans="1:19" ht="15" x14ac:dyDescent="0.25">
      <c r="A1193" s="7" t="s">
        <v>16</v>
      </c>
      <c r="B1193" s="7" t="s">
        <v>55</v>
      </c>
      <c r="C1193" s="7" t="s">
        <v>18</v>
      </c>
      <c r="D1193" s="3">
        <v>51722957000506</v>
      </c>
      <c r="E1193" s="8" t="s">
        <v>59</v>
      </c>
      <c r="F1193" s="8" t="s">
        <v>20</v>
      </c>
      <c r="G1193" s="8" t="s">
        <v>21</v>
      </c>
      <c r="H1193" s="8" t="s">
        <v>795</v>
      </c>
      <c r="I1193" s="3">
        <v>2</v>
      </c>
      <c r="J1193" s="8" t="s">
        <v>762</v>
      </c>
      <c r="K1193" s="8" t="s">
        <v>763</v>
      </c>
      <c r="L1193" s="8" t="s">
        <v>723</v>
      </c>
      <c r="M1193" s="1" t="s">
        <v>786</v>
      </c>
      <c r="N1193" s="8" t="s">
        <v>787</v>
      </c>
      <c r="O1193" s="6">
        <v>0</v>
      </c>
      <c r="P1193" s="6">
        <v>0</v>
      </c>
      <c r="Q1193" s="6">
        <v>0</v>
      </c>
      <c r="R1193" s="6">
        <v>0</v>
      </c>
      <c r="S1193" s="6">
        <v>400</v>
      </c>
    </row>
    <row r="1194" spans="1:19" ht="15" x14ac:dyDescent="0.25">
      <c r="A1194" s="7" t="s">
        <v>16</v>
      </c>
      <c r="B1194" s="7" t="s">
        <v>55</v>
      </c>
      <c r="C1194" s="7" t="s">
        <v>18</v>
      </c>
      <c r="D1194" s="3">
        <v>2383508000494</v>
      </c>
      <c r="E1194" s="8" t="s">
        <v>56</v>
      </c>
      <c r="F1194" s="8" t="s">
        <v>20</v>
      </c>
      <c r="G1194" s="8" t="s">
        <v>21</v>
      </c>
      <c r="H1194" s="8" t="s">
        <v>795</v>
      </c>
      <c r="I1194" s="3">
        <v>2</v>
      </c>
      <c r="J1194" s="8" t="s">
        <v>740</v>
      </c>
      <c r="K1194" s="8" t="s">
        <v>741</v>
      </c>
      <c r="L1194" s="8" t="s">
        <v>730</v>
      </c>
      <c r="M1194" s="1" t="s">
        <v>786</v>
      </c>
      <c r="N1194" s="8" t="s">
        <v>787</v>
      </c>
      <c r="O1194" s="6">
        <v>0</v>
      </c>
      <c r="P1194" s="6">
        <v>0</v>
      </c>
      <c r="Q1194" s="6">
        <v>0</v>
      </c>
      <c r="R1194" s="6">
        <v>39</v>
      </c>
      <c r="S1194" s="6">
        <v>280</v>
      </c>
    </row>
    <row r="1195" spans="1:19" ht="15" x14ac:dyDescent="0.25">
      <c r="A1195" s="7" t="s">
        <v>16</v>
      </c>
      <c r="B1195" s="7" t="s">
        <v>55</v>
      </c>
      <c r="C1195" s="7" t="s">
        <v>18</v>
      </c>
      <c r="D1195" s="3">
        <v>2383508000494</v>
      </c>
      <c r="E1195" s="8" t="s">
        <v>56</v>
      </c>
      <c r="F1195" s="8" t="s">
        <v>20</v>
      </c>
      <c r="G1195" s="8" t="s">
        <v>21</v>
      </c>
      <c r="H1195" s="8" t="s">
        <v>795</v>
      </c>
      <c r="I1195" s="3">
        <v>2</v>
      </c>
      <c r="J1195" s="8" t="s">
        <v>724</v>
      </c>
      <c r="K1195" s="8" t="s">
        <v>725</v>
      </c>
      <c r="L1195" s="8" t="s">
        <v>723</v>
      </c>
      <c r="M1195" s="1" t="s">
        <v>786</v>
      </c>
      <c r="N1195" s="8" t="s">
        <v>787</v>
      </c>
      <c r="O1195" s="6">
        <v>0</v>
      </c>
      <c r="P1195" s="6">
        <v>0</v>
      </c>
      <c r="Q1195" s="6">
        <v>0</v>
      </c>
      <c r="R1195" s="6">
        <v>0</v>
      </c>
      <c r="S1195" s="6">
        <v>280</v>
      </c>
    </row>
    <row r="1196" spans="1:19" ht="15" x14ac:dyDescent="0.25">
      <c r="A1196" s="7" t="s">
        <v>16</v>
      </c>
      <c r="B1196" s="7" t="s">
        <v>55</v>
      </c>
      <c r="C1196" s="7" t="s">
        <v>18</v>
      </c>
      <c r="D1196" s="3">
        <v>43643139000409</v>
      </c>
      <c r="E1196" s="8" t="s">
        <v>37</v>
      </c>
      <c r="F1196" s="8" t="s">
        <v>20</v>
      </c>
      <c r="G1196" s="8" t="s">
        <v>21</v>
      </c>
      <c r="H1196" s="8" t="s">
        <v>795</v>
      </c>
      <c r="I1196" s="3">
        <v>2</v>
      </c>
      <c r="J1196" s="8" t="s">
        <v>740</v>
      </c>
      <c r="K1196" s="8" t="s">
        <v>741</v>
      </c>
      <c r="L1196" s="8" t="s">
        <v>730</v>
      </c>
      <c r="M1196" s="1" t="s">
        <v>786</v>
      </c>
      <c r="N1196" s="8" t="s">
        <v>787</v>
      </c>
      <c r="O1196" s="6">
        <v>0</v>
      </c>
      <c r="P1196" s="6">
        <v>0</v>
      </c>
      <c r="Q1196" s="6">
        <v>0</v>
      </c>
      <c r="R1196" s="6">
        <v>0</v>
      </c>
      <c r="S1196" s="6">
        <v>160</v>
      </c>
    </row>
    <row r="1197" spans="1:19" ht="15" x14ac:dyDescent="0.25">
      <c r="A1197" s="7" t="s">
        <v>16</v>
      </c>
      <c r="B1197" s="7" t="s">
        <v>55</v>
      </c>
      <c r="C1197" s="7" t="s">
        <v>18</v>
      </c>
      <c r="D1197" s="3">
        <v>43643139000409</v>
      </c>
      <c r="E1197" s="8" t="s">
        <v>37</v>
      </c>
      <c r="F1197" s="8" t="s">
        <v>20</v>
      </c>
      <c r="G1197" s="8" t="s">
        <v>21</v>
      </c>
      <c r="H1197" s="8" t="s">
        <v>795</v>
      </c>
      <c r="I1197" s="3">
        <v>2</v>
      </c>
      <c r="J1197" s="8" t="s">
        <v>724</v>
      </c>
      <c r="K1197" s="8" t="s">
        <v>725</v>
      </c>
      <c r="L1197" s="8" t="s">
        <v>723</v>
      </c>
      <c r="M1197" s="1" t="s">
        <v>786</v>
      </c>
      <c r="N1197" s="8" t="s">
        <v>787</v>
      </c>
      <c r="O1197" s="6">
        <v>0</v>
      </c>
      <c r="P1197" s="6">
        <v>0</v>
      </c>
      <c r="Q1197" s="6">
        <v>0</v>
      </c>
      <c r="R1197" s="6">
        <v>0</v>
      </c>
      <c r="S1197" s="6">
        <v>160</v>
      </c>
    </row>
    <row r="1198" spans="1:19" ht="15" x14ac:dyDescent="0.25">
      <c r="A1198" s="7" t="s">
        <v>16</v>
      </c>
      <c r="B1198" s="7" t="s">
        <v>55</v>
      </c>
      <c r="C1198" s="7" t="s">
        <v>18</v>
      </c>
      <c r="D1198" s="3">
        <v>8871521000126</v>
      </c>
      <c r="E1198" s="8" t="s">
        <v>28</v>
      </c>
      <c r="F1198" s="8" t="s">
        <v>20</v>
      </c>
      <c r="G1198" s="8" t="s">
        <v>21</v>
      </c>
      <c r="H1198" s="8" t="s">
        <v>795</v>
      </c>
      <c r="I1198" s="3">
        <v>2</v>
      </c>
      <c r="J1198" s="8" t="s">
        <v>770</v>
      </c>
      <c r="K1198" s="8" t="s">
        <v>771</v>
      </c>
      <c r="L1198" s="8" t="s">
        <v>730</v>
      </c>
      <c r="M1198" s="1" t="s">
        <v>786</v>
      </c>
      <c r="N1198" s="8" t="s">
        <v>787</v>
      </c>
      <c r="O1198" s="6">
        <v>0</v>
      </c>
      <c r="P1198" s="6">
        <v>0</v>
      </c>
      <c r="Q1198" s="6">
        <v>0</v>
      </c>
      <c r="R1198" s="6">
        <v>0</v>
      </c>
      <c r="S1198" s="6">
        <v>398</v>
      </c>
    </row>
    <row r="1199" spans="1:19" ht="15" x14ac:dyDescent="0.25">
      <c r="A1199" s="7" t="s">
        <v>16</v>
      </c>
      <c r="B1199" s="7" t="s">
        <v>55</v>
      </c>
      <c r="C1199" s="7" t="s">
        <v>18</v>
      </c>
      <c r="D1199" s="3">
        <v>8871521000126</v>
      </c>
      <c r="E1199" s="8" t="s">
        <v>28</v>
      </c>
      <c r="F1199" s="8" t="s">
        <v>20</v>
      </c>
      <c r="G1199" s="8" t="s">
        <v>21</v>
      </c>
      <c r="H1199" s="8" t="s">
        <v>795</v>
      </c>
      <c r="I1199" s="3">
        <v>2</v>
      </c>
      <c r="J1199" s="8" t="s">
        <v>756</v>
      </c>
      <c r="K1199" s="8" t="s">
        <v>757</v>
      </c>
      <c r="L1199" s="8" t="s">
        <v>723</v>
      </c>
      <c r="M1199" s="1" t="s">
        <v>786</v>
      </c>
      <c r="N1199" s="8" t="s">
        <v>787</v>
      </c>
      <c r="O1199" s="6">
        <v>0</v>
      </c>
      <c r="P1199" s="6">
        <v>0</v>
      </c>
      <c r="Q1199" s="6">
        <v>0</v>
      </c>
      <c r="R1199" s="6">
        <v>0</v>
      </c>
      <c r="S1199" s="6">
        <v>398</v>
      </c>
    </row>
    <row r="1200" spans="1:19" ht="15" x14ac:dyDescent="0.25">
      <c r="A1200" s="7" t="s">
        <v>16</v>
      </c>
      <c r="B1200" s="7" t="s">
        <v>55</v>
      </c>
      <c r="C1200" s="7" t="s">
        <v>18</v>
      </c>
      <c r="D1200" s="3">
        <v>59481028000130</v>
      </c>
      <c r="E1200" s="8" t="s">
        <v>42</v>
      </c>
      <c r="F1200" s="8" t="s">
        <v>20</v>
      </c>
      <c r="G1200" s="8" t="s">
        <v>21</v>
      </c>
      <c r="H1200" s="8" t="s">
        <v>795</v>
      </c>
      <c r="I1200" s="3">
        <v>2</v>
      </c>
      <c r="J1200" s="8" t="s">
        <v>740</v>
      </c>
      <c r="K1200" s="8" t="s">
        <v>741</v>
      </c>
      <c r="L1200" s="8" t="s">
        <v>730</v>
      </c>
      <c r="M1200" s="1" t="s">
        <v>786</v>
      </c>
      <c r="N1200" s="8" t="s">
        <v>787</v>
      </c>
      <c r="O1200" s="6">
        <v>0</v>
      </c>
      <c r="P1200" s="6">
        <v>0</v>
      </c>
      <c r="Q1200" s="6">
        <v>0</v>
      </c>
      <c r="R1200" s="6">
        <v>0</v>
      </c>
      <c r="S1200" s="6">
        <v>30</v>
      </c>
    </row>
    <row r="1201" spans="1:19" ht="15" x14ac:dyDescent="0.25">
      <c r="A1201" s="7" t="s">
        <v>16</v>
      </c>
      <c r="B1201" s="7" t="s">
        <v>55</v>
      </c>
      <c r="C1201" s="7" t="s">
        <v>18</v>
      </c>
      <c r="D1201" s="3">
        <v>59481028000130</v>
      </c>
      <c r="E1201" s="8" t="s">
        <v>42</v>
      </c>
      <c r="F1201" s="8" t="s">
        <v>20</v>
      </c>
      <c r="G1201" s="8" t="s">
        <v>21</v>
      </c>
      <c r="H1201" s="8" t="s">
        <v>795</v>
      </c>
      <c r="I1201" s="3">
        <v>2</v>
      </c>
      <c r="J1201" s="8" t="s">
        <v>724</v>
      </c>
      <c r="K1201" s="8" t="s">
        <v>725</v>
      </c>
      <c r="L1201" s="8" t="s">
        <v>723</v>
      </c>
      <c r="M1201" s="1" t="s">
        <v>786</v>
      </c>
      <c r="N1201" s="8" t="s">
        <v>787</v>
      </c>
      <c r="O1201" s="6">
        <v>0</v>
      </c>
      <c r="P1201" s="6">
        <v>0</v>
      </c>
      <c r="Q1201" s="6">
        <v>0</v>
      </c>
      <c r="R1201" s="6">
        <v>0</v>
      </c>
      <c r="S1201" s="6">
        <v>30</v>
      </c>
    </row>
    <row r="1202" spans="1:19" ht="15" x14ac:dyDescent="0.25">
      <c r="A1202" s="7" t="s">
        <v>16</v>
      </c>
      <c r="B1202" s="7" t="s">
        <v>55</v>
      </c>
      <c r="C1202" s="7" t="s">
        <v>18</v>
      </c>
      <c r="D1202" s="3">
        <v>46374500026231</v>
      </c>
      <c r="E1202" s="8" t="s">
        <v>58</v>
      </c>
      <c r="F1202" s="8" t="s">
        <v>20</v>
      </c>
      <c r="G1202" s="8" t="s">
        <v>21</v>
      </c>
      <c r="H1202" s="8" t="s">
        <v>795</v>
      </c>
      <c r="I1202" s="3">
        <v>2</v>
      </c>
      <c r="J1202" s="8" t="s">
        <v>770</v>
      </c>
      <c r="K1202" s="8" t="s">
        <v>771</v>
      </c>
      <c r="L1202" s="8" t="s">
        <v>730</v>
      </c>
      <c r="M1202" s="1" t="s">
        <v>786</v>
      </c>
      <c r="N1202" s="8" t="s">
        <v>787</v>
      </c>
      <c r="O1202" s="6">
        <v>0</v>
      </c>
      <c r="P1202" s="6">
        <v>0</v>
      </c>
      <c r="Q1202" s="6">
        <v>0</v>
      </c>
      <c r="R1202" s="6">
        <v>0</v>
      </c>
      <c r="S1202" s="6">
        <v>20285</v>
      </c>
    </row>
    <row r="1203" spans="1:19" ht="15" x14ac:dyDescent="0.25">
      <c r="A1203" s="7" t="s">
        <v>16</v>
      </c>
      <c r="B1203" s="7" t="s">
        <v>55</v>
      </c>
      <c r="C1203" s="7" t="s">
        <v>18</v>
      </c>
      <c r="D1203" s="3">
        <v>46374500026231</v>
      </c>
      <c r="E1203" s="8" t="s">
        <v>58</v>
      </c>
      <c r="F1203" s="8" t="s">
        <v>20</v>
      </c>
      <c r="G1203" s="8" t="s">
        <v>21</v>
      </c>
      <c r="H1203" s="8" t="s">
        <v>795</v>
      </c>
      <c r="I1203" s="3">
        <v>2</v>
      </c>
      <c r="J1203" s="8" t="s">
        <v>756</v>
      </c>
      <c r="K1203" s="8" t="s">
        <v>757</v>
      </c>
      <c r="L1203" s="8" t="s">
        <v>723</v>
      </c>
      <c r="M1203" s="1" t="s">
        <v>786</v>
      </c>
      <c r="N1203" s="8" t="s">
        <v>787</v>
      </c>
      <c r="O1203" s="6">
        <v>0</v>
      </c>
      <c r="P1203" s="6">
        <v>0</v>
      </c>
      <c r="Q1203" s="6">
        <v>0</v>
      </c>
      <c r="R1203" s="6">
        <v>0</v>
      </c>
      <c r="S1203" s="6">
        <v>20285</v>
      </c>
    </row>
    <row r="1204" spans="1:19" ht="15" x14ac:dyDescent="0.25">
      <c r="A1204" s="7" t="s">
        <v>16</v>
      </c>
      <c r="B1204" s="7" t="s">
        <v>55</v>
      </c>
      <c r="C1204" s="7" t="s">
        <v>18</v>
      </c>
      <c r="D1204" s="3">
        <v>10468341000220</v>
      </c>
      <c r="E1204" s="8" t="s">
        <v>30</v>
      </c>
      <c r="F1204" s="8" t="s">
        <v>20</v>
      </c>
      <c r="G1204" s="8" t="s">
        <v>21</v>
      </c>
      <c r="H1204" s="8" t="s">
        <v>795</v>
      </c>
      <c r="I1204" s="3">
        <v>2</v>
      </c>
      <c r="J1204" s="8" t="s">
        <v>740</v>
      </c>
      <c r="K1204" s="8" t="s">
        <v>741</v>
      </c>
      <c r="L1204" s="8" t="s">
        <v>730</v>
      </c>
      <c r="M1204" s="1" t="s">
        <v>786</v>
      </c>
      <c r="N1204" s="8" t="s">
        <v>787</v>
      </c>
      <c r="O1204" s="6">
        <v>0</v>
      </c>
      <c r="P1204" s="6">
        <v>0</v>
      </c>
      <c r="Q1204" s="6">
        <v>0</v>
      </c>
      <c r="R1204" s="6">
        <v>24</v>
      </c>
      <c r="S1204" s="6">
        <v>550</v>
      </c>
    </row>
    <row r="1205" spans="1:19" ht="15" x14ac:dyDescent="0.25">
      <c r="A1205" s="7" t="s">
        <v>16</v>
      </c>
      <c r="B1205" s="7" t="s">
        <v>55</v>
      </c>
      <c r="C1205" s="7" t="s">
        <v>18</v>
      </c>
      <c r="D1205" s="3">
        <v>10468341000220</v>
      </c>
      <c r="E1205" s="8" t="s">
        <v>30</v>
      </c>
      <c r="F1205" s="8" t="s">
        <v>20</v>
      </c>
      <c r="G1205" s="8" t="s">
        <v>21</v>
      </c>
      <c r="H1205" s="8" t="s">
        <v>795</v>
      </c>
      <c r="I1205" s="3">
        <v>2</v>
      </c>
      <c r="J1205" s="8" t="s">
        <v>762</v>
      </c>
      <c r="K1205" s="8" t="s">
        <v>763</v>
      </c>
      <c r="L1205" s="8" t="s">
        <v>723</v>
      </c>
      <c r="M1205" s="1" t="s">
        <v>786</v>
      </c>
      <c r="N1205" s="8" t="s">
        <v>787</v>
      </c>
      <c r="O1205" s="6">
        <v>0</v>
      </c>
      <c r="P1205" s="6">
        <v>0</v>
      </c>
      <c r="Q1205" s="6">
        <v>0</v>
      </c>
      <c r="R1205" s="6">
        <v>0</v>
      </c>
      <c r="S1205" s="6">
        <v>550</v>
      </c>
    </row>
    <row r="1206" spans="1:19" ht="15" x14ac:dyDescent="0.25">
      <c r="A1206" s="7" t="s">
        <v>16</v>
      </c>
      <c r="B1206" s="7" t="s">
        <v>55</v>
      </c>
      <c r="C1206" s="7" t="s">
        <v>18</v>
      </c>
      <c r="D1206" s="3">
        <v>10468341000140</v>
      </c>
      <c r="E1206" s="8" t="s">
        <v>29</v>
      </c>
      <c r="F1206" s="8" t="s">
        <v>20</v>
      </c>
      <c r="G1206" s="8" t="s">
        <v>21</v>
      </c>
      <c r="H1206" s="8" t="s">
        <v>795</v>
      </c>
      <c r="I1206" s="3">
        <v>2</v>
      </c>
      <c r="J1206" s="8" t="s">
        <v>740</v>
      </c>
      <c r="K1206" s="8" t="s">
        <v>741</v>
      </c>
      <c r="L1206" s="8" t="s">
        <v>730</v>
      </c>
      <c r="M1206" s="1" t="s">
        <v>786</v>
      </c>
      <c r="N1206" s="8" t="s">
        <v>787</v>
      </c>
      <c r="O1206" s="6">
        <v>0</v>
      </c>
      <c r="P1206" s="6">
        <v>0</v>
      </c>
      <c r="Q1206" s="6">
        <v>0</v>
      </c>
      <c r="R1206" s="6">
        <v>0</v>
      </c>
      <c r="S1206" s="6">
        <v>805</v>
      </c>
    </row>
    <row r="1207" spans="1:19" ht="15" x14ac:dyDescent="0.25">
      <c r="A1207" s="7" t="s">
        <v>16</v>
      </c>
      <c r="B1207" s="7" t="s">
        <v>55</v>
      </c>
      <c r="C1207" s="7" t="s">
        <v>18</v>
      </c>
      <c r="D1207" s="3">
        <v>10468341000140</v>
      </c>
      <c r="E1207" s="8" t="s">
        <v>29</v>
      </c>
      <c r="F1207" s="8" t="s">
        <v>20</v>
      </c>
      <c r="G1207" s="8" t="s">
        <v>21</v>
      </c>
      <c r="H1207" s="8" t="s">
        <v>795</v>
      </c>
      <c r="I1207" s="3">
        <v>2</v>
      </c>
      <c r="J1207" s="8" t="s">
        <v>762</v>
      </c>
      <c r="K1207" s="8" t="s">
        <v>763</v>
      </c>
      <c r="L1207" s="8" t="s">
        <v>723</v>
      </c>
      <c r="M1207" s="1" t="s">
        <v>786</v>
      </c>
      <c r="N1207" s="8" t="s">
        <v>787</v>
      </c>
      <c r="O1207" s="6">
        <v>0</v>
      </c>
      <c r="P1207" s="6">
        <v>0</v>
      </c>
      <c r="Q1207" s="6">
        <v>0</v>
      </c>
      <c r="R1207" s="6">
        <v>0</v>
      </c>
      <c r="S1207" s="6">
        <v>805</v>
      </c>
    </row>
    <row r="1208" spans="1:19" ht="15" x14ac:dyDescent="0.25">
      <c r="A1208" s="7" t="s">
        <v>16</v>
      </c>
      <c r="B1208" s="7" t="s">
        <v>55</v>
      </c>
      <c r="C1208" s="7" t="s">
        <v>18</v>
      </c>
      <c r="D1208" s="3">
        <v>29435005009932</v>
      </c>
      <c r="E1208" s="8" t="s">
        <v>36</v>
      </c>
      <c r="F1208" s="8" t="s">
        <v>20</v>
      </c>
      <c r="G1208" s="8" t="s">
        <v>21</v>
      </c>
      <c r="H1208" s="8" t="s">
        <v>795</v>
      </c>
      <c r="I1208" s="3">
        <v>2</v>
      </c>
      <c r="J1208" s="8" t="s">
        <v>770</v>
      </c>
      <c r="K1208" s="8" t="s">
        <v>771</v>
      </c>
      <c r="L1208" s="8" t="s">
        <v>730</v>
      </c>
      <c r="M1208" s="1" t="s">
        <v>786</v>
      </c>
      <c r="N1208" s="8" t="s">
        <v>787</v>
      </c>
      <c r="O1208" s="6">
        <v>0</v>
      </c>
      <c r="P1208" s="6">
        <v>0</v>
      </c>
      <c r="Q1208" s="6">
        <v>0</v>
      </c>
      <c r="R1208" s="6">
        <v>0</v>
      </c>
      <c r="S1208" s="6">
        <v>1700</v>
      </c>
    </row>
    <row r="1209" spans="1:19" ht="15" x14ac:dyDescent="0.25">
      <c r="A1209" s="7" t="s">
        <v>16</v>
      </c>
      <c r="B1209" s="7" t="s">
        <v>55</v>
      </c>
      <c r="C1209" s="7" t="s">
        <v>18</v>
      </c>
      <c r="D1209" s="3">
        <v>29435005009932</v>
      </c>
      <c r="E1209" s="8" t="s">
        <v>36</v>
      </c>
      <c r="F1209" s="8" t="s">
        <v>20</v>
      </c>
      <c r="G1209" s="8" t="s">
        <v>21</v>
      </c>
      <c r="H1209" s="8" t="s">
        <v>795</v>
      </c>
      <c r="I1209" s="3">
        <v>2</v>
      </c>
      <c r="J1209" s="8" t="s">
        <v>724</v>
      </c>
      <c r="K1209" s="8" t="s">
        <v>725</v>
      </c>
      <c r="L1209" s="8" t="s">
        <v>723</v>
      </c>
      <c r="M1209" s="1" t="s">
        <v>786</v>
      </c>
      <c r="N1209" s="8" t="s">
        <v>787</v>
      </c>
      <c r="O1209" s="6">
        <v>0</v>
      </c>
      <c r="P1209" s="6">
        <v>0</v>
      </c>
      <c r="Q1209" s="6">
        <v>13</v>
      </c>
      <c r="R1209" s="6">
        <v>0</v>
      </c>
      <c r="S1209" s="6">
        <v>1700</v>
      </c>
    </row>
    <row r="1210" spans="1:19" ht="15" x14ac:dyDescent="0.25">
      <c r="A1210" s="7" t="s">
        <v>16</v>
      </c>
      <c r="B1210" s="7" t="s">
        <v>55</v>
      </c>
      <c r="C1210" s="7" t="s">
        <v>18</v>
      </c>
      <c r="D1210" s="3">
        <v>10323381000101</v>
      </c>
      <c r="E1210" s="8" t="s">
        <v>78</v>
      </c>
      <c r="F1210" s="8" t="s">
        <v>20</v>
      </c>
      <c r="G1210" s="8" t="s">
        <v>21</v>
      </c>
      <c r="H1210" s="8" t="s">
        <v>795</v>
      </c>
      <c r="I1210" s="3">
        <v>2</v>
      </c>
      <c r="J1210" s="8" t="s">
        <v>740</v>
      </c>
      <c r="K1210" s="8" t="s">
        <v>741</v>
      </c>
      <c r="L1210" s="8" t="s">
        <v>730</v>
      </c>
      <c r="M1210" s="1" t="s">
        <v>786</v>
      </c>
      <c r="N1210" s="8" t="s">
        <v>787</v>
      </c>
      <c r="O1210" s="6">
        <v>0</v>
      </c>
      <c r="P1210" s="6">
        <v>0</v>
      </c>
      <c r="Q1210" s="6">
        <v>0</v>
      </c>
      <c r="R1210" s="6">
        <v>6</v>
      </c>
      <c r="S1210" s="6">
        <v>0</v>
      </c>
    </row>
    <row r="1211" spans="1:19" ht="15" x14ac:dyDescent="0.25">
      <c r="A1211" s="7" t="s">
        <v>16</v>
      </c>
      <c r="B1211" s="7" t="s">
        <v>55</v>
      </c>
      <c r="C1211" s="7" t="s">
        <v>18</v>
      </c>
      <c r="D1211" s="3">
        <v>10323381000101</v>
      </c>
      <c r="E1211" s="8" t="s">
        <v>78</v>
      </c>
      <c r="F1211" s="8" t="s">
        <v>20</v>
      </c>
      <c r="G1211" s="8" t="s">
        <v>21</v>
      </c>
      <c r="H1211" s="8" t="s">
        <v>795</v>
      </c>
      <c r="I1211" s="3">
        <v>2</v>
      </c>
      <c r="J1211" s="8" t="s">
        <v>724</v>
      </c>
      <c r="K1211" s="8" t="s">
        <v>725</v>
      </c>
      <c r="L1211" s="8" t="s">
        <v>723</v>
      </c>
      <c r="M1211" s="1" t="s">
        <v>786</v>
      </c>
      <c r="N1211" s="8" t="s">
        <v>787</v>
      </c>
      <c r="O1211" s="6">
        <v>0</v>
      </c>
      <c r="P1211" s="6">
        <v>0</v>
      </c>
      <c r="Q1211" s="6">
        <v>0</v>
      </c>
      <c r="R1211" s="6">
        <v>0</v>
      </c>
      <c r="S1211" s="6">
        <v>0</v>
      </c>
    </row>
    <row r="1212" spans="1:19" ht="15" x14ac:dyDescent="0.25">
      <c r="A1212" s="7" t="s">
        <v>16</v>
      </c>
      <c r="B1212" s="7" t="s">
        <v>55</v>
      </c>
      <c r="C1212" s="7" t="s">
        <v>18</v>
      </c>
      <c r="D1212" s="3">
        <v>28290788000307</v>
      </c>
      <c r="E1212" s="8" t="s">
        <v>83</v>
      </c>
      <c r="F1212" s="8" t="s">
        <v>20</v>
      </c>
      <c r="G1212" s="8" t="s">
        <v>21</v>
      </c>
      <c r="H1212" s="8" t="s">
        <v>795</v>
      </c>
      <c r="I1212" s="3">
        <v>2</v>
      </c>
      <c r="J1212" s="8" t="s">
        <v>770</v>
      </c>
      <c r="K1212" s="8" t="s">
        <v>771</v>
      </c>
      <c r="L1212" s="8" t="s">
        <v>730</v>
      </c>
      <c r="M1212" s="1" t="s">
        <v>786</v>
      </c>
      <c r="N1212" s="8" t="s">
        <v>787</v>
      </c>
      <c r="O1212" s="6">
        <v>0</v>
      </c>
      <c r="P1212" s="6">
        <v>0</v>
      </c>
      <c r="Q1212" s="6">
        <v>0</v>
      </c>
      <c r="R1212" s="6">
        <v>20</v>
      </c>
      <c r="S1212" s="6">
        <v>0</v>
      </c>
    </row>
    <row r="1213" spans="1:19" ht="15" x14ac:dyDescent="0.25">
      <c r="A1213" s="7" t="s">
        <v>16</v>
      </c>
      <c r="B1213" s="7" t="s">
        <v>55</v>
      </c>
      <c r="C1213" s="7" t="s">
        <v>18</v>
      </c>
      <c r="D1213" s="3">
        <v>28290788000307</v>
      </c>
      <c r="E1213" s="8" t="s">
        <v>83</v>
      </c>
      <c r="F1213" s="8" t="s">
        <v>20</v>
      </c>
      <c r="G1213" s="8" t="s">
        <v>21</v>
      </c>
      <c r="H1213" s="8" t="s">
        <v>795</v>
      </c>
      <c r="I1213" s="3">
        <v>2</v>
      </c>
      <c r="J1213" s="8" t="s">
        <v>724</v>
      </c>
      <c r="K1213" s="8" t="s">
        <v>725</v>
      </c>
      <c r="L1213" s="8" t="s">
        <v>723</v>
      </c>
      <c r="M1213" s="1" t="s">
        <v>786</v>
      </c>
      <c r="N1213" s="8" t="s">
        <v>787</v>
      </c>
      <c r="O1213" s="6">
        <v>0</v>
      </c>
      <c r="P1213" s="6">
        <v>0</v>
      </c>
      <c r="Q1213" s="6">
        <v>0</v>
      </c>
      <c r="R1213" s="6">
        <v>0</v>
      </c>
      <c r="S1213" s="6">
        <v>0</v>
      </c>
    </row>
    <row r="1214" spans="1:19" ht="15" x14ac:dyDescent="0.25">
      <c r="A1214" s="7" t="s">
        <v>16</v>
      </c>
      <c r="B1214" s="7" t="s">
        <v>55</v>
      </c>
      <c r="C1214" s="7" t="s">
        <v>18</v>
      </c>
      <c r="D1214" s="3">
        <v>3872790000193</v>
      </c>
      <c r="E1214" s="8" t="s">
        <v>71</v>
      </c>
      <c r="F1214" s="8" t="s">
        <v>20</v>
      </c>
      <c r="G1214" s="8" t="s">
        <v>21</v>
      </c>
      <c r="H1214" s="8" t="s">
        <v>795</v>
      </c>
      <c r="I1214" s="3">
        <v>2</v>
      </c>
      <c r="J1214" s="8" t="s">
        <v>740</v>
      </c>
      <c r="K1214" s="8" t="s">
        <v>741</v>
      </c>
      <c r="L1214" s="8" t="s">
        <v>730</v>
      </c>
      <c r="M1214" s="1" t="s">
        <v>786</v>
      </c>
      <c r="N1214" s="8" t="s">
        <v>787</v>
      </c>
      <c r="O1214" s="6">
        <v>0</v>
      </c>
      <c r="P1214" s="6">
        <v>0</v>
      </c>
      <c r="Q1214" s="6">
        <v>0</v>
      </c>
      <c r="R1214" s="6">
        <v>8</v>
      </c>
      <c r="S1214" s="6">
        <v>0</v>
      </c>
    </row>
    <row r="1215" spans="1:19" ht="15" x14ac:dyDescent="0.25">
      <c r="A1215" s="7" t="s">
        <v>16</v>
      </c>
      <c r="B1215" s="7" t="s">
        <v>55</v>
      </c>
      <c r="C1215" s="7" t="s">
        <v>18</v>
      </c>
      <c r="D1215" s="3">
        <v>3872790000193</v>
      </c>
      <c r="E1215" s="8" t="s">
        <v>71</v>
      </c>
      <c r="F1215" s="8" t="s">
        <v>20</v>
      </c>
      <c r="G1215" s="8" t="s">
        <v>21</v>
      </c>
      <c r="H1215" s="8" t="s">
        <v>795</v>
      </c>
      <c r="I1215" s="3">
        <v>2</v>
      </c>
      <c r="J1215" s="8" t="s">
        <v>724</v>
      </c>
      <c r="K1215" s="8" t="s">
        <v>725</v>
      </c>
      <c r="L1215" s="8" t="s">
        <v>723</v>
      </c>
      <c r="M1215" s="1" t="s">
        <v>786</v>
      </c>
      <c r="N1215" s="8" t="s">
        <v>787</v>
      </c>
      <c r="O1215" s="6">
        <v>0</v>
      </c>
      <c r="P1215" s="6">
        <v>0</v>
      </c>
      <c r="Q1215" s="6">
        <v>0</v>
      </c>
      <c r="R1215" s="6">
        <v>0</v>
      </c>
      <c r="S1215" s="6">
        <v>0</v>
      </c>
    </row>
    <row r="1216" spans="1:19" ht="15" x14ac:dyDescent="0.25">
      <c r="A1216" s="7" t="s">
        <v>16</v>
      </c>
      <c r="B1216" s="7" t="s">
        <v>55</v>
      </c>
      <c r="C1216" s="7" t="s">
        <v>18</v>
      </c>
      <c r="D1216" s="3">
        <v>10475230000160</v>
      </c>
      <c r="E1216" s="8" t="s">
        <v>31</v>
      </c>
      <c r="F1216" s="8" t="s">
        <v>20</v>
      </c>
      <c r="G1216" s="8" t="s">
        <v>21</v>
      </c>
      <c r="H1216" s="8" t="s">
        <v>795</v>
      </c>
      <c r="I1216" s="3">
        <v>2</v>
      </c>
      <c r="J1216" s="8" t="s">
        <v>740</v>
      </c>
      <c r="K1216" s="8" t="s">
        <v>741</v>
      </c>
      <c r="L1216" s="8" t="s">
        <v>730</v>
      </c>
      <c r="M1216" s="1" t="s">
        <v>786</v>
      </c>
      <c r="N1216" s="8" t="s">
        <v>787</v>
      </c>
      <c r="O1216" s="6">
        <v>0</v>
      </c>
      <c r="P1216" s="6">
        <v>0</v>
      </c>
      <c r="Q1216" s="6">
        <v>0</v>
      </c>
      <c r="R1216" s="6">
        <v>0</v>
      </c>
      <c r="S1216" s="6">
        <v>45</v>
      </c>
    </row>
    <row r="1217" spans="1:19" ht="15" x14ac:dyDescent="0.25">
      <c r="A1217" s="7" t="s">
        <v>16</v>
      </c>
      <c r="B1217" s="7" t="s">
        <v>55</v>
      </c>
      <c r="C1217" s="7" t="s">
        <v>18</v>
      </c>
      <c r="D1217" s="3">
        <v>10475230000160</v>
      </c>
      <c r="E1217" s="8" t="s">
        <v>31</v>
      </c>
      <c r="F1217" s="8" t="s">
        <v>20</v>
      </c>
      <c r="G1217" s="8" t="s">
        <v>21</v>
      </c>
      <c r="H1217" s="8" t="s">
        <v>795</v>
      </c>
      <c r="I1217" s="3">
        <v>2</v>
      </c>
      <c r="J1217" s="8" t="s">
        <v>756</v>
      </c>
      <c r="K1217" s="8" t="s">
        <v>757</v>
      </c>
      <c r="L1217" s="8" t="s">
        <v>723</v>
      </c>
      <c r="M1217" s="1" t="s">
        <v>786</v>
      </c>
      <c r="N1217" s="8" t="s">
        <v>787</v>
      </c>
      <c r="O1217" s="6">
        <v>0</v>
      </c>
      <c r="P1217" s="6">
        <v>0</v>
      </c>
      <c r="Q1217" s="6">
        <v>0</v>
      </c>
      <c r="R1217" s="6">
        <v>0</v>
      </c>
      <c r="S1217" s="6">
        <v>45</v>
      </c>
    </row>
    <row r="1218" spans="1:19" ht="15" x14ac:dyDescent="0.25">
      <c r="A1218" s="7" t="s">
        <v>16</v>
      </c>
      <c r="B1218" s="7" t="s">
        <v>55</v>
      </c>
      <c r="C1218" s="7" t="s">
        <v>18</v>
      </c>
      <c r="D1218" s="3">
        <v>60884855000316</v>
      </c>
      <c r="E1218" s="8" t="s">
        <v>46</v>
      </c>
      <c r="F1218" s="8" t="s">
        <v>20</v>
      </c>
      <c r="G1218" s="8" t="s">
        <v>21</v>
      </c>
      <c r="H1218" s="8" t="s">
        <v>795</v>
      </c>
      <c r="I1218" s="3">
        <v>2</v>
      </c>
      <c r="J1218" s="8" t="s">
        <v>770</v>
      </c>
      <c r="K1218" s="8" t="s">
        <v>771</v>
      </c>
      <c r="L1218" s="8" t="s">
        <v>730</v>
      </c>
      <c r="M1218" s="1" t="s">
        <v>786</v>
      </c>
      <c r="N1218" s="8" t="s">
        <v>787</v>
      </c>
      <c r="O1218" s="6">
        <v>0</v>
      </c>
      <c r="P1218" s="6">
        <v>0</v>
      </c>
      <c r="Q1218" s="6">
        <v>0</v>
      </c>
      <c r="R1218" s="6">
        <v>24</v>
      </c>
      <c r="S1218" s="6">
        <v>875</v>
      </c>
    </row>
    <row r="1219" spans="1:19" ht="15" x14ac:dyDescent="0.25">
      <c r="A1219" s="7" t="s">
        <v>16</v>
      </c>
      <c r="B1219" s="7" t="s">
        <v>55</v>
      </c>
      <c r="C1219" s="7" t="s">
        <v>18</v>
      </c>
      <c r="D1219" s="3">
        <v>60884855000316</v>
      </c>
      <c r="E1219" s="8" t="s">
        <v>46</v>
      </c>
      <c r="F1219" s="8" t="s">
        <v>20</v>
      </c>
      <c r="G1219" s="8" t="s">
        <v>21</v>
      </c>
      <c r="H1219" s="8" t="s">
        <v>795</v>
      </c>
      <c r="I1219" s="3">
        <v>2</v>
      </c>
      <c r="J1219" s="8" t="s">
        <v>762</v>
      </c>
      <c r="K1219" s="8" t="s">
        <v>763</v>
      </c>
      <c r="L1219" s="8" t="s">
        <v>723</v>
      </c>
      <c r="M1219" s="1" t="s">
        <v>786</v>
      </c>
      <c r="N1219" s="8" t="s">
        <v>787</v>
      </c>
      <c r="O1219" s="6">
        <v>0</v>
      </c>
      <c r="P1219" s="6">
        <v>10</v>
      </c>
      <c r="Q1219" s="6">
        <v>3</v>
      </c>
      <c r="R1219" s="6">
        <v>0</v>
      </c>
      <c r="S1219" s="6">
        <v>875</v>
      </c>
    </row>
    <row r="1220" spans="1:19" ht="15" x14ac:dyDescent="0.25">
      <c r="A1220" s="7" t="s">
        <v>16</v>
      </c>
      <c r="B1220" s="7" t="s">
        <v>55</v>
      </c>
      <c r="C1220" s="7" t="s">
        <v>18</v>
      </c>
      <c r="D1220" s="3">
        <v>60961968000459</v>
      </c>
      <c r="E1220" s="8" t="s">
        <v>95</v>
      </c>
      <c r="F1220" s="8" t="s">
        <v>20</v>
      </c>
      <c r="G1220" s="8" t="s">
        <v>21</v>
      </c>
      <c r="H1220" s="8" t="s">
        <v>795</v>
      </c>
      <c r="I1220" s="3">
        <v>2</v>
      </c>
      <c r="J1220" s="8" t="s">
        <v>770</v>
      </c>
      <c r="K1220" s="8" t="s">
        <v>771</v>
      </c>
      <c r="L1220" s="8" t="s">
        <v>730</v>
      </c>
      <c r="M1220" s="1" t="s">
        <v>786</v>
      </c>
      <c r="N1220" s="8" t="s">
        <v>787</v>
      </c>
      <c r="O1220" s="6">
        <v>0</v>
      </c>
      <c r="P1220" s="6">
        <v>0</v>
      </c>
      <c r="Q1220" s="6">
        <v>0</v>
      </c>
      <c r="R1220" s="6">
        <v>0</v>
      </c>
      <c r="S1220" s="6">
        <v>0</v>
      </c>
    </row>
    <row r="1221" spans="1:19" ht="15" x14ac:dyDescent="0.25">
      <c r="A1221" s="7" t="s">
        <v>16</v>
      </c>
      <c r="B1221" s="7" t="s">
        <v>55</v>
      </c>
      <c r="C1221" s="7" t="s">
        <v>18</v>
      </c>
      <c r="D1221" s="3">
        <v>60961968000459</v>
      </c>
      <c r="E1221" s="8" t="s">
        <v>95</v>
      </c>
      <c r="F1221" s="8" t="s">
        <v>20</v>
      </c>
      <c r="G1221" s="8" t="s">
        <v>21</v>
      </c>
      <c r="H1221" s="8" t="s">
        <v>795</v>
      </c>
      <c r="I1221" s="3">
        <v>2</v>
      </c>
      <c r="J1221" s="8" t="s">
        <v>756</v>
      </c>
      <c r="K1221" s="8" t="s">
        <v>757</v>
      </c>
      <c r="L1221" s="8" t="s">
        <v>723</v>
      </c>
      <c r="M1221" s="1" t="s">
        <v>786</v>
      </c>
      <c r="N1221" s="8" t="s">
        <v>787</v>
      </c>
      <c r="O1221" s="6">
        <v>0</v>
      </c>
      <c r="P1221" s="6">
        <v>2</v>
      </c>
      <c r="Q1221" s="6">
        <v>5</v>
      </c>
      <c r="R1221" s="6">
        <v>0</v>
      </c>
      <c r="S1221" s="6">
        <v>0</v>
      </c>
    </row>
    <row r="1222" spans="1:19" ht="15" x14ac:dyDescent="0.25">
      <c r="A1222" s="7" t="s">
        <v>16</v>
      </c>
      <c r="B1222" s="7" t="s">
        <v>55</v>
      </c>
      <c r="C1222" s="7" t="s">
        <v>18</v>
      </c>
      <c r="D1222" s="3">
        <v>60726502000126</v>
      </c>
      <c r="E1222" s="8" t="s">
        <v>44</v>
      </c>
      <c r="F1222" s="8" t="s">
        <v>20</v>
      </c>
      <c r="G1222" s="8" t="s">
        <v>21</v>
      </c>
      <c r="H1222" s="8" t="s">
        <v>795</v>
      </c>
      <c r="I1222" s="3">
        <v>2</v>
      </c>
      <c r="J1222" s="8" t="s">
        <v>770</v>
      </c>
      <c r="K1222" s="8" t="s">
        <v>771</v>
      </c>
      <c r="L1222" s="8" t="s">
        <v>730</v>
      </c>
      <c r="M1222" s="1" t="s">
        <v>786</v>
      </c>
      <c r="N1222" s="8" t="s">
        <v>787</v>
      </c>
      <c r="O1222" s="6">
        <v>0</v>
      </c>
      <c r="P1222" s="6">
        <v>0</v>
      </c>
      <c r="Q1222" s="6">
        <v>0</v>
      </c>
      <c r="R1222" s="6">
        <v>16</v>
      </c>
      <c r="S1222" s="6">
        <v>830</v>
      </c>
    </row>
    <row r="1223" spans="1:19" ht="15" x14ac:dyDescent="0.25">
      <c r="A1223" s="7" t="s">
        <v>16</v>
      </c>
      <c r="B1223" s="7" t="s">
        <v>55</v>
      </c>
      <c r="C1223" s="7" t="s">
        <v>18</v>
      </c>
      <c r="D1223" s="3">
        <v>60726502000126</v>
      </c>
      <c r="E1223" s="8" t="s">
        <v>44</v>
      </c>
      <c r="F1223" s="8" t="s">
        <v>20</v>
      </c>
      <c r="G1223" s="8" t="s">
        <v>21</v>
      </c>
      <c r="H1223" s="8" t="s">
        <v>795</v>
      </c>
      <c r="I1223" s="3">
        <v>2</v>
      </c>
      <c r="J1223" s="8" t="s">
        <v>762</v>
      </c>
      <c r="K1223" s="8" t="s">
        <v>763</v>
      </c>
      <c r="L1223" s="8" t="s">
        <v>723</v>
      </c>
      <c r="M1223" s="1" t="s">
        <v>786</v>
      </c>
      <c r="N1223" s="8" t="s">
        <v>787</v>
      </c>
      <c r="O1223" s="6">
        <v>0</v>
      </c>
      <c r="P1223" s="6">
        <v>6</v>
      </c>
      <c r="Q1223" s="6">
        <v>2</v>
      </c>
      <c r="R1223" s="6">
        <v>0</v>
      </c>
      <c r="S1223" s="6">
        <v>830</v>
      </c>
    </row>
    <row r="1224" spans="1:19" ht="15" x14ac:dyDescent="0.25">
      <c r="A1224" s="7" t="s">
        <v>16</v>
      </c>
      <c r="B1224" s="7" t="s">
        <v>55</v>
      </c>
      <c r="C1224" s="7" t="s">
        <v>18</v>
      </c>
      <c r="D1224" s="3">
        <v>8100676000592</v>
      </c>
      <c r="E1224" s="8" t="s">
        <v>25</v>
      </c>
      <c r="F1224" s="8" t="s">
        <v>20</v>
      </c>
      <c r="G1224" s="8" t="s">
        <v>21</v>
      </c>
      <c r="H1224" s="8" t="s">
        <v>795</v>
      </c>
      <c r="I1224" s="3">
        <v>2</v>
      </c>
      <c r="J1224" s="8" t="s">
        <v>740</v>
      </c>
      <c r="K1224" s="8" t="s">
        <v>741</v>
      </c>
      <c r="L1224" s="8" t="s">
        <v>730</v>
      </c>
      <c r="M1224" s="1" t="s">
        <v>786</v>
      </c>
      <c r="N1224" s="8" t="s">
        <v>787</v>
      </c>
      <c r="O1224" s="6">
        <v>0</v>
      </c>
      <c r="P1224" s="6">
        <v>0</v>
      </c>
      <c r="Q1224" s="6">
        <v>0</v>
      </c>
      <c r="R1224" s="6">
        <v>0</v>
      </c>
      <c r="S1224" s="6">
        <v>220</v>
      </c>
    </row>
    <row r="1225" spans="1:19" ht="15" x14ac:dyDescent="0.25">
      <c r="A1225" s="7" t="s">
        <v>16</v>
      </c>
      <c r="B1225" s="7" t="s">
        <v>55</v>
      </c>
      <c r="C1225" s="7" t="s">
        <v>18</v>
      </c>
      <c r="D1225" s="3">
        <v>8100676000592</v>
      </c>
      <c r="E1225" s="8" t="s">
        <v>25</v>
      </c>
      <c r="F1225" s="8" t="s">
        <v>20</v>
      </c>
      <c r="G1225" s="8" t="s">
        <v>21</v>
      </c>
      <c r="H1225" s="8" t="s">
        <v>795</v>
      </c>
      <c r="I1225" s="3">
        <v>2</v>
      </c>
      <c r="J1225" s="8" t="s">
        <v>762</v>
      </c>
      <c r="K1225" s="8" t="s">
        <v>763</v>
      </c>
      <c r="L1225" s="8" t="s">
        <v>723</v>
      </c>
      <c r="M1225" s="1" t="s">
        <v>786</v>
      </c>
      <c r="N1225" s="8" t="s">
        <v>787</v>
      </c>
      <c r="O1225" s="6">
        <v>0</v>
      </c>
      <c r="P1225" s="6">
        <v>0</v>
      </c>
      <c r="Q1225" s="6">
        <v>0</v>
      </c>
      <c r="R1225" s="6">
        <v>0</v>
      </c>
      <c r="S1225" s="6">
        <v>220</v>
      </c>
    </row>
    <row r="1226" spans="1:19" ht="15" x14ac:dyDescent="0.25">
      <c r="A1226" s="7" t="s">
        <v>16</v>
      </c>
      <c r="B1226" s="7" t="s">
        <v>55</v>
      </c>
      <c r="C1226" s="7" t="s">
        <v>18</v>
      </c>
      <c r="D1226" s="3">
        <v>8100676002455</v>
      </c>
      <c r="E1226" s="8" t="s">
        <v>27</v>
      </c>
      <c r="F1226" s="8" t="s">
        <v>20</v>
      </c>
      <c r="G1226" s="8" t="s">
        <v>21</v>
      </c>
      <c r="H1226" s="8" t="s">
        <v>795</v>
      </c>
      <c r="I1226" s="3">
        <v>2</v>
      </c>
      <c r="J1226" s="8" t="s">
        <v>740</v>
      </c>
      <c r="K1226" s="8" t="s">
        <v>741</v>
      </c>
      <c r="L1226" s="8" t="s">
        <v>730</v>
      </c>
      <c r="M1226" s="1" t="s">
        <v>786</v>
      </c>
      <c r="N1226" s="8" t="s">
        <v>787</v>
      </c>
      <c r="O1226" s="6">
        <v>0</v>
      </c>
      <c r="P1226" s="6">
        <v>0</v>
      </c>
      <c r="Q1226" s="6">
        <v>0</v>
      </c>
      <c r="R1226" s="6">
        <v>0</v>
      </c>
      <c r="S1226" s="6">
        <v>525</v>
      </c>
    </row>
    <row r="1227" spans="1:19" ht="15" x14ac:dyDescent="0.25">
      <c r="A1227" s="7" t="s">
        <v>16</v>
      </c>
      <c r="B1227" s="7" t="s">
        <v>55</v>
      </c>
      <c r="C1227" s="7" t="s">
        <v>18</v>
      </c>
      <c r="D1227" s="3">
        <v>8100676002455</v>
      </c>
      <c r="E1227" s="8" t="s">
        <v>27</v>
      </c>
      <c r="F1227" s="8" t="s">
        <v>20</v>
      </c>
      <c r="G1227" s="8" t="s">
        <v>21</v>
      </c>
      <c r="H1227" s="8" t="s">
        <v>795</v>
      </c>
      <c r="I1227" s="3">
        <v>2</v>
      </c>
      <c r="J1227" s="8" t="s">
        <v>762</v>
      </c>
      <c r="K1227" s="8" t="s">
        <v>763</v>
      </c>
      <c r="L1227" s="8" t="s">
        <v>723</v>
      </c>
      <c r="M1227" s="1" t="s">
        <v>786</v>
      </c>
      <c r="N1227" s="8" t="s">
        <v>787</v>
      </c>
      <c r="O1227" s="6">
        <v>0</v>
      </c>
      <c r="P1227" s="6">
        <v>12</v>
      </c>
      <c r="Q1227" s="6">
        <v>0</v>
      </c>
      <c r="R1227" s="6">
        <v>0</v>
      </c>
      <c r="S1227" s="6">
        <v>525</v>
      </c>
    </row>
    <row r="1228" spans="1:19" ht="15" x14ac:dyDescent="0.25">
      <c r="A1228" s="7" t="s">
        <v>16</v>
      </c>
      <c r="B1228" s="7" t="s">
        <v>55</v>
      </c>
      <c r="C1228" s="7" t="s">
        <v>18</v>
      </c>
      <c r="D1228" s="3">
        <v>60922168004335</v>
      </c>
      <c r="E1228" s="8" t="s">
        <v>48</v>
      </c>
      <c r="F1228" s="8" t="s">
        <v>20</v>
      </c>
      <c r="G1228" s="8" t="s">
        <v>21</v>
      </c>
      <c r="H1228" s="8" t="s">
        <v>795</v>
      </c>
      <c r="I1228" s="3">
        <v>2</v>
      </c>
      <c r="J1228" s="8" t="s">
        <v>740</v>
      </c>
      <c r="K1228" s="8" t="s">
        <v>741</v>
      </c>
      <c r="L1228" s="8" t="s">
        <v>730</v>
      </c>
      <c r="M1228" s="1" t="s">
        <v>786</v>
      </c>
      <c r="N1228" s="8" t="s">
        <v>787</v>
      </c>
      <c r="O1228" s="6">
        <v>0</v>
      </c>
      <c r="P1228" s="6">
        <v>0</v>
      </c>
      <c r="Q1228" s="6">
        <v>0</v>
      </c>
      <c r="R1228" s="6">
        <v>0</v>
      </c>
      <c r="S1228" s="6">
        <v>60</v>
      </c>
    </row>
    <row r="1229" spans="1:19" ht="15" x14ac:dyDescent="0.25">
      <c r="A1229" s="7" t="s">
        <v>16</v>
      </c>
      <c r="B1229" s="7" t="s">
        <v>55</v>
      </c>
      <c r="C1229" s="7" t="s">
        <v>18</v>
      </c>
      <c r="D1229" s="3">
        <v>60922168004335</v>
      </c>
      <c r="E1229" s="8" t="s">
        <v>48</v>
      </c>
      <c r="F1229" s="8" t="s">
        <v>20</v>
      </c>
      <c r="G1229" s="8" t="s">
        <v>21</v>
      </c>
      <c r="H1229" s="8" t="s">
        <v>795</v>
      </c>
      <c r="I1229" s="3">
        <v>2</v>
      </c>
      <c r="J1229" s="8" t="s">
        <v>762</v>
      </c>
      <c r="K1229" s="8" t="s">
        <v>763</v>
      </c>
      <c r="L1229" s="8" t="s">
        <v>723</v>
      </c>
      <c r="M1229" s="1" t="s">
        <v>786</v>
      </c>
      <c r="N1229" s="8" t="s">
        <v>787</v>
      </c>
      <c r="O1229" s="6">
        <v>0</v>
      </c>
      <c r="P1229" s="6">
        <v>0</v>
      </c>
      <c r="Q1229" s="6">
        <v>0</v>
      </c>
      <c r="R1229" s="6">
        <v>0</v>
      </c>
      <c r="S1229" s="6">
        <v>60</v>
      </c>
    </row>
    <row r="1230" spans="1:19" ht="15" x14ac:dyDescent="0.25">
      <c r="A1230" s="7" t="s">
        <v>16</v>
      </c>
      <c r="B1230" s="7" t="s">
        <v>55</v>
      </c>
      <c r="C1230" s="7" t="s">
        <v>18</v>
      </c>
      <c r="D1230" s="3">
        <v>21371777000132</v>
      </c>
      <c r="E1230" s="8" t="s">
        <v>33</v>
      </c>
      <c r="F1230" s="8" t="s">
        <v>20</v>
      </c>
      <c r="G1230" s="8" t="s">
        <v>21</v>
      </c>
      <c r="H1230" s="8" t="s">
        <v>795</v>
      </c>
      <c r="I1230" s="3">
        <v>2</v>
      </c>
      <c r="J1230" s="8" t="s">
        <v>740</v>
      </c>
      <c r="K1230" s="8" t="s">
        <v>741</v>
      </c>
      <c r="L1230" s="8" t="s">
        <v>730</v>
      </c>
      <c r="M1230" s="1" t="s">
        <v>786</v>
      </c>
      <c r="N1230" s="8" t="s">
        <v>787</v>
      </c>
      <c r="O1230" s="6">
        <v>0</v>
      </c>
      <c r="P1230" s="6">
        <v>0</v>
      </c>
      <c r="Q1230" s="6">
        <v>0</v>
      </c>
      <c r="R1230" s="6">
        <v>0</v>
      </c>
      <c r="S1230" s="6">
        <v>600</v>
      </c>
    </row>
    <row r="1231" spans="1:19" ht="15" x14ac:dyDescent="0.25">
      <c r="A1231" s="7" t="s">
        <v>16</v>
      </c>
      <c r="B1231" s="7" t="s">
        <v>55</v>
      </c>
      <c r="C1231" s="7" t="s">
        <v>18</v>
      </c>
      <c r="D1231" s="3">
        <v>21371777000132</v>
      </c>
      <c r="E1231" s="8" t="s">
        <v>33</v>
      </c>
      <c r="F1231" s="8" t="s">
        <v>20</v>
      </c>
      <c r="G1231" s="8" t="s">
        <v>21</v>
      </c>
      <c r="H1231" s="8" t="s">
        <v>795</v>
      </c>
      <c r="I1231" s="3">
        <v>2</v>
      </c>
      <c r="J1231" s="8" t="s">
        <v>762</v>
      </c>
      <c r="K1231" s="8" t="s">
        <v>763</v>
      </c>
      <c r="L1231" s="8" t="s">
        <v>723</v>
      </c>
      <c r="M1231" s="1" t="s">
        <v>786</v>
      </c>
      <c r="N1231" s="8" t="s">
        <v>787</v>
      </c>
      <c r="O1231" s="6">
        <v>0</v>
      </c>
      <c r="P1231" s="6">
        <v>38</v>
      </c>
      <c r="Q1231" s="6">
        <v>16</v>
      </c>
      <c r="R1231" s="6">
        <v>0</v>
      </c>
      <c r="S1231" s="6">
        <v>600</v>
      </c>
    </row>
    <row r="1232" spans="1:19" ht="15" x14ac:dyDescent="0.25">
      <c r="A1232" s="7" t="s">
        <v>16</v>
      </c>
      <c r="B1232" s="7" t="s">
        <v>55</v>
      </c>
      <c r="C1232" s="7" t="s">
        <v>18</v>
      </c>
      <c r="D1232" s="3">
        <v>60448040000122</v>
      </c>
      <c r="E1232" s="8" t="s">
        <v>85</v>
      </c>
      <c r="F1232" s="8" t="s">
        <v>20</v>
      </c>
      <c r="G1232" s="8" t="s">
        <v>21</v>
      </c>
      <c r="H1232" s="8" t="s">
        <v>795</v>
      </c>
      <c r="I1232" s="3">
        <v>2</v>
      </c>
      <c r="J1232" s="8" t="s">
        <v>770</v>
      </c>
      <c r="K1232" s="8" t="s">
        <v>771</v>
      </c>
      <c r="L1232" s="8" t="s">
        <v>730</v>
      </c>
      <c r="M1232" s="1" t="s">
        <v>786</v>
      </c>
      <c r="N1232" s="8" t="s">
        <v>787</v>
      </c>
      <c r="O1232" s="6">
        <v>0</v>
      </c>
      <c r="P1232" s="6">
        <v>0</v>
      </c>
      <c r="Q1232" s="6">
        <v>0</v>
      </c>
      <c r="R1232" s="6">
        <v>0</v>
      </c>
      <c r="S1232" s="6">
        <v>0</v>
      </c>
    </row>
    <row r="1233" spans="1:19" ht="15" x14ac:dyDescent="0.25">
      <c r="A1233" s="7" t="s">
        <v>16</v>
      </c>
      <c r="B1233" s="7" t="s">
        <v>55</v>
      </c>
      <c r="C1233" s="7" t="s">
        <v>18</v>
      </c>
      <c r="D1233" s="3">
        <v>60448040000122</v>
      </c>
      <c r="E1233" s="8" t="s">
        <v>85</v>
      </c>
      <c r="F1233" s="8" t="s">
        <v>20</v>
      </c>
      <c r="G1233" s="8" t="s">
        <v>21</v>
      </c>
      <c r="H1233" s="8" t="s">
        <v>795</v>
      </c>
      <c r="I1233" s="3">
        <v>2</v>
      </c>
      <c r="J1233" s="8" t="s">
        <v>756</v>
      </c>
      <c r="K1233" s="8" t="s">
        <v>757</v>
      </c>
      <c r="L1233" s="8" t="s">
        <v>723</v>
      </c>
      <c r="M1233" s="1" t="s">
        <v>786</v>
      </c>
      <c r="N1233" s="8" t="s">
        <v>787</v>
      </c>
      <c r="O1233" s="6">
        <v>0</v>
      </c>
      <c r="P1233" s="6">
        <v>57</v>
      </c>
      <c r="Q1233" s="6">
        <v>87</v>
      </c>
      <c r="R1233" s="6">
        <v>0</v>
      </c>
      <c r="S1233" s="6">
        <v>0</v>
      </c>
    </row>
    <row r="1234" spans="1:19" ht="15" x14ac:dyDescent="0.25">
      <c r="A1234" s="7" t="s">
        <v>16</v>
      </c>
      <c r="B1234" s="7" t="s">
        <v>55</v>
      </c>
      <c r="C1234" s="7" t="s">
        <v>18</v>
      </c>
      <c r="D1234" s="3">
        <v>60453024000390</v>
      </c>
      <c r="E1234" s="8" t="s">
        <v>86</v>
      </c>
      <c r="F1234" s="8" t="s">
        <v>20</v>
      </c>
      <c r="G1234" s="8" t="s">
        <v>21</v>
      </c>
      <c r="H1234" s="8" t="s">
        <v>795</v>
      </c>
      <c r="I1234" s="3">
        <v>2</v>
      </c>
      <c r="J1234" s="8" t="s">
        <v>740</v>
      </c>
      <c r="K1234" s="8" t="s">
        <v>741</v>
      </c>
      <c r="L1234" s="8" t="s">
        <v>730</v>
      </c>
      <c r="M1234" s="1" t="s">
        <v>786</v>
      </c>
      <c r="N1234" s="8" t="s">
        <v>787</v>
      </c>
      <c r="O1234" s="6">
        <v>0</v>
      </c>
      <c r="P1234" s="6">
        <v>0</v>
      </c>
      <c r="Q1234" s="6">
        <v>0</v>
      </c>
      <c r="R1234" s="6">
        <v>0</v>
      </c>
      <c r="S1234" s="6">
        <v>0</v>
      </c>
    </row>
    <row r="1235" spans="1:19" ht="15" x14ac:dyDescent="0.25">
      <c r="A1235" s="7" t="s">
        <v>16</v>
      </c>
      <c r="B1235" s="7" t="s">
        <v>55</v>
      </c>
      <c r="C1235" s="7" t="s">
        <v>18</v>
      </c>
      <c r="D1235" s="3">
        <v>60453024000390</v>
      </c>
      <c r="E1235" s="8" t="s">
        <v>86</v>
      </c>
      <c r="F1235" s="8" t="s">
        <v>20</v>
      </c>
      <c r="G1235" s="8" t="s">
        <v>21</v>
      </c>
      <c r="H1235" s="8" t="s">
        <v>795</v>
      </c>
      <c r="I1235" s="3">
        <v>2</v>
      </c>
      <c r="J1235" s="8" t="s">
        <v>756</v>
      </c>
      <c r="K1235" s="8" t="s">
        <v>757</v>
      </c>
      <c r="L1235" s="8" t="s">
        <v>723</v>
      </c>
      <c r="M1235" s="1" t="s">
        <v>786</v>
      </c>
      <c r="N1235" s="8" t="s">
        <v>787</v>
      </c>
      <c r="O1235" s="6">
        <v>0</v>
      </c>
      <c r="P1235" s="6">
        <v>10</v>
      </c>
      <c r="Q1235" s="6">
        <v>37</v>
      </c>
      <c r="R1235" s="6">
        <v>0</v>
      </c>
      <c r="S1235" s="6">
        <v>0</v>
      </c>
    </row>
    <row r="1236" spans="1:19" ht="15" x14ac:dyDescent="0.25">
      <c r="A1236" s="7" t="s">
        <v>16</v>
      </c>
      <c r="B1236" s="7" t="s">
        <v>55</v>
      </c>
      <c r="C1236" s="7" t="s">
        <v>18</v>
      </c>
      <c r="D1236" s="3">
        <v>51722957012512</v>
      </c>
      <c r="E1236" s="8" t="s">
        <v>40</v>
      </c>
      <c r="F1236" s="8" t="s">
        <v>20</v>
      </c>
      <c r="G1236" s="8" t="s">
        <v>21</v>
      </c>
      <c r="H1236" s="8" t="s">
        <v>795</v>
      </c>
      <c r="I1236" s="3">
        <v>2</v>
      </c>
      <c r="J1236" s="8" t="s">
        <v>740</v>
      </c>
      <c r="K1236" s="8" t="s">
        <v>741</v>
      </c>
      <c r="L1236" s="8" t="s">
        <v>730</v>
      </c>
      <c r="M1236" s="1" t="s">
        <v>786</v>
      </c>
      <c r="N1236" s="8" t="s">
        <v>787</v>
      </c>
      <c r="O1236" s="6">
        <v>0</v>
      </c>
      <c r="P1236" s="6">
        <v>0</v>
      </c>
      <c r="Q1236" s="6">
        <v>0</v>
      </c>
      <c r="R1236" s="6">
        <v>0</v>
      </c>
      <c r="S1236" s="6">
        <v>265</v>
      </c>
    </row>
    <row r="1237" spans="1:19" ht="15" x14ac:dyDescent="0.25">
      <c r="A1237" s="7" t="s">
        <v>16</v>
      </c>
      <c r="B1237" s="7" t="s">
        <v>55</v>
      </c>
      <c r="C1237" s="7" t="s">
        <v>18</v>
      </c>
      <c r="D1237" s="3">
        <v>51722957012512</v>
      </c>
      <c r="E1237" s="8" t="s">
        <v>40</v>
      </c>
      <c r="F1237" s="8" t="s">
        <v>20</v>
      </c>
      <c r="G1237" s="8" t="s">
        <v>21</v>
      </c>
      <c r="H1237" s="8" t="s">
        <v>795</v>
      </c>
      <c r="I1237" s="3">
        <v>2</v>
      </c>
      <c r="J1237" s="8" t="s">
        <v>762</v>
      </c>
      <c r="K1237" s="8" t="s">
        <v>763</v>
      </c>
      <c r="L1237" s="8" t="s">
        <v>723</v>
      </c>
      <c r="M1237" s="1" t="s">
        <v>786</v>
      </c>
      <c r="N1237" s="8" t="s">
        <v>787</v>
      </c>
      <c r="O1237" s="6">
        <v>0</v>
      </c>
      <c r="P1237" s="6">
        <v>0</v>
      </c>
      <c r="Q1237" s="6">
        <v>0</v>
      </c>
      <c r="R1237" s="6">
        <v>0</v>
      </c>
      <c r="S1237" s="6">
        <v>265</v>
      </c>
    </row>
    <row r="1238" spans="1:19" ht="15" x14ac:dyDescent="0.25">
      <c r="A1238" s="7" t="s">
        <v>16</v>
      </c>
      <c r="B1238" s="7" t="s">
        <v>55</v>
      </c>
      <c r="C1238" s="7" t="s">
        <v>18</v>
      </c>
      <c r="D1238" s="3">
        <v>60678604000113</v>
      </c>
      <c r="E1238" s="8" t="s">
        <v>64</v>
      </c>
      <c r="F1238" s="8" t="s">
        <v>20</v>
      </c>
      <c r="G1238" s="8" t="s">
        <v>21</v>
      </c>
      <c r="H1238" s="8" t="s">
        <v>795</v>
      </c>
      <c r="I1238" s="3">
        <v>2</v>
      </c>
      <c r="J1238" s="8" t="s">
        <v>740</v>
      </c>
      <c r="K1238" s="8" t="s">
        <v>741</v>
      </c>
      <c r="L1238" s="8" t="s">
        <v>730</v>
      </c>
      <c r="M1238" s="1" t="s">
        <v>786</v>
      </c>
      <c r="N1238" s="8" t="s">
        <v>787</v>
      </c>
      <c r="O1238" s="6">
        <v>0</v>
      </c>
      <c r="P1238" s="6">
        <v>0</v>
      </c>
      <c r="Q1238" s="6">
        <v>0</v>
      </c>
      <c r="R1238" s="6">
        <v>0</v>
      </c>
      <c r="S1238" s="6">
        <v>0</v>
      </c>
    </row>
    <row r="1239" spans="1:19" ht="15" x14ac:dyDescent="0.25">
      <c r="A1239" s="7" t="s">
        <v>16</v>
      </c>
      <c r="B1239" s="7" t="s">
        <v>55</v>
      </c>
      <c r="C1239" s="7" t="s">
        <v>18</v>
      </c>
      <c r="D1239" s="3">
        <v>60678604000113</v>
      </c>
      <c r="E1239" s="8" t="s">
        <v>64</v>
      </c>
      <c r="F1239" s="8" t="s">
        <v>20</v>
      </c>
      <c r="G1239" s="8" t="s">
        <v>21</v>
      </c>
      <c r="H1239" s="8" t="s">
        <v>795</v>
      </c>
      <c r="I1239" s="3">
        <v>2</v>
      </c>
      <c r="J1239" s="8" t="s">
        <v>724</v>
      </c>
      <c r="K1239" s="8" t="s">
        <v>725</v>
      </c>
      <c r="L1239" s="8" t="s">
        <v>723</v>
      </c>
      <c r="M1239" s="1" t="s">
        <v>786</v>
      </c>
      <c r="N1239" s="8" t="s">
        <v>787</v>
      </c>
      <c r="O1239" s="6">
        <v>0</v>
      </c>
      <c r="P1239" s="6">
        <v>0</v>
      </c>
      <c r="Q1239" s="6">
        <v>23</v>
      </c>
      <c r="R1239" s="6">
        <v>0</v>
      </c>
      <c r="S1239" s="6">
        <v>0</v>
      </c>
    </row>
    <row r="1240" spans="1:19" ht="15" x14ac:dyDescent="0.25">
      <c r="A1240" s="7" t="s">
        <v>16</v>
      </c>
      <c r="B1240" s="7" t="s">
        <v>55</v>
      </c>
      <c r="C1240" s="7" t="s">
        <v>18</v>
      </c>
      <c r="D1240" s="3">
        <v>61213674000240</v>
      </c>
      <c r="E1240" s="8" t="s">
        <v>52</v>
      </c>
      <c r="F1240" s="8" t="s">
        <v>20</v>
      </c>
      <c r="G1240" s="8" t="s">
        <v>21</v>
      </c>
      <c r="H1240" s="8" t="s">
        <v>795</v>
      </c>
      <c r="I1240" s="3">
        <v>2</v>
      </c>
      <c r="J1240" s="8" t="s">
        <v>770</v>
      </c>
      <c r="K1240" s="8" t="s">
        <v>771</v>
      </c>
      <c r="L1240" s="8" t="s">
        <v>730</v>
      </c>
      <c r="M1240" s="1" t="s">
        <v>786</v>
      </c>
      <c r="N1240" s="8" t="s">
        <v>787</v>
      </c>
      <c r="O1240" s="6">
        <v>0</v>
      </c>
      <c r="P1240" s="6">
        <v>0</v>
      </c>
      <c r="Q1240" s="6">
        <v>0</v>
      </c>
      <c r="R1240" s="6">
        <v>77</v>
      </c>
      <c r="S1240" s="6">
        <v>0</v>
      </c>
    </row>
    <row r="1241" spans="1:19" ht="15" x14ac:dyDescent="0.25">
      <c r="A1241" s="7" t="s">
        <v>16</v>
      </c>
      <c r="B1241" s="7" t="s">
        <v>55</v>
      </c>
      <c r="C1241" s="7" t="s">
        <v>18</v>
      </c>
      <c r="D1241" s="3">
        <v>61213674000240</v>
      </c>
      <c r="E1241" s="8" t="s">
        <v>52</v>
      </c>
      <c r="F1241" s="8" t="s">
        <v>20</v>
      </c>
      <c r="G1241" s="8" t="s">
        <v>21</v>
      </c>
      <c r="H1241" s="8" t="s">
        <v>795</v>
      </c>
      <c r="I1241" s="3">
        <v>2</v>
      </c>
      <c r="J1241" s="8" t="s">
        <v>724</v>
      </c>
      <c r="K1241" s="8" t="s">
        <v>725</v>
      </c>
      <c r="L1241" s="8" t="s">
        <v>723</v>
      </c>
      <c r="M1241" s="1" t="s">
        <v>786</v>
      </c>
      <c r="N1241" s="8" t="s">
        <v>787</v>
      </c>
      <c r="O1241" s="6">
        <v>0</v>
      </c>
      <c r="P1241" s="6">
        <v>5</v>
      </c>
      <c r="Q1241" s="6">
        <v>4</v>
      </c>
      <c r="R1241" s="6">
        <v>0</v>
      </c>
      <c r="S1241" s="6">
        <v>0</v>
      </c>
    </row>
    <row r="1242" spans="1:19" ht="15" x14ac:dyDescent="0.25">
      <c r="A1242" s="7" t="s">
        <v>16</v>
      </c>
      <c r="B1242" s="7" t="s">
        <v>55</v>
      </c>
      <c r="C1242" s="7" t="s">
        <v>18</v>
      </c>
      <c r="D1242" s="3">
        <v>60765823000130</v>
      </c>
      <c r="E1242" s="8" t="s">
        <v>94</v>
      </c>
      <c r="F1242" s="8" t="s">
        <v>20</v>
      </c>
      <c r="G1242" s="8" t="s">
        <v>21</v>
      </c>
      <c r="H1242" s="8" t="s">
        <v>795</v>
      </c>
      <c r="I1242" s="3">
        <v>2</v>
      </c>
      <c r="J1242" s="8" t="s">
        <v>770</v>
      </c>
      <c r="K1242" s="8" t="s">
        <v>771</v>
      </c>
      <c r="L1242" s="8" t="s">
        <v>730</v>
      </c>
      <c r="M1242" s="1" t="s">
        <v>786</v>
      </c>
      <c r="N1242" s="8" t="s">
        <v>787</v>
      </c>
      <c r="O1242" s="6">
        <v>0</v>
      </c>
      <c r="P1242" s="6">
        <v>0</v>
      </c>
      <c r="Q1242" s="6">
        <v>0</v>
      </c>
      <c r="R1242" s="6">
        <v>0</v>
      </c>
      <c r="S1242" s="6">
        <v>0</v>
      </c>
    </row>
    <row r="1243" spans="1:19" ht="15" x14ac:dyDescent="0.25">
      <c r="A1243" s="7" t="s">
        <v>16</v>
      </c>
      <c r="B1243" s="7" t="s">
        <v>55</v>
      </c>
      <c r="C1243" s="7" t="s">
        <v>18</v>
      </c>
      <c r="D1243" s="3">
        <v>60765823000130</v>
      </c>
      <c r="E1243" s="8" t="s">
        <v>94</v>
      </c>
      <c r="F1243" s="8" t="s">
        <v>20</v>
      </c>
      <c r="G1243" s="8" t="s">
        <v>21</v>
      </c>
      <c r="H1243" s="8" t="s">
        <v>795</v>
      </c>
      <c r="I1243" s="3">
        <v>2</v>
      </c>
      <c r="J1243" s="8" t="s">
        <v>724</v>
      </c>
      <c r="K1243" s="8" t="s">
        <v>725</v>
      </c>
      <c r="L1243" s="8" t="s">
        <v>723</v>
      </c>
      <c r="M1243" s="1" t="s">
        <v>786</v>
      </c>
      <c r="N1243" s="8" t="s">
        <v>787</v>
      </c>
      <c r="O1243" s="6">
        <v>0</v>
      </c>
      <c r="P1243" s="6">
        <v>0</v>
      </c>
      <c r="Q1243" s="6">
        <v>65</v>
      </c>
      <c r="R1243" s="6">
        <v>0</v>
      </c>
      <c r="S1243" s="6">
        <v>0</v>
      </c>
    </row>
    <row r="1244" spans="1:19" ht="15" x14ac:dyDescent="0.25">
      <c r="A1244" s="7" t="s">
        <v>16</v>
      </c>
      <c r="B1244" s="7" t="s">
        <v>55</v>
      </c>
      <c r="C1244" s="7" t="s">
        <v>18</v>
      </c>
      <c r="D1244" s="3">
        <v>19803199000114</v>
      </c>
      <c r="E1244" s="8" t="s">
        <v>32</v>
      </c>
      <c r="F1244" s="8" t="s">
        <v>20</v>
      </c>
      <c r="G1244" s="8" t="s">
        <v>21</v>
      </c>
      <c r="H1244" s="8" t="s">
        <v>795</v>
      </c>
      <c r="I1244" s="3">
        <v>2</v>
      </c>
      <c r="J1244" s="8" t="s">
        <v>740</v>
      </c>
      <c r="K1244" s="8" t="s">
        <v>741</v>
      </c>
      <c r="L1244" s="8" t="s">
        <v>730</v>
      </c>
      <c r="M1244" s="1" t="s">
        <v>786</v>
      </c>
      <c r="N1244" s="8" t="s">
        <v>787</v>
      </c>
      <c r="O1244" s="6">
        <v>0</v>
      </c>
      <c r="P1244" s="6">
        <v>0</v>
      </c>
      <c r="Q1244" s="6">
        <v>0</v>
      </c>
      <c r="R1244" s="6">
        <v>0</v>
      </c>
      <c r="S1244" s="6">
        <v>175</v>
      </c>
    </row>
    <row r="1245" spans="1:19" ht="15" x14ac:dyDescent="0.25">
      <c r="A1245" s="7" t="s">
        <v>16</v>
      </c>
      <c r="B1245" s="7" t="s">
        <v>55</v>
      </c>
      <c r="C1245" s="7" t="s">
        <v>18</v>
      </c>
      <c r="D1245" s="3">
        <v>19803199000114</v>
      </c>
      <c r="E1245" s="8" t="s">
        <v>32</v>
      </c>
      <c r="F1245" s="8" t="s">
        <v>20</v>
      </c>
      <c r="G1245" s="8" t="s">
        <v>21</v>
      </c>
      <c r="H1245" s="8" t="s">
        <v>795</v>
      </c>
      <c r="I1245" s="3">
        <v>2</v>
      </c>
      <c r="J1245" s="8" t="s">
        <v>762</v>
      </c>
      <c r="K1245" s="8" t="s">
        <v>763</v>
      </c>
      <c r="L1245" s="8" t="s">
        <v>723</v>
      </c>
      <c r="M1245" s="1" t="s">
        <v>786</v>
      </c>
      <c r="N1245" s="8" t="s">
        <v>787</v>
      </c>
      <c r="O1245" s="6">
        <v>0</v>
      </c>
      <c r="P1245" s="6">
        <v>2</v>
      </c>
      <c r="Q1245" s="6">
        <v>3</v>
      </c>
      <c r="R1245" s="6">
        <v>0</v>
      </c>
      <c r="S1245" s="6">
        <v>175</v>
      </c>
    </row>
    <row r="1246" spans="1:19" ht="15" x14ac:dyDescent="0.25">
      <c r="A1246" s="7" t="s">
        <v>16</v>
      </c>
      <c r="B1246" s="7" t="s">
        <v>55</v>
      </c>
      <c r="C1246" s="7" t="s">
        <v>18</v>
      </c>
      <c r="D1246" s="3">
        <v>19056055000141</v>
      </c>
      <c r="E1246" s="8" t="s">
        <v>93</v>
      </c>
      <c r="F1246" s="8" t="s">
        <v>20</v>
      </c>
      <c r="G1246" s="8" t="s">
        <v>21</v>
      </c>
      <c r="H1246" s="8" t="s">
        <v>795</v>
      </c>
      <c r="I1246" s="3">
        <v>2</v>
      </c>
      <c r="J1246" s="8" t="s">
        <v>740</v>
      </c>
      <c r="K1246" s="8" t="s">
        <v>741</v>
      </c>
      <c r="L1246" s="8" t="s">
        <v>730</v>
      </c>
      <c r="M1246" s="1" t="s">
        <v>786</v>
      </c>
      <c r="N1246" s="8" t="s">
        <v>787</v>
      </c>
      <c r="O1246" s="6">
        <v>0</v>
      </c>
      <c r="P1246" s="6">
        <v>0</v>
      </c>
      <c r="Q1246" s="6">
        <v>0</v>
      </c>
      <c r="R1246" s="6">
        <v>0</v>
      </c>
      <c r="S1246" s="6">
        <v>0</v>
      </c>
    </row>
    <row r="1247" spans="1:19" ht="15" x14ac:dyDescent="0.25">
      <c r="A1247" s="7" t="s">
        <v>16</v>
      </c>
      <c r="B1247" s="7" t="s">
        <v>55</v>
      </c>
      <c r="C1247" s="7" t="s">
        <v>18</v>
      </c>
      <c r="D1247" s="3">
        <v>19056055000141</v>
      </c>
      <c r="E1247" s="8" t="s">
        <v>93</v>
      </c>
      <c r="F1247" s="8" t="s">
        <v>20</v>
      </c>
      <c r="G1247" s="8" t="s">
        <v>21</v>
      </c>
      <c r="H1247" s="8" t="s">
        <v>795</v>
      </c>
      <c r="I1247" s="3">
        <v>2</v>
      </c>
      <c r="J1247" s="8" t="s">
        <v>756</v>
      </c>
      <c r="K1247" s="8" t="s">
        <v>757</v>
      </c>
      <c r="L1247" s="8" t="s">
        <v>723</v>
      </c>
      <c r="M1247" s="1" t="s">
        <v>786</v>
      </c>
      <c r="N1247" s="8" t="s">
        <v>787</v>
      </c>
      <c r="O1247" s="6">
        <v>0</v>
      </c>
      <c r="P1247" s="6">
        <v>0</v>
      </c>
      <c r="Q1247" s="6">
        <v>3</v>
      </c>
      <c r="R1247" s="6">
        <v>0</v>
      </c>
      <c r="S1247" s="6">
        <v>0</v>
      </c>
    </row>
    <row r="1248" spans="1:19" ht="15" x14ac:dyDescent="0.25">
      <c r="A1248" s="7" t="s">
        <v>16</v>
      </c>
      <c r="B1248" s="7" t="s">
        <v>55</v>
      </c>
      <c r="C1248" s="7" t="s">
        <v>18</v>
      </c>
      <c r="D1248" s="3">
        <v>29435005002687</v>
      </c>
      <c r="E1248" s="8" t="s">
        <v>34</v>
      </c>
      <c r="F1248" s="8" t="s">
        <v>20</v>
      </c>
      <c r="G1248" s="8" t="s">
        <v>21</v>
      </c>
      <c r="H1248" s="8" t="s">
        <v>795</v>
      </c>
      <c r="I1248" s="3">
        <v>2</v>
      </c>
      <c r="J1248" s="8" t="s">
        <v>740</v>
      </c>
      <c r="K1248" s="8" t="s">
        <v>741</v>
      </c>
      <c r="L1248" s="8" t="s">
        <v>730</v>
      </c>
      <c r="M1248" s="1" t="s">
        <v>786</v>
      </c>
      <c r="N1248" s="8" t="s">
        <v>787</v>
      </c>
      <c r="O1248" s="6">
        <v>0</v>
      </c>
      <c r="P1248" s="6">
        <v>0</v>
      </c>
      <c r="Q1248" s="6">
        <v>0</v>
      </c>
      <c r="R1248" s="6">
        <v>0</v>
      </c>
      <c r="S1248" s="6">
        <v>1350</v>
      </c>
    </row>
    <row r="1249" spans="1:19" ht="15" x14ac:dyDescent="0.25">
      <c r="A1249" s="7" t="s">
        <v>16</v>
      </c>
      <c r="B1249" s="7" t="s">
        <v>55</v>
      </c>
      <c r="C1249" s="7" t="s">
        <v>18</v>
      </c>
      <c r="D1249" s="3">
        <v>29435005002687</v>
      </c>
      <c r="E1249" s="8" t="s">
        <v>34</v>
      </c>
      <c r="F1249" s="8" t="s">
        <v>20</v>
      </c>
      <c r="G1249" s="8" t="s">
        <v>21</v>
      </c>
      <c r="H1249" s="8" t="s">
        <v>795</v>
      </c>
      <c r="I1249" s="3">
        <v>2</v>
      </c>
      <c r="J1249" s="8" t="s">
        <v>762</v>
      </c>
      <c r="K1249" s="8" t="s">
        <v>763</v>
      </c>
      <c r="L1249" s="8" t="s">
        <v>723</v>
      </c>
      <c r="M1249" s="1" t="s">
        <v>786</v>
      </c>
      <c r="N1249" s="8" t="s">
        <v>787</v>
      </c>
      <c r="O1249" s="6">
        <v>0</v>
      </c>
      <c r="P1249" s="6">
        <v>0</v>
      </c>
      <c r="Q1249" s="6">
        <v>0</v>
      </c>
      <c r="R1249" s="6">
        <v>0</v>
      </c>
      <c r="S1249" s="6">
        <v>1350</v>
      </c>
    </row>
    <row r="1250" spans="1:19" ht="15" x14ac:dyDescent="0.25">
      <c r="A1250" s="7" t="s">
        <v>16</v>
      </c>
      <c r="B1250" s="7" t="s">
        <v>55</v>
      </c>
      <c r="C1250" s="7" t="s">
        <v>18</v>
      </c>
      <c r="D1250" s="3">
        <v>60922168000771</v>
      </c>
      <c r="E1250" s="8" t="s">
        <v>47</v>
      </c>
      <c r="F1250" s="8" t="s">
        <v>20</v>
      </c>
      <c r="G1250" s="8" t="s">
        <v>21</v>
      </c>
      <c r="H1250" s="8" t="s">
        <v>795</v>
      </c>
      <c r="I1250" s="3">
        <v>2</v>
      </c>
      <c r="J1250" s="8" t="s">
        <v>770</v>
      </c>
      <c r="K1250" s="8" t="s">
        <v>771</v>
      </c>
      <c r="L1250" s="8" t="s">
        <v>730</v>
      </c>
      <c r="M1250" s="1" t="s">
        <v>786</v>
      </c>
      <c r="N1250" s="8" t="s">
        <v>787</v>
      </c>
      <c r="O1250" s="6">
        <v>0</v>
      </c>
      <c r="P1250" s="6">
        <v>0</v>
      </c>
      <c r="Q1250" s="6">
        <v>0</v>
      </c>
      <c r="R1250" s="6">
        <v>4</v>
      </c>
      <c r="S1250" s="6">
        <v>105</v>
      </c>
    </row>
    <row r="1251" spans="1:19" ht="15" x14ac:dyDescent="0.25">
      <c r="A1251" s="7" t="s">
        <v>16</v>
      </c>
      <c r="B1251" s="7" t="s">
        <v>55</v>
      </c>
      <c r="C1251" s="7" t="s">
        <v>18</v>
      </c>
      <c r="D1251" s="3">
        <v>60922168000771</v>
      </c>
      <c r="E1251" s="8" t="s">
        <v>47</v>
      </c>
      <c r="F1251" s="8" t="s">
        <v>20</v>
      </c>
      <c r="G1251" s="8" t="s">
        <v>21</v>
      </c>
      <c r="H1251" s="8" t="s">
        <v>795</v>
      </c>
      <c r="I1251" s="3">
        <v>2</v>
      </c>
      <c r="J1251" s="8" t="s">
        <v>724</v>
      </c>
      <c r="K1251" s="8" t="s">
        <v>725</v>
      </c>
      <c r="L1251" s="8" t="s">
        <v>723</v>
      </c>
      <c r="M1251" s="1" t="s">
        <v>786</v>
      </c>
      <c r="N1251" s="8" t="s">
        <v>787</v>
      </c>
      <c r="O1251" s="6">
        <v>0</v>
      </c>
      <c r="P1251" s="6">
        <v>0</v>
      </c>
      <c r="Q1251" s="6">
        <v>5</v>
      </c>
      <c r="R1251" s="6">
        <v>0</v>
      </c>
      <c r="S1251" s="6">
        <v>105</v>
      </c>
    </row>
    <row r="1252" spans="1:19" ht="15" x14ac:dyDescent="0.25">
      <c r="A1252" s="7" t="s">
        <v>16</v>
      </c>
      <c r="B1252" s="7" t="s">
        <v>55</v>
      </c>
      <c r="C1252" s="7" t="s">
        <v>18</v>
      </c>
      <c r="D1252" s="3">
        <v>60552098000111</v>
      </c>
      <c r="E1252" s="8" t="s">
        <v>43</v>
      </c>
      <c r="F1252" s="8" t="s">
        <v>20</v>
      </c>
      <c r="G1252" s="8" t="s">
        <v>21</v>
      </c>
      <c r="H1252" s="8" t="s">
        <v>795</v>
      </c>
      <c r="I1252" s="3">
        <v>2</v>
      </c>
      <c r="J1252" s="8" t="s">
        <v>740</v>
      </c>
      <c r="K1252" s="8" t="s">
        <v>741</v>
      </c>
      <c r="L1252" s="8" t="s">
        <v>730</v>
      </c>
      <c r="M1252" s="1" t="s">
        <v>786</v>
      </c>
      <c r="N1252" s="8" t="s">
        <v>787</v>
      </c>
      <c r="O1252" s="6">
        <v>0</v>
      </c>
      <c r="P1252" s="6">
        <v>0</v>
      </c>
      <c r="Q1252" s="6">
        <v>0</v>
      </c>
      <c r="R1252" s="6">
        <v>0</v>
      </c>
      <c r="S1252" s="6">
        <v>405</v>
      </c>
    </row>
    <row r="1253" spans="1:19" ht="15" x14ac:dyDescent="0.25">
      <c r="A1253" s="7" t="s">
        <v>16</v>
      </c>
      <c r="B1253" s="7" t="s">
        <v>55</v>
      </c>
      <c r="C1253" s="7" t="s">
        <v>18</v>
      </c>
      <c r="D1253" s="3">
        <v>60552098000111</v>
      </c>
      <c r="E1253" s="8" t="s">
        <v>43</v>
      </c>
      <c r="F1253" s="8" t="s">
        <v>20</v>
      </c>
      <c r="G1253" s="8" t="s">
        <v>21</v>
      </c>
      <c r="H1253" s="8" t="s">
        <v>795</v>
      </c>
      <c r="I1253" s="3">
        <v>2</v>
      </c>
      <c r="J1253" s="8" t="s">
        <v>724</v>
      </c>
      <c r="K1253" s="8" t="s">
        <v>725</v>
      </c>
      <c r="L1253" s="8" t="s">
        <v>723</v>
      </c>
      <c r="M1253" s="1" t="s">
        <v>786</v>
      </c>
      <c r="N1253" s="8" t="s">
        <v>787</v>
      </c>
      <c r="O1253" s="6">
        <v>0</v>
      </c>
      <c r="P1253" s="6">
        <v>0</v>
      </c>
      <c r="Q1253" s="6">
        <v>0</v>
      </c>
      <c r="R1253" s="6">
        <v>0</v>
      </c>
      <c r="S1253" s="6">
        <v>405</v>
      </c>
    </row>
    <row r="1254" spans="1:19" ht="15" x14ac:dyDescent="0.25">
      <c r="A1254" s="7" t="s">
        <v>16</v>
      </c>
      <c r="B1254" s="7" t="s">
        <v>55</v>
      </c>
      <c r="C1254" s="7" t="s">
        <v>18</v>
      </c>
      <c r="D1254" s="3">
        <v>60777901000116</v>
      </c>
      <c r="E1254" s="8" t="s">
        <v>45</v>
      </c>
      <c r="F1254" s="8" t="s">
        <v>20</v>
      </c>
      <c r="G1254" s="8" t="s">
        <v>21</v>
      </c>
      <c r="H1254" s="8" t="s">
        <v>795</v>
      </c>
      <c r="I1254" s="3">
        <v>2</v>
      </c>
      <c r="J1254" s="8" t="s">
        <v>740</v>
      </c>
      <c r="K1254" s="8" t="s">
        <v>741</v>
      </c>
      <c r="L1254" s="8" t="s">
        <v>730</v>
      </c>
      <c r="M1254" s="1" t="s">
        <v>786</v>
      </c>
      <c r="N1254" s="8" t="s">
        <v>787</v>
      </c>
      <c r="O1254" s="6">
        <v>0</v>
      </c>
      <c r="P1254" s="6">
        <v>0</v>
      </c>
      <c r="Q1254" s="6">
        <v>0</v>
      </c>
      <c r="R1254" s="6">
        <v>0</v>
      </c>
      <c r="S1254" s="6">
        <v>1000</v>
      </c>
    </row>
    <row r="1255" spans="1:19" ht="15" x14ac:dyDescent="0.25">
      <c r="A1255" s="7" t="s">
        <v>16</v>
      </c>
      <c r="B1255" s="7" t="s">
        <v>55</v>
      </c>
      <c r="C1255" s="7" t="s">
        <v>18</v>
      </c>
      <c r="D1255" s="3">
        <v>60777901000116</v>
      </c>
      <c r="E1255" s="8" t="s">
        <v>45</v>
      </c>
      <c r="F1255" s="8" t="s">
        <v>20</v>
      </c>
      <c r="G1255" s="8" t="s">
        <v>21</v>
      </c>
      <c r="H1255" s="8" t="s">
        <v>795</v>
      </c>
      <c r="I1255" s="3">
        <v>2</v>
      </c>
      <c r="J1255" s="8" t="s">
        <v>762</v>
      </c>
      <c r="K1255" s="8" t="s">
        <v>763</v>
      </c>
      <c r="L1255" s="8" t="s">
        <v>723</v>
      </c>
      <c r="M1255" s="1" t="s">
        <v>786</v>
      </c>
      <c r="N1255" s="8" t="s">
        <v>787</v>
      </c>
      <c r="O1255" s="6">
        <v>0</v>
      </c>
      <c r="P1255" s="6">
        <v>100</v>
      </c>
      <c r="Q1255" s="6">
        <v>0</v>
      </c>
      <c r="R1255" s="6">
        <v>0</v>
      </c>
      <c r="S1255" s="6">
        <v>1000</v>
      </c>
    </row>
    <row r="1256" spans="1:19" ht="15" x14ac:dyDescent="0.25">
      <c r="A1256" s="7" t="s">
        <v>16</v>
      </c>
      <c r="B1256" s="7" t="s">
        <v>55</v>
      </c>
      <c r="C1256" s="7" t="s">
        <v>18</v>
      </c>
      <c r="D1256" s="3">
        <v>60975737005110</v>
      </c>
      <c r="E1256" s="8" t="s">
        <v>97</v>
      </c>
      <c r="F1256" s="8" t="s">
        <v>20</v>
      </c>
      <c r="G1256" s="8" t="s">
        <v>21</v>
      </c>
      <c r="H1256" s="8" t="s">
        <v>795</v>
      </c>
      <c r="I1256" s="3">
        <v>2</v>
      </c>
      <c r="J1256" s="8" t="s">
        <v>740</v>
      </c>
      <c r="K1256" s="8" t="s">
        <v>741</v>
      </c>
      <c r="L1256" s="8" t="s">
        <v>730</v>
      </c>
      <c r="M1256" s="1" t="s">
        <v>786</v>
      </c>
      <c r="N1256" s="8" t="s">
        <v>787</v>
      </c>
      <c r="O1256" s="6">
        <v>0</v>
      </c>
      <c r="P1256" s="6">
        <v>0</v>
      </c>
      <c r="Q1256" s="6">
        <v>0</v>
      </c>
      <c r="R1256" s="6">
        <v>0</v>
      </c>
      <c r="S1256" s="6">
        <v>0</v>
      </c>
    </row>
    <row r="1257" spans="1:19" ht="15" x14ac:dyDescent="0.25">
      <c r="A1257" s="7" t="s">
        <v>16</v>
      </c>
      <c r="B1257" s="7" t="s">
        <v>55</v>
      </c>
      <c r="C1257" s="7" t="s">
        <v>18</v>
      </c>
      <c r="D1257" s="3">
        <v>60975737005110</v>
      </c>
      <c r="E1257" s="8" t="s">
        <v>97</v>
      </c>
      <c r="F1257" s="8" t="s">
        <v>20</v>
      </c>
      <c r="G1257" s="8" t="s">
        <v>21</v>
      </c>
      <c r="H1257" s="8" t="s">
        <v>795</v>
      </c>
      <c r="I1257" s="3">
        <v>2</v>
      </c>
      <c r="J1257" s="8" t="s">
        <v>756</v>
      </c>
      <c r="K1257" s="8" t="s">
        <v>757</v>
      </c>
      <c r="L1257" s="8" t="s">
        <v>723</v>
      </c>
      <c r="M1257" s="1" t="s">
        <v>786</v>
      </c>
      <c r="N1257" s="8" t="s">
        <v>787</v>
      </c>
      <c r="O1257" s="6">
        <v>0</v>
      </c>
      <c r="P1257" s="6">
        <v>1</v>
      </c>
      <c r="Q1257" s="6">
        <v>0</v>
      </c>
      <c r="R1257" s="6">
        <v>0</v>
      </c>
      <c r="S1257" s="6">
        <v>0</v>
      </c>
    </row>
    <row r="1258" spans="1:19" ht="15" x14ac:dyDescent="0.25">
      <c r="A1258" s="7" t="s">
        <v>16</v>
      </c>
      <c r="B1258" s="7" t="s">
        <v>55</v>
      </c>
      <c r="C1258" s="7" t="s">
        <v>18</v>
      </c>
      <c r="D1258" s="3">
        <v>60975737000232</v>
      </c>
      <c r="E1258" s="8" t="s">
        <v>96</v>
      </c>
      <c r="F1258" s="8" t="s">
        <v>20</v>
      </c>
      <c r="G1258" s="8" t="s">
        <v>21</v>
      </c>
      <c r="H1258" s="8" t="s">
        <v>795</v>
      </c>
      <c r="I1258" s="3">
        <v>2</v>
      </c>
      <c r="J1258" s="8" t="s">
        <v>740</v>
      </c>
      <c r="K1258" s="8" t="s">
        <v>741</v>
      </c>
      <c r="L1258" s="8" t="s">
        <v>730</v>
      </c>
      <c r="M1258" s="1" t="s">
        <v>786</v>
      </c>
      <c r="N1258" s="8" t="s">
        <v>787</v>
      </c>
      <c r="O1258" s="6">
        <v>0</v>
      </c>
      <c r="P1258" s="6">
        <v>0</v>
      </c>
      <c r="Q1258" s="6">
        <v>0</v>
      </c>
      <c r="R1258" s="6">
        <v>0</v>
      </c>
      <c r="S1258" s="6">
        <v>0</v>
      </c>
    </row>
    <row r="1259" spans="1:19" ht="15" x14ac:dyDescent="0.25">
      <c r="A1259" s="7" t="s">
        <v>16</v>
      </c>
      <c r="B1259" s="7" t="s">
        <v>55</v>
      </c>
      <c r="C1259" s="7" t="s">
        <v>18</v>
      </c>
      <c r="D1259" s="3">
        <v>60975737000232</v>
      </c>
      <c r="E1259" s="8" t="s">
        <v>96</v>
      </c>
      <c r="F1259" s="8" t="s">
        <v>20</v>
      </c>
      <c r="G1259" s="8" t="s">
        <v>21</v>
      </c>
      <c r="H1259" s="8" t="s">
        <v>795</v>
      </c>
      <c r="I1259" s="3">
        <v>2</v>
      </c>
      <c r="J1259" s="8" t="s">
        <v>756</v>
      </c>
      <c r="K1259" s="8" t="s">
        <v>757</v>
      </c>
      <c r="L1259" s="8" t="s">
        <v>723</v>
      </c>
      <c r="M1259" s="1" t="s">
        <v>786</v>
      </c>
      <c r="N1259" s="8" t="s">
        <v>787</v>
      </c>
      <c r="O1259" s="6">
        <v>0</v>
      </c>
      <c r="P1259" s="6">
        <v>6</v>
      </c>
      <c r="Q1259" s="6">
        <v>4</v>
      </c>
      <c r="R1259" s="6">
        <v>0</v>
      </c>
      <c r="S1259" s="6">
        <v>0</v>
      </c>
    </row>
    <row r="1260" spans="1:19" ht="15" x14ac:dyDescent="0.25">
      <c r="A1260" s="7" t="s">
        <v>16</v>
      </c>
      <c r="B1260" s="7" t="s">
        <v>55</v>
      </c>
      <c r="C1260" s="7" t="s">
        <v>18</v>
      </c>
      <c r="D1260" s="3">
        <v>60975737001204</v>
      </c>
      <c r="E1260" s="8" t="s">
        <v>88</v>
      </c>
      <c r="F1260" s="8" t="s">
        <v>20</v>
      </c>
      <c r="G1260" s="8" t="s">
        <v>21</v>
      </c>
      <c r="H1260" s="8" t="s">
        <v>795</v>
      </c>
      <c r="I1260" s="3">
        <v>2</v>
      </c>
      <c r="J1260" s="8" t="s">
        <v>740</v>
      </c>
      <c r="K1260" s="8" t="s">
        <v>741</v>
      </c>
      <c r="L1260" s="8" t="s">
        <v>730</v>
      </c>
      <c r="M1260" s="1" t="s">
        <v>786</v>
      </c>
      <c r="N1260" s="8" t="s">
        <v>787</v>
      </c>
      <c r="O1260" s="6">
        <v>0</v>
      </c>
      <c r="P1260" s="6">
        <v>0</v>
      </c>
      <c r="Q1260" s="6">
        <v>0</v>
      </c>
      <c r="R1260" s="6">
        <v>0</v>
      </c>
      <c r="S1260" s="6">
        <v>0</v>
      </c>
    </row>
    <row r="1261" spans="1:19" ht="15" x14ac:dyDescent="0.25">
      <c r="A1261" s="7" t="s">
        <v>16</v>
      </c>
      <c r="B1261" s="7" t="s">
        <v>55</v>
      </c>
      <c r="C1261" s="7" t="s">
        <v>18</v>
      </c>
      <c r="D1261" s="3">
        <v>60975737001204</v>
      </c>
      <c r="E1261" s="8" t="s">
        <v>88</v>
      </c>
      <c r="F1261" s="8" t="s">
        <v>20</v>
      </c>
      <c r="G1261" s="8" t="s">
        <v>21</v>
      </c>
      <c r="H1261" s="8" t="s">
        <v>795</v>
      </c>
      <c r="I1261" s="3">
        <v>2</v>
      </c>
      <c r="J1261" s="8" t="s">
        <v>756</v>
      </c>
      <c r="K1261" s="8" t="s">
        <v>757</v>
      </c>
      <c r="L1261" s="8" t="s">
        <v>723</v>
      </c>
      <c r="M1261" s="1" t="s">
        <v>786</v>
      </c>
      <c r="N1261" s="8" t="s">
        <v>787</v>
      </c>
      <c r="O1261" s="6">
        <v>0</v>
      </c>
      <c r="P1261" s="6">
        <v>4</v>
      </c>
      <c r="Q1261" s="6">
        <v>0</v>
      </c>
      <c r="R1261" s="6">
        <v>0</v>
      </c>
      <c r="S1261" s="6">
        <v>0</v>
      </c>
    </row>
    <row r="1262" spans="1:19" ht="15" x14ac:dyDescent="0.25">
      <c r="A1262" s="7" t="s">
        <v>16</v>
      </c>
      <c r="B1262" s="7" t="s">
        <v>55</v>
      </c>
      <c r="C1262" s="7" t="s">
        <v>18</v>
      </c>
      <c r="D1262" s="3">
        <v>6047087003820</v>
      </c>
      <c r="E1262" s="8" t="s">
        <v>75</v>
      </c>
      <c r="F1262" s="8" t="s">
        <v>20</v>
      </c>
      <c r="G1262" s="8" t="s">
        <v>21</v>
      </c>
      <c r="H1262" s="8" t="s">
        <v>795</v>
      </c>
      <c r="I1262" s="3">
        <v>2</v>
      </c>
      <c r="J1262" s="8" t="s">
        <v>740</v>
      </c>
      <c r="K1262" s="8" t="s">
        <v>741</v>
      </c>
      <c r="L1262" s="8" t="s">
        <v>730</v>
      </c>
      <c r="M1262" s="1" t="s">
        <v>786</v>
      </c>
      <c r="N1262" s="8" t="s">
        <v>787</v>
      </c>
      <c r="O1262" s="6">
        <v>0</v>
      </c>
      <c r="P1262" s="6">
        <v>0</v>
      </c>
      <c r="Q1262" s="6">
        <v>0</v>
      </c>
      <c r="R1262" s="6">
        <v>0</v>
      </c>
      <c r="S1262" s="6">
        <v>0</v>
      </c>
    </row>
    <row r="1263" spans="1:19" ht="15" x14ac:dyDescent="0.25">
      <c r="A1263" s="7" t="s">
        <v>16</v>
      </c>
      <c r="B1263" s="7" t="s">
        <v>55</v>
      </c>
      <c r="C1263" s="7" t="s">
        <v>18</v>
      </c>
      <c r="D1263" s="3">
        <v>6047087003820</v>
      </c>
      <c r="E1263" s="8" t="s">
        <v>75</v>
      </c>
      <c r="F1263" s="8" t="s">
        <v>20</v>
      </c>
      <c r="G1263" s="8" t="s">
        <v>21</v>
      </c>
      <c r="H1263" s="8" t="s">
        <v>795</v>
      </c>
      <c r="I1263" s="3">
        <v>2</v>
      </c>
      <c r="J1263" s="8" t="s">
        <v>724</v>
      </c>
      <c r="K1263" s="8" t="s">
        <v>725</v>
      </c>
      <c r="L1263" s="8" t="s">
        <v>723</v>
      </c>
      <c r="M1263" s="1" t="s">
        <v>786</v>
      </c>
      <c r="N1263" s="8" t="s">
        <v>787</v>
      </c>
      <c r="O1263" s="6">
        <v>0</v>
      </c>
      <c r="P1263" s="6">
        <v>2</v>
      </c>
      <c r="Q1263" s="6">
        <v>11</v>
      </c>
      <c r="R1263" s="6">
        <v>0</v>
      </c>
      <c r="S1263" s="6">
        <v>0</v>
      </c>
    </row>
    <row r="1264" spans="1:19" ht="15" x14ac:dyDescent="0.25">
      <c r="A1264" s="7" t="s">
        <v>16</v>
      </c>
      <c r="B1264" s="7" t="s">
        <v>55</v>
      </c>
      <c r="C1264" s="7" t="s">
        <v>18</v>
      </c>
      <c r="D1264" s="3">
        <v>28290788000137</v>
      </c>
      <c r="E1264" s="8" t="s">
        <v>82</v>
      </c>
      <c r="F1264" s="8" t="s">
        <v>20</v>
      </c>
      <c r="G1264" s="8" t="s">
        <v>21</v>
      </c>
      <c r="H1264" s="8" t="s">
        <v>795</v>
      </c>
      <c r="I1264" s="3">
        <v>2</v>
      </c>
      <c r="J1264" s="8" t="s">
        <v>740</v>
      </c>
      <c r="K1264" s="8" t="s">
        <v>741</v>
      </c>
      <c r="L1264" s="8" t="s">
        <v>730</v>
      </c>
      <c r="M1264" s="1" t="s">
        <v>786</v>
      </c>
      <c r="N1264" s="8" t="s">
        <v>787</v>
      </c>
      <c r="O1264" s="6">
        <v>0</v>
      </c>
      <c r="P1264" s="6">
        <v>0</v>
      </c>
      <c r="Q1264" s="6">
        <v>0</v>
      </c>
      <c r="R1264" s="6">
        <v>0</v>
      </c>
      <c r="S1264" s="6">
        <v>0</v>
      </c>
    </row>
    <row r="1265" spans="1:19" ht="15" x14ac:dyDescent="0.25">
      <c r="A1265" s="7" t="s">
        <v>16</v>
      </c>
      <c r="B1265" s="7" t="s">
        <v>55</v>
      </c>
      <c r="C1265" s="7" t="s">
        <v>18</v>
      </c>
      <c r="D1265" s="3">
        <v>28290788000137</v>
      </c>
      <c r="E1265" s="8" t="s">
        <v>82</v>
      </c>
      <c r="F1265" s="8" t="s">
        <v>20</v>
      </c>
      <c r="G1265" s="8" t="s">
        <v>21</v>
      </c>
      <c r="H1265" s="8" t="s">
        <v>795</v>
      </c>
      <c r="I1265" s="3">
        <v>2</v>
      </c>
      <c r="J1265" s="8" t="s">
        <v>724</v>
      </c>
      <c r="K1265" s="8" t="s">
        <v>725</v>
      </c>
      <c r="L1265" s="8" t="s">
        <v>723</v>
      </c>
      <c r="M1265" s="1" t="s">
        <v>786</v>
      </c>
      <c r="N1265" s="8" t="s">
        <v>787</v>
      </c>
      <c r="O1265" s="6">
        <v>0</v>
      </c>
      <c r="P1265" s="6">
        <v>5</v>
      </c>
      <c r="Q1265" s="6">
        <v>5</v>
      </c>
      <c r="R1265" s="6">
        <v>0</v>
      </c>
      <c r="S1265" s="6">
        <v>0</v>
      </c>
    </row>
    <row r="1266" spans="1:19" ht="15" x14ac:dyDescent="0.25">
      <c r="A1266" s="7" t="s">
        <v>16</v>
      </c>
      <c r="B1266" s="7" t="s">
        <v>55</v>
      </c>
      <c r="C1266" s="7" t="s">
        <v>18</v>
      </c>
      <c r="D1266" s="3">
        <v>5831510000124</v>
      </c>
      <c r="E1266" s="8" t="s">
        <v>24</v>
      </c>
      <c r="F1266" s="8" t="s">
        <v>20</v>
      </c>
      <c r="G1266" s="8" t="s">
        <v>21</v>
      </c>
      <c r="H1266" s="8" t="s">
        <v>795</v>
      </c>
      <c r="I1266" s="3">
        <v>2</v>
      </c>
      <c r="J1266" s="8" t="s">
        <v>740</v>
      </c>
      <c r="K1266" s="8" t="s">
        <v>741</v>
      </c>
      <c r="L1266" s="8" t="s">
        <v>730</v>
      </c>
      <c r="M1266" s="1" t="s">
        <v>786</v>
      </c>
      <c r="N1266" s="8" t="s">
        <v>787</v>
      </c>
      <c r="O1266" s="6">
        <v>0</v>
      </c>
      <c r="P1266" s="6">
        <v>0</v>
      </c>
      <c r="Q1266" s="6">
        <v>0</v>
      </c>
      <c r="R1266" s="6">
        <v>0</v>
      </c>
      <c r="S1266" s="6">
        <v>140</v>
      </c>
    </row>
    <row r="1267" spans="1:19" ht="15" x14ac:dyDescent="0.25">
      <c r="A1267" s="7" t="s">
        <v>16</v>
      </c>
      <c r="B1267" s="7" t="s">
        <v>55</v>
      </c>
      <c r="C1267" s="7" t="s">
        <v>18</v>
      </c>
      <c r="D1267" s="3">
        <v>5831510000124</v>
      </c>
      <c r="E1267" s="8" t="s">
        <v>24</v>
      </c>
      <c r="F1267" s="8" t="s">
        <v>20</v>
      </c>
      <c r="G1267" s="8" t="s">
        <v>21</v>
      </c>
      <c r="H1267" s="8" t="s">
        <v>795</v>
      </c>
      <c r="I1267" s="3">
        <v>2</v>
      </c>
      <c r="J1267" s="8" t="s">
        <v>724</v>
      </c>
      <c r="K1267" s="8" t="s">
        <v>725</v>
      </c>
      <c r="L1267" s="8" t="s">
        <v>723</v>
      </c>
      <c r="M1267" s="1" t="s">
        <v>786</v>
      </c>
      <c r="N1267" s="8" t="s">
        <v>787</v>
      </c>
      <c r="O1267" s="6">
        <v>0</v>
      </c>
      <c r="P1267" s="6">
        <v>0</v>
      </c>
      <c r="Q1267" s="6">
        <v>0</v>
      </c>
      <c r="R1267" s="6">
        <v>0</v>
      </c>
      <c r="S1267" s="6">
        <v>140</v>
      </c>
    </row>
    <row r="1268" spans="1:19" ht="15" x14ac:dyDescent="0.25">
      <c r="A1268" s="7" t="s">
        <v>16</v>
      </c>
      <c r="B1268" s="7" t="s">
        <v>55</v>
      </c>
      <c r="C1268" s="7" t="s">
        <v>18</v>
      </c>
      <c r="D1268" s="3">
        <v>67185694000150</v>
      </c>
      <c r="E1268" s="8" t="s">
        <v>98</v>
      </c>
      <c r="F1268" s="8" t="s">
        <v>20</v>
      </c>
      <c r="G1268" s="8" t="s">
        <v>21</v>
      </c>
      <c r="H1268" s="8" t="s">
        <v>795</v>
      </c>
      <c r="I1268" s="3">
        <v>2</v>
      </c>
      <c r="J1268" s="8" t="s">
        <v>740</v>
      </c>
      <c r="K1268" s="8" t="s">
        <v>741</v>
      </c>
      <c r="L1268" s="8" t="s">
        <v>730</v>
      </c>
      <c r="M1268" s="1" t="s">
        <v>786</v>
      </c>
      <c r="N1268" s="8" t="s">
        <v>787</v>
      </c>
      <c r="O1268" s="6">
        <v>0</v>
      </c>
      <c r="P1268" s="6">
        <v>0</v>
      </c>
      <c r="Q1268" s="6">
        <v>0</v>
      </c>
      <c r="R1268" s="6">
        <v>0</v>
      </c>
      <c r="S1268" s="6">
        <v>0</v>
      </c>
    </row>
    <row r="1269" spans="1:19" ht="15" x14ac:dyDescent="0.25">
      <c r="A1269" s="7" t="s">
        <v>16</v>
      </c>
      <c r="B1269" s="7" t="s">
        <v>55</v>
      </c>
      <c r="C1269" s="7" t="s">
        <v>18</v>
      </c>
      <c r="D1269" s="3">
        <v>67185694000150</v>
      </c>
      <c r="E1269" s="8" t="s">
        <v>98</v>
      </c>
      <c r="F1269" s="8" t="s">
        <v>20</v>
      </c>
      <c r="G1269" s="8" t="s">
        <v>21</v>
      </c>
      <c r="H1269" s="8" t="s">
        <v>795</v>
      </c>
      <c r="I1269" s="3">
        <v>2</v>
      </c>
      <c r="J1269" s="8" t="s">
        <v>724</v>
      </c>
      <c r="K1269" s="8" t="s">
        <v>725</v>
      </c>
      <c r="L1269" s="8" t="s">
        <v>723</v>
      </c>
      <c r="M1269" s="1" t="s">
        <v>786</v>
      </c>
      <c r="N1269" s="8" t="s">
        <v>787</v>
      </c>
      <c r="O1269" s="6">
        <v>0</v>
      </c>
      <c r="P1269" s="6">
        <v>2</v>
      </c>
      <c r="Q1269" s="6">
        <v>0</v>
      </c>
      <c r="R1269" s="6">
        <v>0</v>
      </c>
      <c r="S1269" s="6">
        <v>0</v>
      </c>
    </row>
    <row r="1270" spans="1:19" ht="15" x14ac:dyDescent="0.25">
      <c r="A1270" s="7" t="s">
        <v>16</v>
      </c>
      <c r="B1270" s="7" t="s">
        <v>55</v>
      </c>
      <c r="C1270" s="7" t="s">
        <v>18</v>
      </c>
      <c r="D1270" s="3">
        <v>44649812005520</v>
      </c>
      <c r="E1270" s="8" t="s">
        <v>38</v>
      </c>
      <c r="F1270" s="8" t="s">
        <v>20</v>
      </c>
      <c r="G1270" s="8" t="s">
        <v>21</v>
      </c>
      <c r="H1270" s="8" t="s">
        <v>795</v>
      </c>
      <c r="I1270" s="3">
        <v>2</v>
      </c>
      <c r="J1270" s="8" t="s">
        <v>740</v>
      </c>
      <c r="K1270" s="8" t="s">
        <v>741</v>
      </c>
      <c r="L1270" s="8" t="s">
        <v>730</v>
      </c>
      <c r="M1270" s="1" t="s">
        <v>786</v>
      </c>
      <c r="N1270" s="8" t="s">
        <v>787</v>
      </c>
      <c r="O1270" s="6">
        <v>0</v>
      </c>
      <c r="P1270" s="6">
        <v>0</v>
      </c>
      <c r="Q1270" s="6">
        <v>0</v>
      </c>
      <c r="R1270" s="6">
        <v>16</v>
      </c>
      <c r="S1270" s="6">
        <v>150</v>
      </c>
    </row>
    <row r="1271" spans="1:19" ht="15" x14ac:dyDescent="0.25">
      <c r="A1271" s="7" t="s">
        <v>16</v>
      </c>
      <c r="B1271" s="7" t="s">
        <v>55</v>
      </c>
      <c r="C1271" s="7" t="s">
        <v>18</v>
      </c>
      <c r="D1271" s="3">
        <v>44649812005520</v>
      </c>
      <c r="E1271" s="8" t="s">
        <v>38</v>
      </c>
      <c r="F1271" s="8" t="s">
        <v>20</v>
      </c>
      <c r="G1271" s="8" t="s">
        <v>21</v>
      </c>
      <c r="H1271" s="8" t="s">
        <v>795</v>
      </c>
      <c r="I1271" s="3">
        <v>2</v>
      </c>
      <c r="J1271" s="8" t="s">
        <v>724</v>
      </c>
      <c r="K1271" s="8" t="s">
        <v>725</v>
      </c>
      <c r="L1271" s="8" t="s">
        <v>723</v>
      </c>
      <c r="M1271" s="1" t="s">
        <v>786</v>
      </c>
      <c r="N1271" s="8" t="s">
        <v>787</v>
      </c>
      <c r="O1271" s="6">
        <v>0</v>
      </c>
      <c r="P1271" s="6">
        <v>0</v>
      </c>
      <c r="Q1271" s="6">
        <v>0</v>
      </c>
      <c r="R1271" s="6">
        <v>0</v>
      </c>
      <c r="S1271" s="6">
        <v>150</v>
      </c>
    </row>
    <row r="1272" spans="1:19" ht="15" x14ac:dyDescent="0.25">
      <c r="A1272" s="7" t="s">
        <v>16</v>
      </c>
      <c r="B1272" s="7" t="s">
        <v>55</v>
      </c>
      <c r="C1272" s="7" t="s">
        <v>18</v>
      </c>
      <c r="D1272" s="3">
        <v>62779145000190</v>
      </c>
      <c r="E1272" s="8" t="s">
        <v>91</v>
      </c>
      <c r="F1272" s="8" t="s">
        <v>20</v>
      </c>
      <c r="G1272" s="8" t="s">
        <v>21</v>
      </c>
      <c r="H1272" s="8" t="s">
        <v>795</v>
      </c>
      <c r="I1272" s="3">
        <v>2</v>
      </c>
      <c r="J1272" s="8" t="s">
        <v>770</v>
      </c>
      <c r="K1272" s="8" t="s">
        <v>771</v>
      </c>
      <c r="L1272" s="8" t="s">
        <v>730</v>
      </c>
      <c r="M1272" s="1" t="s">
        <v>786</v>
      </c>
      <c r="N1272" s="8" t="s">
        <v>787</v>
      </c>
      <c r="O1272" s="6">
        <v>0</v>
      </c>
      <c r="P1272" s="6">
        <v>0</v>
      </c>
      <c r="Q1272" s="6">
        <v>0</v>
      </c>
      <c r="R1272" s="6">
        <v>0</v>
      </c>
      <c r="S1272" s="6">
        <v>0</v>
      </c>
    </row>
    <row r="1273" spans="1:19" ht="15" x14ac:dyDescent="0.25">
      <c r="A1273" s="7" t="s">
        <v>16</v>
      </c>
      <c r="B1273" s="7" t="s">
        <v>55</v>
      </c>
      <c r="C1273" s="7" t="s">
        <v>18</v>
      </c>
      <c r="D1273" s="3">
        <v>62779145000190</v>
      </c>
      <c r="E1273" s="8" t="s">
        <v>91</v>
      </c>
      <c r="F1273" s="8" t="s">
        <v>20</v>
      </c>
      <c r="G1273" s="8" t="s">
        <v>21</v>
      </c>
      <c r="H1273" s="8" t="s">
        <v>795</v>
      </c>
      <c r="I1273" s="3">
        <v>2</v>
      </c>
      <c r="J1273" s="8" t="s">
        <v>756</v>
      </c>
      <c r="K1273" s="8" t="s">
        <v>757</v>
      </c>
      <c r="L1273" s="8" t="s">
        <v>723</v>
      </c>
      <c r="M1273" s="1" t="s">
        <v>786</v>
      </c>
      <c r="N1273" s="8" t="s">
        <v>787</v>
      </c>
      <c r="O1273" s="6">
        <v>0</v>
      </c>
      <c r="P1273" s="6">
        <v>2</v>
      </c>
      <c r="Q1273" s="6">
        <v>0</v>
      </c>
      <c r="R1273" s="6">
        <v>0</v>
      </c>
      <c r="S1273" s="6">
        <v>0</v>
      </c>
    </row>
    <row r="1274" spans="1:19" ht="15" x14ac:dyDescent="0.25">
      <c r="A1274" s="7" t="s">
        <v>16</v>
      </c>
      <c r="B1274" s="7" t="s">
        <v>55</v>
      </c>
      <c r="C1274" s="7" t="s">
        <v>18</v>
      </c>
      <c r="D1274" s="3">
        <v>13718999000150</v>
      </c>
      <c r="E1274" s="8" t="s">
        <v>79</v>
      </c>
      <c r="F1274" s="8" t="s">
        <v>20</v>
      </c>
      <c r="G1274" s="8" t="s">
        <v>21</v>
      </c>
      <c r="H1274" s="8" t="s">
        <v>795</v>
      </c>
      <c r="I1274" s="3">
        <v>2</v>
      </c>
      <c r="J1274" s="8" t="s">
        <v>740</v>
      </c>
      <c r="K1274" s="8" t="s">
        <v>741</v>
      </c>
      <c r="L1274" s="8" t="s">
        <v>730</v>
      </c>
      <c r="M1274" s="1" t="s">
        <v>786</v>
      </c>
      <c r="N1274" s="8" t="s">
        <v>787</v>
      </c>
      <c r="O1274" s="6">
        <v>0</v>
      </c>
      <c r="P1274" s="6">
        <v>0</v>
      </c>
      <c r="Q1274" s="6">
        <v>0</v>
      </c>
      <c r="R1274" s="6">
        <v>4</v>
      </c>
      <c r="S1274" s="6">
        <v>0</v>
      </c>
    </row>
    <row r="1275" spans="1:19" ht="15" x14ac:dyDescent="0.25">
      <c r="A1275" s="7" t="s">
        <v>16</v>
      </c>
      <c r="B1275" s="7" t="s">
        <v>55</v>
      </c>
      <c r="C1275" s="7" t="s">
        <v>18</v>
      </c>
      <c r="D1275" s="3">
        <v>13718999000150</v>
      </c>
      <c r="E1275" s="8" t="s">
        <v>79</v>
      </c>
      <c r="F1275" s="8" t="s">
        <v>20</v>
      </c>
      <c r="G1275" s="8" t="s">
        <v>21</v>
      </c>
      <c r="H1275" s="8" t="s">
        <v>795</v>
      </c>
      <c r="I1275" s="3">
        <v>2</v>
      </c>
      <c r="J1275" s="8" t="s">
        <v>724</v>
      </c>
      <c r="K1275" s="8" t="s">
        <v>725</v>
      </c>
      <c r="L1275" s="8" t="s">
        <v>723</v>
      </c>
      <c r="M1275" s="1" t="s">
        <v>786</v>
      </c>
      <c r="N1275" s="8" t="s">
        <v>787</v>
      </c>
      <c r="O1275" s="6">
        <v>0</v>
      </c>
      <c r="P1275" s="6">
        <v>0</v>
      </c>
      <c r="Q1275" s="6">
        <v>0</v>
      </c>
      <c r="R1275" s="6">
        <v>0</v>
      </c>
      <c r="S1275" s="6">
        <v>0</v>
      </c>
    </row>
    <row r="1276" spans="1:19" ht="15" x14ac:dyDescent="0.25">
      <c r="A1276" s="7" t="s">
        <v>16</v>
      </c>
      <c r="B1276" s="7" t="s">
        <v>55</v>
      </c>
      <c r="C1276" s="7" t="s">
        <v>18</v>
      </c>
      <c r="D1276" s="3">
        <v>4036348000190</v>
      </c>
      <c r="E1276" s="8" t="s">
        <v>23</v>
      </c>
      <c r="F1276" s="8" t="s">
        <v>20</v>
      </c>
      <c r="G1276" s="8" t="s">
        <v>21</v>
      </c>
      <c r="H1276" s="8" t="s">
        <v>795</v>
      </c>
      <c r="I1276" s="3">
        <v>2</v>
      </c>
      <c r="J1276" s="8" t="s">
        <v>740</v>
      </c>
      <c r="K1276" s="8" t="s">
        <v>741</v>
      </c>
      <c r="L1276" s="8" t="s">
        <v>730</v>
      </c>
      <c r="M1276" s="1" t="s">
        <v>786</v>
      </c>
      <c r="N1276" s="8" t="s">
        <v>787</v>
      </c>
      <c r="O1276" s="6">
        <v>0</v>
      </c>
      <c r="P1276" s="6">
        <v>0</v>
      </c>
      <c r="Q1276" s="6">
        <v>0</v>
      </c>
      <c r="R1276" s="6">
        <v>0</v>
      </c>
      <c r="S1276" s="6">
        <v>320</v>
      </c>
    </row>
    <row r="1277" spans="1:19" ht="15" x14ac:dyDescent="0.25">
      <c r="A1277" s="7" t="s">
        <v>16</v>
      </c>
      <c r="B1277" s="7" t="s">
        <v>55</v>
      </c>
      <c r="C1277" s="7" t="s">
        <v>18</v>
      </c>
      <c r="D1277" s="3">
        <v>4036348000190</v>
      </c>
      <c r="E1277" s="8" t="s">
        <v>23</v>
      </c>
      <c r="F1277" s="8" t="s">
        <v>20</v>
      </c>
      <c r="G1277" s="8" t="s">
        <v>21</v>
      </c>
      <c r="H1277" s="8" t="s">
        <v>795</v>
      </c>
      <c r="I1277" s="3">
        <v>2</v>
      </c>
      <c r="J1277" s="8" t="s">
        <v>724</v>
      </c>
      <c r="K1277" s="8" t="s">
        <v>725</v>
      </c>
      <c r="L1277" s="8" t="s">
        <v>723</v>
      </c>
      <c r="M1277" s="1" t="s">
        <v>786</v>
      </c>
      <c r="N1277" s="8" t="s">
        <v>787</v>
      </c>
      <c r="O1277" s="6">
        <v>0</v>
      </c>
      <c r="P1277" s="6">
        <v>0</v>
      </c>
      <c r="Q1277" s="6">
        <v>0</v>
      </c>
      <c r="R1277" s="6">
        <v>0</v>
      </c>
      <c r="S1277" s="6">
        <v>320</v>
      </c>
    </row>
    <row r="1278" spans="1:19" ht="15" x14ac:dyDescent="0.25">
      <c r="A1278" s="7" t="s">
        <v>16</v>
      </c>
      <c r="B1278" s="7" t="s">
        <v>55</v>
      </c>
      <c r="C1278" s="7" t="s">
        <v>18</v>
      </c>
      <c r="D1278" s="3">
        <v>10211939000230</v>
      </c>
      <c r="E1278" s="8" t="s">
        <v>77</v>
      </c>
      <c r="F1278" s="8" t="s">
        <v>20</v>
      </c>
      <c r="G1278" s="8" t="s">
        <v>21</v>
      </c>
      <c r="H1278" s="8" t="s">
        <v>795</v>
      </c>
      <c r="I1278" s="3">
        <v>2</v>
      </c>
      <c r="J1278" s="8" t="s">
        <v>770</v>
      </c>
      <c r="K1278" s="8" t="s">
        <v>771</v>
      </c>
      <c r="L1278" s="8" t="s">
        <v>730</v>
      </c>
      <c r="M1278" s="1" t="s">
        <v>786</v>
      </c>
      <c r="N1278" s="8" t="s">
        <v>787</v>
      </c>
      <c r="O1278" s="6">
        <v>0</v>
      </c>
      <c r="P1278" s="6">
        <v>0</v>
      </c>
      <c r="Q1278" s="6">
        <v>0</v>
      </c>
      <c r="R1278" s="6">
        <v>8</v>
      </c>
      <c r="S1278" s="6">
        <v>0</v>
      </c>
    </row>
    <row r="1279" spans="1:19" ht="15" x14ac:dyDescent="0.25">
      <c r="A1279" s="7" t="s">
        <v>16</v>
      </c>
      <c r="B1279" s="7" t="s">
        <v>55</v>
      </c>
      <c r="C1279" s="7" t="s">
        <v>18</v>
      </c>
      <c r="D1279" s="3">
        <v>10211939000230</v>
      </c>
      <c r="E1279" s="8" t="s">
        <v>77</v>
      </c>
      <c r="F1279" s="8" t="s">
        <v>20</v>
      </c>
      <c r="G1279" s="8" t="s">
        <v>21</v>
      </c>
      <c r="H1279" s="8" t="s">
        <v>795</v>
      </c>
      <c r="I1279" s="3">
        <v>2</v>
      </c>
      <c r="J1279" s="8" t="s">
        <v>762</v>
      </c>
      <c r="K1279" s="8" t="s">
        <v>763</v>
      </c>
      <c r="L1279" s="8" t="s">
        <v>723</v>
      </c>
      <c r="M1279" s="1" t="s">
        <v>786</v>
      </c>
      <c r="N1279" s="8" t="s">
        <v>787</v>
      </c>
      <c r="O1279" s="6">
        <v>0</v>
      </c>
      <c r="P1279" s="6">
        <v>0</v>
      </c>
      <c r="Q1279" s="6">
        <v>0</v>
      </c>
      <c r="R1279" s="6">
        <v>0</v>
      </c>
      <c r="S1279" s="6">
        <v>0</v>
      </c>
    </row>
    <row r="1280" spans="1:19" ht="15" x14ac:dyDescent="0.25">
      <c r="A1280" s="7" t="s">
        <v>16</v>
      </c>
      <c r="B1280" s="7" t="s">
        <v>55</v>
      </c>
      <c r="C1280" s="7" t="s">
        <v>18</v>
      </c>
      <c r="D1280" s="3">
        <v>2837922000183</v>
      </c>
      <c r="E1280" s="8" t="s">
        <v>70</v>
      </c>
      <c r="F1280" s="8" t="s">
        <v>20</v>
      </c>
      <c r="G1280" s="8" t="s">
        <v>21</v>
      </c>
      <c r="H1280" s="8" t="s">
        <v>795</v>
      </c>
      <c r="I1280" s="3">
        <v>2</v>
      </c>
      <c r="J1280" s="8" t="s">
        <v>740</v>
      </c>
      <c r="K1280" s="8" t="s">
        <v>741</v>
      </c>
      <c r="L1280" s="8" t="s">
        <v>730</v>
      </c>
      <c r="M1280" s="1" t="s">
        <v>786</v>
      </c>
      <c r="N1280" s="8" t="s">
        <v>787</v>
      </c>
      <c r="O1280" s="6">
        <v>0</v>
      </c>
      <c r="P1280" s="6">
        <v>0</v>
      </c>
      <c r="Q1280" s="6">
        <v>0</v>
      </c>
      <c r="R1280" s="6">
        <v>100</v>
      </c>
      <c r="S1280" s="6">
        <v>0</v>
      </c>
    </row>
    <row r="1281" spans="1:19" ht="15" x14ac:dyDescent="0.25">
      <c r="A1281" s="7" t="s">
        <v>16</v>
      </c>
      <c r="B1281" s="7" t="s">
        <v>55</v>
      </c>
      <c r="C1281" s="7" t="s">
        <v>18</v>
      </c>
      <c r="D1281" s="3">
        <v>2837922000183</v>
      </c>
      <c r="E1281" s="8" t="s">
        <v>70</v>
      </c>
      <c r="F1281" s="8" t="s">
        <v>20</v>
      </c>
      <c r="G1281" s="8" t="s">
        <v>21</v>
      </c>
      <c r="H1281" s="8" t="s">
        <v>795</v>
      </c>
      <c r="I1281" s="3">
        <v>2</v>
      </c>
      <c r="J1281" s="8" t="s">
        <v>724</v>
      </c>
      <c r="K1281" s="8" t="s">
        <v>725</v>
      </c>
      <c r="L1281" s="8" t="s">
        <v>723</v>
      </c>
      <c r="M1281" s="1" t="s">
        <v>786</v>
      </c>
      <c r="N1281" s="8" t="s">
        <v>787</v>
      </c>
      <c r="O1281" s="6">
        <v>0</v>
      </c>
      <c r="P1281" s="6">
        <v>0</v>
      </c>
      <c r="Q1281" s="6">
        <v>0</v>
      </c>
      <c r="R1281" s="6">
        <v>0</v>
      </c>
      <c r="S1281" s="6">
        <v>0</v>
      </c>
    </row>
    <row r="1282" spans="1:19" ht="15" x14ac:dyDescent="0.25">
      <c r="A1282" s="7" t="s">
        <v>16</v>
      </c>
      <c r="B1282" s="7" t="s">
        <v>55</v>
      </c>
      <c r="C1282" s="7" t="s">
        <v>18</v>
      </c>
      <c r="D1282" s="3">
        <v>61599908000158</v>
      </c>
      <c r="E1282" s="8" t="s">
        <v>89</v>
      </c>
      <c r="F1282" s="8" t="s">
        <v>20</v>
      </c>
      <c r="G1282" s="8" t="s">
        <v>21</v>
      </c>
      <c r="H1282" s="8" t="s">
        <v>795</v>
      </c>
      <c r="I1282" s="3">
        <v>2</v>
      </c>
      <c r="J1282" s="8" t="s">
        <v>740</v>
      </c>
      <c r="K1282" s="8" t="s">
        <v>741</v>
      </c>
      <c r="L1282" s="8" t="s">
        <v>730</v>
      </c>
      <c r="M1282" s="1" t="s">
        <v>786</v>
      </c>
      <c r="N1282" s="8" t="s">
        <v>787</v>
      </c>
      <c r="O1282" s="6">
        <v>0</v>
      </c>
      <c r="P1282" s="6">
        <v>0</v>
      </c>
      <c r="Q1282" s="6">
        <v>0</v>
      </c>
      <c r="R1282" s="6">
        <v>0</v>
      </c>
      <c r="S1282" s="6">
        <v>0</v>
      </c>
    </row>
    <row r="1283" spans="1:19" ht="15" x14ac:dyDescent="0.25">
      <c r="A1283" s="7" t="s">
        <v>16</v>
      </c>
      <c r="B1283" s="7" t="s">
        <v>55</v>
      </c>
      <c r="C1283" s="7" t="s">
        <v>18</v>
      </c>
      <c r="D1283" s="3">
        <v>61599908000158</v>
      </c>
      <c r="E1283" s="8" t="s">
        <v>89</v>
      </c>
      <c r="F1283" s="8" t="s">
        <v>20</v>
      </c>
      <c r="G1283" s="8" t="s">
        <v>21</v>
      </c>
      <c r="H1283" s="8" t="s">
        <v>795</v>
      </c>
      <c r="I1283" s="3">
        <v>2</v>
      </c>
      <c r="J1283" s="8" t="s">
        <v>762</v>
      </c>
      <c r="K1283" s="8" t="s">
        <v>763</v>
      </c>
      <c r="L1283" s="8" t="s">
        <v>723</v>
      </c>
      <c r="M1283" s="1" t="s">
        <v>786</v>
      </c>
      <c r="N1283" s="8" t="s">
        <v>787</v>
      </c>
      <c r="O1283" s="6">
        <v>0</v>
      </c>
      <c r="P1283" s="6">
        <v>20</v>
      </c>
      <c r="Q1283" s="6">
        <v>75</v>
      </c>
      <c r="R1283" s="6">
        <v>0</v>
      </c>
      <c r="S1283" s="6">
        <v>0</v>
      </c>
    </row>
    <row r="1284" spans="1:19" ht="15" x14ac:dyDescent="0.25">
      <c r="A1284" s="7" t="s">
        <v>16</v>
      </c>
      <c r="B1284" s="7" t="s">
        <v>55</v>
      </c>
      <c r="C1284" s="7" t="s">
        <v>18</v>
      </c>
      <c r="D1284" s="3">
        <v>7045325000130</v>
      </c>
      <c r="E1284" s="8" t="s">
        <v>57</v>
      </c>
      <c r="F1284" s="8" t="s">
        <v>20</v>
      </c>
      <c r="G1284" s="8" t="s">
        <v>21</v>
      </c>
      <c r="H1284" s="8" t="s">
        <v>795</v>
      </c>
      <c r="I1284" s="3">
        <v>2</v>
      </c>
      <c r="J1284" s="8" t="s">
        <v>740</v>
      </c>
      <c r="K1284" s="8" t="s">
        <v>741</v>
      </c>
      <c r="L1284" s="8" t="s">
        <v>730</v>
      </c>
      <c r="M1284" s="1" t="s">
        <v>786</v>
      </c>
      <c r="N1284" s="8" t="s">
        <v>787</v>
      </c>
      <c r="O1284" s="6">
        <v>0</v>
      </c>
      <c r="P1284" s="6">
        <v>0</v>
      </c>
      <c r="Q1284" s="6">
        <v>0</v>
      </c>
      <c r="R1284" s="6">
        <v>80</v>
      </c>
      <c r="S1284" s="6">
        <v>200</v>
      </c>
    </row>
    <row r="1285" spans="1:19" ht="15" x14ac:dyDescent="0.25">
      <c r="A1285" s="7" t="s">
        <v>16</v>
      </c>
      <c r="B1285" s="7" t="s">
        <v>55</v>
      </c>
      <c r="C1285" s="7" t="s">
        <v>18</v>
      </c>
      <c r="D1285" s="3">
        <v>7045325000130</v>
      </c>
      <c r="E1285" s="8" t="s">
        <v>57</v>
      </c>
      <c r="F1285" s="8" t="s">
        <v>20</v>
      </c>
      <c r="G1285" s="8" t="s">
        <v>21</v>
      </c>
      <c r="H1285" s="8" t="s">
        <v>795</v>
      </c>
      <c r="I1285" s="3">
        <v>2</v>
      </c>
      <c r="J1285" s="8" t="s">
        <v>724</v>
      </c>
      <c r="K1285" s="8" t="s">
        <v>725</v>
      </c>
      <c r="L1285" s="8" t="s">
        <v>723</v>
      </c>
      <c r="M1285" s="1" t="s">
        <v>786</v>
      </c>
      <c r="N1285" s="8" t="s">
        <v>787</v>
      </c>
      <c r="O1285" s="6">
        <v>0</v>
      </c>
      <c r="P1285" s="6">
        <v>0</v>
      </c>
      <c r="Q1285" s="6">
        <v>0</v>
      </c>
      <c r="R1285" s="6">
        <v>0</v>
      </c>
      <c r="S1285" s="6">
        <v>200</v>
      </c>
    </row>
    <row r="1286" spans="1:19" ht="15" x14ac:dyDescent="0.25">
      <c r="A1286" s="7" t="s">
        <v>16</v>
      </c>
      <c r="B1286" s="7" t="s">
        <v>55</v>
      </c>
      <c r="C1286" s="7" t="s">
        <v>18</v>
      </c>
      <c r="D1286" s="3">
        <v>6047087000210</v>
      </c>
      <c r="E1286" s="8" t="s">
        <v>73</v>
      </c>
      <c r="F1286" s="8" t="s">
        <v>20</v>
      </c>
      <c r="G1286" s="8" t="s">
        <v>21</v>
      </c>
      <c r="H1286" s="8" t="s">
        <v>795</v>
      </c>
      <c r="I1286" s="3">
        <v>2</v>
      </c>
      <c r="J1286" s="8" t="s">
        <v>740</v>
      </c>
      <c r="K1286" s="8" t="s">
        <v>741</v>
      </c>
      <c r="L1286" s="8" t="s">
        <v>730</v>
      </c>
      <c r="M1286" s="1" t="s">
        <v>786</v>
      </c>
      <c r="N1286" s="8" t="s">
        <v>787</v>
      </c>
      <c r="O1286" s="6">
        <v>0</v>
      </c>
      <c r="P1286" s="6">
        <v>0</v>
      </c>
      <c r="Q1286" s="6">
        <v>0</v>
      </c>
      <c r="R1286" s="6">
        <v>0</v>
      </c>
      <c r="S1286" s="6">
        <v>0</v>
      </c>
    </row>
    <row r="1287" spans="1:19" ht="15" x14ac:dyDescent="0.25">
      <c r="A1287" s="7" t="s">
        <v>16</v>
      </c>
      <c r="B1287" s="7" t="s">
        <v>55</v>
      </c>
      <c r="C1287" s="7" t="s">
        <v>18</v>
      </c>
      <c r="D1287" s="3">
        <v>6047087000210</v>
      </c>
      <c r="E1287" s="8" t="s">
        <v>73</v>
      </c>
      <c r="F1287" s="8" t="s">
        <v>20</v>
      </c>
      <c r="G1287" s="8" t="s">
        <v>21</v>
      </c>
      <c r="H1287" s="8" t="s">
        <v>795</v>
      </c>
      <c r="I1287" s="3">
        <v>2</v>
      </c>
      <c r="J1287" s="8" t="s">
        <v>724</v>
      </c>
      <c r="K1287" s="8" t="s">
        <v>725</v>
      </c>
      <c r="L1287" s="8" t="s">
        <v>723</v>
      </c>
      <c r="M1287" s="1" t="s">
        <v>786</v>
      </c>
      <c r="N1287" s="8" t="s">
        <v>787</v>
      </c>
      <c r="O1287" s="6">
        <v>0</v>
      </c>
      <c r="P1287" s="6">
        <v>41</v>
      </c>
      <c r="Q1287" s="6">
        <v>33</v>
      </c>
      <c r="R1287" s="6">
        <v>0</v>
      </c>
      <c r="S1287" s="6">
        <v>0</v>
      </c>
    </row>
    <row r="1288" spans="1:19" ht="15" x14ac:dyDescent="0.25">
      <c r="A1288" s="7" t="s">
        <v>16</v>
      </c>
      <c r="B1288" s="7" t="s">
        <v>55</v>
      </c>
      <c r="C1288" s="7" t="s">
        <v>18</v>
      </c>
      <c r="D1288" s="3">
        <v>8677327000104</v>
      </c>
      <c r="E1288" s="8" t="s">
        <v>92</v>
      </c>
      <c r="F1288" s="8" t="s">
        <v>20</v>
      </c>
      <c r="G1288" s="8" t="s">
        <v>21</v>
      </c>
      <c r="H1288" s="8" t="s">
        <v>795</v>
      </c>
      <c r="I1288" s="3">
        <v>2</v>
      </c>
      <c r="J1288" s="8" t="s">
        <v>740</v>
      </c>
      <c r="K1288" s="8" t="s">
        <v>741</v>
      </c>
      <c r="L1288" s="8" t="s">
        <v>730</v>
      </c>
      <c r="M1288" s="1" t="s">
        <v>786</v>
      </c>
      <c r="N1288" s="8" t="s">
        <v>787</v>
      </c>
      <c r="O1288" s="6">
        <v>0</v>
      </c>
      <c r="P1288" s="6">
        <v>0</v>
      </c>
      <c r="Q1288" s="6">
        <v>0</v>
      </c>
      <c r="R1288" s="6">
        <v>0</v>
      </c>
      <c r="S1288" s="6">
        <v>0</v>
      </c>
    </row>
    <row r="1289" spans="1:19" ht="15" x14ac:dyDescent="0.25">
      <c r="A1289" s="7" t="s">
        <v>16</v>
      </c>
      <c r="B1289" s="7" t="s">
        <v>55</v>
      </c>
      <c r="C1289" s="7" t="s">
        <v>18</v>
      </c>
      <c r="D1289" s="3">
        <v>8677327000104</v>
      </c>
      <c r="E1289" s="8" t="s">
        <v>92</v>
      </c>
      <c r="F1289" s="8" t="s">
        <v>20</v>
      </c>
      <c r="G1289" s="8" t="s">
        <v>21</v>
      </c>
      <c r="H1289" s="8" t="s">
        <v>795</v>
      </c>
      <c r="I1289" s="3">
        <v>2</v>
      </c>
      <c r="J1289" s="8" t="s">
        <v>756</v>
      </c>
      <c r="K1289" s="8" t="s">
        <v>757</v>
      </c>
      <c r="L1289" s="8" t="s">
        <v>723</v>
      </c>
      <c r="M1289" s="1" t="s">
        <v>786</v>
      </c>
      <c r="N1289" s="8" t="s">
        <v>787</v>
      </c>
      <c r="O1289" s="6">
        <v>0</v>
      </c>
      <c r="P1289" s="6">
        <v>2</v>
      </c>
      <c r="Q1289" s="6">
        <v>0</v>
      </c>
      <c r="R1289" s="6">
        <v>0</v>
      </c>
      <c r="S1289" s="6">
        <v>0</v>
      </c>
    </row>
    <row r="1290" spans="1:19" ht="15" x14ac:dyDescent="0.25">
      <c r="A1290" s="7" t="s">
        <v>16</v>
      </c>
      <c r="B1290" s="7" t="s">
        <v>55</v>
      </c>
      <c r="C1290" s="7" t="s">
        <v>18</v>
      </c>
      <c r="D1290" s="3">
        <v>60961422000155</v>
      </c>
      <c r="E1290" s="8" t="s">
        <v>49</v>
      </c>
      <c r="F1290" s="8" t="s">
        <v>20</v>
      </c>
      <c r="G1290" s="8" t="s">
        <v>21</v>
      </c>
      <c r="H1290" s="8" t="s">
        <v>795</v>
      </c>
      <c r="I1290" s="3">
        <v>2</v>
      </c>
      <c r="J1290" s="8" t="s">
        <v>740</v>
      </c>
      <c r="K1290" s="8" t="s">
        <v>741</v>
      </c>
      <c r="L1290" s="8" t="s">
        <v>730</v>
      </c>
      <c r="M1290" s="1" t="s">
        <v>786</v>
      </c>
      <c r="N1290" s="8" t="s">
        <v>787</v>
      </c>
      <c r="O1290" s="6">
        <v>0</v>
      </c>
      <c r="P1290" s="6">
        <v>0</v>
      </c>
      <c r="Q1290" s="6">
        <v>0</v>
      </c>
      <c r="R1290" s="6">
        <v>0</v>
      </c>
      <c r="S1290" s="6">
        <v>20</v>
      </c>
    </row>
    <row r="1291" spans="1:19" ht="15" x14ac:dyDescent="0.25">
      <c r="A1291" s="7" t="s">
        <v>16</v>
      </c>
      <c r="B1291" s="7" t="s">
        <v>55</v>
      </c>
      <c r="C1291" s="7" t="s">
        <v>18</v>
      </c>
      <c r="D1291" s="3">
        <v>60961422000155</v>
      </c>
      <c r="E1291" s="8" t="s">
        <v>49</v>
      </c>
      <c r="F1291" s="8" t="s">
        <v>20</v>
      </c>
      <c r="G1291" s="8" t="s">
        <v>21</v>
      </c>
      <c r="H1291" s="8" t="s">
        <v>795</v>
      </c>
      <c r="I1291" s="3">
        <v>2</v>
      </c>
      <c r="J1291" s="8" t="s">
        <v>724</v>
      </c>
      <c r="K1291" s="8" t="s">
        <v>725</v>
      </c>
      <c r="L1291" s="8" t="s">
        <v>723</v>
      </c>
      <c r="M1291" s="1" t="s">
        <v>786</v>
      </c>
      <c r="N1291" s="8" t="s">
        <v>787</v>
      </c>
      <c r="O1291" s="6">
        <v>0</v>
      </c>
      <c r="P1291" s="6">
        <v>3</v>
      </c>
      <c r="Q1291" s="6">
        <v>3</v>
      </c>
      <c r="R1291" s="6">
        <v>0</v>
      </c>
      <c r="S1291" s="6">
        <v>20</v>
      </c>
    </row>
    <row r="1292" spans="1:19" ht="15" x14ac:dyDescent="0.25">
      <c r="A1292" s="7" t="s">
        <v>16</v>
      </c>
      <c r="B1292" s="7" t="s">
        <v>55</v>
      </c>
      <c r="C1292" s="7" t="s">
        <v>18</v>
      </c>
      <c r="D1292" s="3">
        <v>61590410000124</v>
      </c>
      <c r="E1292" s="8" t="s">
        <v>53</v>
      </c>
      <c r="F1292" s="8" t="s">
        <v>20</v>
      </c>
      <c r="G1292" s="8" t="s">
        <v>21</v>
      </c>
      <c r="H1292" s="8" t="s">
        <v>795</v>
      </c>
      <c r="I1292" s="3">
        <v>2</v>
      </c>
      <c r="J1292" s="8" t="s">
        <v>740</v>
      </c>
      <c r="K1292" s="8" t="s">
        <v>741</v>
      </c>
      <c r="L1292" s="8" t="s">
        <v>730</v>
      </c>
      <c r="M1292" s="1" t="s">
        <v>786</v>
      </c>
      <c r="N1292" s="8" t="s">
        <v>787</v>
      </c>
      <c r="O1292" s="6">
        <v>0</v>
      </c>
      <c r="P1292" s="6">
        <v>0</v>
      </c>
      <c r="Q1292" s="6">
        <v>0</v>
      </c>
      <c r="R1292" s="6">
        <v>0</v>
      </c>
      <c r="S1292" s="6">
        <v>2670</v>
      </c>
    </row>
    <row r="1293" spans="1:19" ht="15" x14ac:dyDescent="0.25">
      <c r="A1293" s="7" t="s">
        <v>16</v>
      </c>
      <c r="B1293" s="7" t="s">
        <v>55</v>
      </c>
      <c r="C1293" s="7" t="s">
        <v>18</v>
      </c>
      <c r="D1293" s="3">
        <v>61590410000124</v>
      </c>
      <c r="E1293" s="8" t="s">
        <v>53</v>
      </c>
      <c r="F1293" s="8" t="s">
        <v>20</v>
      </c>
      <c r="G1293" s="8" t="s">
        <v>21</v>
      </c>
      <c r="H1293" s="8" t="s">
        <v>795</v>
      </c>
      <c r="I1293" s="3">
        <v>2</v>
      </c>
      <c r="J1293" s="8" t="s">
        <v>756</v>
      </c>
      <c r="K1293" s="8" t="s">
        <v>757</v>
      </c>
      <c r="L1293" s="8" t="s">
        <v>723</v>
      </c>
      <c r="M1293" s="1" t="s">
        <v>786</v>
      </c>
      <c r="N1293" s="8" t="s">
        <v>787</v>
      </c>
      <c r="O1293" s="6">
        <v>0</v>
      </c>
      <c r="P1293" s="6">
        <v>0</v>
      </c>
      <c r="Q1293" s="6">
        <v>81</v>
      </c>
      <c r="R1293" s="6">
        <v>0</v>
      </c>
      <c r="S1293" s="6">
        <v>2670</v>
      </c>
    </row>
    <row r="1294" spans="1:19" ht="15" x14ac:dyDescent="0.25">
      <c r="A1294" s="7" t="s">
        <v>16</v>
      </c>
      <c r="B1294" s="7" t="s">
        <v>55</v>
      </c>
      <c r="C1294" s="7" t="s">
        <v>18</v>
      </c>
      <c r="D1294" s="3">
        <v>20812223000241</v>
      </c>
      <c r="E1294" s="8" t="s">
        <v>81</v>
      </c>
      <c r="F1294" s="8" t="s">
        <v>20</v>
      </c>
      <c r="G1294" s="8" t="s">
        <v>21</v>
      </c>
      <c r="H1294" s="8" t="s">
        <v>795</v>
      </c>
      <c r="I1294" s="3">
        <v>2</v>
      </c>
      <c r="J1294" s="8" t="s">
        <v>740</v>
      </c>
      <c r="K1294" s="8" t="s">
        <v>741</v>
      </c>
      <c r="L1294" s="8" t="s">
        <v>730</v>
      </c>
      <c r="M1294" s="1" t="s">
        <v>786</v>
      </c>
      <c r="N1294" s="8" t="s">
        <v>787</v>
      </c>
      <c r="O1294" s="6">
        <v>0</v>
      </c>
      <c r="P1294" s="6">
        <v>0</v>
      </c>
      <c r="Q1294" s="6">
        <v>0</v>
      </c>
      <c r="R1294" s="6">
        <v>20</v>
      </c>
      <c r="S1294" s="6">
        <v>0</v>
      </c>
    </row>
    <row r="1295" spans="1:19" ht="15" x14ac:dyDescent="0.25">
      <c r="A1295" s="7" t="s">
        <v>16</v>
      </c>
      <c r="B1295" s="7" t="s">
        <v>55</v>
      </c>
      <c r="C1295" s="7" t="s">
        <v>18</v>
      </c>
      <c r="D1295" s="3">
        <v>20812223000241</v>
      </c>
      <c r="E1295" s="8" t="s">
        <v>81</v>
      </c>
      <c r="F1295" s="8" t="s">
        <v>20</v>
      </c>
      <c r="G1295" s="8" t="s">
        <v>21</v>
      </c>
      <c r="H1295" s="8" t="s">
        <v>795</v>
      </c>
      <c r="I1295" s="3">
        <v>2</v>
      </c>
      <c r="J1295" s="8" t="s">
        <v>724</v>
      </c>
      <c r="K1295" s="8" t="s">
        <v>725</v>
      </c>
      <c r="L1295" s="8" t="s">
        <v>723</v>
      </c>
      <c r="M1295" s="1" t="s">
        <v>786</v>
      </c>
      <c r="N1295" s="8" t="s">
        <v>787</v>
      </c>
      <c r="O1295" s="6">
        <v>0</v>
      </c>
      <c r="P1295" s="6">
        <v>0</v>
      </c>
      <c r="Q1295" s="6">
        <v>0</v>
      </c>
      <c r="R1295" s="6">
        <v>0</v>
      </c>
      <c r="S1295" s="6">
        <v>0</v>
      </c>
    </row>
    <row r="1296" spans="1:19" ht="15" x14ac:dyDescent="0.25">
      <c r="A1296" s="7" t="s">
        <v>16</v>
      </c>
      <c r="B1296" s="7" t="s">
        <v>55</v>
      </c>
      <c r="C1296" s="7" t="s">
        <v>18</v>
      </c>
      <c r="D1296" s="3">
        <v>45399961000230</v>
      </c>
      <c r="E1296" s="8" t="s">
        <v>150</v>
      </c>
      <c r="F1296" s="8" t="s">
        <v>151</v>
      </c>
      <c r="G1296" s="8" t="s">
        <v>21</v>
      </c>
      <c r="H1296" s="8" t="s">
        <v>795</v>
      </c>
      <c r="I1296" s="3">
        <v>2</v>
      </c>
      <c r="J1296" s="8" t="s">
        <v>770</v>
      </c>
      <c r="K1296" s="8" t="s">
        <v>771</v>
      </c>
      <c r="L1296" s="8" t="s">
        <v>730</v>
      </c>
      <c r="M1296" s="1" t="s">
        <v>786</v>
      </c>
      <c r="N1296" s="8" t="s">
        <v>787</v>
      </c>
      <c r="O1296" s="6">
        <v>0</v>
      </c>
      <c r="P1296" s="6">
        <v>0</v>
      </c>
      <c r="Q1296" s="6">
        <v>0</v>
      </c>
      <c r="R1296" s="6">
        <v>0</v>
      </c>
      <c r="S1296" s="6">
        <v>450</v>
      </c>
    </row>
    <row r="1297" spans="1:19" ht="15" x14ac:dyDescent="0.25">
      <c r="A1297" s="7" t="s">
        <v>16</v>
      </c>
      <c r="B1297" s="7" t="s">
        <v>55</v>
      </c>
      <c r="C1297" s="7" t="s">
        <v>18</v>
      </c>
      <c r="D1297" s="3">
        <v>45399961000230</v>
      </c>
      <c r="E1297" s="8" t="s">
        <v>150</v>
      </c>
      <c r="F1297" s="8" t="s">
        <v>151</v>
      </c>
      <c r="G1297" s="8" t="s">
        <v>21</v>
      </c>
      <c r="H1297" s="8" t="s">
        <v>795</v>
      </c>
      <c r="I1297" s="3">
        <v>2</v>
      </c>
      <c r="J1297" s="8" t="s">
        <v>762</v>
      </c>
      <c r="K1297" s="8" t="s">
        <v>763</v>
      </c>
      <c r="L1297" s="8" t="s">
        <v>723</v>
      </c>
      <c r="M1297" s="1" t="s">
        <v>786</v>
      </c>
      <c r="N1297" s="8" t="s">
        <v>787</v>
      </c>
      <c r="O1297" s="6">
        <v>0</v>
      </c>
      <c r="P1297" s="6">
        <v>0</v>
      </c>
      <c r="Q1297" s="6">
        <v>0</v>
      </c>
      <c r="R1297" s="6">
        <v>0</v>
      </c>
      <c r="S1297" s="6">
        <v>450</v>
      </c>
    </row>
    <row r="1298" spans="1:19" ht="15" x14ac:dyDescent="0.25">
      <c r="A1298" s="7" t="s">
        <v>16</v>
      </c>
      <c r="B1298" s="7" t="s">
        <v>55</v>
      </c>
      <c r="C1298" s="7" t="s">
        <v>18</v>
      </c>
      <c r="D1298" s="3">
        <v>46124624002599</v>
      </c>
      <c r="E1298" s="8" t="s">
        <v>157</v>
      </c>
      <c r="F1298" s="8" t="s">
        <v>158</v>
      </c>
      <c r="G1298" s="8" t="s">
        <v>21</v>
      </c>
      <c r="H1298" s="8" t="s">
        <v>795</v>
      </c>
      <c r="I1298" s="3">
        <v>2</v>
      </c>
      <c r="J1298" s="8" t="s">
        <v>728</v>
      </c>
      <c r="K1298" s="8" t="s">
        <v>729</v>
      </c>
      <c r="L1298" s="8" t="s">
        <v>730</v>
      </c>
      <c r="M1298" s="1" t="s">
        <v>786</v>
      </c>
      <c r="N1298" s="8" t="s">
        <v>787</v>
      </c>
      <c r="O1298" s="6">
        <v>0</v>
      </c>
      <c r="P1298" s="6">
        <v>0</v>
      </c>
      <c r="Q1298" s="6">
        <v>0</v>
      </c>
      <c r="R1298" s="6">
        <v>240</v>
      </c>
      <c r="S1298" s="6">
        <v>700</v>
      </c>
    </row>
    <row r="1299" spans="1:19" ht="15" x14ac:dyDescent="0.25">
      <c r="A1299" s="7" t="s">
        <v>16</v>
      </c>
      <c r="B1299" s="7" t="s">
        <v>55</v>
      </c>
      <c r="C1299" s="7" t="s">
        <v>18</v>
      </c>
      <c r="D1299" s="3">
        <v>46124624002599</v>
      </c>
      <c r="E1299" s="8" t="s">
        <v>157</v>
      </c>
      <c r="F1299" s="8" t="s">
        <v>158</v>
      </c>
      <c r="G1299" s="8" t="s">
        <v>21</v>
      </c>
      <c r="H1299" s="8" t="s">
        <v>795</v>
      </c>
      <c r="I1299" s="3">
        <v>2</v>
      </c>
      <c r="J1299" s="8" t="s">
        <v>726</v>
      </c>
      <c r="K1299" s="8" t="s">
        <v>727</v>
      </c>
      <c r="L1299" s="8" t="s">
        <v>723</v>
      </c>
      <c r="M1299" s="1" t="s">
        <v>786</v>
      </c>
      <c r="N1299" s="8" t="s">
        <v>787</v>
      </c>
      <c r="O1299" s="6">
        <v>0</v>
      </c>
      <c r="P1299" s="6">
        <v>0</v>
      </c>
      <c r="Q1299" s="6">
        <v>0</v>
      </c>
      <c r="R1299" s="6">
        <v>0</v>
      </c>
      <c r="S1299" s="6">
        <v>700</v>
      </c>
    </row>
    <row r="1300" spans="1:19" ht="15" x14ac:dyDescent="0.25">
      <c r="A1300" s="7" t="s">
        <v>16</v>
      </c>
      <c r="B1300" s="7" t="s">
        <v>60</v>
      </c>
      <c r="C1300" s="7" t="s">
        <v>18</v>
      </c>
      <c r="D1300" s="3">
        <v>44482299472</v>
      </c>
      <c r="E1300" s="8" t="s">
        <v>468</v>
      </c>
      <c r="F1300" s="8" t="s">
        <v>361</v>
      </c>
      <c r="G1300" s="8" t="s">
        <v>362</v>
      </c>
      <c r="H1300" s="8" t="s">
        <v>795</v>
      </c>
      <c r="I1300" s="3">
        <v>2</v>
      </c>
      <c r="J1300" s="8" t="s">
        <v>778</v>
      </c>
      <c r="K1300" s="8" t="s">
        <v>779</v>
      </c>
      <c r="L1300" s="8" t="s">
        <v>730</v>
      </c>
      <c r="M1300" s="1" t="s">
        <v>790</v>
      </c>
      <c r="N1300" s="8" t="s">
        <v>791</v>
      </c>
      <c r="O1300" s="6">
        <v>90</v>
      </c>
      <c r="P1300" s="6">
        <v>0</v>
      </c>
      <c r="Q1300" s="6">
        <v>0</v>
      </c>
      <c r="R1300" s="6">
        <v>0</v>
      </c>
      <c r="S1300" s="6">
        <v>0</v>
      </c>
    </row>
    <row r="1301" spans="1:19" ht="15" x14ac:dyDescent="0.25">
      <c r="A1301" s="7" t="s">
        <v>16</v>
      </c>
      <c r="B1301" s="7" t="s">
        <v>60</v>
      </c>
      <c r="C1301" s="7" t="s">
        <v>18</v>
      </c>
      <c r="D1301" s="3">
        <v>44482299472</v>
      </c>
      <c r="E1301" s="8" t="s">
        <v>468</v>
      </c>
      <c r="F1301" s="8" t="s">
        <v>361</v>
      </c>
      <c r="G1301" s="8" t="s">
        <v>362</v>
      </c>
      <c r="H1301" s="8" t="s">
        <v>795</v>
      </c>
      <c r="I1301" s="3">
        <v>2</v>
      </c>
      <c r="J1301" s="8" t="s">
        <v>746</v>
      </c>
      <c r="K1301" s="8" t="s">
        <v>747</v>
      </c>
      <c r="L1301" s="8" t="s">
        <v>723</v>
      </c>
      <c r="M1301" s="1" t="s">
        <v>790</v>
      </c>
      <c r="N1301" s="8" t="s">
        <v>791</v>
      </c>
      <c r="O1301" s="6">
        <v>0</v>
      </c>
      <c r="P1301" s="6">
        <v>0</v>
      </c>
      <c r="Q1301" s="6">
        <v>0</v>
      </c>
      <c r="R1301" s="6">
        <v>0</v>
      </c>
      <c r="S1301" s="6">
        <v>0</v>
      </c>
    </row>
    <row r="1302" spans="1:19" ht="15" x14ac:dyDescent="0.25">
      <c r="A1302" s="7" t="s">
        <v>16</v>
      </c>
      <c r="B1302" s="7" t="s">
        <v>60</v>
      </c>
      <c r="C1302" s="7" t="s">
        <v>18</v>
      </c>
      <c r="D1302" s="3">
        <v>1454407000151</v>
      </c>
      <c r="E1302" s="8" t="s">
        <v>533</v>
      </c>
      <c r="F1302" s="8" t="s">
        <v>361</v>
      </c>
      <c r="G1302" s="8" t="s">
        <v>362</v>
      </c>
      <c r="H1302" s="8" t="s">
        <v>795</v>
      </c>
      <c r="I1302" s="3">
        <v>2</v>
      </c>
      <c r="J1302" s="8" t="s">
        <v>778</v>
      </c>
      <c r="K1302" s="8" t="s">
        <v>779</v>
      </c>
      <c r="L1302" s="8" t="s">
        <v>730</v>
      </c>
      <c r="M1302" s="1" t="s">
        <v>790</v>
      </c>
      <c r="N1302" s="8" t="s">
        <v>791</v>
      </c>
      <c r="O1302" s="6">
        <v>0</v>
      </c>
      <c r="P1302" s="6">
        <v>0</v>
      </c>
      <c r="Q1302" s="6">
        <v>0</v>
      </c>
      <c r="R1302" s="6">
        <v>0</v>
      </c>
      <c r="S1302" s="6">
        <v>235</v>
      </c>
    </row>
    <row r="1303" spans="1:19" ht="15" x14ac:dyDescent="0.25">
      <c r="A1303" s="7" t="s">
        <v>16</v>
      </c>
      <c r="B1303" s="7" t="s">
        <v>60</v>
      </c>
      <c r="C1303" s="7" t="s">
        <v>18</v>
      </c>
      <c r="D1303" s="3">
        <v>1454407000151</v>
      </c>
      <c r="E1303" s="8" t="s">
        <v>533</v>
      </c>
      <c r="F1303" s="8" t="s">
        <v>361</v>
      </c>
      <c r="G1303" s="8" t="s">
        <v>362</v>
      </c>
      <c r="H1303" s="8" t="s">
        <v>795</v>
      </c>
      <c r="I1303" s="3">
        <v>2</v>
      </c>
      <c r="J1303" s="8" t="s">
        <v>746</v>
      </c>
      <c r="K1303" s="8" t="s">
        <v>747</v>
      </c>
      <c r="L1303" s="8" t="s">
        <v>723</v>
      </c>
      <c r="M1303" s="1" t="s">
        <v>790</v>
      </c>
      <c r="N1303" s="8" t="s">
        <v>791</v>
      </c>
      <c r="O1303" s="6">
        <v>0</v>
      </c>
      <c r="P1303" s="6">
        <v>0</v>
      </c>
      <c r="Q1303" s="6">
        <v>0</v>
      </c>
      <c r="R1303" s="6">
        <v>0</v>
      </c>
      <c r="S1303" s="6">
        <v>235</v>
      </c>
    </row>
    <row r="1304" spans="1:19" ht="15" x14ac:dyDescent="0.25">
      <c r="A1304" s="7" t="s">
        <v>16</v>
      </c>
      <c r="B1304" s="7" t="s">
        <v>60</v>
      </c>
      <c r="C1304" s="7" t="s">
        <v>18</v>
      </c>
      <c r="D1304" s="3">
        <v>12361267000860</v>
      </c>
      <c r="E1304" s="8" t="s">
        <v>488</v>
      </c>
      <c r="F1304" s="8" t="s">
        <v>361</v>
      </c>
      <c r="G1304" s="8" t="s">
        <v>362</v>
      </c>
      <c r="H1304" s="8" t="s">
        <v>795</v>
      </c>
      <c r="I1304" s="3">
        <v>2</v>
      </c>
      <c r="J1304" s="8" t="s">
        <v>778</v>
      </c>
      <c r="K1304" s="8" t="s">
        <v>779</v>
      </c>
      <c r="L1304" s="8" t="s">
        <v>730</v>
      </c>
      <c r="M1304" s="1" t="s">
        <v>790</v>
      </c>
      <c r="N1304" s="8" t="s">
        <v>791</v>
      </c>
      <c r="O1304" s="6">
        <v>0</v>
      </c>
      <c r="P1304" s="6">
        <v>0</v>
      </c>
      <c r="Q1304" s="6">
        <v>0</v>
      </c>
      <c r="R1304" s="6">
        <v>0</v>
      </c>
      <c r="S1304" s="6">
        <v>0</v>
      </c>
    </row>
    <row r="1305" spans="1:19" ht="15" x14ac:dyDescent="0.25">
      <c r="A1305" s="7" t="s">
        <v>16</v>
      </c>
      <c r="B1305" s="7" t="s">
        <v>60</v>
      </c>
      <c r="C1305" s="7" t="s">
        <v>18</v>
      </c>
      <c r="D1305" s="3">
        <v>12361267000860</v>
      </c>
      <c r="E1305" s="8" t="s">
        <v>488</v>
      </c>
      <c r="F1305" s="8" t="s">
        <v>361</v>
      </c>
      <c r="G1305" s="8" t="s">
        <v>362</v>
      </c>
      <c r="H1305" s="8" t="s">
        <v>795</v>
      </c>
      <c r="I1305" s="3">
        <v>2</v>
      </c>
      <c r="J1305" s="8" t="s">
        <v>746</v>
      </c>
      <c r="K1305" s="8" t="s">
        <v>747</v>
      </c>
      <c r="L1305" s="8" t="s">
        <v>723</v>
      </c>
      <c r="M1305" s="1" t="s">
        <v>790</v>
      </c>
      <c r="N1305" s="8" t="s">
        <v>791</v>
      </c>
      <c r="O1305" s="6">
        <v>0</v>
      </c>
      <c r="P1305" s="6">
        <v>2</v>
      </c>
      <c r="Q1305" s="6">
        <v>0</v>
      </c>
      <c r="R1305" s="6">
        <v>0</v>
      </c>
      <c r="S1305" s="6">
        <v>0</v>
      </c>
    </row>
    <row r="1306" spans="1:19" ht="15" x14ac:dyDescent="0.25">
      <c r="A1306" s="7" t="s">
        <v>16</v>
      </c>
      <c r="B1306" s="7" t="s">
        <v>60</v>
      </c>
      <c r="C1306" s="7" t="s">
        <v>18</v>
      </c>
      <c r="D1306" s="3">
        <v>1722424000122</v>
      </c>
      <c r="E1306" s="8" t="s">
        <v>635</v>
      </c>
      <c r="F1306" s="8" t="s">
        <v>361</v>
      </c>
      <c r="G1306" s="8" t="s">
        <v>362</v>
      </c>
      <c r="H1306" s="8" t="s">
        <v>795</v>
      </c>
      <c r="I1306" s="3">
        <v>2</v>
      </c>
      <c r="J1306" s="8" t="s">
        <v>778</v>
      </c>
      <c r="K1306" s="8" t="s">
        <v>779</v>
      </c>
      <c r="L1306" s="8" t="s">
        <v>730</v>
      </c>
      <c r="M1306" s="1" t="s">
        <v>790</v>
      </c>
      <c r="N1306" s="8" t="s">
        <v>791</v>
      </c>
      <c r="O1306" s="6">
        <v>0</v>
      </c>
      <c r="P1306" s="6">
        <v>0</v>
      </c>
      <c r="Q1306" s="6">
        <v>0</v>
      </c>
      <c r="R1306" s="6">
        <v>0</v>
      </c>
      <c r="S1306" s="6">
        <v>515</v>
      </c>
    </row>
    <row r="1307" spans="1:19" ht="15" x14ac:dyDescent="0.25">
      <c r="A1307" s="7" t="s">
        <v>16</v>
      </c>
      <c r="B1307" s="7" t="s">
        <v>60</v>
      </c>
      <c r="C1307" s="7" t="s">
        <v>18</v>
      </c>
      <c r="D1307" s="3">
        <v>1722424000122</v>
      </c>
      <c r="E1307" s="8" t="s">
        <v>635</v>
      </c>
      <c r="F1307" s="8" t="s">
        <v>361</v>
      </c>
      <c r="G1307" s="8" t="s">
        <v>362</v>
      </c>
      <c r="H1307" s="8" t="s">
        <v>795</v>
      </c>
      <c r="I1307" s="3">
        <v>2</v>
      </c>
      <c r="J1307" s="8" t="s">
        <v>746</v>
      </c>
      <c r="K1307" s="8" t="s">
        <v>747</v>
      </c>
      <c r="L1307" s="8" t="s">
        <v>723</v>
      </c>
      <c r="M1307" s="1" t="s">
        <v>790</v>
      </c>
      <c r="N1307" s="8" t="s">
        <v>791</v>
      </c>
      <c r="O1307" s="6">
        <v>0</v>
      </c>
      <c r="P1307" s="6">
        <v>0</v>
      </c>
      <c r="Q1307" s="6">
        <v>0</v>
      </c>
      <c r="R1307" s="6">
        <v>0</v>
      </c>
      <c r="S1307" s="6">
        <v>515</v>
      </c>
    </row>
    <row r="1308" spans="1:19" ht="15" x14ac:dyDescent="0.25">
      <c r="A1308" s="7" t="s">
        <v>16</v>
      </c>
      <c r="B1308" s="7" t="s">
        <v>60</v>
      </c>
      <c r="C1308" s="7" t="s">
        <v>18</v>
      </c>
      <c r="D1308" s="3">
        <v>12442737000496</v>
      </c>
      <c r="E1308" s="8" t="s">
        <v>437</v>
      </c>
      <c r="F1308" s="8" t="s">
        <v>361</v>
      </c>
      <c r="G1308" s="8" t="s">
        <v>362</v>
      </c>
      <c r="H1308" s="8" t="s">
        <v>795</v>
      </c>
      <c r="I1308" s="3">
        <v>2</v>
      </c>
      <c r="J1308" s="8" t="s">
        <v>778</v>
      </c>
      <c r="K1308" s="8" t="s">
        <v>779</v>
      </c>
      <c r="L1308" s="8" t="s">
        <v>730</v>
      </c>
      <c r="M1308" s="1" t="s">
        <v>790</v>
      </c>
      <c r="N1308" s="8" t="s">
        <v>791</v>
      </c>
      <c r="O1308" s="6">
        <v>0</v>
      </c>
      <c r="P1308" s="6">
        <v>0</v>
      </c>
      <c r="Q1308" s="6">
        <v>0</v>
      </c>
      <c r="R1308" s="6">
        <v>0</v>
      </c>
      <c r="S1308" s="6">
        <v>0</v>
      </c>
    </row>
    <row r="1309" spans="1:19" ht="15" x14ac:dyDescent="0.25">
      <c r="A1309" s="7" t="s">
        <v>16</v>
      </c>
      <c r="B1309" s="7" t="s">
        <v>60</v>
      </c>
      <c r="C1309" s="7" t="s">
        <v>18</v>
      </c>
      <c r="D1309" s="3">
        <v>12442737000496</v>
      </c>
      <c r="E1309" s="8" t="s">
        <v>437</v>
      </c>
      <c r="F1309" s="8" t="s">
        <v>361</v>
      </c>
      <c r="G1309" s="8" t="s">
        <v>362</v>
      </c>
      <c r="H1309" s="8" t="s">
        <v>795</v>
      </c>
      <c r="I1309" s="3">
        <v>2</v>
      </c>
      <c r="J1309" s="8" t="s">
        <v>746</v>
      </c>
      <c r="K1309" s="8" t="s">
        <v>747</v>
      </c>
      <c r="L1309" s="8" t="s">
        <v>723</v>
      </c>
      <c r="M1309" s="1" t="s">
        <v>790</v>
      </c>
      <c r="N1309" s="8" t="s">
        <v>791</v>
      </c>
      <c r="O1309" s="6">
        <v>0</v>
      </c>
      <c r="P1309" s="6">
        <v>0</v>
      </c>
      <c r="Q1309" s="6">
        <v>2</v>
      </c>
      <c r="R1309" s="6">
        <v>0</v>
      </c>
      <c r="S1309" s="6">
        <v>0</v>
      </c>
    </row>
    <row r="1310" spans="1:19" ht="15" x14ac:dyDescent="0.25">
      <c r="A1310" s="7" t="s">
        <v>16</v>
      </c>
      <c r="B1310" s="7" t="s">
        <v>60</v>
      </c>
      <c r="C1310" s="7" t="s">
        <v>18</v>
      </c>
      <c r="D1310" s="3">
        <v>12361267011632</v>
      </c>
      <c r="E1310" s="8" t="s">
        <v>496</v>
      </c>
      <c r="F1310" s="8" t="s">
        <v>497</v>
      </c>
      <c r="G1310" s="8" t="s">
        <v>498</v>
      </c>
      <c r="H1310" s="8" t="s">
        <v>795</v>
      </c>
      <c r="I1310" s="3">
        <v>1</v>
      </c>
      <c r="J1310" s="8" t="s">
        <v>780</v>
      </c>
      <c r="K1310" s="8" t="s">
        <v>781</v>
      </c>
      <c r="L1310" s="8" t="s">
        <v>739</v>
      </c>
      <c r="M1310" s="1" t="s">
        <v>790</v>
      </c>
      <c r="N1310" s="8" t="s">
        <v>791</v>
      </c>
      <c r="O1310" s="6">
        <v>0</v>
      </c>
      <c r="P1310" s="6">
        <v>2</v>
      </c>
      <c r="Q1310" s="6">
        <v>4</v>
      </c>
      <c r="R1310" s="6">
        <v>0</v>
      </c>
      <c r="S1310" s="6">
        <v>0</v>
      </c>
    </row>
    <row r="1311" spans="1:19" ht="15" x14ac:dyDescent="0.25">
      <c r="A1311" s="7" t="s">
        <v>16</v>
      </c>
      <c r="B1311" s="7" t="s">
        <v>60</v>
      </c>
      <c r="C1311" s="7" t="s">
        <v>18</v>
      </c>
      <c r="D1311" s="3">
        <v>6070425000153</v>
      </c>
      <c r="E1311" s="8" t="s">
        <v>289</v>
      </c>
      <c r="F1311" s="8" t="s">
        <v>290</v>
      </c>
      <c r="G1311" s="8" t="s">
        <v>291</v>
      </c>
      <c r="H1311" s="8" t="s">
        <v>795</v>
      </c>
      <c r="I1311" s="3">
        <v>1</v>
      </c>
      <c r="J1311" s="8" t="s">
        <v>780</v>
      </c>
      <c r="K1311" s="8" t="s">
        <v>781</v>
      </c>
      <c r="L1311" s="8" t="s">
        <v>739</v>
      </c>
      <c r="M1311" s="1" t="s">
        <v>790</v>
      </c>
      <c r="N1311" s="8" t="s">
        <v>791</v>
      </c>
      <c r="O1311" s="6">
        <v>0</v>
      </c>
      <c r="P1311" s="6">
        <v>0</v>
      </c>
      <c r="Q1311" s="6">
        <v>0</v>
      </c>
      <c r="R1311" s="6">
        <v>12</v>
      </c>
      <c r="S1311" s="6">
        <v>0</v>
      </c>
    </row>
    <row r="1312" spans="1:19" ht="15" x14ac:dyDescent="0.25">
      <c r="A1312" s="7" t="s">
        <v>16</v>
      </c>
      <c r="B1312" s="7" t="s">
        <v>60</v>
      </c>
      <c r="C1312" s="7" t="s">
        <v>18</v>
      </c>
      <c r="D1312" s="3">
        <v>12361267010407</v>
      </c>
      <c r="E1312" s="8" t="s">
        <v>495</v>
      </c>
      <c r="F1312" s="8" t="s">
        <v>323</v>
      </c>
      <c r="G1312" s="8" t="s">
        <v>276</v>
      </c>
      <c r="H1312" s="8" t="s">
        <v>795</v>
      </c>
      <c r="I1312" s="3">
        <v>2</v>
      </c>
      <c r="J1312" s="8" t="s">
        <v>778</v>
      </c>
      <c r="K1312" s="8" t="s">
        <v>779</v>
      </c>
      <c r="L1312" s="8" t="s">
        <v>730</v>
      </c>
      <c r="M1312" s="1" t="s">
        <v>790</v>
      </c>
      <c r="N1312" s="8" t="s">
        <v>791</v>
      </c>
      <c r="O1312" s="6">
        <v>0</v>
      </c>
      <c r="P1312" s="6">
        <v>0</v>
      </c>
      <c r="Q1312" s="6">
        <v>0</v>
      </c>
      <c r="R1312" s="6">
        <v>0</v>
      </c>
      <c r="S1312" s="6">
        <v>0</v>
      </c>
    </row>
    <row r="1313" spans="1:19" ht="15" x14ac:dyDescent="0.25">
      <c r="A1313" s="7" t="s">
        <v>16</v>
      </c>
      <c r="B1313" s="7" t="s">
        <v>60</v>
      </c>
      <c r="C1313" s="7" t="s">
        <v>18</v>
      </c>
      <c r="D1313" s="3">
        <v>12361267010407</v>
      </c>
      <c r="E1313" s="8" t="s">
        <v>495</v>
      </c>
      <c r="F1313" s="8" t="s">
        <v>323</v>
      </c>
      <c r="G1313" s="8" t="s">
        <v>276</v>
      </c>
      <c r="H1313" s="8" t="s">
        <v>795</v>
      </c>
      <c r="I1313" s="3">
        <v>2</v>
      </c>
      <c r="J1313" s="8" t="s">
        <v>746</v>
      </c>
      <c r="K1313" s="8" t="s">
        <v>747</v>
      </c>
      <c r="L1313" s="8" t="s">
        <v>723</v>
      </c>
      <c r="M1313" s="1" t="s">
        <v>790</v>
      </c>
      <c r="N1313" s="8" t="s">
        <v>791</v>
      </c>
      <c r="O1313" s="6">
        <v>0</v>
      </c>
      <c r="P1313" s="6">
        <v>2</v>
      </c>
      <c r="Q1313" s="6">
        <v>0</v>
      </c>
      <c r="R1313" s="6">
        <v>0</v>
      </c>
      <c r="S1313" s="6">
        <v>0</v>
      </c>
    </row>
    <row r="1314" spans="1:19" ht="15" x14ac:dyDescent="0.25">
      <c r="A1314" s="7" t="s">
        <v>16</v>
      </c>
      <c r="B1314" s="7" t="s">
        <v>60</v>
      </c>
      <c r="C1314" s="7" t="s">
        <v>18</v>
      </c>
      <c r="D1314" s="3">
        <v>13952064000134</v>
      </c>
      <c r="E1314" s="8" t="s">
        <v>321</v>
      </c>
      <c r="F1314" s="8" t="s">
        <v>278</v>
      </c>
      <c r="G1314" s="8" t="s">
        <v>276</v>
      </c>
      <c r="H1314" s="8" t="s">
        <v>795</v>
      </c>
      <c r="I1314" s="3">
        <v>2</v>
      </c>
      <c r="J1314" s="8" t="s">
        <v>778</v>
      </c>
      <c r="K1314" s="8" t="s">
        <v>779</v>
      </c>
      <c r="L1314" s="8" t="s">
        <v>730</v>
      </c>
      <c r="M1314" s="1" t="s">
        <v>790</v>
      </c>
      <c r="N1314" s="8" t="s">
        <v>791</v>
      </c>
      <c r="O1314" s="6">
        <v>0</v>
      </c>
      <c r="P1314" s="6">
        <v>0</v>
      </c>
      <c r="Q1314" s="6">
        <v>0</v>
      </c>
      <c r="R1314" s="6">
        <v>0</v>
      </c>
      <c r="S1314" s="6">
        <v>0</v>
      </c>
    </row>
    <row r="1315" spans="1:19" ht="15" x14ac:dyDescent="0.25">
      <c r="A1315" s="7" t="s">
        <v>16</v>
      </c>
      <c r="B1315" s="7" t="s">
        <v>60</v>
      </c>
      <c r="C1315" s="7" t="s">
        <v>18</v>
      </c>
      <c r="D1315" s="3">
        <v>13952064000134</v>
      </c>
      <c r="E1315" s="8" t="s">
        <v>321</v>
      </c>
      <c r="F1315" s="8" t="s">
        <v>278</v>
      </c>
      <c r="G1315" s="8" t="s">
        <v>276</v>
      </c>
      <c r="H1315" s="8" t="s">
        <v>795</v>
      </c>
      <c r="I1315" s="3">
        <v>2</v>
      </c>
      <c r="J1315" s="8" t="s">
        <v>746</v>
      </c>
      <c r="K1315" s="8" t="s">
        <v>747</v>
      </c>
      <c r="L1315" s="8" t="s">
        <v>723</v>
      </c>
      <c r="M1315" s="1" t="s">
        <v>790</v>
      </c>
      <c r="N1315" s="8" t="s">
        <v>791</v>
      </c>
      <c r="O1315" s="6">
        <v>0</v>
      </c>
      <c r="P1315" s="6">
        <v>22</v>
      </c>
      <c r="Q1315" s="6">
        <v>8</v>
      </c>
      <c r="R1315" s="6">
        <v>0</v>
      </c>
      <c r="S1315" s="6">
        <v>0</v>
      </c>
    </row>
    <row r="1316" spans="1:19" ht="15" x14ac:dyDescent="0.25">
      <c r="A1316" s="7" t="s">
        <v>16</v>
      </c>
      <c r="B1316" s="7" t="s">
        <v>60</v>
      </c>
      <c r="C1316" s="7" t="s">
        <v>18</v>
      </c>
      <c r="D1316" s="3">
        <v>1837492000137</v>
      </c>
      <c r="E1316" s="8" t="s">
        <v>475</v>
      </c>
      <c r="F1316" s="8" t="s">
        <v>278</v>
      </c>
      <c r="G1316" s="8" t="s">
        <v>276</v>
      </c>
      <c r="H1316" s="8" t="s">
        <v>795</v>
      </c>
      <c r="I1316" s="3">
        <v>2</v>
      </c>
      <c r="J1316" s="8" t="s">
        <v>778</v>
      </c>
      <c r="K1316" s="8" t="s">
        <v>779</v>
      </c>
      <c r="L1316" s="8" t="s">
        <v>730</v>
      </c>
      <c r="M1316" s="1" t="s">
        <v>790</v>
      </c>
      <c r="N1316" s="8" t="s">
        <v>791</v>
      </c>
      <c r="O1316" s="6">
        <v>0</v>
      </c>
      <c r="P1316" s="6">
        <v>0</v>
      </c>
      <c r="Q1316" s="6">
        <v>0</v>
      </c>
      <c r="R1316" s="6">
        <v>0</v>
      </c>
      <c r="S1316" s="6">
        <v>0</v>
      </c>
    </row>
    <row r="1317" spans="1:19" ht="15" x14ac:dyDescent="0.25">
      <c r="A1317" s="7" t="s">
        <v>16</v>
      </c>
      <c r="B1317" s="7" t="s">
        <v>60</v>
      </c>
      <c r="C1317" s="7" t="s">
        <v>18</v>
      </c>
      <c r="D1317" s="3">
        <v>1837492000137</v>
      </c>
      <c r="E1317" s="8" t="s">
        <v>475</v>
      </c>
      <c r="F1317" s="8" t="s">
        <v>278</v>
      </c>
      <c r="G1317" s="8" t="s">
        <v>276</v>
      </c>
      <c r="H1317" s="8" t="s">
        <v>795</v>
      </c>
      <c r="I1317" s="3">
        <v>2</v>
      </c>
      <c r="J1317" s="8" t="s">
        <v>746</v>
      </c>
      <c r="K1317" s="8" t="s">
        <v>747</v>
      </c>
      <c r="L1317" s="8" t="s">
        <v>723</v>
      </c>
      <c r="M1317" s="1" t="s">
        <v>790</v>
      </c>
      <c r="N1317" s="8" t="s">
        <v>791</v>
      </c>
      <c r="O1317" s="6">
        <v>0</v>
      </c>
      <c r="P1317" s="6">
        <v>2</v>
      </c>
      <c r="Q1317" s="6">
        <v>0</v>
      </c>
      <c r="R1317" s="6">
        <v>0</v>
      </c>
      <c r="S1317" s="6">
        <v>0</v>
      </c>
    </row>
    <row r="1318" spans="1:19" ht="15" x14ac:dyDescent="0.25">
      <c r="A1318" s="7" t="s">
        <v>16</v>
      </c>
      <c r="B1318" s="7" t="s">
        <v>60</v>
      </c>
      <c r="C1318" s="7" t="s">
        <v>18</v>
      </c>
      <c r="D1318" s="3">
        <v>9324322559</v>
      </c>
      <c r="E1318" s="8" t="s">
        <v>466</v>
      </c>
      <c r="F1318" s="8" t="s">
        <v>278</v>
      </c>
      <c r="G1318" s="8" t="s">
        <v>276</v>
      </c>
      <c r="H1318" s="8" t="s">
        <v>795</v>
      </c>
      <c r="I1318" s="3">
        <v>2</v>
      </c>
      <c r="J1318" s="8" t="s">
        <v>778</v>
      </c>
      <c r="K1318" s="8" t="s">
        <v>779</v>
      </c>
      <c r="L1318" s="8" t="s">
        <v>730</v>
      </c>
      <c r="M1318" s="1" t="s">
        <v>790</v>
      </c>
      <c r="N1318" s="8" t="s">
        <v>791</v>
      </c>
      <c r="O1318" s="6">
        <v>0</v>
      </c>
      <c r="P1318" s="6">
        <v>0</v>
      </c>
      <c r="Q1318" s="6">
        <v>0</v>
      </c>
      <c r="R1318" s="6">
        <v>5</v>
      </c>
      <c r="S1318" s="6">
        <v>0</v>
      </c>
    </row>
    <row r="1319" spans="1:19" ht="15" x14ac:dyDescent="0.25">
      <c r="A1319" s="7" t="s">
        <v>16</v>
      </c>
      <c r="B1319" s="7" t="s">
        <v>60</v>
      </c>
      <c r="C1319" s="7" t="s">
        <v>18</v>
      </c>
      <c r="D1319" s="3">
        <v>9324322559</v>
      </c>
      <c r="E1319" s="8" t="s">
        <v>466</v>
      </c>
      <c r="F1319" s="8" t="s">
        <v>278</v>
      </c>
      <c r="G1319" s="8" t="s">
        <v>276</v>
      </c>
      <c r="H1319" s="8" t="s">
        <v>795</v>
      </c>
      <c r="I1319" s="3">
        <v>2</v>
      </c>
      <c r="J1319" s="8" t="s">
        <v>746</v>
      </c>
      <c r="K1319" s="8" t="s">
        <v>747</v>
      </c>
      <c r="L1319" s="8" t="s">
        <v>723</v>
      </c>
      <c r="M1319" s="1" t="s">
        <v>790</v>
      </c>
      <c r="N1319" s="8" t="s">
        <v>791</v>
      </c>
      <c r="O1319" s="6">
        <v>0</v>
      </c>
      <c r="P1319" s="6">
        <v>0</v>
      </c>
      <c r="Q1319" s="6">
        <v>0</v>
      </c>
      <c r="R1319" s="6">
        <v>0</v>
      </c>
      <c r="S1319" s="6">
        <v>0</v>
      </c>
    </row>
    <row r="1320" spans="1:19" ht="15" x14ac:dyDescent="0.25">
      <c r="A1320" s="7" t="s">
        <v>16</v>
      </c>
      <c r="B1320" s="7" t="s">
        <v>60</v>
      </c>
      <c r="C1320" s="7" t="s">
        <v>18</v>
      </c>
      <c r="D1320" s="3">
        <v>5816630000152</v>
      </c>
      <c r="E1320" s="8" t="s">
        <v>279</v>
      </c>
      <c r="F1320" s="8" t="s">
        <v>278</v>
      </c>
      <c r="G1320" s="8" t="s">
        <v>276</v>
      </c>
      <c r="H1320" s="8" t="s">
        <v>795</v>
      </c>
      <c r="I1320" s="3">
        <v>2</v>
      </c>
      <c r="J1320" s="8" t="s">
        <v>778</v>
      </c>
      <c r="K1320" s="8" t="s">
        <v>779</v>
      </c>
      <c r="L1320" s="8" t="s">
        <v>730</v>
      </c>
      <c r="M1320" s="1" t="s">
        <v>790</v>
      </c>
      <c r="N1320" s="8" t="s">
        <v>791</v>
      </c>
      <c r="O1320" s="6">
        <v>0</v>
      </c>
      <c r="P1320" s="6">
        <v>0</v>
      </c>
      <c r="Q1320" s="6">
        <v>0</v>
      </c>
      <c r="R1320" s="6">
        <v>0</v>
      </c>
      <c r="S1320" s="6">
        <v>650</v>
      </c>
    </row>
    <row r="1321" spans="1:19" ht="15" x14ac:dyDescent="0.25">
      <c r="A1321" s="7" t="s">
        <v>16</v>
      </c>
      <c r="B1321" s="7" t="s">
        <v>60</v>
      </c>
      <c r="C1321" s="7" t="s">
        <v>18</v>
      </c>
      <c r="D1321" s="3">
        <v>5816630000152</v>
      </c>
      <c r="E1321" s="8" t="s">
        <v>279</v>
      </c>
      <c r="F1321" s="8" t="s">
        <v>278</v>
      </c>
      <c r="G1321" s="8" t="s">
        <v>276</v>
      </c>
      <c r="H1321" s="8" t="s">
        <v>795</v>
      </c>
      <c r="I1321" s="3">
        <v>2</v>
      </c>
      <c r="J1321" s="8" t="s">
        <v>746</v>
      </c>
      <c r="K1321" s="8" t="s">
        <v>747</v>
      </c>
      <c r="L1321" s="8" t="s">
        <v>723</v>
      </c>
      <c r="M1321" s="1" t="s">
        <v>790</v>
      </c>
      <c r="N1321" s="8" t="s">
        <v>791</v>
      </c>
      <c r="O1321" s="6">
        <v>0</v>
      </c>
      <c r="P1321" s="6">
        <v>15</v>
      </c>
      <c r="Q1321" s="6">
        <v>10</v>
      </c>
      <c r="R1321" s="6">
        <v>0</v>
      </c>
      <c r="S1321" s="6">
        <v>650</v>
      </c>
    </row>
    <row r="1322" spans="1:19" ht="15" x14ac:dyDescent="0.25">
      <c r="A1322" s="7" t="s">
        <v>16</v>
      </c>
      <c r="B1322" s="7" t="s">
        <v>60</v>
      </c>
      <c r="C1322" s="7" t="s">
        <v>18</v>
      </c>
      <c r="D1322" s="3">
        <v>15194004000125</v>
      </c>
      <c r="E1322" s="8" t="s">
        <v>339</v>
      </c>
      <c r="F1322" s="8" t="s">
        <v>278</v>
      </c>
      <c r="G1322" s="8" t="s">
        <v>276</v>
      </c>
      <c r="H1322" s="8" t="s">
        <v>795</v>
      </c>
      <c r="I1322" s="3">
        <v>2</v>
      </c>
      <c r="J1322" s="8" t="s">
        <v>778</v>
      </c>
      <c r="K1322" s="8" t="s">
        <v>779</v>
      </c>
      <c r="L1322" s="8" t="s">
        <v>730</v>
      </c>
      <c r="M1322" s="1" t="s">
        <v>790</v>
      </c>
      <c r="N1322" s="8" t="s">
        <v>791</v>
      </c>
      <c r="O1322" s="6">
        <v>0</v>
      </c>
      <c r="P1322" s="6">
        <v>0</v>
      </c>
      <c r="Q1322" s="6">
        <v>0</v>
      </c>
      <c r="R1322" s="6">
        <v>0</v>
      </c>
      <c r="S1322" s="6">
        <v>0</v>
      </c>
    </row>
    <row r="1323" spans="1:19" ht="15" x14ac:dyDescent="0.25">
      <c r="A1323" s="7" t="s">
        <v>16</v>
      </c>
      <c r="B1323" s="7" t="s">
        <v>60</v>
      </c>
      <c r="C1323" s="7" t="s">
        <v>18</v>
      </c>
      <c r="D1323" s="3">
        <v>15194004000125</v>
      </c>
      <c r="E1323" s="8" t="s">
        <v>339</v>
      </c>
      <c r="F1323" s="8" t="s">
        <v>278</v>
      </c>
      <c r="G1323" s="8" t="s">
        <v>276</v>
      </c>
      <c r="H1323" s="8" t="s">
        <v>795</v>
      </c>
      <c r="I1323" s="3">
        <v>2</v>
      </c>
      <c r="J1323" s="8" t="s">
        <v>746</v>
      </c>
      <c r="K1323" s="8" t="s">
        <v>747</v>
      </c>
      <c r="L1323" s="8" t="s">
        <v>723</v>
      </c>
      <c r="M1323" s="1" t="s">
        <v>790</v>
      </c>
      <c r="N1323" s="8" t="s">
        <v>791</v>
      </c>
      <c r="O1323" s="6">
        <v>0</v>
      </c>
      <c r="P1323" s="6">
        <v>24</v>
      </c>
      <c r="Q1323" s="6">
        <v>0</v>
      </c>
      <c r="R1323" s="6">
        <v>0</v>
      </c>
      <c r="S1323" s="6">
        <v>0</v>
      </c>
    </row>
    <row r="1324" spans="1:19" ht="15" x14ac:dyDescent="0.25">
      <c r="A1324" s="7" t="s">
        <v>16</v>
      </c>
      <c r="B1324" s="7" t="s">
        <v>60</v>
      </c>
      <c r="C1324" s="7" t="s">
        <v>18</v>
      </c>
      <c r="D1324" s="3">
        <v>5469172000122</v>
      </c>
      <c r="E1324" s="8" t="s">
        <v>277</v>
      </c>
      <c r="F1324" s="8" t="s">
        <v>278</v>
      </c>
      <c r="G1324" s="8" t="s">
        <v>276</v>
      </c>
      <c r="H1324" s="8" t="s">
        <v>795</v>
      </c>
      <c r="I1324" s="3">
        <v>2</v>
      </c>
      <c r="J1324" s="8" t="s">
        <v>778</v>
      </c>
      <c r="K1324" s="8" t="s">
        <v>779</v>
      </c>
      <c r="L1324" s="8" t="s">
        <v>730</v>
      </c>
      <c r="M1324" s="1" t="s">
        <v>790</v>
      </c>
      <c r="N1324" s="8" t="s">
        <v>791</v>
      </c>
      <c r="O1324" s="6">
        <v>0</v>
      </c>
      <c r="P1324" s="6">
        <v>0</v>
      </c>
      <c r="Q1324" s="6">
        <v>0</v>
      </c>
      <c r="R1324" s="6">
        <v>0</v>
      </c>
      <c r="S1324" s="6">
        <v>0</v>
      </c>
    </row>
    <row r="1325" spans="1:19" ht="15" x14ac:dyDescent="0.25">
      <c r="A1325" s="7" t="s">
        <v>16</v>
      </c>
      <c r="B1325" s="7" t="s">
        <v>60</v>
      </c>
      <c r="C1325" s="7" t="s">
        <v>18</v>
      </c>
      <c r="D1325" s="3">
        <v>5469172000122</v>
      </c>
      <c r="E1325" s="8" t="s">
        <v>277</v>
      </c>
      <c r="F1325" s="8" t="s">
        <v>278</v>
      </c>
      <c r="G1325" s="8" t="s">
        <v>276</v>
      </c>
      <c r="H1325" s="8" t="s">
        <v>795</v>
      </c>
      <c r="I1325" s="3">
        <v>2</v>
      </c>
      <c r="J1325" s="8" t="s">
        <v>746</v>
      </c>
      <c r="K1325" s="8" t="s">
        <v>747</v>
      </c>
      <c r="L1325" s="8" t="s">
        <v>723</v>
      </c>
      <c r="M1325" s="1" t="s">
        <v>790</v>
      </c>
      <c r="N1325" s="8" t="s">
        <v>791</v>
      </c>
      <c r="O1325" s="6">
        <v>0</v>
      </c>
      <c r="P1325" s="6">
        <v>0</v>
      </c>
      <c r="Q1325" s="6">
        <v>4</v>
      </c>
      <c r="R1325" s="6">
        <v>0</v>
      </c>
      <c r="S1325" s="6">
        <v>0</v>
      </c>
    </row>
    <row r="1326" spans="1:19" ht="15" x14ac:dyDescent="0.25">
      <c r="A1326" s="7" t="s">
        <v>16</v>
      </c>
      <c r="B1326" s="7" t="s">
        <v>60</v>
      </c>
      <c r="C1326" s="7" t="s">
        <v>18</v>
      </c>
      <c r="D1326" s="3">
        <v>97397848000138</v>
      </c>
      <c r="E1326" s="8" t="s">
        <v>509</v>
      </c>
      <c r="F1326" s="8" t="s">
        <v>278</v>
      </c>
      <c r="G1326" s="8" t="s">
        <v>276</v>
      </c>
      <c r="H1326" s="8" t="s">
        <v>795</v>
      </c>
      <c r="I1326" s="3">
        <v>2</v>
      </c>
      <c r="J1326" s="8" t="s">
        <v>778</v>
      </c>
      <c r="K1326" s="8" t="s">
        <v>779</v>
      </c>
      <c r="L1326" s="8" t="s">
        <v>730</v>
      </c>
      <c r="M1326" s="1" t="s">
        <v>790</v>
      </c>
      <c r="N1326" s="8" t="s">
        <v>791</v>
      </c>
      <c r="O1326" s="6">
        <v>0</v>
      </c>
      <c r="P1326" s="6">
        <v>0</v>
      </c>
      <c r="Q1326" s="6">
        <v>0</v>
      </c>
      <c r="R1326" s="6">
        <v>0</v>
      </c>
      <c r="S1326" s="6">
        <v>0</v>
      </c>
    </row>
    <row r="1327" spans="1:19" ht="15" x14ac:dyDescent="0.25">
      <c r="A1327" s="7" t="s">
        <v>16</v>
      </c>
      <c r="B1327" s="7" t="s">
        <v>60</v>
      </c>
      <c r="C1327" s="7" t="s">
        <v>18</v>
      </c>
      <c r="D1327" s="3">
        <v>97397848000138</v>
      </c>
      <c r="E1327" s="8" t="s">
        <v>509</v>
      </c>
      <c r="F1327" s="8" t="s">
        <v>278</v>
      </c>
      <c r="G1327" s="8" t="s">
        <v>276</v>
      </c>
      <c r="H1327" s="8" t="s">
        <v>795</v>
      </c>
      <c r="I1327" s="3">
        <v>2</v>
      </c>
      <c r="J1327" s="8" t="s">
        <v>746</v>
      </c>
      <c r="K1327" s="8" t="s">
        <v>747</v>
      </c>
      <c r="L1327" s="8" t="s">
        <v>723</v>
      </c>
      <c r="M1327" s="1" t="s">
        <v>790</v>
      </c>
      <c r="N1327" s="8" t="s">
        <v>791</v>
      </c>
      <c r="O1327" s="6">
        <v>0</v>
      </c>
      <c r="P1327" s="6">
        <v>4</v>
      </c>
      <c r="Q1327" s="6">
        <v>0</v>
      </c>
      <c r="R1327" s="6">
        <v>0</v>
      </c>
      <c r="S1327" s="6">
        <v>0</v>
      </c>
    </row>
    <row r="1328" spans="1:19" ht="15" x14ac:dyDescent="0.25">
      <c r="A1328" s="7" t="s">
        <v>16</v>
      </c>
      <c r="B1328" s="7" t="s">
        <v>60</v>
      </c>
      <c r="C1328" s="7" t="s">
        <v>18</v>
      </c>
      <c r="D1328" s="3">
        <v>15166416000151</v>
      </c>
      <c r="E1328" s="8" t="s">
        <v>334</v>
      </c>
      <c r="F1328" s="8" t="s">
        <v>278</v>
      </c>
      <c r="G1328" s="8" t="s">
        <v>276</v>
      </c>
      <c r="H1328" s="8" t="s">
        <v>795</v>
      </c>
      <c r="I1328" s="3">
        <v>2</v>
      </c>
      <c r="J1328" s="8" t="s">
        <v>778</v>
      </c>
      <c r="K1328" s="8" t="s">
        <v>779</v>
      </c>
      <c r="L1328" s="8" t="s">
        <v>730</v>
      </c>
      <c r="M1328" s="1" t="s">
        <v>790</v>
      </c>
      <c r="N1328" s="8" t="s">
        <v>791</v>
      </c>
      <c r="O1328" s="6">
        <v>0</v>
      </c>
      <c r="P1328" s="6">
        <v>0</v>
      </c>
      <c r="Q1328" s="6">
        <v>0</v>
      </c>
      <c r="R1328" s="6">
        <v>0</v>
      </c>
      <c r="S1328" s="6">
        <v>0</v>
      </c>
    </row>
    <row r="1329" spans="1:19" ht="15" x14ac:dyDescent="0.25">
      <c r="A1329" s="7" t="s">
        <v>16</v>
      </c>
      <c r="B1329" s="7" t="s">
        <v>60</v>
      </c>
      <c r="C1329" s="7" t="s">
        <v>18</v>
      </c>
      <c r="D1329" s="3">
        <v>15166416000151</v>
      </c>
      <c r="E1329" s="8" t="s">
        <v>334</v>
      </c>
      <c r="F1329" s="8" t="s">
        <v>278</v>
      </c>
      <c r="G1329" s="8" t="s">
        <v>276</v>
      </c>
      <c r="H1329" s="8" t="s">
        <v>795</v>
      </c>
      <c r="I1329" s="3">
        <v>2</v>
      </c>
      <c r="J1329" s="8" t="s">
        <v>746</v>
      </c>
      <c r="K1329" s="8" t="s">
        <v>747</v>
      </c>
      <c r="L1329" s="8" t="s">
        <v>723</v>
      </c>
      <c r="M1329" s="1" t="s">
        <v>790</v>
      </c>
      <c r="N1329" s="8" t="s">
        <v>791</v>
      </c>
      <c r="O1329" s="6">
        <v>0</v>
      </c>
      <c r="P1329" s="6">
        <v>10</v>
      </c>
      <c r="Q1329" s="6">
        <v>10</v>
      </c>
      <c r="R1329" s="6">
        <v>0</v>
      </c>
      <c r="S1329" s="6">
        <v>0</v>
      </c>
    </row>
    <row r="1330" spans="1:19" ht="15" x14ac:dyDescent="0.25">
      <c r="A1330" s="7" t="s">
        <v>16</v>
      </c>
      <c r="B1330" s="7" t="s">
        <v>60</v>
      </c>
      <c r="C1330" s="7" t="s">
        <v>18</v>
      </c>
      <c r="D1330" s="3">
        <v>15153745000249</v>
      </c>
      <c r="E1330" s="8" t="s">
        <v>332</v>
      </c>
      <c r="F1330" s="8" t="s">
        <v>278</v>
      </c>
      <c r="G1330" s="8" t="s">
        <v>276</v>
      </c>
      <c r="H1330" s="8" t="s">
        <v>795</v>
      </c>
      <c r="I1330" s="3">
        <v>2</v>
      </c>
      <c r="J1330" s="8" t="s">
        <v>778</v>
      </c>
      <c r="K1330" s="8" t="s">
        <v>779</v>
      </c>
      <c r="L1330" s="8" t="s">
        <v>730</v>
      </c>
      <c r="M1330" s="1" t="s">
        <v>790</v>
      </c>
      <c r="N1330" s="8" t="s">
        <v>791</v>
      </c>
      <c r="O1330" s="6">
        <v>0</v>
      </c>
      <c r="P1330" s="6">
        <v>0</v>
      </c>
      <c r="Q1330" s="6">
        <v>0</v>
      </c>
      <c r="R1330" s="6">
        <v>0</v>
      </c>
      <c r="S1330" s="6">
        <v>0</v>
      </c>
    </row>
    <row r="1331" spans="1:19" ht="15" x14ac:dyDescent="0.25">
      <c r="A1331" s="7" t="s">
        <v>16</v>
      </c>
      <c r="B1331" s="7" t="s">
        <v>60</v>
      </c>
      <c r="C1331" s="7" t="s">
        <v>18</v>
      </c>
      <c r="D1331" s="3">
        <v>15153745000249</v>
      </c>
      <c r="E1331" s="8" t="s">
        <v>332</v>
      </c>
      <c r="F1331" s="8" t="s">
        <v>278</v>
      </c>
      <c r="G1331" s="8" t="s">
        <v>276</v>
      </c>
      <c r="H1331" s="8" t="s">
        <v>795</v>
      </c>
      <c r="I1331" s="3">
        <v>2</v>
      </c>
      <c r="J1331" s="8" t="s">
        <v>746</v>
      </c>
      <c r="K1331" s="8" t="s">
        <v>747</v>
      </c>
      <c r="L1331" s="8" t="s">
        <v>723</v>
      </c>
      <c r="M1331" s="1" t="s">
        <v>790</v>
      </c>
      <c r="N1331" s="8" t="s">
        <v>791</v>
      </c>
      <c r="O1331" s="6">
        <v>0</v>
      </c>
      <c r="P1331" s="6">
        <v>4</v>
      </c>
      <c r="Q1331" s="6">
        <v>13</v>
      </c>
      <c r="R1331" s="6">
        <v>0</v>
      </c>
      <c r="S1331" s="6">
        <v>0</v>
      </c>
    </row>
    <row r="1332" spans="1:19" ht="15" x14ac:dyDescent="0.25">
      <c r="A1332" s="7" t="s">
        <v>16</v>
      </c>
      <c r="B1332" s="7" t="s">
        <v>60</v>
      </c>
      <c r="C1332" s="7" t="s">
        <v>18</v>
      </c>
      <c r="D1332" s="3">
        <v>27372066000169</v>
      </c>
      <c r="E1332" s="8" t="s">
        <v>364</v>
      </c>
      <c r="F1332" s="8" t="s">
        <v>278</v>
      </c>
      <c r="G1332" s="8" t="s">
        <v>276</v>
      </c>
      <c r="H1332" s="8" t="s">
        <v>795</v>
      </c>
      <c r="I1332" s="3">
        <v>2</v>
      </c>
      <c r="J1332" s="8" t="s">
        <v>778</v>
      </c>
      <c r="K1332" s="8" t="s">
        <v>779</v>
      </c>
      <c r="L1332" s="8" t="s">
        <v>730</v>
      </c>
      <c r="M1332" s="1" t="s">
        <v>790</v>
      </c>
      <c r="N1332" s="8" t="s">
        <v>791</v>
      </c>
      <c r="O1332" s="6">
        <v>0</v>
      </c>
      <c r="P1332" s="6">
        <v>0</v>
      </c>
      <c r="Q1332" s="6">
        <v>0</v>
      </c>
      <c r="R1332" s="6">
        <v>0</v>
      </c>
      <c r="S1332" s="6">
        <v>0</v>
      </c>
    </row>
    <row r="1333" spans="1:19" ht="15" x14ac:dyDescent="0.25">
      <c r="A1333" s="7" t="s">
        <v>16</v>
      </c>
      <c r="B1333" s="7" t="s">
        <v>60</v>
      </c>
      <c r="C1333" s="7" t="s">
        <v>18</v>
      </c>
      <c r="D1333" s="3">
        <v>27372066000169</v>
      </c>
      <c r="E1333" s="8" t="s">
        <v>364</v>
      </c>
      <c r="F1333" s="8" t="s">
        <v>278</v>
      </c>
      <c r="G1333" s="8" t="s">
        <v>276</v>
      </c>
      <c r="H1333" s="8" t="s">
        <v>795</v>
      </c>
      <c r="I1333" s="3">
        <v>2</v>
      </c>
      <c r="J1333" s="8" t="s">
        <v>746</v>
      </c>
      <c r="K1333" s="8" t="s">
        <v>747</v>
      </c>
      <c r="L1333" s="8" t="s">
        <v>723</v>
      </c>
      <c r="M1333" s="1" t="s">
        <v>790</v>
      </c>
      <c r="N1333" s="8" t="s">
        <v>791</v>
      </c>
      <c r="O1333" s="6">
        <v>0</v>
      </c>
      <c r="P1333" s="6">
        <v>8</v>
      </c>
      <c r="Q1333" s="6">
        <v>5</v>
      </c>
      <c r="R1333" s="6">
        <v>0</v>
      </c>
      <c r="S1333" s="6">
        <v>0</v>
      </c>
    </row>
    <row r="1334" spans="1:19" ht="15" x14ac:dyDescent="0.25">
      <c r="A1334" s="7" t="s">
        <v>16</v>
      </c>
      <c r="B1334" s="7" t="s">
        <v>60</v>
      </c>
      <c r="C1334" s="7" t="s">
        <v>18</v>
      </c>
      <c r="D1334" s="3">
        <v>12361267010318</v>
      </c>
      <c r="E1334" s="8" t="s">
        <v>313</v>
      </c>
      <c r="F1334" s="8" t="s">
        <v>278</v>
      </c>
      <c r="G1334" s="8" t="s">
        <v>276</v>
      </c>
      <c r="H1334" s="8" t="s">
        <v>795</v>
      </c>
      <c r="I1334" s="3">
        <v>2</v>
      </c>
      <c r="J1334" s="8" t="s">
        <v>778</v>
      </c>
      <c r="K1334" s="8" t="s">
        <v>779</v>
      </c>
      <c r="L1334" s="8" t="s">
        <v>730</v>
      </c>
      <c r="M1334" s="1" t="s">
        <v>790</v>
      </c>
      <c r="N1334" s="8" t="s">
        <v>791</v>
      </c>
      <c r="O1334" s="6">
        <v>0</v>
      </c>
      <c r="P1334" s="6">
        <v>0</v>
      </c>
      <c r="Q1334" s="6">
        <v>0</v>
      </c>
      <c r="R1334" s="6">
        <v>0</v>
      </c>
      <c r="S1334" s="6">
        <v>0</v>
      </c>
    </row>
    <row r="1335" spans="1:19" ht="15" x14ac:dyDescent="0.25">
      <c r="A1335" s="7" t="s">
        <v>16</v>
      </c>
      <c r="B1335" s="7" t="s">
        <v>60</v>
      </c>
      <c r="C1335" s="7" t="s">
        <v>18</v>
      </c>
      <c r="D1335" s="3">
        <v>12361267010318</v>
      </c>
      <c r="E1335" s="8" t="s">
        <v>313</v>
      </c>
      <c r="F1335" s="8" t="s">
        <v>278</v>
      </c>
      <c r="G1335" s="8" t="s">
        <v>276</v>
      </c>
      <c r="H1335" s="8" t="s">
        <v>795</v>
      </c>
      <c r="I1335" s="3">
        <v>2</v>
      </c>
      <c r="J1335" s="8" t="s">
        <v>746</v>
      </c>
      <c r="K1335" s="8" t="s">
        <v>747</v>
      </c>
      <c r="L1335" s="8" t="s">
        <v>723</v>
      </c>
      <c r="M1335" s="1" t="s">
        <v>790</v>
      </c>
      <c r="N1335" s="8" t="s">
        <v>791</v>
      </c>
      <c r="O1335" s="6">
        <v>0</v>
      </c>
      <c r="P1335" s="6">
        <v>2</v>
      </c>
      <c r="Q1335" s="6">
        <v>5</v>
      </c>
      <c r="R1335" s="6">
        <v>0</v>
      </c>
      <c r="S1335" s="6">
        <v>0</v>
      </c>
    </row>
    <row r="1336" spans="1:19" ht="15" x14ac:dyDescent="0.25">
      <c r="A1336" s="7" t="s">
        <v>16</v>
      </c>
      <c r="B1336" s="7" t="s">
        <v>60</v>
      </c>
      <c r="C1336" s="7" t="s">
        <v>18</v>
      </c>
      <c r="D1336" s="3">
        <v>15242761000127</v>
      </c>
      <c r="E1336" s="8" t="s">
        <v>340</v>
      </c>
      <c r="F1336" s="8" t="s">
        <v>278</v>
      </c>
      <c r="G1336" s="8" t="s">
        <v>276</v>
      </c>
      <c r="H1336" s="8" t="s">
        <v>795</v>
      </c>
      <c r="I1336" s="3">
        <v>2</v>
      </c>
      <c r="J1336" s="8" t="s">
        <v>778</v>
      </c>
      <c r="K1336" s="8" t="s">
        <v>779</v>
      </c>
      <c r="L1336" s="8" t="s">
        <v>730</v>
      </c>
      <c r="M1336" s="1" t="s">
        <v>790</v>
      </c>
      <c r="N1336" s="8" t="s">
        <v>791</v>
      </c>
      <c r="O1336" s="6">
        <v>0</v>
      </c>
      <c r="P1336" s="6">
        <v>0</v>
      </c>
      <c r="Q1336" s="6">
        <v>0</v>
      </c>
      <c r="R1336" s="6">
        <v>112</v>
      </c>
      <c r="S1336" s="6">
        <v>100</v>
      </c>
    </row>
    <row r="1337" spans="1:19" ht="15" x14ac:dyDescent="0.25">
      <c r="A1337" s="7" t="s">
        <v>16</v>
      </c>
      <c r="B1337" s="7" t="s">
        <v>60</v>
      </c>
      <c r="C1337" s="7" t="s">
        <v>18</v>
      </c>
      <c r="D1337" s="3">
        <v>15242761000127</v>
      </c>
      <c r="E1337" s="8" t="s">
        <v>340</v>
      </c>
      <c r="F1337" s="8" t="s">
        <v>278</v>
      </c>
      <c r="G1337" s="8" t="s">
        <v>276</v>
      </c>
      <c r="H1337" s="8" t="s">
        <v>795</v>
      </c>
      <c r="I1337" s="3">
        <v>2</v>
      </c>
      <c r="J1337" s="8" t="s">
        <v>746</v>
      </c>
      <c r="K1337" s="8" t="s">
        <v>747</v>
      </c>
      <c r="L1337" s="8" t="s">
        <v>723</v>
      </c>
      <c r="M1337" s="1" t="s">
        <v>790</v>
      </c>
      <c r="N1337" s="8" t="s">
        <v>791</v>
      </c>
      <c r="O1337" s="6">
        <v>0</v>
      </c>
      <c r="P1337" s="6">
        <v>0</v>
      </c>
      <c r="Q1337" s="6">
        <v>0</v>
      </c>
      <c r="R1337" s="6">
        <v>0</v>
      </c>
      <c r="S1337" s="6">
        <v>100</v>
      </c>
    </row>
    <row r="1338" spans="1:19" ht="15" x14ac:dyDescent="0.25">
      <c r="A1338" s="7" t="s">
        <v>16</v>
      </c>
      <c r="B1338" s="7" t="s">
        <v>60</v>
      </c>
      <c r="C1338" s="7" t="s">
        <v>18</v>
      </c>
      <c r="D1338" s="3">
        <v>15180714000520</v>
      </c>
      <c r="E1338" s="8" t="s">
        <v>338</v>
      </c>
      <c r="F1338" s="8" t="s">
        <v>278</v>
      </c>
      <c r="G1338" s="8" t="s">
        <v>276</v>
      </c>
      <c r="H1338" s="8" t="s">
        <v>795</v>
      </c>
      <c r="I1338" s="3">
        <v>2</v>
      </c>
      <c r="J1338" s="8" t="s">
        <v>778</v>
      </c>
      <c r="K1338" s="8" t="s">
        <v>779</v>
      </c>
      <c r="L1338" s="8" t="s">
        <v>730</v>
      </c>
      <c r="M1338" s="1" t="s">
        <v>790</v>
      </c>
      <c r="N1338" s="8" t="s">
        <v>791</v>
      </c>
      <c r="O1338" s="6">
        <v>0</v>
      </c>
      <c r="P1338" s="6">
        <v>0</v>
      </c>
      <c r="Q1338" s="6">
        <v>0</v>
      </c>
      <c r="R1338" s="6">
        <v>0</v>
      </c>
      <c r="S1338" s="6">
        <v>0</v>
      </c>
    </row>
    <row r="1339" spans="1:19" ht="15" x14ac:dyDescent="0.25">
      <c r="A1339" s="7" t="s">
        <v>16</v>
      </c>
      <c r="B1339" s="7" t="s">
        <v>60</v>
      </c>
      <c r="C1339" s="7" t="s">
        <v>18</v>
      </c>
      <c r="D1339" s="3">
        <v>15180714000520</v>
      </c>
      <c r="E1339" s="8" t="s">
        <v>338</v>
      </c>
      <c r="F1339" s="8" t="s">
        <v>278</v>
      </c>
      <c r="G1339" s="8" t="s">
        <v>276</v>
      </c>
      <c r="H1339" s="8" t="s">
        <v>795</v>
      </c>
      <c r="I1339" s="3">
        <v>2</v>
      </c>
      <c r="J1339" s="8" t="s">
        <v>746</v>
      </c>
      <c r="K1339" s="8" t="s">
        <v>747</v>
      </c>
      <c r="L1339" s="8" t="s">
        <v>723</v>
      </c>
      <c r="M1339" s="1" t="s">
        <v>790</v>
      </c>
      <c r="N1339" s="8" t="s">
        <v>791</v>
      </c>
      <c r="O1339" s="6">
        <v>0</v>
      </c>
      <c r="P1339" s="6">
        <v>0</v>
      </c>
      <c r="Q1339" s="6">
        <v>20</v>
      </c>
      <c r="R1339" s="6">
        <v>0</v>
      </c>
      <c r="S1339" s="6">
        <v>0</v>
      </c>
    </row>
    <row r="1340" spans="1:19" ht="15" x14ac:dyDescent="0.25">
      <c r="A1340" s="7" t="s">
        <v>16</v>
      </c>
      <c r="B1340" s="7" t="s">
        <v>60</v>
      </c>
      <c r="C1340" s="7" t="s">
        <v>18</v>
      </c>
      <c r="D1340" s="3">
        <v>5652543000107</v>
      </c>
      <c r="E1340" s="8" t="s">
        <v>420</v>
      </c>
      <c r="F1340" s="8" t="s">
        <v>421</v>
      </c>
      <c r="G1340" s="8" t="s">
        <v>276</v>
      </c>
      <c r="H1340" s="8" t="s">
        <v>795</v>
      </c>
      <c r="I1340" s="3">
        <v>2</v>
      </c>
      <c r="J1340" s="8" t="s">
        <v>778</v>
      </c>
      <c r="K1340" s="8" t="s">
        <v>779</v>
      </c>
      <c r="L1340" s="8" t="s">
        <v>730</v>
      </c>
      <c r="M1340" s="1" t="s">
        <v>790</v>
      </c>
      <c r="N1340" s="8" t="s">
        <v>791</v>
      </c>
      <c r="O1340" s="6">
        <v>0</v>
      </c>
      <c r="P1340" s="6">
        <v>0</v>
      </c>
      <c r="Q1340" s="6">
        <v>0</v>
      </c>
      <c r="R1340" s="6">
        <v>0</v>
      </c>
      <c r="S1340" s="6">
        <v>0</v>
      </c>
    </row>
    <row r="1341" spans="1:19" ht="15" x14ac:dyDescent="0.25">
      <c r="A1341" s="7" t="s">
        <v>16</v>
      </c>
      <c r="B1341" s="7" t="s">
        <v>60</v>
      </c>
      <c r="C1341" s="7" t="s">
        <v>18</v>
      </c>
      <c r="D1341" s="3">
        <v>5652543000107</v>
      </c>
      <c r="E1341" s="8" t="s">
        <v>420</v>
      </c>
      <c r="F1341" s="8" t="s">
        <v>421</v>
      </c>
      <c r="G1341" s="8" t="s">
        <v>276</v>
      </c>
      <c r="H1341" s="8" t="s">
        <v>795</v>
      </c>
      <c r="I1341" s="3">
        <v>2</v>
      </c>
      <c r="J1341" s="8" t="s">
        <v>746</v>
      </c>
      <c r="K1341" s="8" t="s">
        <v>747</v>
      </c>
      <c r="L1341" s="8" t="s">
        <v>723</v>
      </c>
      <c r="M1341" s="1" t="s">
        <v>790</v>
      </c>
      <c r="N1341" s="8" t="s">
        <v>791</v>
      </c>
      <c r="O1341" s="6">
        <v>0</v>
      </c>
      <c r="P1341" s="6">
        <v>11</v>
      </c>
      <c r="Q1341" s="6">
        <v>0</v>
      </c>
      <c r="R1341" s="6">
        <v>0</v>
      </c>
      <c r="S1341" s="6">
        <v>0</v>
      </c>
    </row>
    <row r="1342" spans="1:19" ht="15" x14ac:dyDescent="0.25">
      <c r="A1342" s="7" t="s">
        <v>16</v>
      </c>
      <c r="B1342" s="7" t="s">
        <v>60</v>
      </c>
      <c r="C1342" s="7" t="s">
        <v>18</v>
      </c>
      <c r="D1342" s="3">
        <v>7245269000187</v>
      </c>
      <c r="E1342" s="8" t="s">
        <v>424</v>
      </c>
      <c r="F1342" s="8" t="s">
        <v>281</v>
      </c>
      <c r="G1342" s="8" t="s">
        <v>282</v>
      </c>
      <c r="H1342" s="8" t="s">
        <v>795</v>
      </c>
      <c r="I1342" s="3">
        <v>2</v>
      </c>
      <c r="J1342" s="8" t="s">
        <v>778</v>
      </c>
      <c r="K1342" s="8" t="s">
        <v>779</v>
      </c>
      <c r="L1342" s="8" t="s">
        <v>730</v>
      </c>
      <c r="M1342" s="1" t="s">
        <v>790</v>
      </c>
      <c r="N1342" s="8" t="s">
        <v>791</v>
      </c>
      <c r="O1342" s="6">
        <v>0</v>
      </c>
      <c r="P1342" s="6">
        <v>0</v>
      </c>
      <c r="Q1342" s="6">
        <v>0</v>
      </c>
      <c r="R1342" s="6">
        <v>0</v>
      </c>
      <c r="S1342" s="6">
        <v>0</v>
      </c>
    </row>
    <row r="1343" spans="1:19" ht="15" x14ac:dyDescent="0.25">
      <c r="A1343" s="7" t="s">
        <v>16</v>
      </c>
      <c r="B1343" s="7" t="s">
        <v>60</v>
      </c>
      <c r="C1343" s="7" t="s">
        <v>18</v>
      </c>
      <c r="D1343" s="3">
        <v>7245269000187</v>
      </c>
      <c r="E1343" s="8" t="s">
        <v>424</v>
      </c>
      <c r="F1343" s="8" t="s">
        <v>281</v>
      </c>
      <c r="G1343" s="8" t="s">
        <v>282</v>
      </c>
      <c r="H1343" s="8" t="s">
        <v>795</v>
      </c>
      <c r="I1343" s="3">
        <v>2</v>
      </c>
      <c r="J1343" s="8" t="s">
        <v>744</v>
      </c>
      <c r="K1343" s="8" t="s">
        <v>745</v>
      </c>
      <c r="L1343" s="8" t="s">
        <v>723</v>
      </c>
      <c r="M1343" s="1" t="s">
        <v>790</v>
      </c>
      <c r="N1343" s="8" t="s">
        <v>791</v>
      </c>
      <c r="O1343" s="6">
        <v>0</v>
      </c>
      <c r="P1343" s="6">
        <v>7</v>
      </c>
      <c r="Q1343" s="6">
        <v>0</v>
      </c>
      <c r="R1343" s="6">
        <v>0</v>
      </c>
      <c r="S1343" s="6">
        <v>0</v>
      </c>
    </row>
    <row r="1344" spans="1:19" ht="15" x14ac:dyDescent="0.25">
      <c r="A1344" s="7" t="s">
        <v>16</v>
      </c>
      <c r="B1344" s="7" t="s">
        <v>60</v>
      </c>
      <c r="C1344" s="7" t="s">
        <v>18</v>
      </c>
      <c r="D1344" s="3">
        <v>12361267011802</v>
      </c>
      <c r="E1344" s="8" t="s">
        <v>314</v>
      </c>
      <c r="F1344" s="8" t="s">
        <v>281</v>
      </c>
      <c r="G1344" s="8" t="s">
        <v>282</v>
      </c>
      <c r="H1344" s="8" t="s">
        <v>795</v>
      </c>
      <c r="I1344" s="3">
        <v>2</v>
      </c>
      <c r="J1344" s="8" t="s">
        <v>778</v>
      </c>
      <c r="K1344" s="8" t="s">
        <v>779</v>
      </c>
      <c r="L1344" s="8" t="s">
        <v>730</v>
      </c>
      <c r="M1344" s="1" t="s">
        <v>790</v>
      </c>
      <c r="N1344" s="8" t="s">
        <v>791</v>
      </c>
      <c r="O1344" s="6">
        <v>0</v>
      </c>
      <c r="P1344" s="6">
        <v>0</v>
      </c>
      <c r="Q1344" s="6">
        <v>0</v>
      </c>
      <c r="R1344" s="6">
        <v>0</v>
      </c>
      <c r="S1344" s="6">
        <v>0</v>
      </c>
    </row>
    <row r="1345" spans="1:19" ht="15" x14ac:dyDescent="0.25">
      <c r="A1345" s="7" t="s">
        <v>16</v>
      </c>
      <c r="B1345" s="7" t="s">
        <v>60</v>
      </c>
      <c r="C1345" s="7" t="s">
        <v>18</v>
      </c>
      <c r="D1345" s="3">
        <v>12361267011802</v>
      </c>
      <c r="E1345" s="8" t="s">
        <v>314</v>
      </c>
      <c r="F1345" s="8" t="s">
        <v>281</v>
      </c>
      <c r="G1345" s="8" t="s">
        <v>282</v>
      </c>
      <c r="H1345" s="8" t="s">
        <v>795</v>
      </c>
      <c r="I1345" s="3">
        <v>2</v>
      </c>
      <c r="J1345" s="8" t="s">
        <v>744</v>
      </c>
      <c r="K1345" s="8" t="s">
        <v>745</v>
      </c>
      <c r="L1345" s="8" t="s">
        <v>723</v>
      </c>
      <c r="M1345" s="1" t="s">
        <v>790</v>
      </c>
      <c r="N1345" s="8" t="s">
        <v>791</v>
      </c>
      <c r="O1345" s="6">
        <v>0</v>
      </c>
      <c r="P1345" s="6">
        <v>4</v>
      </c>
      <c r="Q1345" s="6">
        <v>2</v>
      </c>
      <c r="R1345" s="6">
        <v>0</v>
      </c>
      <c r="S1345" s="6">
        <v>0</v>
      </c>
    </row>
    <row r="1346" spans="1:19" ht="15" x14ac:dyDescent="0.25">
      <c r="A1346" s="7" t="s">
        <v>16</v>
      </c>
      <c r="B1346" s="7" t="s">
        <v>60</v>
      </c>
      <c r="C1346" s="7" t="s">
        <v>18</v>
      </c>
      <c r="D1346" s="3">
        <v>5874946000281</v>
      </c>
      <c r="E1346" s="8" t="s">
        <v>422</v>
      </c>
      <c r="F1346" s="8" t="s">
        <v>281</v>
      </c>
      <c r="G1346" s="8" t="s">
        <v>282</v>
      </c>
      <c r="H1346" s="8" t="s">
        <v>795</v>
      </c>
      <c r="I1346" s="3">
        <v>2</v>
      </c>
      <c r="J1346" s="8" t="s">
        <v>778</v>
      </c>
      <c r="K1346" s="8" t="s">
        <v>779</v>
      </c>
      <c r="L1346" s="8" t="s">
        <v>730</v>
      </c>
      <c r="M1346" s="1" t="s">
        <v>790</v>
      </c>
      <c r="N1346" s="8" t="s">
        <v>791</v>
      </c>
      <c r="O1346" s="6">
        <v>0</v>
      </c>
      <c r="P1346" s="6">
        <v>0</v>
      </c>
      <c r="Q1346" s="6">
        <v>0</v>
      </c>
      <c r="R1346" s="6">
        <v>0</v>
      </c>
      <c r="S1346" s="6">
        <v>0</v>
      </c>
    </row>
    <row r="1347" spans="1:19" ht="15" x14ac:dyDescent="0.25">
      <c r="A1347" s="7" t="s">
        <v>16</v>
      </c>
      <c r="B1347" s="7" t="s">
        <v>60</v>
      </c>
      <c r="C1347" s="7" t="s">
        <v>18</v>
      </c>
      <c r="D1347" s="3">
        <v>5874946000281</v>
      </c>
      <c r="E1347" s="8" t="s">
        <v>422</v>
      </c>
      <c r="F1347" s="8" t="s">
        <v>281</v>
      </c>
      <c r="G1347" s="8" t="s">
        <v>282</v>
      </c>
      <c r="H1347" s="8" t="s">
        <v>795</v>
      </c>
      <c r="I1347" s="3">
        <v>2</v>
      </c>
      <c r="J1347" s="8" t="s">
        <v>744</v>
      </c>
      <c r="K1347" s="8" t="s">
        <v>745</v>
      </c>
      <c r="L1347" s="8" t="s">
        <v>723</v>
      </c>
      <c r="M1347" s="1" t="s">
        <v>790</v>
      </c>
      <c r="N1347" s="8" t="s">
        <v>791</v>
      </c>
      <c r="O1347" s="6">
        <v>0</v>
      </c>
      <c r="P1347" s="6">
        <v>7</v>
      </c>
      <c r="Q1347" s="6">
        <v>5</v>
      </c>
      <c r="R1347" s="6">
        <v>0</v>
      </c>
      <c r="S1347" s="6">
        <v>0</v>
      </c>
    </row>
    <row r="1348" spans="1:19" ht="15" x14ac:dyDescent="0.25">
      <c r="A1348" s="7" t="s">
        <v>16</v>
      </c>
      <c r="B1348" s="7" t="s">
        <v>60</v>
      </c>
      <c r="C1348" s="7" t="s">
        <v>18</v>
      </c>
      <c r="D1348" s="3">
        <v>74031865000151</v>
      </c>
      <c r="E1348" s="8" t="s">
        <v>383</v>
      </c>
      <c r="F1348" s="8" t="s">
        <v>281</v>
      </c>
      <c r="G1348" s="8" t="s">
        <v>282</v>
      </c>
      <c r="H1348" s="8" t="s">
        <v>795</v>
      </c>
      <c r="I1348" s="3">
        <v>2</v>
      </c>
      <c r="J1348" s="8" t="s">
        <v>778</v>
      </c>
      <c r="K1348" s="8" t="s">
        <v>779</v>
      </c>
      <c r="L1348" s="8" t="s">
        <v>730</v>
      </c>
      <c r="M1348" s="1" t="s">
        <v>790</v>
      </c>
      <c r="N1348" s="8" t="s">
        <v>791</v>
      </c>
      <c r="O1348" s="6">
        <v>192</v>
      </c>
      <c r="P1348" s="6">
        <v>0</v>
      </c>
      <c r="Q1348" s="6">
        <v>0</v>
      </c>
      <c r="R1348" s="6">
        <v>0</v>
      </c>
      <c r="S1348" s="6">
        <v>0</v>
      </c>
    </row>
    <row r="1349" spans="1:19" ht="15" x14ac:dyDescent="0.25">
      <c r="A1349" s="7" t="s">
        <v>16</v>
      </c>
      <c r="B1349" s="7" t="s">
        <v>60</v>
      </c>
      <c r="C1349" s="7" t="s">
        <v>18</v>
      </c>
      <c r="D1349" s="3">
        <v>74031865000151</v>
      </c>
      <c r="E1349" s="8" t="s">
        <v>383</v>
      </c>
      <c r="F1349" s="8" t="s">
        <v>281</v>
      </c>
      <c r="G1349" s="8" t="s">
        <v>282</v>
      </c>
      <c r="H1349" s="8" t="s">
        <v>795</v>
      </c>
      <c r="I1349" s="3">
        <v>2</v>
      </c>
      <c r="J1349" s="8" t="s">
        <v>744</v>
      </c>
      <c r="K1349" s="8" t="s">
        <v>745</v>
      </c>
      <c r="L1349" s="8" t="s">
        <v>723</v>
      </c>
      <c r="M1349" s="1" t="s">
        <v>790</v>
      </c>
      <c r="N1349" s="8" t="s">
        <v>791</v>
      </c>
      <c r="O1349" s="6">
        <v>0</v>
      </c>
      <c r="P1349" s="6">
        <v>0</v>
      </c>
      <c r="Q1349" s="6">
        <v>0</v>
      </c>
      <c r="R1349" s="6">
        <v>0</v>
      </c>
      <c r="S1349" s="6">
        <v>0</v>
      </c>
    </row>
    <row r="1350" spans="1:19" ht="15" x14ac:dyDescent="0.25">
      <c r="A1350" s="7" t="s">
        <v>16</v>
      </c>
      <c r="B1350" s="7" t="s">
        <v>60</v>
      </c>
      <c r="C1350" s="7" t="s">
        <v>18</v>
      </c>
      <c r="D1350" s="3">
        <v>60975737003509</v>
      </c>
      <c r="E1350" s="8" t="s">
        <v>381</v>
      </c>
      <c r="F1350" s="8" t="s">
        <v>281</v>
      </c>
      <c r="G1350" s="8" t="s">
        <v>282</v>
      </c>
      <c r="H1350" s="8" t="s">
        <v>795</v>
      </c>
      <c r="I1350" s="3">
        <v>2</v>
      </c>
      <c r="J1350" s="8" t="s">
        <v>778</v>
      </c>
      <c r="K1350" s="8" t="s">
        <v>779</v>
      </c>
      <c r="L1350" s="8" t="s">
        <v>730</v>
      </c>
      <c r="M1350" s="1" t="s">
        <v>790</v>
      </c>
      <c r="N1350" s="8" t="s">
        <v>791</v>
      </c>
      <c r="O1350" s="6">
        <v>0</v>
      </c>
      <c r="P1350" s="6">
        <v>0</v>
      </c>
      <c r="Q1350" s="6">
        <v>0</v>
      </c>
      <c r="R1350" s="6">
        <v>0</v>
      </c>
      <c r="S1350" s="6">
        <v>0</v>
      </c>
    </row>
    <row r="1351" spans="1:19" ht="15" x14ac:dyDescent="0.25">
      <c r="A1351" s="7" t="s">
        <v>16</v>
      </c>
      <c r="B1351" s="7" t="s">
        <v>60</v>
      </c>
      <c r="C1351" s="7" t="s">
        <v>18</v>
      </c>
      <c r="D1351" s="3">
        <v>60975737003509</v>
      </c>
      <c r="E1351" s="8" t="s">
        <v>381</v>
      </c>
      <c r="F1351" s="8" t="s">
        <v>281</v>
      </c>
      <c r="G1351" s="8" t="s">
        <v>282</v>
      </c>
      <c r="H1351" s="8" t="s">
        <v>795</v>
      </c>
      <c r="I1351" s="3">
        <v>2</v>
      </c>
      <c r="J1351" s="8" t="s">
        <v>744</v>
      </c>
      <c r="K1351" s="8" t="s">
        <v>745</v>
      </c>
      <c r="L1351" s="8" t="s">
        <v>723</v>
      </c>
      <c r="M1351" s="1" t="s">
        <v>790</v>
      </c>
      <c r="N1351" s="8" t="s">
        <v>791</v>
      </c>
      <c r="O1351" s="6">
        <v>0</v>
      </c>
      <c r="P1351" s="6">
        <v>10</v>
      </c>
      <c r="Q1351" s="6">
        <v>19</v>
      </c>
      <c r="R1351" s="6">
        <v>0</v>
      </c>
      <c r="S1351" s="6">
        <v>0</v>
      </c>
    </row>
    <row r="1352" spans="1:19" ht="15" x14ac:dyDescent="0.25">
      <c r="A1352" s="7" t="s">
        <v>16</v>
      </c>
      <c r="B1352" s="7" t="s">
        <v>60</v>
      </c>
      <c r="C1352" s="7" t="s">
        <v>18</v>
      </c>
      <c r="D1352" s="3">
        <v>5868278000280</v>
      </c>
      <c r="E1352" s="8" t="s">
        <v>283</v>
      </c>
      <c r="F1352" s="8" t="s">
        <v>281</v>
      </c>
      <c r="G1352" s="8" t="s">
        <v>282</v>
      </c>
      <c r="H1352" s="8" t="s">
        <v>795</v>
      </c>
      <c r="I1352" s="3">
        <v>2</v>
      </c>
      <c r="J1352" s="8" t="s">
        <v>778</v>
      </c>
      <c r="K1352" s="8" t="s">
        <v>779</v>
      </c>
      <c r="L1352" s="8" t="s">
        <v>730</v>
      </c>
      <c r="M1352" s="1" t="s">
        <v>790</v>
      </c>
      <c r="N1352" s="8" t="s">
        <v>791</v>
      </c>
      <c r="O1352" s="6">
        <v>0</v>
      </c>
      <c r="P1352" s="6">
        <v>0</v>
      </c>
      <c r="Q1352" s="6">
        <v>0</v>
      </c>
      <c r="R1352" s="6">
        <v>26</v>
      </c>
      <c r="S1352" s="6">
        <v>235</v>
      </c>
    </row>
    <row r="1353" spans="1:19" ht="15" x14ac:dyDescent="0.25">
      <c r="A1353" s="7" t="s">
        <v>16</v>
      </c>
      <c r="B1353" s="7" t="s">
        <v>60</v>
      </c>
      <c r="C1353" s="7" t="s">
        <v>18</v>
      </c>
      <c r="D1353" s="3">
        <v>5868278000280</v>
      </c>
      <c r="E1353" s="8" t="s">
        <v>283</v>
      </c>
      <c r="F1353" s="8" t="s">
        <v>281</v>
      </c>
      <c r="G1353" s="8" t="s">
        <v>282</v>
      </c>
      <c r="H1353" s="8" t="s">
        <v>795</v>
      </c>
      <c r="I1353" s="3">
        <v>2</v>
      </c>
      <c r="J1353" s="8" t="s">
        <v>744</v>
      </c>
      <c r="K1353" s="8" t="s">
        <v>745</v>
      </c>
      <c r="L1353" s="8" t="s">
        <v>723</v>
      </c>
      <c r="M1353" s="1" t="s">
        <v>790</v>
      </c>
      <c r="N1353" s="8" t="s">
        <v>791</v>
      </c>
      <c r="O1353" s="6">
        <v>0</v>
      </c>
      <c r="P1353" s="6">
        <v>13</v>
      </c>
      <c r="Q1353" s="6">
        <v>8</v>
      </c>
      <c r="R1353" s="6">
        <v>0</v>
      </c>
      <c r="S1353" s="6">
        <v>235</v>
      </c>
    </row>
    <row r="1354" spans="1:19" ht="15" x14ac:dyDescent="0.25">
      <c r="A1354" s="7" t="s">
        <v>16</v>
      </c>
      <c r="B1354" s="7" t="s">
        <v>60</v>
      </c>
      <c r="C1354" s="7" t="s">
        <v>18</v>
      </c>
      <c r="D1354" s="3">
        <v>11794674000121</v>
      </c>
      <c r="E1354" s="8" t="s">
        <v>435</v>
      </c>
      <c r="F1354" s="8" t="s">
        <v>281</v>
      </c>
      <c r="G1354" s="8" t="s">
        <v>282</v>
      </c>
      <c r="H1354" s="8" t="s">
        <v>795</v>
      </c>
      <c r="I1354" s="3">
        <v>2</v>
      </c>
      <c r="J1354" s="8" t="s">
        <v>778</v>
      </c>
      <c r="K1354" s="8" t="s">
        <v>779</v>
      </c>
      <c r="L1354" s="8" t="s">
        <v>730</v>
      </c>
      <c r="M1354" s="1" t="s">
        <v>790</v>
      </c>
      <c r="N1354" s="8" t="s">
        <v>791</v>
      </c>
      <c r="O1354" s="6">
        <v>0</v>
      </c>
      <c r="P1354" s="6">
        <v>0</v>
      </c>
      <c r="Q1354" s="6">
        <v>0</v>
      </c>
      <c r="R1354" s="6">
        <v>0</v>
      </c>
      <c r="S1354" s="6">
        <v>180</v>
      </c>
    </row>
    <row r="1355" spans="1:19" ht="15" x14ac:dyDescent="0.25">
      <c r="A1355" s="7" t="s">
        <v>16</v>
      </c>
      <c r="B1355" s="7" t="s">
        <v>60</v>
      </c>
      <c r="C1355" s="7" t="s">
        <v>18</v>
      </c>
      <c r="D1355" s="3">
        <v>11794674000121</v>
      </c>
      <c r="E1355" s="8" t="s">
        <v>435</v>
      </c>
      <c r="F1355" s="8" t="s">
        <v>281</v>
      </c>
      <c r="G1355" s="8" t="s">
        <v>282</v>
      </c>
      <c r="H1355" s="8" t="s">
        <v>795</v>
      </c>
      <c r="I1355" s="3">
        <v>2</v>
      </c>
      <c r="J1355" s="8" t="s">
        <v>744</v>
      </c>
      <c r="K1355" s="8" t="s">
        <v>745</v>
      </c>
      <c r="L1355" s="8" t="s">
        <v>723</v>
      </c>
      <c r="M1355" s="1" t="s">
        <v>790</v>
      </c>
      <c r="N1355" s="8" t="s">
        <v>791</v>
      </c>
      <c r="O1355" s="6">
        <v>0</v>
      </c>
      <c r="P1355" s="6">
        <v>0</v>
      </c>
      <c r="Q1355" s="6">
        <v>4</v>
      </c>
      <c r="R1355" s="6">
        <v>0</v>
      </c>
      <c r="S1355" s="6">
        <v>180</v>
      </c>
    </row>
    <row r="1356" spans="1:19" ht="15" x14ac:dyDescent="0.25">
      <c r="A1356" s="7" t="s">
        <v>16</v>
      </c>
      <c r="B1356" s="7" t="s">
        <v>60</v>
      </c>
      <c r="C1356" s="7" t="s">
        <v>18</v>
      </c>
      <c r="D1356" s="3">
        <v>41580077000165</v>
      </c>
      <c r="E1356" s="8" t="s">
        <v>505</v>
      </c>
      <c r="F1356" s="8" t="s">
        <v>281</v>
      </c>
      <c r="G1356" s="8" t="s">
        <v>282</v>
      </c>
      <c r="H1356" s="8" t="s">
        <v>795</v>
      </c>
      <c r="I1356" s="3">
        <v>2</v>
      </c>
      <c r="J1356" s="8" t="s">
        <v>778</v>
      </c>
      <c r="K1356" s="8" t="s">
        <v>779</v>
      </c>
      <c r="L1356" s="8" t="s">
        <v>730</v>
      </c>
      <c r="M1356" s="1" t="s">
        <v>790</v>
      </c>
      <c r="N1356" s="8" t="s">
        <v>791</v>
      </c>
      <c r="O1356" s="6">
        <v>0</v>
      </c>
      <c r="P1356" s="6">
        <v>0</v>
      </c>
      <c r="Q1356" s="6">
        <v>0</v>
      </c>
      <c r="R1356" s="6">
        <v>0</v>
      </c>
      <c r="S1356" s="6">
        <v>0</v>
      </c>
    </row>
    <row r="1357" spans="1:19" ht="15" x14ac:dyDescent="0.25">
      <c r="A1357" s="7" t="s">
        <v>16</v>
      </c>
      <c r="B1357" s="7" t="s">
        <v>60</v>
      </c>
      <c r="C1357" s="7" t="s">
        <v>18</v>
      </c>
      <c r="D1357" s="3">
        <v>41580077000165</v>
      </c>
      <c r="E1357" s="8" t="s">
        <v>505</v>
      </c>
      <c r="F1357" s="8" t="s">
        <v>281</v>
      </c>
      <c r="G1357" s="8" t="s">
        <v>282</v>
      </c>
      <c r="H1357" s="8" t="s">
        <v>795</v>
      </c>
      <c r="I1357" s="3">
        <v>2</v>
      </c>
      <c r="J1357" s="8" t="s">
        <v>744</v>
      </c>
      <c r="K1357" s="8" t="s">
        <v>745</v>
      </c>
      <c r="L1357" s="8" t="s">
        <v>723</v>
      </c>
      <c r="M1357" s="1" t="s">
        <v>790</v>
      </c>
      <c r="N1357" s="8" t="s">
        <v>791</v>
      </c>
      <c r="O1357" s="6">
        <v>0</v>
      </c>
      <c r="P1357" s="6">
        <v>0</v>
      </c>
      <c r="Q1357" s="6">
        <v>3</v>
      </c>
      <c r="R1357" s="6">
        <v>0</v>
      </c>
      <c r="S1357" s="6">
        <v>0</v>
      </c>
    </row>
    <row r="1358" spans="1:19" ht="15" x14ac:dyDescent="0.25">
      <c r="A1358" s="7" t="s">
        <v>16</v>
      </c>
      <c r="B1358" s="7" t="s">
        <v>60</v>
      </c>
      <c r="C1358" s="7" t="s">
        <v>18</v>
      </c>
      <c r="D1358" s="3">
        <v>7272636000212</v>
      </c>
      <c r="E1358" s="8" t="s">
        <v>297</v>
      </c>
      <c r="F1358" s="8" t="s">
        <v>281</v>
      </c>
      <c r="G1358" s="8" t="s">
        <v>282</v>
      </c>
      <c r="H1358" s="8" t="s">
        <v>795</v>
      </c>
      <c r="I1358" s="3">
        <v>2</v>
      </c>
      <c r="J1358" s="8" t="s">
        <v>778</v>
      </c>
      <c r="K1358" s="8" t="s">
        <v>779</v>
      </c>
      <c r="L1358" s="8" t="s">
        <v>730</v>
      </c>
      <c r="M1358" s="1" t="s">
        <v>790</v>
      </c>
      <c r="N1358" s="8" t="s">
        <v>791</v>
      </c>
      <c r="O1358" s="6">
        <v>0</v>
      </c>
      <c r="P1358" s="6">
        <v>0</v>
      </c>
      <c r="Q1358" s="6">
        <v>0</v>
      </c>
      <c r="R1358" s="6">
        <v>0</v>
      </c>
      <c r="S1358" s="6">
        <v>600</v>
      </c>
    </row>
    <row r="1359" spans="1:19" ht="15" x14ac:dyDescent="0.25">
      <c r="A1359" s="7" t="s">
        <v>16</v>
      </c>
      <c r="B1359" s="7" t="s">
        <v>60</v>
      </c>
      <c r="C1359" s="7" t="s">
        <v>18</v>
      </c>
      <c r="D1359" s="3">
        <v>7272636000212</v>
      </c>
      <c r="E1359" s="8" t="s">
        <v>297</v>
      </c>
      <c r="F1359" s="8" t="s">
        <v>281</v>
      </c>
      <c r="G1359" s="8" t="s">
        <v>282</v>
      </c>
      <c r="H1359" s="8" t="s">
        <v>795</v>
      </c>
      <c r="I1359" s="3">
        <v>2</v>
      </c>
      <c r="J1359" s="8" t="s">
        <v>744</v>
      </c>
      <c r="K1359" s="8" t="s">
        <v>745</v>
      </c>
      <c r="L1359" s="8" t="s">
        <v>723</v>
      </c>
      <c r="M1359" s="1" t="s">
        <v>790</v>
      </c>
      <c r="N1359" s="8" t="s">
        <v>791</v>
      </c>
      <c r="O1359" s="6">
        <v>0</v>
      </c>
      <c r="P1359" s="6">
        <v>0</v>
      </c>
      <c r="Q1359" s="6">
        <v>30</v>
      </c>
      <c r="R1359" s="6">
        <v>0</v>
      </c>
      <c r="S1359" s="6">
        <v>600</v>
      </c>
    </row>
    <row r="1360" spans="1:19" ht="15" x14ac:dyDescent="0.25">
      <c r="A1360" s="7" t="s">
        <v>16</v>
      </c>
      <c r="B1360" s="7" t="s">
        <v>60</v>
      </c>
      <c r="C1360" s="7" t="s">
        <v>18</v>
      </c>
      <c r="D1360" s="3">
        <v>7835044000180</v>
      </c>
      <c r="E1360" s="8" t="s">
        <v>300</v>
      </c>
      <c r="F1360" s="8" t="s">
        <v>281</v>
      </c>
      <c r="G1360" s="8" t="s">
        <v>282</v>
      </c>
      <c r="H1360" s="8" t="s">
        <v>795</v>
      </c>
      <c r="I1360" s="3">
        <v>2</v>
      </c>
      <c r="J1360" s="8" t="s">
        <v>778</v>
      </c>
      <c r="K1360" s="8" t="s">
        <v>779</v>
      </c>
      <c r="L1360" s="8" t="s">
        <v>730</v>
      </c>
      <c r="M1360" s="1" t="s">
        <v>790</v>
      </c>
      <c r="N1360" s="8" t="s">
        <v>791</v>
      </c>
      <c r="O1360" s="6">
        <v>0</v>
      </c>
      <c r="P1360" s="6">
        <v>0</v>
      </c>
      <c r="Q1360" s="6">
        <v>0</v>
      </c>
      <c r="R1360" s="6">
        <v>0</v>
      </c>
      <c r="S1360" s="6">
        <v>0</v>
      </c>
    </row>
    <row r="1361" spans="1:19" ht="15" x14ac:dyDescent="0.25">
      <c r="A1361" s="7" t="s">
        <v>16</v>
      </c>
      <c r="B1361" s="7" t="s">
        <v>60</v>
      </c>
      <c r="C1361" s="7" t="s">
        <v>18</v>
      </c>
      <c r="D1361" s="3">
        <v>7835044000180</v>
      </c>
      <c r="E1361" s="8" t="s">
        <v>300</v>
      </c>
      <c r="F1361" s="8" t="s">
        <v>281</v>
      </c>
      <c r="G1361" s="8" t="s">
        <v>282</v>
      </c>
      <c r="H1361" s="8" t="s">
        <v>795</v>
      </c>
      <c r="I1361" s="3">
        <v>2</v>
      </c>
      <c r="J1361" s="8" t="s">
        <v>744</v>
      </c>
      <c r="K1361" s="8" t="s">
        <v>745</v>
      </c>
      <c r="L1361" s="8" t="s">
        <v>723</v>
      </c>
      <c r="M1361" s="1" t="s">
        <v>790</v>
      </c>
      <c r="N1361" s="8" t="s">
        <v>791</v>
      </c>
      <c r="O1361" s="6">
        <v>0</v>
      </c>
      <c r="P1361" s="6">
        <v>0</v>
      </c>
      <c r="Q1361" s="6">
        <v>12</v>
      </c>
      <c r="R1361" s="6">
        <v>0</v>
      </c>
      <c r="S1361" s="6">
        <v>0</v>
      </c>
    </row>
    <row r="1362" spans="1:19" ht="15" x14ac:dyDescent="0.25">
      <c r="A1362" s="7" t="s">
        <v>16</v>
      </c>
      <c r="B1362" s="7" t="s">
        <v>60</v>
      </c>
      <c r="C1362" s="7" t="s">
        <v>18</v>
      </c>
      <c r="D1362" s="3">
        <v>12568570000161</v>
      </c>
      <c r="E1362" s="8" t="s">
        <v>563</v>
      </c>
      <c r="F1362" s="8" t="s">
        <v>281</v>
      </c>
      <c r="G1362" s="8" t="s">
        <v>282</v>
      </c>
      <c r="H1362" s="8" t="s">
        <v>795</v>
      </c>
      <c r="I1362" s="3">
        <v>2</v>
      </c>
      <c r="J1362" s="8" t="s">
        <v>778</v>
      </c>
      <c r="K1362" s="8" t="s">
        <v>779</v>
      </c>
      <c r="L1362" s="8" t="s">
        <v>730</v>
      </c>
      <c r="M1362" s="1" t="s">
        <v>790</v>
      </c>
      <c r="N1362" s="8" t="s">
        <v>791</v>
      </c>
      <c r="O1362" s="6">
        <v>0</v>
      </c>
      <c r="P1362" s="6">
        <v>0</v>
      </c>
      <c r="Q1362" s="6">
        <v>0</v>
      </c>
      <c r="R1362" s="6">
        <v>0</v>
      </c>
      <c r="S1362" s="6">
        <v>-5</v>
      </c>
    </row>
    <row r="1363" spans="1:19" ht="15" x14ac:dyDescent="0.25">
      <c r="A1363" s="7" t="s">
        <v>16</v>
      </c>
      <c r="B1363" s="7" t="s">
        <v>60</v>
      </c>
      <c r="C1363" s="7" t="s">
        <v>18</v>
      </c>
      <c r="D1363" s="3">
        <v>12568570000161</v>
      </c>
      <c r="E1363" s="8" t="s">
        <v>563</v>
      </c>
      <c r="F1363" s="8" t="s">
        <v>281</v>
      </c>
      <c r="G1363" s="8" t="s">
        <v>282</v>
      </c>
      <c r="H1363" s="8" t="s">
        <v>795</v>
      </c>
      <c r="I1363" s="3">
        <v>2</v>
      </c>
      <c r="J1363" s="8" t="s">
        <v>744</v>
      </c>
      <c r="K1363" s="8" t="s">
        <v>745</v>
      </c>
      <c r="L1363" s="8" t="s">
        <v>723</v>
      </c>
      <c r="M1363" s="1" t="s">
        <v>790</v>
      </c>
      <c r="N1363" s="8" t="s">
        <v>791</v>
      </c>
      <c r="O1363" s="6">
        <v>0</v>
      </c>
      <c r="P1363" s="6">
        <v>0</v>
      </c>
      <c r="Q1363" s="6">
        <v>0</v>
      </c>
      <c r="R1363" s="6">
        <v>0</v>
      </c>
      <c r="S1363" s="6">
        <v>-5</v>
      </c>
    </row>
    <row r="1364" spans="1:19" ht="15" x14ac:dyDescent="0.25">
      <c r="A1364" s="7" t="s">
        <v>16</v>
      </c>
      <c r="B1364" s="7" t="s">
        <v>60</v>
      </c>
      <c r="C1364" s="7" t="s">
        <v>18</v>
      </c>
      <c r="D1364" s="3">
        <v>5867015000175</v>
      </c>
      <c r="E1364" s="8" t="s">
        <v>280</v>
      </c>
      <c r="F1364" s="8" t="s">
        <v>281</v>
      </c>
      <c r="G1364" s="8" t="s">
        <v>282</v>
      </c>
      <c r="H1364" s="8" t="s">
        <v>795</v>
      </c>
      <c r="I1364" s="3">
        <v>2</v>
      </c>
      <c r="J1364" s="8" t="s">
        <v>778</v>
      </c>
      <c r="K1364" s="8" t="s">
        <v>779</v>
      </c>
      <c r="L1364" s="8" t="s">
        <v>730</v>
      </c>
      <c r="M1364" s="1" t="s">
        <v>790</v>
      </c>
      <c r="N1364" s="8" t="s">
        <v>791</v>
      </c>
      <c r="O1364" s="6">
        <v>0</v>
      </c>
      <c r="P1364" s="6">
        <v>0</v>
      </c>
      <c r="Q1364" s="6">
        <v>0</v>
      </c>
      <c r="R1364" s="6">
        <v>8</v>
      </c>
      <c r="S1364" s="6">
        <v>0</v>
      </c>
    </row>
    <row r="1365" spans="1:19" ht="15" x14ac:dyDescent="0.25">
      <c r="A1365" s="7" t="s">
        <v>16</v>
      </c>
      <c r="B1365" s="7" t="s">
        <v>60</v>
      </c>
      <c r="C1365" s="7" t="s">
        <v>18</v>
      </c>
      <c r="D1365" s="3">
        <v>5867015000175</v>
      </c>
      <c r="E1365" s="8" t="s">
        <v>280</v>
      </c>
      <c r="F1365" s="8" t="s">
        <v>281</v>
      </c>
      <c r="G1365" s="8" t="s">
        <v>282</v>
      </c>
      <c r="H1365" s="8" t="s">
        <v>795</v>
      </c>
      <c r="I1365" s="3">
        <v>2</v>
      </c>
      <c r="J1365" s="8" t="s">
        <v>744</v>
      </c>
      <c r="K1365" s="8" t="s">
        <v>745</v>
      </c>
      <c r="L1365" s="8" t="s">
        <v>723</v>
      </c>
      <c r="M1365" s="1" t="s">
        <v>790</v>
      </c>
      <c r="N1365" s="8" t="s">
        <v>791</v>
      </c>
      <c r="O1365" s="6">
        <v>0</v>
      </c>
      <c r="P1365" s="6">
        <v>0</v>
      </c>
      <c r="Q1365" s="6">
        <v>0</v>
      </c>
      <c r="R1365" s="6">
        <v>0</v>
      </c>
      <c r="S1365" s="6">
        <v>0</v>
      </c>
    </row>
    <row r="1366" spans="1:19" ht="15" x14ac:dyDescent="0.25">
      <c r="A1366" s="7" t="s">
        <v>16</v>
      </c>
      <c r="B1366" s="7" t="s">
        <v>60</v>
      </c>
      <c r="C1366" s="7" t="s">
        <v>18</v>
      </c>
      <c r="D1366" s="3">
        <v>29435005007484</v>
      </c>
      <c r="E1366" s="8" t="s">
        <v>371</v>
      </c>
      <c r="F1366" s="8" t="s">
        <v>806</v>
      </c>
      <c r="G1366" s="8" t="s">
        <v>282</v>
      </c>
      <c r="H1366" s="8" t="s">
        <v>795</v>
      </c>
      <c r="I1366" s="3">
        <v>2</v>
      </c>
      <c r="J1366" s="8" t="s">
        <v>778</v>
      </c>
      <c r="K1366" s="8" t="s">
        <v>779</v>
      </c>
      <c r="L1366" s="8" t="s">
        <v>730</v>
      </c>
      <c r="M1366" s="1" t="s">
        <v>790</v>
      </c>
      <c r="N1366" s="8" t="s">
        <v>791</v>
      </c>
      <c r="O1366" s="6">
        <v>0</v>
      </c>
      <c r="P1366" s="6">
        <v>0</v>
      </c>
      <c r="Q1366" s="6">
        <v>0</v>
      </c>
      <c r="R1366" s="6">
        <v>0</v>
      </c>
      <c r="S1366" s="6">
        <v>200</v>
      </c>
    </row>
    <row r="1367" spans="1:19" ht="15" x14ac:dyDescent="0.25">
      <c r="A1367" s="7" t="s">
        <v>16</v>
      </c>
      <c r="B1367" s="7" t="s">
        <v>60</v>
      </c>
      <c r="C1367" s="7" t="s">
        <v>18</v>
      </c>
      <c r="D1367" s="3">
        <v>29435005007484</v>
      </c>
      <c r="E1367" s="8" t="s">
        <v>371</v>
      </c>
      <c r="F1367" s="8" t="s">
        <v>806</v>
      </c>
      <c r="G1367" s="8" t="s">
        <v>282</v>
      </c>
      <c r="H1367" s="8" t="s">
        <v>795</v>
      </c>
      <c r="I1367" s="3">
        <v>2</v>
      </c>
      <c r="J1367" s="8" t="s">
        <v>744</v>
      </c>
      <c r="K1367" s="8" t="s">
        <v>745</v>
      </c>
      <c r="L1367" s="8" t="s">
        <v>723</v>
      </c>
      <c r="M1367" s="1" t="s">
        <v>790</v>
      </c>
      <c r="N1367" s="8" t="s">
        <v>791</v>
      </c>
      <c r="O1367" s="6">
        <v>0</v>
      </c>
      <c r="P1367" s="6">
        <v>13</v>
      </c>
      <c r="Q1367" s="6">
        <v>5</v>
      </c>
      <c r="R1367" s="6">
        <v>0</v>
      </c>
      <c r="S1367" s="6">
        <v>200</v>
      </c>
    </row>
    <row r="1368" spans="1:19" ht="15" x14ac:dyDescent="0.25">
      <c r="A1368" s="7" t="s">
        <v>16</v>
      </c>
      <c r="B1368" s="7" t="s">
        <v>60</v>
      </c>
      <c r="C1368" s="7" t="s">
        <v>18</v>
      </c>
      <c r="D1368" s="3">
        <v>12361267008410</v>
      </c>
      <c r="E1368" s="8" t="s">
        <v>491</v>
      </c>
      <c r="F1368" s="8" t="s">
        <v>492</v>
      </c>
      <c r="G1368" s="8" t="s">
        <v>282</v>
      </c>
      <c r="H1368" s="8" t="s">
        <v>795</v>
      </c>
      <c r="I1368" s="3">
        <v>2</v>
      </c>
      <c r="J1368" s="8" t="s">
        <v>778</v>
      </c>
      <c r="K1368" s="8" t="s">
        <v>779</v>
      </c>
      <c r="L1368" s="8" t="s">
        <v>730</v>
      </c>
      <c r="M1368" s="1" t="s">
        <v>790</v>
      </c>
      <c r="N1368" s="8" t="s">
        <v>791</v>
      </c>
      <c r="O1368" s="6">
        <v>0</v>
      </c>
      <c r="P1368" s="6">
        <v>0</v>
      </c>
      <c r="Q1368" s="6">
        <v>0</v>
      </c>
      <c r="R1368" s="6">
        <v>0</v>
      </c>
      <c r="S1368" s="6">
        <v>0</v>
      </c>
    </row>
    <row r="1369" spans="1:19" ht="15" x14ac:dyDescent="0.25">
      <c r="A1369" s="7" t="s">
        <v>16</v>
      </c>
      <c r="B1369" s="7" t="s">
        <v>60</v>
      </c>
      <c r="C1369" s="7" t="s">
        <v>18</v>
      </c>
      <c r="D1369" s="3">
        <v>12361267008410</v>
      </c>
      <c r="E1369" s="8" t="s">
        <v>491</v>
      </c>
      <c r="F1369" s="8" t="s">
        <v>492</v>
      </c>
      <c r="G1369" s="8" t="s">
        <v>282</v>
      </c>
      <c r="H1369" s="8" t="s">
        <v>795</v>
      </c>
      <c r="I1369" s="3">
        <v>2</v>
      </c>
      <c r="J1369" s="8" t="s">
        <v>744</v>
      </c>
      <c r="K1369" s="8" t="s">
        <v>745</v>
      </c>
      <c r="L1369" s="8" t="s">
        <v>723</v>
      </c>
      <c r="M1369" s="1" t="s">
        <v>790</v>
      </c>
      <c r="N1369" s="8" t="s">
        <v>791</v>
      </c>
      <c r="O1369" s="6">
        <v>0</v>
      </c>
      <c r="P1369" s="6">
        <v>2</v>
      </c>
      <c r="Q1369" s="6">
        <v>0</v>
      </c>
      <c r="R1369" s="6">
        <v>0</v>
      </c>
      <c r="S1369" s="6">
        <v>0</v>
      </c>
    </row>
    <row r="1370" spans="1:19" ht="15" x14ac:dyDescent="0.25">
      <c r="A1370" s="7" t="s">
        <v>16</v>
      </c>
      <c r="B1370" s="7" t="s">
        <v>60</v>
      </c>
      <c r="C1370" s="7" t="s">
        <v>18</v>
      </c>
      <c r="D1370" s="3">
        <v>9104513000974</v>
      </c>
      <c r="E1370" s="8" t="s">
        <v>556</v>
      </c>
      <c r="F1370" s="8" t="s">
        <v>225</v>
      </c>
      <c r="G1370" s="8" t="s">
        <v>226</v>
      </c>
      <c r="H1370" s="8" t="s">
        <v>795</v>
      </c>
      <c r="I1370" s="3">
        <v>2</v>
      </c>
      <c r="J1370" s="8" t="s">
        <v>780</v>
      </c>
      <c r="K1370" s="8" t="s">
        <v>781</v>
      </c>
      <c r="L1370" s="8" t="s">
        <v>739</v>
      </c>
      <c r="M1370" s="1" t="s">
        <v>790</v>
      </c>
      <c r="N1370" s="8" t="s">
        <v>791</v>
      </c>
      <c r="O1370" s="6">
        <v>0</v>
      </c>
      <c r="P1370" s="6">
        <v>0</v>
      </c>
      <c r="Q1370" s="6">
        <v>0</v>
      </c>
      <c r="R1370" s="6">
        <v>0</v>
      </c>
      <c r="S1370" s="6">
        <v>515</v>
      </c>
    </row>
    <row r="1371" spans="1:19" ht="15" x14ac:dyDescent="0.25">
      <c r="A1371" s="7" t="s">
        <v>16</v>
      </c>
      <c r="B1371" s="7" t="s">
        <v>60</v>
      </c>
      <c r="C1371" s="7" t="s">
        <v>18</v>
      </c>
      <c r="D1371" s="3">
        <v>9104513000974</v>
      </c>
      <c r="E1371" s="8" t="s">
        <v>556</v>
      </c>
      <c r="F1371" s="8" t="s">
        <v>225</v>
      </c>
      <c r="G1371" s="8" t="s">
        <v>226</v>
      </c>
      <c r="H1371" s="8" t="s">
        <v>795</v>
      </c>
      <c r="I1371" s="3">
        <v>2</v>
      </c>
      <c r="J1371" s="8" t="s">
        <v>742</v>
      </c>
      <c r="K1371" s="8" t="s">
        <v>743</v>
      </c>
      <c r="L1371" s="8" t="s">
        <v>723</v>
      </c>
      <c r="M1371" s="1" t="s">
        <v>790</v>
      </c>
      <c r="N1371" s="8" t="s">
        <v>791</v>
      </c>
      <c r="O1371" s="6">
        <v>0</v>
      </c>
      <c r="P1371" s="6">
        <v>0</v>
      </c>
      <c r="Q1371" s="6">
        <v>0</v>
      </c>
      <c r="R1371" s="6">
        <v>0</v>
      </c>
      <c r="S1371" s="6">
        <v>515</v>
      </c>
    </row>
    <row r="1372" spans="1:19" ht="15" x14ac:dyDescent="0.25">
      <c r="A1372" s="7" t="s">
        <v>16</v>
      </c>
      <c r="B1372" s="7" t="s">
        <v>60</v>
      </c>
      <c r="C1372" s="7" t="s">
        <v>18</v>
      </c>
      <c r="D1372" s="3">
        <v>520237000101</v>
      </c>
      <c r="E1372" s="8" t="s">
        <v>243</v>
      </c>
      <c r="F1372" s="8" t="s">
        <v>225</v>
      </c>
      <c r="G1372" s="8" t="s">
        <v>226</v>
      </c>
      <c r="H1372" s="8" t="s">
        <v>795</v>
      </c>
      <c r="I1372" s="3">
        <v>2</v>
      </c>
      <c r="J1372" s="8" t="s">
        <v>780</v>
      </c>
      <c r="K1372" s="8" t="s">
        <v>781</v>
      </c>
      <c r="L1372" s="8" t="s">
        <v>739</v>
      </c>
      <c r="M1372" s="1" t="s">
        <v>790</v>
      </c>
      <c r="N1372" s="8" t="s">
        <v>791</v>
      </c>
      <c r="O1372" s="6">
        <v>0</v>
      </c>
      <c r="P1372" s="6">
        <v>0</v>
      </c>
      <c r="Q1372" s="6">
        <v>0</v>
      </c>
      <c r="R1372" s="6">
        <v>155</v>
      </c>
      <c r="S1372" s="6">
        <v>350</v>
      </c>
    </row>
    <row r="1373" spans="1:19" ht="15" x14ac:dyDescent="0.25">
      <c r="A1373" s="7" t="s">
        <v>16</v>
      </c>
      <c r="B1373" s="7" t="s">
        <v>60</v>
      </c>
      <c r="C1373" s="7" t="s">
        <v>18</v>
      </c>
      <c r="D1373" s="3">
        <v>520237000101</v>
      </c>
      <c r="E1373" s="8" t="s">
        <v>243</v>
      </c>
      <c r="F1373" s="8" t="s">
        <v>225</v>
      </c>
      <c r="G1373" s="8" t="s">
        <v>226</v>
      </c>
      <c r="H1373" s="8" t="s">
        <v>795</v>
      </c>
      <c r="I1373" s="3">
        <v>2</v>
      </c>
      <c r="J1373" s="8" t="s">
        <v>742</v>
      </c>
      <c r="K1373" s="8" t="s">
        <v>743</v>
      </c>
      <c r="L1373" s="8" t="s">
        <v>723</v>
      </c>
      <c r="M1373" s="1" t="s">
        <v>790</v>
      </c>
      <c r="N1373" s="8" t="s">
        <v>791</v>
      </c>
      <c r="O1373" s="6">
        <v>0</v>
      </c>
      <c r="P1373" s="6">
        <v>0</v>
      </c>
      <c r="Q1373" s="6">
        <v>0</v>
      </c>
      <c r="R1373" s="6">
        <v>0</v>
      </c>
      <c r="S1373" s="6">
        <v>350</v>
      </c>
    </row>
    <row r="1374" spans="1:19" ht="15" x14ac:dyDescent="0.25">
      <c r="A1374" s="7" t="s">
        <v>16</v>
      </c>
      <c r="B1374" s="7" t="s">
        <v>60</v>
      </c>
      <c r="C1374" s="7" t="s">
        <v>18</v>
      </c>
      <c r="D1374" s="3">
        <v>30135335000188</v>
      </c>
      <c r="E1374" s="8" t="s">
        <v>623</v>
      </c>
      <c r="F1374" s="8" t="s">
        <v>225</v>
      </c>
      <c r="G1374" s="8" t="s">
        <v>226</v>
      </c>
      <c r="H1374" s="8" t="s">
        <v>795</v>
      </c>
      <c r="I1374" s="3">
        <v>2</v>
      </c>
      <c r="J1374" s="8" t="s">
        <v>780</v>
      </c>
      <c r="K1374" s="8" t="s">
        <v>781</v>
      </c>
      <c r="L1374" s="8" t="s">
        <v>739</v>
      </c>
      <c r="M1374" s="1" t="s">
        <v>790</v>
      </c>
      <c r="N1374" s="8" t="s">
        <v>791</v>
      </c>
      <c r="O1374" s="6">
        <v>0</v>
      </c>
      <c r="P1374" s="6">
        <v>0</v>
      </c>
      <c r="Q1374" s="6">
        <v>0</v>
      </c>
      <c r="R1374" s="6">
        <v>0</v>
      </c>
      <c r="S1374" s="6">
        <v>455</v>
      </c>
    </row>
    <row r="1375" spans="1:19" ht="15" x14ac:dyDescent="0.25">
      <c r="A1375" s="7" t="s">
        <v>16</v>
      </c>
      <c r="B1375" s="7" t="s">
        <v>60</v>
      </c>
      <c r="C1375" s="7" t="s">
        <v>18</v>
      </c>
      <c r="D1375" s="3">
        <v>30135335000188</v>
      </c>
      <c r="E1375" s="8" t="s">
        <v>623</v>
      </c>
      <c r="F1375" s="8" t="s">
        <v>225</v>
      </c>
      <c r="G1375" s="8" t="s">
        <v>226</v>
      </c>
      <c r="H1375" s="8" t="s">
        <v>795</v>
      </c>
      <c r="I1375" s="3">
        <v>2</v>
      </c>
      <c r="J1375" s="8" t="s">
        <v>742</v>
      </c>
      <c r="K1375" s="8" t="s">
        <v>743</v>
      </c>
      <c r="L1375" s="8" t="s">
        <v>723</v>
      </c>
      <c r="M1375" s="1" t="s">
        <v>790</v>
      </c>
      <c r="N1375" s="8" t="s">
        <v>791</v>
      </c>
      <c r="O1375" s="6">
        <v>0</v>
      </c>
      <c r="P1375" s="6">
        <v>0</v>
      </c>
      <c r="Q1375" s="6">
        <v>0</v>
      </c>
      <c r="R1375" s="6">
        <v>0</v>
      </c>
      <c r="S1375" s="6">
        <v>455</v>
      </c>
    </row>
    <row r="1376" spans="1:19" ht="15" x14ac:dyDescent="0.25">
      <c r="A1376" s="7" t="s">
        <v>16</v>
      </c>
      <c r="B1376" s="7" t="s">
        <v>60</v>
      </c>
      <c r="C1376" s="7" t="s">
        <v>18</v>
      </c>
      <c r="D1376" s="3">
        <v>394544000851</v>
      </c>
      <c r="E1376" s="8" t="s">
        <v>412</v>
      </c>
      <c r="F1376" s="8" t="s">
        <v>225</v>
      </c>
      <c r="G1376" s="8" t="s">
        <v>226</v>
      </c>
      <c r="H1376" s="8" t="s">
        <v>795</v>
      </c>
      <c r="I1376" s="3">
        <v>2</v>
      </c>
      <c r="J1376" s="8" t="s">
        <v>766</v>
      </c>
      <c r="K1376" s="8" t="s">
        <v>767</v>
      </c>
      <c r="L1376" s="8" t="s">
        <v>730</v>
      </c>
      <c r="M1376" s="1" t="s">
        <v>790</v>
      </c>
      <c r="N1376" s="8" t="s">
        <v>791</v>
      </c>
      <c r="O1376" s="6">
        <v>0</v>
      </c>
      <c r="P1376" s="6">
        <v>0</v>
      </c>
      <c r="Q1376" s="6">
        <v>0</v>
      </c>
      <c r="R1376" s="6">
        <v>0</v>
      </c>
      <c r="S1376" s="6">
        <v>120</v>
      </c>
    </row>
    <row r="1377" spans="1:19" ht="15" x14ac:dyDescent="0.25">
      <c r="A1377" s="7" t="s">
        <v>16</v>
      </c>
      <c r="B1377" s="7" t="s">
        <v>60</v>
      </c>
      <c r="C1377" s="7" t="s">
        <v>18</v>
      </c>
      <c r="D1377" s="3">
        <v>394544000851</v>
      </c>
      <c r="E1377" s="8" t="s">
        <v>412</v>
      </c>
      <c r="F1377" s="8" t="s">
        <v>225</v>
      </c>
      <c r="G1377" s="8" t="s">
        <v>226</v>
      </c>
      <c r="H1377" s="8" t="s">
        <v>795</v>
      </c>
      <c r="I1377" s="3">
        <v>2</v>
      </c>
      <c r="J1377" s="8" t="s">
        <v>772</v>
      </c>
      <c r="K1377" s="8" t="s">
        <v>773</v>
      </c>
      <c r="L1377" s="8" t="s">
        <v>723</v>
      </c>
      <c r="M1377" s="1" t="s">
        <v>790</v>
      </c>
      <c r="N1377" s="8" t="s">
        <v>791</v>
      </c>
      <c r="O1377" s="6">
        <v>0</v>
      </c>
      <c r="P1377" s="6">
        <v>0</v>
      </c>
      <c r="Q1377" s="6">
        <v>1050</v>
      </c>
      <c r="R1377" s="6">
        <v>0</v>
      </c>
      <c r="S1377" s="6">
        <v>120</v>
      </c>
    </row>
    <row r="1378" spans="1:19" ht="15" x14ac:dyDescent="0.25">
      <c r="A1378" s="7" t="s">
        <v>16</v>
      </c>
      <c r="B1378" s="7" t="s">
        <v>60</v>
      </c>
      <c r="C1378" s="7" t="s">
        <v>18</v>
      </c>
      <c r="D1378" s="3">
        <v>3989821000190</v>
      </c>
      <c r="E1378" s="8" t="s">
        <v>545</v>
      </c>
      <c r="F1378" s="8" t="s">
        <v>225</v>
      </c>
      <c r="G1378" s="8" t="s">
        <v>226</v>
      </c>
      <c r="H1378" s="8" t="s">
        <v>795</v>
      </c>
      <c r="I1378" s="3">
        <v>2</v>
      </c>
      <c r="J1378" s="8" t="s">
        <v>780</v>
      </c>
      <c r="K1378" s="8" t="s">
        <v>781</v>
      </c>
      <c r="L1378" s="8" t="s">
        <v>739</v>
      </c>
      <c r="M1378" s="1" t="s">
        <v>790</v>
      </c>
      <c r="N1378" s="8" t="s">
        <v>791</v>
      </c>
      <c r="O1378" s="6">
        <v>0</v>
      </c>
      <c r="P1378" s="6">
        <v>0</v>
      </c>
      <c r="Q1378" s="6">
        <v>0</v>
      </c>
      <c r="R1378" s="6">
        <v>0</v>
      </c>
      <c r="S1378" s="6">
        <v>45</v>
      </c>
    </row>
    <row r="1379" spans="1:19" ht="15" x14ac:dyDescent="0.25">
      <c r="A1379" s="7" t="s">
        <v>16</v>
      </c>
      <c r="B1379" s="7" t="s">
        <v>60</v>
      </c>
      <c r="C1379" s="7" t="s">
        <v>18</v>
      </c>
      <c r="D1379" s="3">
        <v>3989821000190</v>
      </c>
      <c r="E1379" s="8" t="s">
        <v>545</v>
      </c>
      <c r="F1379" s="8" t="s">
        <v>225</v>
      </c>
      <c r="G1379" s="8" t="s">
        <v>226</v>
      </c>
      <c r="H1379" s="8" t="s">
        <v>795</v>
      </c>
      <c r="I1379" s="3">
        <v>2</v>
      </c>
      <c r="J1379" s="8" t="s">
        <v>742</v>
      </c>
      <c r="K1379" s="8" t="s">
        <v>743</v>
      </c>
      <c r="L1379" s="8" t="s">
        <v>723</v>
      </c>
      <c r="M1379" s="1" t="s">
        <v>790</v>
      </c>
      <c r="N1379" s="8" t="s">
        <v>791</v>
      </c>
      <c r="O1379" s="6">
        <v>0</v>
      </c>
      <c r="P1379" s="6">
        <v>0</v>
      </c>
      <c r="Q1379" s="6">
        <v>0</v>
      </c>
      <c r="R1379" s="6">
        <v>0</v>
      </c>
      <c r="S1379" s="6">
        <v>45</v>
      </c>
    </row>
    <row r="1380" spans="1:19" ht="15" x14ac:dyDescent="0.25">
      <c r="A1380" s="7" t="s">
        <v>16</v>
      </c>
      <c r="B1380" s="7" t="s">
        <v>60</v>
      </c>
      <c r="C1380" s="7" t="s">
        <v>18</v>
      </c>
      <c r="D1380" s="3">
        <v>37108388000159</v>
      </c>
      <c r="E1380" s="8" t="s">
        <v>375</v>
      </c>
      <c r="F1380" s="8" t="s">
        <v>225</v>
      </c>
      <c r="G1380" s="8" t="s">
        <v>226</v>
      </c>
      <c r="H1380" s="8" t="s">
        <v>795</v>
      </c>
      <c r="I1380" s="3">
        <v>2</v>
      </c>
      <c r="J1380" s="8" t="s">
        <v>780</v>
      </c>
      <c r="K1380" s="8" t="s">
        <v>781</v>
      </c>
      <c r="L1380" s="8" t="s">
        <v>739</v>
      </c>
      <c r="M1380" s="1" t="s">
        <v>790</v>
      </c>
      <c r="N1380" s="8" t="s">
        <v>791</v>
      </c>
      <c r="O1380" s="6">
        <v>0</v>
      </c>
      <c r="P1380" s="6">
        <v>0</v>
      </c>
      <c r="Q1380" s="6">
        <v>0</v>
      </c>
      <c r="R1380" s="6">
        <v>0</v>
      </c>
      <c r="S1380" s="6">
        <v>0</v>
      </c>
    </row>
    <row r="1381" spans="1:19" ht="15" x14ac:dyDescent="0.25">
      <c r="A1381" s="7" t="s">
        <v>16</v>
      </c>
      <c r="B1381" s="7" t="s">
        <v>60</v>
      </c>
      <c r="C1381" s="7" t="s">
        <v>18</v>
      </c>
      <c r="D1381" s="3">
        <v>37108388000159</v>
      </c>
      <c r="E1381" s="8" t="s">
        <v>375</v>
      </c>
      <c r="F1381" s="8" t="s">
        <v>225</v>
      </c>
      <c r="G1381" s="8" t="s">
        <v>226</v>
      </c>
      <c r="H1381" s="8" t="s">
        <v>795</v>
      </c>
      <c r="I1381" s="3">
        <v>2</v>
      </c>
      <c r="J1381" s="8" t="s">
        <v>742</v>
      </c>
      <c r="K1381" s="8" t="s">
        <v>743</v>
      </c>
      <c r="L1381" s="8" t="s">
        <v>723</v>
      </c>
      <c r="M1381" s="1" t="s">
        <v>790</v>
      </c>
      <c r="N1381" s="8" t="s">
        <v>791</v>
      </c>
      <c r="O1381" s="6">
        <v>0</v>
      </c>
      <c r="P1381" s="6">
        <v>30</v>
      </c>
      <c r="Q1381" s="6">
        <v>15</v>
      </c>
      <c r="R1381" s="6">
        <v>0</v>
      </c>
      <c r="S1381" s="6">
        <v>0</v>
      </c>
    </row>
    <row r="1382" spans="1:19" ht="15" x14ac:dyDescent="0.25">
      <c r="A1382" s="7" t="s">
        <v>16</v>
      </c>
      <c r="B1382" s="7" t="s">
        <v>60</v>
      </c>
      <c r="C1382" s="7" t="s">
        <v>18</v>
      </c>
      <c r="D1382" s="3">
        <v>29435005004620</v>
      </c>
      <c r="E1382" s="8" t="s">
        <v>370</v>
      </c>
      <c r="F1382" s="8" t="s">
        <v>225</v>
      </c>
      <c r="G1382" s="8" t="s">
        <v>226</v>
      </c>
      <c r="H1382" s="8" t="s">
        <v>795</v>
      </c>
      <c r="I1382" s="3">
        <v>2</v>
      </c>
      <c r="J1382" s="8" t="s">
        <v>780</v>
      </c>
      <c r="K1382" s="8" t="s">
        <v>781</v>
      </c>
      <c r="L1382" s="8" t="s">
        <v>739</v>
      </c>
      <c r="M1382" s="1" t="s">
        <v>790</v>
      </c>
      <c r="N1382" s="8" t="s">
        <v>791</v>
      </c>
      <c r="O1382" s="6">
        <v>0</v>
      </c>
      <c r="P1382" s="6">
        <v>0</v>
      </c>
      <c r="Q1382" s="6">
        <v>0</v>
      </c>
      <c r="R1382" s="6">
        <v>0</v>
      </c>
      <c r="S1382" s="6">
        <v>145</v>
      </c>
    </row>
    <row r="1383" spans="1:19" ht="15" x14ac:dyDescent="0.25">
      <c r="A1383" s="7" t="s">
        <v>16</v>
      </c>
      <c r="B1383" s="7" t="s">
        <v>60</v>
      </c>
      <c r="C1383" s="7" t="s">
        <v>18</v>
      </c>
      <c r="D1383" s="3">
        <v>29435005004620</v>
      </c>
      <c r="E1383" s="8" t="s">
        <v>370</v>
      </c>
      <c r="F1383" s="8" t="s">
        <v>225</v>
      </c>
      <c r="G1383" s="8" t="s">
        <v>226</v>
      </c>
      <c r="H1383" s="8" t="s">
        <v>795</v>
      </c>
      <c r="I1383" s="3">
        <v>2</v>
      </c>
      <c r="J1383" s="8" t="s">
        <v>742</v>
      </c>
      <c r="K1383" s="8" t="s">
        <v>743</v>
      </c>
      <c r="L1383" s="8" t="s">
        <v>723</v>
      </c>
      <c r="M1383" s="1" t="s">
        <v>790</v>
      </c>
      <c r="N1383" s="8" t="s">
        <v>791</v>
      </c>
      <c r="O1383" s="6">
        <v>0</v>
      </c>
      <c r="P1383" s="6">
        <v>15</v>
      </c>
      <c r="Q1383" s="6">
        <v>1</v>
      </c>
      <c r="R1383" s="6">
        <v>0</v>
      </c>
      <c r="S1383" s="6">
        <v>145</v>
      </c>
    </row>
    <row r="1384" spans="1:19" ht="15" x14ac:dyDescent="0.25">
      <c r="A1384" s="7" t="s">
        <v>16</v>
      </c>
      <c r="B1384" s="7" t="s">
        <v>60</v>
      </c>
      <c r="C1384" s="7" t="s">
        <v>18</v>
      </c>
      <c r="D1384" s="3">
        <v>2560878000107</v>
      </c>
      <c r="E1384" s="8" t="s">
        <v>270</v>
      </c>
      <c r="F1384" s="8" t="s">
        <v>225</v>
      </c>
      <c r="G1384" s="8" t="s">
        <v>226</v>
      </c>
      <c r="H1384" s="8" t="s">
        <v>795</v>
      </c>
      <c r="I1384" s="3">
        <v>2</v>
      </c>
      <c r="J1384" s="8" t="s">
        <v>780</v>
      </c>
      <c r="K1384" s="8" t="s">
        <v>781</v>
      </c>
      <c r="L1384" s="8" t="s">
        <v>739</v>
      </c>
      <c r="M1384" s="1" t="s">
        <v>790</v>
      </c>
      <c r="N1384" s="8" t="s">
        <v>791</v>
      </c>
      <c r="O1384" s="6">
        <v>0</v>
      </c>
      <c r="P1384" s="6">
        <v>0</v>
      </c>
      <c r="Q1384" s="6">
        <v>0</v>
      </c>
      <c r="R1384" s="6">
        <v>0</v>
      </c>
      <c r="S1384" s="6">
        <v>135</v>
      </c>
    </row>
    <row r="1385" spans="1:19" ht="15" x14ac:dyDescent="0.25">
      <c r="A1385" s="7" t="s">
        <v>16</v>
      </c>
      <c r="B1385" s="7" t="s">
        <v>60</v>
      </c>
      <c r="C1385" s="7" t="s">
        <v>18</v>
      </c>
      <c r="D1385" s="3">
        <v>2560878000107</v>
      </c>
      <c r="E1385" s="8" t="s">
        <v>270</v>
      </c>
      <c r="F1385" s="8" t="s">
        <v>225</v>
      </c>
      <c r="G1385" s="8" t="s">
        <v>226</v>
      </c>
      <c r="H1385" s="8" t="s">
        <v>795</v>
      </c>
      <c r="I1385" s="3">
        <v>2</v>
      </c>
      <c r="J1385" s="8" t="s">
        <v>742</v>
      </c>
      <c r="K1385" s="8" t="s">
        <v>743</v>
      </c>
      <c r="L1385" s="8" t="s">
        <v>723</v>
      </c>
      <c r="M1385" s="1" t="s">
        <v>790</v>
      </c>
      <c r="N1385" s="8" t="s">
        <v>791</v>
      </c>
      <c r="O1385" s="6">
        <v>0</v>
      </c>
      <c r="P1385" s="6">
        <v>15</v>
      </c>
      <c r="Q1385" s="6">
        <v>0</v>
      </c>
      <c r="R1385" s="6">
        <v>0</v>
      </c>
      <c r="S1385" s="6">
        <v>135</v>
      </c>
    </row>
    <row r="1386" spans="1:19" ht="15" x14ac:dyDescent="0.25">
      <c r="A1386" s="7" t="s">
        <v>16</v>
      </c>
      <c r="B1386" s="7" t="s">
        <v>60</v>
      </c>
      <c r="C1386" s="7" t="s">
        <v>18</v>
      </c>
      <c r="D1386" s="3">
        <v>60884855002289</v>
      </c>
      <c r="E1386" s="8" t="s">
        <v>378</v>
      </c>
      <c r="F1386" s="8" t="s">
        <v>225</v>
      </c>
      <c r="G1386" s="8" t="s">
        <v>226</v>
      </c>
      <c r="H1386" s="8" t="s">
        <v>795</v>
      </c>
      <c r="I1386" s="3">
        <v>2</v>
      </c>
      <c r="J1386" s="8" t="s">
        <v>780</v>
      </c>
      <c r="K1386" s="8" t="s">
        <v>781</v>
      </c>
      <c r="L1386" s="8" t="s">
        <v>739</v>
      </c>
      <c r="M1386" s="1" t="s">
        <v>790</v>
      </c>
      <c r="N1386" s="8" t="s">
        <v>791</v>
      </c>
      <c r="O1386" s="6">
        <v>0</v>
      </c>
      <c r="P1386" s="6">
        <v>0</v>
      </c>
      <c r="Q1386" s="6">
        <v>0</v>
      </c>
      <c r="R1386" s="6">
        <v>0</v>
      </c>
      <c r="S1386" s="6">
        <v>650</v>
      </c>
    </row>
    <row r="1387" spans="1:19" ht="15" x14ac:dyDescent="0.25">
      <c r="A1387" s="7" t="s">
        <v>16</v>
      </c>
      <c r="B1387" s="7" t="s">
        <v>60</v>
      </c>
      <c r="C1387" s="7" t="s">
        <v>18</v>
      </c>
      <c r="D1387" s="3">
        <v>60884855002289</v>
      </c>
      <c r="E1387" s="8" t="s">
        <v>378</v>
      </c>
      <c r="F1387" s="8" t="s">
        <v>225</v>
      </c>
      <c r="G1387" s="8" t="s">
        <v>226</v>
      </c>
      <c r="H1387" s="8" t="s">
        <v>795</v>
      </c>
      <c r="I1387" s="3">
        <v>2</v>
      </c>
      <c r="J1387" s="8" t="s">
        <v>742</v>
      </c>
      <c r="K1387" s="8" t="s">
        <v>743</v>
      </c>
      <c r="L1387" s="8" t="s">
        <v>723</v>
      </c>
      <c r="M1387" s="1" t="s">
        <v>790</v>
      </c>
      <c r="N1387" s="8" t="s">
        <v>791</v>
      </c>
      <c r="O1387" s="6">
        <v>0</v>
      </c>
      <c r="P1387" s="6">
        <v>61</v>
      </c>
      <c r="Q1387" s="6">
        <v>38</v>
      </c>
      <c r="R1387" s="6">
        <v>0</v>
      </c>
      <c r="S1387" s="6">
        <v>650</v>
      </c>
    </row>
    <row r="1388" spans="1:19" ht="15" x14ac:dyDescent="0.25">
      <c r="A1388" s="7" t="s">
        <v>16</v>
      </c>
      <c r="B1388" s="7" t="s">
        <v>60</v>
      </c>
      <c r="C1388" s="7" t="s">
        <v>18</v>
      </c>
      <c r="D1388" s="3">
        <v>382069000127</v>
      </c>
      <c r="E1388" s="8" t="s">
        <v>472</v>
      </c>
      <c r="F1388" s="8" t="s">
        <v>225</v>
      </c>
      <c r="G1388" s="8" t="s">
        <v>226</v>
      </c>
      <c r="H1388" s="8" t="s">
        <v>795</v>
      </c>
      <c r="I1388" s="3">
        <v>2</v>
      </c>
      <c r="J1388" s="8" t="s">
        <v>780</v>
      </c>
      <c r="K1388" s="8" t="s">
        <v>781</v>
      </c>
      <c r="L1388" s="8" t="s">
        <v>739</v>
      </c>
      <c r="M1388" s="1" t="s">
        <v>790</v>
      </c>
      <c r="N1388" s="8" t="s">
        <v>791</v>
      </c>
      <c r="O1388" s="6">
        <v>0</v>
      </c>
      <c r="P1388" s="6">
        <v>0</v>
      </c>
      <c r="Q1388" s="6">
        <v>0</v>
      </c>
      <c r="R1388" s="6">
        <v>0</v>
      </c>
      <c r="S1388" s="6">
        <v>0</v>
      </c>
    </row>
    <row r="1389" spans="1:19" ht="15" x14ac:dyDescent="0.25">
      <c r="A1389" s="7" t="s">
        <v>16</v>
      </c>
      <c r="B1389" s="7" t="s">
        <v>60</v>
      </c>
      <c r="C1389" s="7" t="s">
        <v>18</v>
      </c>
      <c r="D1389" s="3">
        <v>382069000127</v>
      </c>
      <c r="E1389" s="8" t="s">
        <v>472</v>
      </c>
      <c r="F1389" s="8" t="s">
        <v>225</v>
      </c>
      <c r="G1389" s="8" t="s">
        <v>226</v>
      </c>
      <c r="H1389" s="8" t="s">
        <v>795</v>
      </c>
      <c r="I1389" s="3">
        <v>2</v>
      </c>
      <c r="J1389" s="8" t="s">
        <v>742</v>
      </c>
      <c r="K1389" s="8" t="s">
        <v>743</v>
      </c>
      <c r="L1389" s="8" t="s">
        <v>723</v>
      </c>
      <c r="M1389" s="1" t="s">
        <v>790</v>
      </c>
      <c r="N1389" s="8" t="s">
        <v>791</v>
      </c>
      <c r="O1389" s="6">
        <v>0</v>
      </c>
      <c r="P1389" s="6">
        <v>4</v>
      </c>
      <c r="Q1389" s="6">
        <v>0</v>
      </c>
      <c r="R1389" s="6">
        <v>0</v>
      </c>
      <c r="S1389" s="6">
        <v>0</v>
      </c>
    </row>
    <row r="1390" spans="1:19" ht="15" x14ac:dyDescent="0.25">
      <c r="A1390" s="7" t="s">
        <v>16</v>
      </c>
      <c r="B1390" s="7" t="s">
        <v>60</v>
      </c>
      <c r="C1390" s="7" t="s">
        <v>18</v>
      </c>
      <c r="D1390" s="3">
        <v>6047087004207</v>
      </c>
      <c r="E1390" s="8" t="s">
        <v>288</v>
      </c>
      <c r="F1390" s="8" t="s">
        <v>225</v>
      </c>
      <c r="G1390" s="8" t="s">
        <v>226</v>
      </c>
      <c r="H1390" s="8" t="s">
        <v>795</v>
      </c>
      <c r="I1390" s="3">
        <v>2</v>
      </c>
      <c r="J1390" s="8" t="s">
        <v>780</v>
      </c>
      <c r="K1390" s="8" t="s">
        <v>781</v>
      </c>
      <c r="L1390" s="8" t="s">
        <v>739</v>
      </c>
      <c r="M1390" s="1" t="s">
        <v>790</v>
      </c>
      <c r="N1390" s="8" t="s">
        <v>791</v>
      </c>
      <c r="O1390" s="6">
        <v>0</v>
      </c>
      <c r="P1390" s="6">
        <v>0</v>
      </c>
      <c r="Q1390" s="6">
        <v>0</v>
      </c>
      <c r="R1390" s="6">
        <v>0</v>
      </c>
      <c r="S1390" s="6">
        <v>0</v>
      </c>
    </row>
    <row r="1391" spans="1:19" ht="15" x14ac:dyDescent="0.25">
      <c r="A1391" s="7" t="s">
        <v>16</v>
      </c>
      <c r="B1391" s="7" t="s">
        <v>60</v>
      </c>
      <c r="C1391" s="7" t="s">
        <v>18</v>
      </c>
      <c r="D1391" s="3">
        <v>6047087004207</v>
      </c>
      <c r="E1391" s="8" t="s">
        <v>288</v>
      </c>
      <c r="F1391" s="8" t="s">
        <v>225</v>
      </c>
      <c r="G1391" s="8" t="s">
        <v>226</v>
      </c>
      <c r="H1391" s="8" t="s">
        <v>795</v>
      </c>
      <c r="I1391" s="3">
        <v>2</v>
      </c>
      <c r="J1391" s="8" t="s">
        <v>742</v>
      </c>
      <c r="K1391" s="8" t="s">
        <v>743</v>
      </c>
      <c r="L1391" s="8" t="s">
        <v>723</v>
      </c>
      <c r="M1391" s="1" t="s">
        <v>790</v>
      </c>
      <c r="N1391" s="8" t="s">
        <v>791</v>
      </c>
      <c r="O1391" s="6">
        <v>0</v>
      </c>
      <c r="P1391" s="6">
        <v>28</v>
      </c>
      <c r="Q1391" s="6">
        <v>18</v>
      </c>
      <c r="R1391" s="6">
        <v>0</v>
      </c>
      <c r="S1391" s="6">
        <v>0</v>
      </c>
    </row>
    <row r="1392" spans="1:19" ht="15" x14ac:dyDescent="0.25">
      <c r="A1392" s="7" t="s">
        <v>16</v>
      </c>
      <c r="B1392" s="7" t="s">
        <v>60</v>
      </c>
      <c r="C1392" s="7" t="s">
        <v>18</v>
      </c>
      <c r="D1392" s="3">
        <v>38000485000196</v>
      </c>
      <c r="E1392" s="8" t="s">
        <v>376</v>
      </c>
      <c r="F1392" s="8" t="s">
        <v>225</v>
      </c>
      <c r="G1392" s="8" t="s">
        <v>226</v>
      </c>
      <c r="H1392" s="8" t="s">
        <v>795</v>
      </c>
      <c r="I1392" s="3">
        <v>2</v>
      </c>
      <c r="J1392" s="8" t="s">
        <v>780</v>
      </c>
      <c r="K1392" s="8" t="s">
        <v>781</v>
      </c>
      <c r="L1392" s="8" t="s">
        <v>739</v>
      </c>
      <c r="M1392" s="1" t="s">
        <v>790</v>
      </c>
      <c r="N1392" s="8" t="s">
        <v>791</v>
      </c>
      <c r="O1392" s="6">
        <v>0</v>
      </c>
      <c r="P1392" s="6">
        <v>0</v>
      </c>
      <c r="Q1392" s="6">
        <v>0</v>
      </c>
      <c r="R1392" s="6">
        <v>0</v>
      </c>
      <c r="S1392" s="6">
        <v>0</v>
      </c>
    </row>
    <row r="1393" spans="1:19" ht="15" x14ac:dyDescent="0.25">
      <c r="A1393" s="7" t="s">
        <v>16</v>
      </c>
      <c r="B1393" s="7" t="s">
        <v>60</v>
      </c>
      <c r="C1393" s="7" t="s">
        <v>18</v>
      </c>
      <c r="D1393" s="3">
        <v>38000485000196</v>
      </c>
      <c r="E1393" s="8" t="s">
        <v>376</v>
      </c>
      <c r="F1393" s="8" t="s">
        <v>225</v>
      </c>
      <c r="G1393" s="8" t="s">
        <v>226</v>
      </c>
      <c r="H1393" s="8" t="s">
        <v>795</v>
      </c>
      <c r="I1393" s="3">
        <v>2</v>
      </c>
      <c r="J1393" s="8" t="s">
        <v>742</v>
      </c>
      <c r="K1393" s="8" t="s">
        <v>743</v>
      </c>
      <c r="L1393" s="8" t="s">
        <v>723</v>
      </c>
      <c r="M1393" s="1" t="s">
        <v>790</v>
      </c>
      <c r="N1393" s="8" t="s">
        <v>791</v>
      </c>
      <c r="O1393" s="6">
        <v>0</v>
      </c>
      <c r="P1393" s="6">
        <v>0</v>
      </c>
      <c r="Q1393" s="6">
        <v>9</v>
      </c>
      <c r="R1393" s="6">
        <v>0</v>
      </c>
      <c r="S1393" s="6">
        <v>0</v>
      </c>
    </row>
    <row r="1394" spans="1:19" ht="15" x14ac:dyDescent="0.25">
      <c r="A1394" s="7" t="s">
        <v>16</v>
      </c>
      <c r="B1394" s="7" t="s">
        <v>60</v>
      </c>
      <c r="C1394" s="7" t="s">
        <v>18</v>
      </c>
      <c r="D1394" s="3">
        <v>6047087004126</v>
      </c>
      <c r="E1394" s="8" t="s">
        <v>287</v>
      </c>
      <c r="F1394" s="8" t="s">
        <v>225</v>
      </c>
      <c r="G1394" s="8" t="s">
        <v>226</v>
      </c>
      <c r="H1394" s="8" t="s">
        <v>795</v>
      </c>
      <c r="I1394" s="3">
        <v>2</v>
      </c>
      <c r="J1394" s="8" t="s">
        <v>780</v>
      </c>
      <c r="K1394" s="8" t="s">
        <v>781</v>
      </c>
      <c r="L1394" s="8" t="s">
        <v>739</v>
      </c>
      <c r="M1394" s="1" t="s">
        <v>790</v>
      </c>
      <c r="N1394" s="8" t="s">
        <v>791</v>
      </c>
      <c r="O1394" s="6">
        <v>0</v>
      </c>
      <c r="P1394" s="6">
        <v>0</v>
      </c>
      <c r="Q1394" s="6">
        <v>0</v>
      </c>
      <c r="R1394" s="6">
        <v>0</v>
      </c>
      <c r="S1394" s="6">
        <v>0</v>
      </c>
    </row>
    <row r="1395" spans="1:19" ht="15" x14ac:dyDescent="0.25">
      <c r="A1395" s="7" t="s">
        <v>16</v>
      </c>
      <c r="B1395" s="7" t="s">
        <v>60</v>
      </c>
      <c r="C1395" s="7" t="s">
        <v>18</v>
      </c>
      <c r="D1395" s="3">
        <v>6047087004126</v>
      </c>
      <c r="E1395" s="8" t="s">
        <v>287</v>
      </c>
      <c r="F1395" s="8" t="s">
        <v>225</v>
      </c>
      <c r="G1395" s="8" t="s">
        <v>226</v>
      </c>
      <c r="H1395" s="8" t="s">
        <v>795</v>
      </c>
      <c r="I1395" s="3">
        <v>2</v>
      </c>
      <c r="J1395" s="8" t="s">
        <v>742</v>
      </c>
      <c r="K1395" s="8" t="s">
        <v>743</v>
      </c>
      <c r="L1395" s="8" t="s">
        <v>723</v>
      </c>
      <c r="M1395" s="1" t="s">
        <v>790</v>
      </c>
      <c r="N1395" s="8" t="s">
        <v>791</v>
      </c>
      <c r="O1395" s="6">
        <v>0</v>
      </c>
      <c r="P1395" s="6">
        <v>3</v>
      </c>
      <c r="Q1395" s="6">
        <v>0</v>
      </c>
      <c r="R1395" s="6">
        <v>0</v>
      </c>
      <c r="S1395" s="6">
        <v>0</v>
      </c>
    </row>
    <row r="1396" spans="1:19" ht="15" x14ac:dyDescent="0.25">
      <c r="A1396" s="7" t="s">
        <v>16</v>
      </c>
      <c r="B1396" s="7" t="s">
        <v>60</v>
      </c>
      <c r="C1396" s="7" t="s">
        <v>18</v>
      </c>
      <c r="D1396" s="3">
        <v>610980000144</v>
      </c>
      <c r="E1396" s="8" t="s">
        <v>244</v>
      </c>
      <c r="F1396" s="8" t="s">
        <v>225</v>
      </c>
      <c r="G1396" s="8" t="s">
        <v>226</v>
      </c>
      <c r="H1396" s="8" t="s">
        <v>795</v>
      </c>
      <c r="I1396" s="3">
        <v>2</v>
      </c>
      <c r="J1396" s="8" t="s">
        <v>780</v>
      </c>
      <c r="K1396" s="8" t="s">
        <v>781</v>
      </c>
      <c r="L1396" s="8" t="s">
        <v>739</v>
      </c>
      <c r="M1396" s="1" t="s">
        <v>790</v>
      </c>
      <c r="N1396" s="8" t="s">
        <v>791</v>
      </c>
      <c r="O1396" s="6">
        <v>0</v>
      </c>
      <c r="P1396" s="6">
        <v>0</v>
      </c>
      <c r="Q1396" s="6">
        <v>0</v>
      </c>
      <c r="R1396" s="6">
        <v>0</v>
      </c>
      <c r="S1396" s="6">
        <v>400</v>
      </c>
    </row>
    <row r="1397" spans="1:19" ht="15" x14ac:dyDescent="0.25">
      <c r="A1397" s="7" t="s">
        <v>16</v>
      </c>
      <c r="B1397" s="7" t="s">
        <v>60</v>
      </c>
      <c r="C1397" s="7" t="s">
        <v>18</v>
      </c>
      <c r="D1397" s="3">
        <v>610980000144</v>
      </c>
      <c r="E1397" s="8" t="s">
        <v>244</v>
      </c>
      <c r="F1397" s="8" t="s">
        <v>225</v>
      </c>
      <c r="G1397" s="8" t="s">
        <v>226</v>
      </c>
      <c r="H1397" s="8" t="s">
        <v>795</v>
      </c>
      <c r="I1397" s="3">
        <v>2</v>
      </c>
      <c r="J1397" s="8" t="s">
        <v>742</v>
      </c>
      <c r="K1397" s="8" t="s">
        <v>743</v>
      </c>
      <c r="L1397" s="8" t="s">
        <v>723</v>
      </c>
      <c r="M1397" s="1" t="s">
        <v>790</v>
      </c>
      <c r="N1397" s="8" t="s">
        <v>791</v>
      </c>
      <c r="O1397" s="6">
        <v>0</v>
      </c>
      <c r="P1397" s="6">
        <v>12</v>
      </c>
      <c r="Q1397" s="6">
        <v>0</v>
      </c>
      <c r="R1397" s="6">
        <v>0</v>
      </c>
      <c r="S1397" s="6">
        <v>400</v>
      </c>
    </row>
    <row r="1398" spans="1:19" ht="15" x14ac:dyDescent="0.25">
      <c r="A1398" s="7" t="s">
        <v>16</v>
      </c>
      <c r="B1398" s="7" t="s">
        <v>60</v>
      </c>
      <c r="C1398" s="7" t="s">
        <v>18</v>
      </c>
      <c r="D1398" s="3">
        <v>10942995000163</v>
      </c>
      <c r="E1398" s="8" t="s">
        <v>433</v>
      </c>
      <c r="F1398" s="8" t="s">
        <v>225</v>
      </c>
      <c r="G1398" s="8" t="s">
        <v>226</v>
      </c>
      <c r="H1398" s="8" t="s">
        <v>795</v>
      </c>
      <c r="I1398" s="3">
        <v>2</v>
      </c>
      <c r="J1398" s="8" t="s">
        <v>780</v>
      </c>
      <c r="K1398" s="8" t="s">
        <v>781</v>
      </c>
      <c r="L1398" s="8" t="s">
        <v>739</v>
      </c>
      <c r="M1398" s="1" t="s">
        <v>790</v>
      </c>
      <c r="N1398" s="8" t="s">
        <v>791</v>
      </c>
      <c r="O1398" s="6">
        <v>0</v>
      </c>
      <c r="P1398" s="6">
        <v>0</v>
      </c>
      <c r="Q1398" s="6">
        <v>0</v>
      </c>
      <c r="R1398" s="6">
        <v>160</v>
      </c>
      <c r="S1398" s="6">
        <v>500</v>
      </c>
    </row>
    <row r="1399" spans="1:19" ht="15" x14ac:dyDescent="0.25">
      <c r="A1399" s="7" t="s">
        <v>16</v>
      </c>
      <c r="B1399" s="7" t="s">
        <v>60</v>
      </c>
      <c r="C1399" s="7" t="s">
        <v>18</v>
      </c>
      <c r="D1399" s="3">
        <v>10942995000163</v>
      </c>
      <c r="E1399" s="8" t="s">
        <v>433</v>
      </c>
      <c r="F1399" s="8" t="s">
        <v>225</v>
      </c>
      <c r="G1399" s="8" t="s">
        <v>226</v>
      </c>
      <c r="H1399" s="8" t="s">
        <v>795</v>
      </c>
      <c r="I1399" s="3">
        <v>2</v>
      </c>
      <c r="J1399" s="8" t="s">
        <v>742</v>
      </c>
      <c r="K1399" s="8" t="s">
        <v>743</v>
      </c>
      <c r="L1399" s="8" t="s">
        <v>723</v>
      </c>
      <c r="M1399" s="1" t="s">
        <v>790</v>
      </c>
      <c r="N1399" s="8" t="s">
        <v>791</v>
      </c>
      <c r="O1399" s="6">
        <v>0</v>
      </c>
      <c r="P1399" s="6">
        <v>0</v>
      </c>
      <c r="Q1399" s="6">
        <v>0</v>
      </c>
      <c r="R1399" s="6">
        <v>0</v>
      </c>
      <c r="S1399" s="6">
        <v>500</v>
      </c>
    </row>
    <row r="1400" spans="1:19" ht="15" x14ac:dyDescent="0.25">
      <c r="A1400" s="7" t="s">
        <v>16</v>
      </c>
      <c r="B1400" s="7" t="s">
        <v>60</v>
      </c>
      <c r="C1400" s="7" t="s">
        <v>18</v>
      </c>
      <c r="D1400" s="3">
        <v>11859927000106</v>
      </c>
      <c r="E1400" s="8" t="s">
        <v>312</v>
      </c>
      <c r="F1400" s="8" t="s">
        <v>225</v>
      </c>
      <c r="G1400" s="8" t="s">
        <v>226</v>
      </c>
      <c r="H1400" s="8" t="s">
        <v>795</v>
      </c>
      <c r="I1400" s="3">
        <v>2</v>
      </c>
      <c r="J1400" s="8" t="s">
        <v>780</v>
      </c>
      <c r="K1400" s="8" t="s">
        <v>781</v>
      </c>
      <c r="L1400" s="8" t="s">
        <v>739</v>
      </c>
      <c r="M1400" s="1" t="s">
        <v>790</v>
      </c>
      <c r="N1400" s="8" t="s">
        <v>791</v>
      </c>
      <c r="O1400" s="6">
        <v>0</v>
      </c>
      <c r="P1400" s="6">
        <v>0</v>
      </c>
      <c r="Q1400" s="6">
        <v>0</v>
      </c>
      <c r="R1400" s="6">
        <v>45</v>
      </c>
      <c r="S1400" s="6">
        <v>0</v>
      </c>
    </row>
    <row r="1401" spans="1:19" ht="15" x14ac:dyDescent="0.25">
      <c r="A1401" s="7" t="s">
        <v>16</v>
      </c>
      <c r="B1401" s="7" t="s">
        <v>60</v>
      </c>
      <c r="C1401" s="7" t="s">
        <v>18</v>
      </c>
      <c r="D1401" s="3">
        <v>11859927000106</v>
      </c>
      <c r="E1401" s="8" t="s">
        <v>312</v>
      </c>
      <c r="F1401" s="8" t="s">
        <v>225</v>
      </c>
      <c r="G1401" s="8" t="s">
        <v>226</v>
      </c>
      <c r="H1401" s="8" t="s">
        <v>795</v>
      </c>
      <c r="I1401" s="3">
        <v>2</v>
      </c>
      <c r="J1401" s="8" t="s">
        <v>742</v>
      </c>
      <c r="K1401" s="8" t="s">
        <v>743</v>
      </c>
      <c r="L1401" s="8" t="s">
        <v>723</v>
      </c>
      <c r="M1401" s="1" t="s">
        <v>790</v>
      </c>
      <c r="N1401" s="8" t="s">
        <v>791</v>
      </c>
      <c r="O1401" s="6">
        <v>0</v>
      </c>
      <c r="P1401" s="6">
        <v>0</v>
      </c>
      <c r="Q1401" s="6">
        <v>0</v>
      </c>
      <c r="R1401" s="6">
        <v>0</v>
      </c>
      <c r="S1401" s="6">
        <v>0</v>
      </c>
    </row>
    <row r="1402" spans="1:19" ht="15" x14ac:dyDescent="0.25">
      <c r="A1402" s="7" t="s">
        <v>16</v>
      </c>
      <c r="B1402" s="7" t="s">
        <v>60</v>
      </c>
      <c r="C1402" s="7" t="s">
        <v>18</v>
      </c>
      <c r="D1402" s="3">
        <v>60884855001983</v>
      </c>
      <c r="E1402" s="8" t="s">
        <v>506</v>
      </c>
      <c r="F1402" s="8" t="s">
        <v>225</v>
      </c>
      <c r="G1402" s="8" t="s">
        <v>226</v>
      </c>
      <c r="H1402" s="8" t="s">
        <v>795</v>
      </c>
      <c r="I1402" s="3">
        <v>2</v>
      </c>
      <c r="J1402" s="8" t="s">
        <v>780</v>
      </c>
      <c r="K1402" s="8" t="s">
        <v>781</v>
      </c>
      <c r="L1402" s="8" t="s">
        <v>739</v>
      </c>
      <c r="M1402" s="1" t="s">
        <v>790</v>
      </c>
      <c r="N1402" s="8" t="s">
        <v>791</v>
      </c>
      <c r="O1402" s="6">
        <v>0</v>
      </c>
      <c r="P1402" s="6">
        <v>0</v>
      </c>
      <c r="Q1402" s="6">
        <v>0</v>
      </c>
      <c r="R1402" s="6">
        <v>0</v>
      </c>
      <c r="S1402" s="6">
        <v>0</v>
      </c>
    </row>
    <row r="1403" spans="1:19" ht="15" x14ac:dyDescent="0.25">
      <c r="A1403" s="7" t="s">
        <v>16</v>
      </c>
      <c r="B1403" s="7" t="s">
        <v>60</v>
      </c>
      <c r="C1403" s="7" t="s">
        <v>18</v>
      </c>
      <c r="D1403" s="3">
        <v>60884855001983</v>
      </c>
      <c r="E1403" s="8" t="s">
        <v>506</v>
      </c>
      <c r="F1403" s="8" t="s">
        <v>225</v>
      </c>
      <c r="G1403" s="8" t="s">
        <v>226</v>
      </c>
      <c r="H1403" s="8" t="s">
        <v>795</v>
      </c>
      <c r="I1403" s="3">
        <v>2</v>
      </c>
      <c r="J1403" s="8" t="s">
        <v>742</v>
      </c>
      <c r="K1403" s="8" t="s">
        <v>743</v>
      </c>
      <c r="L1403" s="8" t="s">
        <v>723</v>
      </c>
      <c r="M1403" s="1" t="s">
        <v>790</v>
      </c>
      <c r="N1403" s="8" t="s">
        <v>791</v>
      </c>
      <c r="O1403" s="6">
        <v>0</v>
      </c>
      <c r="P1403" s="6">
        <v>0</v>
      </c>
      <c r="Q1403" s="6">
        <v>1</v>
      </c>
      <c r="R1403" s="6">
        <v>0</v>
      </c>
      <c r="S1403" s="6">
        <v>0</v>
      </c>
    </row>
    <row r="1404" spans="1:19" ht="15" x14ac:dyDescent="0.25">
      <c r="A1404" s="7" t="s">
        <v>16</v>
      </c>
      <c r="B1404" s="7" t="s">
        <v>60</v>
      </c>
      <c r="C1404" s="7" t="s">
        <v>18</v>
      </c>
      <c r="D1404" s="3">
        <v>85465526149</v>
      </c>
      <c r="E1404" s="8" t="s">
        <v>470</v>
      </c>
      <c r="F1404" s="8" t="s">
        <v>225</v>
      </c>
      <c r="G1404" s="8" t="s">
        <v>226</v>
      </c>
      <c r="H1404" s="8" t="s">
        <v>795</v>
      </c>
      <c r="I1404" s="3">
        <v>2</v>
      </c>
      <c r="J1404" s="8" t="s">
        <v>780</v>
      </c>
      <c r="K1404" s="8" t="s">
        <v>781</v>
      </c>
      <c r="L1404" s="8" t="s">
        <v>739</v>
      </c>
      <c r="M1404" s="1" t="s">
        <v>790</v>
      </c>
      <c r="N1404" s="8" t="s">
        <v>791</v>
      </c>
      <c r="O1404" s="6">
        <v>3</v>
      </c>
      <c r="P1404" s="6">
        <v>0</v>
      </c>
      <c r="Q1404" s="6">
        <v>0</v>
      </c>
      <c r="R1404" s="6">
        <v>0</v>
      </c>
      <c r="S1404" s="6">
        <v>0</v>
      </c>
    </row>
    <row r="1405" spans="1:19" ht="15" x14ac:dyDescent="0.25">
      <c r="A1405" s="7" t="s">
        <v>16</v>
      </c>
      <c r="B1405" s="7" t="s">
        <v>60</v>
      </c>
      <c r="C1405" s="7" t="s">
        <v>18</v>
      </c>
      <c r="D1405" s="3">
        <v>85465526149</v>
      </c>
      <c r="E1405" s="8" t="s">
        <v>470</v>
      </c>
      <c r="F1405" s="8" t="s">
        <v>225</v>
      </c>
      <c r="G1405" s="8" t="s">
        <v>226</v>
      </c>
      <c r="H1405" s="8" t="s">
        <v>795</v>
      </c>
      <c r="I1405" s="3">
        <v>2</v>
      </c>
      <c r="J1405" s="8" t="s">
        <v>742</v>
      </c>
      <c r="K1405" s="8" t="s">
        <v>743</v>
      </c>
      <c r="L1405" s="8" t="s">
        <v>723</v>
      </c>
      <c r="M1405" s="1" t="s">
        <v>790</v>
      </c>
      <c r="N1405" s="8" t="s">
        <v>791</v>
      </c>
      <c r="O1405" s="6">
        <v>0</v>
      </c>
      <c r="P1405" s="6">
        <v>0</v>
      </c>
      <c r="Q1405" s="6">
        <v>0</v>
      </c>
      <c r="R1405" s="6">
        <v>0</v>
      </c>
      <c r="S1405" s="6">
        <v>0</v>
      </c>
    </row>
    <row r="1406" spans="1:19" ht="15" x14ac:dyDescent="0.25">
      <c r="A1406" s="7" t="s">
        <v>16</v>
      </c>
      <c r="B1406" s="7" t="s">
        <v>60</v>
      </c>
      <c r="C1406" s="7" t="s">
        <v>18</v>
      </c>
      <c r="D1406" s="3">
        <v>16739984000167</v>
      </c>
      <c r="E1406" s="8" t="s">
        <v>342</v>
      </c>
      <c r="F1406" s="8" t="s">
        <v>225</v>
      </c>
      <c r="G1406" s="8" t="s">
        <v>226</v>
      </c>
      <c r="H1406" s="8" t="s">
        <v>795</v>
      </c>
      <c r="I1406" s="3">
        <v>2</v>
      </c>
      <c r="J1406" s="8" t="s">
        <v>780</v>
      </c>
      <c r="K1406" s="8" t="s">
        <v>781</v>
      </c>
      <c r="L1406" s="8" t="s">
        <v>739</v>
      </c>
      <c r="M1406" s="1" t="s">
        <v>790</v>
      </c>
      <c r="N1406" s="8" t="s">
        <v>791</v>
      </c>
      <c r="O1406" s="6">
        <v>0</v>
      </c>
      <c r="P1406" s="6">
        <v>0</v>
      </c>
      <c r="Q1406" s="6">
        <v>0</v>
      </c>
      <c r="R1406" s="6">
        <v>36</v>
      </c>
      <c r="S1406" s="6">
        <v>0</v>
      </c>
    </row>
    <row r="1407" spans="1:19" ht="15" x14ac:dyDescent="0.25">
      <c r="A1407" s="7" t="s">
        <v>16</v>
      </c>
      <c r="B1407" s="7" t="s">
        <v>60</v>
      </c>
      <c r="C1407" s="7" t="s">
        <v>18</v>
      </c>
      <c r="D1407" s="3">
        <v>16739984000167</v>
      </c>
      <c r="E1407" s="8" t="s">
        <v>342</v>
      </c>
      <c r="F1407" s="8" t="s">
        <v>225</v>
      </c>
      <c r="G1407" s="8" t="s">
        <v>226</v>
      </c>
      <c r="H1407" s="8" t="s">
        <v>795</v>
      </c>
      <c r="I1407" s="3">
        <v>2</v>
      </c>
      <c r="J1407" s="8" t="s">
        <v>742</v>
      </c>
      <c r="K1407" s="8" t="s">
        <v>743</v>
      </c>
      <c r="L1407" s="8" t="s">
        <v>723</v>
      </c>
      <c r="M1407" s="1" t="s">
        <v>790</v>
      </c>
      <c r="N1407" s="8" t="s">
        <v>791</v>
      </c>
      <c r="O1407" s="6">
        <v>0</v>
      </c>
      <c r="P1407" s="6">
        <v>0</v>
      </c>
      <c r="Q1407" s="6">
        <v>0</v>
      </c>
      <c r="R1407" s="6">
        <v>0</v>
      </c>
      <c r="S1407" s="6">
        <v>0</v>
      </c>
    </row>
    <row r="1408" spans="1:19" ht="15" x14ac:dyDescent="0.25">
      <c r="A1408" s="7" t="s">
        <v>16</v>
      </c>
      <c r="B1408" s="7" t="s">
        <v>60</v>
      </c>
      <c r="C1408" s="7" t="s">
        <v>18</v>
      </c>
      <c r="D1408" s="3">
        <v>49791000144</v>
      </c>
      <c r="E1408" s="8" t="s">
        <v>224</v>
      </c>
      <c r="F1408" s="8" t="s">
        <v>225</v>
      </c>
      <c r="G1408" s="8" t="s">
        <v>226</v>
      </c>
      <c r="H1408" s="8" t="s">
        <v>795</v>
      </c>
      <c r="I1408" s="3">
        <v>2</v>
      </c>
      <c r="J1408" s="8" t="s">
        <v>780</v>
      </c>
      <c r="K1408" s="8" t="s">
        <v>781</v>
      </c>
      <c r="L1408" s="8" t="s">
        <v>739</v>
      </c>
      <c r="M1408" s="1" t="s">
        <v>790</v>
      </c>
      <c r="N1408" s="8" t="s">
        <v>791</v>
      </c>
      <c r="O1408" s="6">
        <v>0</v>
      </c>
      <c r="P1408" s="6">
        <v>0</v>
      </c>
      <c r="Q1408" s="6">
        <v>0</v>
      </c>
      <c r="R1408" s="6">
        <v>0</v>
      </c>
      <c r="S1408" s="6">
        <v>0</v>
      </c>
    </row>
    <row r="1409" spans="1:19" ht="15" x14ac:dyDescent="0.25">
      <c r="A1409" s="7" t="s">
        <v>16</v>
      </c>
      <c r="B1409" s="7" t="s">
        <v>60</v>
      </c>
      <c r="C1409" s="7" t="s">
        <v>18</v>
      </c>
      <c r="D1409" s="3">
        <v>49791000144</v>
      </c>
      <c r="E1409" s="8" t="s">
        <v>224</v>
      </c>
      <c r="F1409" s="8" t="s">
        <v>225</v>
      </c>
      <c r="G1409" s="8" t="s">
        <v>226</v>
      </c>
      <c r="H1409" s="8" t="s">
        <v>795</v>
      </c>
      <c r="I1409" s="3">
        <v>2</v>
      </c>
      <c r="J1409" s="8" t="s">
        <v>742</v>
      </c>
      <c r="K1409" s="8" t="s">
        <v>743</v>
      </c>
      <c r="L1409" s="8" t="s">
        <v>723</v>
      </c>
      <c r="M1409" s="1" t="s">
        <v>790</v>
      </c>
      <c r="N1409" s="8" t="s">
        <v>791</v>
      </c>
      <c r="O1409" s="6">
        <v>0</v>
      </c>
      <c r="P1409" s="6">
        <v>1</v>
      </c>
      <c r="Q1409" s="6">
        <v>0</v>
      </c>
      <c r="R1409" s="6">
        <v>0</v>
      </c>
      <c r="S1409" s="6">
        <v>0</v>
      </c>
    </row>
    <row r="1410" spans="1:19" ht="15" x14ac:dyDescent="0.25">
      <c r="A1410" s="7" t="s">
        <v>16</v>
      </c>
      <c r="B1410" s="7" t="s">
        <v>60</v>
      </c>
      <c r="C1410" s="7" t="s">
        <v>18</v>
      </c>
      <c r="D1410" s="3">
        <v>25841000153</v>
      </c>
      <c r="E1410" s="8" t="s">
        <v>467</v>
      </c>
      <c r="F1410" s="8" t="s">
        <v>225</v>
      </c>
      <c r="G1410" s="8" t="s">
        <v>226</v>
      </c>
      <c r="H1410" s="8" t="s">
        <v>795</v>
      </c>
      <c r="I1410" s="3">
        <v>2</v>
      </c>
      <c r="J1410" s="8" t="s">
        <v>780</v>
      </c>
      <c r="K1410" s="8" t="s">
        <v>781</v>
      </c>
      <c r="L1410" s="8" t="s">
        <v>739</v>
      </c>
      <c r="M1410" s="1" t="s">
        <v>790</v>
      </c>
      <c r="N1410" s="8" t="s">
        <v>791</v>
      </c>
      <c r="O1410" s="6">
        <v>0</v>
      </c>
      <c r="P1410" s="6">
        <v>0</v>
      </c>
      <c r="Q1410" s="6">
        <v>0</v>
      </c>
      <c r="R1410" s="6">
        <v>0</v>
      </c>
      <c r="S1410" s="6">
        <v>0</v>
      </c>
    </row>
    <row r="1411" spans="1:19" ht="15" x14ac:dyDescent="0.25">
      <c r="A1411" s="7" t="s">
        <v>16</v>
      </c>
      <c r="B1411" s="7" t="s">
        <v>60</v>
      </c>
      <c r="C1411" s="7" t="s">
        <v>18</v>
      </c>
      <c r="D1411" s="3">
        <v>25841000153</v>
      </c>
      <c r="E1411" s="8" t="s">
        <v>467</v>
      </c>
      <c r="F1411" s="8" t="s">
        <v>225</v>
      </c>
      <c r="G1411" s="8" t="s">
        <v>226</v>
      </c>
      <c r="H1411" s="8" t="s">
        <v>795</v>
      </c>
      <c r="I1411" s="3">
        <v>2</v>
      </c>
      <c r="J1411" s="8" t="s">
        <v>742</v>
      </c>
      <c r="K1411" s="8" t="s">
        <v>743</v>
      </c>
      <c r="L1411" s="8" t="s">
        <v>723</v>
      </c>
      <c r="M1411" s="1" t="s">
        <v>790</v>
      </c>
      <c r="N1411" s="8" t="s">
        <v>791</v>
      </c>
      <c r="O1411" s="6">
        <v>0</v>
      </c>
      <c r="P1411" s="6">
        <v>0</v>
      </c>
      <c r="Q1411" s="6">
        <v>4</v>
      </c>
      <c r="R1411" s="6">
        <v>0</v>
      </c>
      <c r="S1411" s="6">
        <v>0</v>
      </c>
    </row>
    <row r="1412" spans="1:19" ht="15" x14ac:dyDescent="0.25">
      <c r="A1412" s="7" t="s">
        <v>16</v>
      </c>
      <c r="B1412" s="7" t="s">
        <v>60</v>
      </c>
      <c r="C1412" s="7" t="s">
        <v>18</v>
      </c>
      <c r="D1412" s="3">
        <v>61590410001287</v>
      </c>
      <c r="E1412" s="8" t="s">
        <v>580</v>
      </c>
      <c r="F1412" s="8" t="s">
        <v>225</v>
      </c>
      <c r="G1412" s="8" t="s">
        <v>226</v>
      </c>
      <c r="H1412" s="8" t="s">
        <v>795</v>
      </c>
      <c r="I1412" s="3">
        <v>2</v>
      </c>
      <c r="J1412" s="8" t="s">
        <v>780</v>
      </c>
      <c r="K1412" s="8" t="s">
        <v>781</v>
      </c>
      <c r="L1412" s="8" t="s">
        <v>739</v>
      </c>
      <c r="M1412" s="1" t="s">
        <v>790</v>
      </c>
      <c r="N1412" s="8" t="s">
        <v>791</v>
      </c>
      <c r="O1412" s="6">
        <v>0</v>
      </c>
      <c r="P1412" s="6">
        <v>0</v>
      </c>
      <c r="Q1412" s="6">
        <v>0</v>
      </c>
      <c r="R1412" s="6">
        <v>0</v>
      </c>
      <c r="S1412" s="6">
        <v>170</v>
      </c>
    </row>
    <row r="1413" spans="1:19" ht="15" x14ac:dyDescent="0.25">
      <c r="A1413" s="7" t="s">
        <v>16</v>
      </c>
      <c r="B1413" s="7" t="s">
        <v>60</v>
      </c>
      <c r="C1413" s="7" t="s">
        <v>18</v>
      </c>
      <c r="D1413" s="3">
        <v>61590410001287</v>
      </c>
      <c r="E1413" s="8" t="s">
        <v>580</v>
      </c>
      <c r="F1413" s="8" t="s">
        <v>225</v>
      </c>
      <c r="G1413" s="8" t="s">
        <v>226</v>
      </c>
      <c r="H1413" s="8" t="s">
        <v>795</v>
      </c>
      <c r="I1413" s="3">
        <v>2</v>
      </c>
      <c r="J1413" s="8" t="s">
        <v>742</v>
      </c>
      <c r="K1413" s="8" t="s">
        <v>743</v>
      </c>
      <c r="L1413" s="8" t="s">
        <v>723</v>
      </c>
      <c r="M1413" s="1" t="s">
        <v>790</v>
      </c>
      <c r="N1413" s="8" t="s">
        <v>791</v>
      </c>
      <c r="O1413" s="6">
        <v>0</v>
      </c>
      <c r="P1413" s="6">
        <v>0</v>
      </c>
      <c r="Q1413" s="6">
        <v>0</v>
      </c>
      <c r="R1413" s="6">
        <v>0</v>
      </c>
      <c r="S1413" s="6">
        <v>170</v>
      </c>
    </row>
    <row r="1414" spans="1:19" ht="15" x14ac:dyDescent="0.25">
      <c r="A1414" s="7" t="s">
        <v>16</v>
      </c>
      <c r="B1414" s="7" t="s">
        <v>60</v>
      </c>
      <c r="C1414" s="7" t="s">
        <v>18</v>
      </c>
      <c r="D1414" s="3">
        <v>7039651000134</v>
      </c>
      <c r="E1414" s="8" t="s">
        <v>547</v>
      </c>
      <c r="F1414" s="8" t="s">
        <v>548</v>
      </c>
      <c r="G1414" s="8" t="s">
        <v>418</v>
      </c>
      <c r="H1414" s="8" t="s">
        <v>795</v>
      </c>
      <c r="I1414" s="3">
        <v>1</v>
      </c>
      <c r="J1414" s="8" t="s">
        <v>737</v>
      </c>
      <c r="K1414" s="8" t="s">
        <v>738</v>
      </c>
      <c r="L1414" s="8" t="s">
        <v>739</v>
      </c>
      <c r="M1414" s="1" t="s">
        <v>784</v>
      </c>
      <c r="N1414" s="8" t="s">
        <v>785</v>
      </c>
      <c r="O1414" s="6">
        <v>0</v>
      </c>
      <c r="P1414" s="6">
        <v>0</v>
      </c>
      <c r="Q1414" s="6">
        <v>0</v>
      </c>
      <c r="R1414" s="6">
        <v>0</v>
      </c>
      <c r="S1414" s="6">
        <v>25</v>
      </c>
    </row>
    <row r="1415" spans="1:19" ht="15" x14ac:dyDescent="0.25">
      <c r="A1415" s="7" t="s">
        <v>16</v>
      </c>
      <c r="B1415" s="7" t="s">
        <v>60</v>
      </c>
      <c r="C1415" s="7" t="s">
        <v>18</v>
      </c>
      <c r="D1415" s="3">
        <v>27080605000358</v>
      </c>
      <c r="E1415" s="8" t="s">
        <v>620</v>
      </c>
      <c r="F1415" s="8" t="s">
        <v>621</v>
      </c>
      <c r="G1415" s="8" t="s">
        <v>418</v>
      </c>
      <c r="H1415" s="8" t="s">
        <v>795</v>
      </c>
      <c r="I1415" s="3">
        <v>1</v>
      </c>
      <c r="J1415" s="8" t="s">
        <v>737</v>
      </c>
      <c r="K1415" s="8" t="s">
        <v>738</v>
      </c>
      <c r="L1415" s="8" t="s">
        <v>739</v>
      </c>
      <c r="M1415" s="1" t="s">
        <v>784</v>
      </c>
      <c r="N1415" s="8" t="s">
        <v>785</v>
      </c>
      <c r="O1415" s="6">
        <v>0</v>
      </c>
      <c r="P1415" s="6">
        <v>0</v>
      </c>
      <c r="Q1415" s="6">
        <v>0</v>
      </c>
      <c r="R1415" s="6">
        <v>0</v>
      </c>
      <c r="S1415" s="6">
        <v>200</v>
      </c>
    </row>
    <row r="1416" spans="1:19" ht="15" x14ac:dyDescent="0.25">
      <c r="A1416" s="7" t="s">
        <v>16</v>
      </c>
      <c r="B1416" s="7" t="s">
        <v>60</v>
      </c>
      <c r="C1416" s="7" t="s">
        <v>18</v>
      </c>
      <c r="D1416" s="3">
        <v>27578434001525</v>
      </c>
      <c r="E1416" s="8" t="s">
        <v>450</v>
      </c>
      <c r="F1416" s="8" t="s">
        <v>451</v>
      </c>
      <c r="G1416" s="8" t="s">
        <v>418</v>
      </c>
      <c r="H1416" s="8" t="s">
        <v>795</v>
      </c>
      <c r="I1416" s="3">
        <v>1</v>
      </c>
      <c r="J1416" s="8" t="s">
        <v>737</v>
      </c>
      <c r="K1416" s="8" t="s">
        <v>738</v>
      </c>
      <c r="L1416" s="8" t="s">
        <v>739</v>
      </c>
      <c r="M1416" s="1" t="s">
        <v>784</v>
      </c>
      <c r="N1416" s="8" t="s">
        <v>785</v>
      </c>
      <c r="O1416" s="6">
        <v>0</v>
      </c>
      <c r="P1416" s="6">
        <v>0</v>
      </c>
      <c r="Q1416" s="6">
        <v>0</v>
      </c>
      <c r="R1416" s="6">
        <v>0</v>
      </c>
      <c r="S1416" s="6">
        <v>1000</v>
      </c>
    </row>
    <row r="1417" spans="1:19" ht="15" x14ac:dyDescent="0.25">
      <c r="A1417" s="7" t="s">
        <v>16</v>
      </c>
      <c r="B1417" s="7" t="s">
        <v>60</v>
      </c>
      <c r="C1417" s="7" t="s">
        <v>18</v>
      </c>
      <c r="D1417" s="3">
        <v>39387477000107</v>
      </c>
      <c r="E1417" s="8" t="s">
        <v>579</v>
      </c>
      <c r="F1417" s="8" t="s">
        <v>451</v>
      </c>
      <c r="G1417" s="8" t="s">
        <v>418</v>
      </c>
      <c r="H1417" s="8" t="s">
        <v>795</v>
      </c>
      <c r="I1417" s="3">
        <v>1</v>
      </c>
      <c r="J1417" s="8" t="s">
        <v>737</v>
      </c>
      <c r="K1417" s="8" t="s">
        <v>738</v>
      </c>
      <c r="L1417" s="8" t="s">
        <v>739</v>
      </c>
      <c r="M1417" s="1" t="s">
        <v>784</v>
      </c>
      <c r="N1417" s="8" t="s">
        <v>785</v>
      </c>
      <c r="O1417" s="6">
        <v>0</v>
      </c>
      <c r="P1417" s="6">
        <v>0</v>
      </c>
      <c r="Q1417" s="6">
        <v>0</v>
      </c>
      <c r="R1417" s="6">
        <v>0</v>
      </c>
      <c r="S1417" s="6">
        <v>350</v>
      </c>
    </row>
    <row r="1418" spans="1:19" ht="15" x14ac:dyDescent="0.25">
      <c r="A1418" s="7" t="s">
        <v>16</v>
      </c>
      <c r="B1418" s="7" t="s">
        <v>60</v>
      </c>
      <c r="C1418" s="7" t="s">
        <v>18</v>
      </c>
      <c r="D1418" s="3">
        <v>10586940000168</v>
      </c>
      <c r="E1418" s="8" t="s">
        <v>483</v>
      </c>
      <c r="F1418" s="8" t="s">
        <v>451</v>
      </c>
      <c r="G1418" s="8" t="s">
        <v>418</v>
      </c>
      <c r="H1418" s="8" t="s">
        <v>795</v>
      </c>
      <c r="I1418" s="3">
        <v>1</v>
      </c>
      <c r="J1418" s="8" t="s">
        <v>737</v>
      </c>
      <c r="K1418" s="8" t="s">
        <v>738</v>
      </c>
      <c r="L1418" s="8" t="s">
        <v>739</v>
      </c>
      <c r="M1418" s="1" t="s">
        <v>784</v>
      </c>
      <c r="N1418" s="8" t="s">
        <v>785</v>
      </c>
      <c r="O1418" s="6">
        <v>0</v>
      </c>
      <c r="P1418" s="6">
        <v>25</v>
      </c>
      <c r="Q1418" s="6">
        <v>10</v>
      </c>
      <c r="R1418" s="6">
        <v>98</v>
      </c>
      <c r="S1418" s="6">
        <v>1150</v>
      </c>
    </row>
    <row r="1419" spans="1:19" ht="15" x14ac:dyDescent="0.25">
      <c r="A1419" s="7" t="s">
        <v>16</v>
      </c>
      <c r="B1419" s="7" t="s">
        <v>60</v>
      </c>
      <c r="C1419" s="7" t="s">
        <v>18</v>
      </c>
      <c r="D1419" s="3">
        <v>1326206000179</v>
      </c>
      <c r="E1419" s="8" t="s">
        <v>254</v>
      </c>
      <c r="F1419" s="8" t="s">
        <v>255</v>
      </c>
      <c r="G1419" s="8" t="s">
        <v>238</v>
      </c>
      <c r="H1419" s="8" t="s">
        <v>795</v>
      </c>
      <c r="I1419" s="3">
        <v>2</v>
      </c>
      <c r="J1419" s="8" t="s">
        <v>766</v>
      </c>
      <c r="K1419" s="8" t="s">
        <v>767</v>
      </c>
      <c r="L1419" s="8" t="s">
        <v>730</v>
      </c>
      <c r="M1419" s="1" t="s">
        <v>790</v>
      </c>
      <c r="N1419" s="8" t="s">
        <v>791</v>
      </c>
      <c r="O1419" s="6">
        <v>0</v>
      </c>
      <c r="P1419" s="6">
        <v>0</v>
      </c>
      <c r="Q1419" s="6">
        <v>0</v>
      </c>
      <c r="R1419" s="6">
        <v>77</v>
      </c>
      <c r="S1419" s="6">
        <v>0</v>
      </c>
    </row>
    <row r="1420" spans="1:19" ht="15" x14ac:dyDescent="0.25">
      <c r="A1420" s="7" t="s">
        <v>16</v>
      </c>
      <c r="B1420" s="7" t="s">
        <v>60</v>
      </c>
      <c r="C1420" s="7" t="s">
        <v>18</v>
      </c>
      <c r="D1420" s="3">
        <v>1326206000179</v>
      </c>
      <c r="E1420" s="8" t="s">
        <v>254</v>
      </c>
      <c r="F1420" s="8" t="s">
        <v>255</v>
      </c>
      <c r="G1420" s="8" t="s">
        <v>238</v>
      </c>
      <c r="H1420" s="8" t="s">
        <v>795</v>
      </c>
      <c r="I1420" s="3">
        <v>2</v>
      </c>
      <c r="J1420" s="8" t="s">
        <v>742</v>
      </c>
      <c r="K1420" s="8" t="s">
        <v>743</v>
      </c>
      <c r="L1420" s="8" t="s">
        <v>723</v>
      </c>
      <c r="M1420" s="1" t="s">
        <v>790</v>
      </c>
      <c r="N1420" s="8" t="s">
        <v>791</v>
      </c>
      <c r="O1420" s="6">
        <v>0</v>
      </c>
      <c r="P1420" s="6">
        <v>0</v>
      </c>
      <c r="Q1420" s="6">
        <v>0</v>
      </c>
      <c r="R1420" s="6">
        <v>0</v>
      </c>
      <c r="S1420" s="6">
        <v>0</v>
      </c>
    </row>
    <row r="1421" spans="1:19" ht="15" x14ac:dyDescent="0.25">
      <c r="A1421" s="7" t="s">
        <v>16</v>
      </c>
      <c r="B1421" s="7" t="s">
        <v>60</v>
      </c>
      <c r="C1421" s="7" t="s">
        <v>18</v>
      </c>
      <c r="D1421" s="3">
        <v>2476067000394</v>
      </c>
      <c r="E1421" s="8" t="s">
        <v>537</v>
      </c>
      <c r="F1421" s="8" t="s">
        <v>237</v>
      </c>
      <c r="G1421" s="8" t="s">
        <v>238</v>
      </c>
      <c r="H1421" s="8" t="s">
        <v>795</v>
      </c>
      <c r="I1421" s="3">
        <v>2</v>
      </c>
      <c r="J1421" s="8" t="s">
        <v>766</v>
      </c>
      <c r="K1421" s="8" t="s">
        <v>767</v>
      </c>
      <c r="L1421" s="8" t="s">
        <v>730</v>
      </c>
      <c r="M1421" s="1" t="s">
        <v>790</v>
      </c>
      <c r="N1421" s="8" t="s">
        <v>791</v>
      </c>
      <c r="O1421" s="6">
        <v>0</v>
      </c>
      <c r="P1421" s="6">
        <v>0</v>
      </c>
      <c r="Q1421" s="6">
        <v>0</v>
      </c>
      <c r="R1421" s="6">
        <v>0</v>
      </c>
      <c r="S1421" s="6">
        <v>70</v>
      </c>
    </row>
    <row r="1422" spans="1:19" ht="15" x14ac:dyDescent="0.25">
      <c r="A1422" s="7" t="s">
        <v>16</v>
      </c>
      <c r="B1422" s="7" t="s">
        <v>60</v>
      </c>
      <c r="C1422" s="7" t="s">
        <v>18</v>
      </c>
      <c r="D1422" s="3">
        <v>2476067000394</v>
      </c>
      <c r="E1422" s="8" t="s">
        <v>537</v>
      </c>
      <c r="F1422" s="8" t="s">
        <v>237</v>
      </c>
      <c r="G1422" s="8" t="s">
        <v>238</v>
      </c>
      <c r="H1422" s="8" t="s">
        <v>795</v>
      </c>
      <c r="I1422" s="3">
        <v>2</v>
      </c>
      <c r="J1422" s="8" t="s">
        <v>742</v>
      </c>
      <c r="K1422" s="8" t="s">
        <v>743</v>
      </c>
      <c r="L1422" s="8" t="s">
        <v>723</v>
      </c>
      <c r="M1422" s="1" t="s">
        <v>790</v>
      </c>
      <c r="N1422" s="8" t="s">
        <v>791</v>
      </c>
      <c r="O1422" s="6">
        <v>0</v>
      </c>
      <c r="P1422" s="6">
        <v>0</v>
      </c>
      <c r="Q1422" s="6">
        <v>0</v>
      </c>
      <c r="R1422" s="6">
        <v>0</v>
      </c>
      <c r="S1422" s="6">
        <v>70</v>
      </c>
    </row>
    <row r="1423" spans="1:19" ht="15" x14ac:dyDescent="0.25">
      <c r="A1423" s="7" t="s">
        <v>16</v>
      </c>
      <c r="B1423" s="7" t="s">
        <v>60</v>
      </c>
      <c r="C1423" s="7" t="s">
        <v>18</v>
      </c>
      <c r="D1423" s="3">
        <v>418954000119</v>
      </c>
      <c r="E1423" s="8" t="s">
        <v>236</v>
      </c>
      <c r="F1423" s="8" t="s">
        <v>237</v>
      </c>
      <c r="G1423" s="8" t="s">
        <v>238</v>
      </c>
      <c r="H1423" s="8" t="s">
        <v>795</v>
      </c>
      <c r="I1423" s="3">
        <v>2</v>
      </c>
      <c r="J1423" s="8" t="s">
        <v>766</v>
      </c>
      <c r="K1423" s="8" t="s">
        <v>767</v>
      </c>
      <c r="L1423" s="8" t="s">
        <v>730</v>
      </c>
      <c r="M1423" s="1" t="s">
        <v>790</v>
      </c>
      <c r="N1423" s="8" t="s">
        <v>791</v>
      </c>
      <c r="O1423" s="6">
        <v>0</v>
      </c>
      <c r="P1423" s="6">
        <v>0</v>
      </c>
      <c r="Q1423" s="6">
        <v>0</v>
      </c>
      <c r="R1423" s="6">
        <v>0</v>
      </c>
      <c r="S1423" s="6">
        <v>0</v>
      </c>
    </row>
    <row r="1424" spans="1:19" ht="15" x14ac:dyDescent="0.25">
      <c r="A1424" s="7" t="s">
        <v>16</v>
      </c>
      <c r="B1424" s="7" t="s">
        <v>60</v>
      </c>
      <c r="C1424" s="7" t="s">
        <v>18</v>
      </c>
      <c r="D1424" s="3">
        <v>418954000119</v>
      </c>
      <c r="E1424" s="8" t="s">
        <v>236</v>
      </c>
      <c r="F1424" s="8" t="s">
        <v>237</v>
      </c>
      <c r="G1424" s="8" t="s">
        <v>238</v>
      </c>
      <c r="H1424" s="8" t="s">
        <v>795</v>
      </c>
      <c r="I1424" s="3">
        <v>2</v>
      </c>
      <c r="J1424" s="8" t="s">
        <v>742</v>
      </c>
      <c r="K1424" s="8" t="s">
        <v>743</v>
      </c>
      <c r="L1424" s="8" t="s">
        <v>723</v>
      </c>
      <c r="M1424" s="1" t="s">
        <v>790</v>
      </c>
      <c r="N1424" s="8" t="s">
        <v>791</v>
      </c>
      <c r="O1424" s="6">
        <v>0</v>
      </c>
      <c r="P1424" s="6">
        <v>18</v>
      </c>
      <c r="Q1424" s="6">
        <v>0</v>
      </c>
      <c r="R1424" s="6">
        <v>0</v>
      </c>
      <c r="S1424" s="6">
        <v>0</v>
      </c>
    </row>
    <row r="1425" spans="1:19" ht="15" x14ac:dyDescent="0.25">
      <c r="A1425" s="7" t="s">
        <v>16</v>
      </c>
      <c r="B1425" s="7" t="s">
        <v>60</v>
      </c>
      <c r="C1425" s="7" t="s">
        <v>18</v>
      </c>
      <c r="D1425" s="3">
        <v>418954000704</v>
      </c>
      <c r="E1425" s="8" t="s">
        <v>473</v>
      </c>
      <c r="F1425" s="8" t="s">
        <v>237</v>
      </c>
      <c r="G1425" s="8" t="s">
        <v>238</v>
      </c>
      <c r="H1425" s="8" t="s">
        <v>795</v>
      </c>
      <c r="I1425" s="3">
        <v>2</v>
      </c>
      <c r="J1425" s="8" t="s">
        <v>766</v>
      </c>
      <c r="K1425" s="8" t="s">
        <v>767</v>
      </c>
      <c r="L1425" s="8" t="s">
        <v>730</v>
      </c>
      <c r="M1425" s="1" t="s">
        <v>790</v>
      </c>
      <c r="N1425" s="8" t="s">
        <v>791</v>
      </c>
      <c r="O1425" s="6">
        <v>0</v>
      </c>
      <c r="P1425" s="6">
        <v>0</v>
      </c>
      <c r="Q1425" s="6">
        <v>0</v>
      </c>
      <c r="R1425" s="6">
        <v>0</v>
      </c>
      <c r="S1425" s="6">
        <v>0</v>
      </c>
    </row>
    <row r="1426" spans="1:19" ht="15" x14ac:dyDescent="0.25">
      <c r="A1426" s="7" t="s">
        <v>16</v>
      </c>
      <c r="B1426" s="7" t="s">
        <v>60</v>
      </c>
      <c r="C1426" s="7" t="s">
        <v>18</v>
      </c>
      <c r="D1426" s="3">
        <v>418954000704</v>
      </c>
      <c r="E1426" s="8" t="s">
        <v>473</v>
      </c>
      <c r="F1426" s="8" t="s">
        <v>237</v>
      </c>
      <c r="G1426" s="8" t="s">
        <v>238</v>
      </c>
      <c r="H1426" s="8" t="s">
        <v>795</v>
      </c>
      <c r="I1426" s="3">
        <v>2</v>
      </c>
      <c r="J1426" s="8" t="s">
        <v>742</v>
      </c>
      <c r="K1426" s="8" t="s">
        <v>743</v>
      </c>
      <c r="L1426" s="8" t="s">
        <v>723</v>
      </c>
      <c r="M1426" s="1" t="s">
        <v>790</v>
      </c>
      <c r="N1426" s="8" t="s">
        <v>791</v>
      </c>
      <c r="O1426" s="6">
        <v>0</v>
      </c>
      <c r="P1426" s="6">
        <v>20</v>
      </c>
      <c r="Q1426" s="6">
        <v>0</v>
      </c>
      <c r="R1426" s="6">
        <v>0</v>
      </c>
      <c r="S1426" s="6">
        <v>0</v>
      </c>
    </row>
    <row r="1427" spans="1:19" ht="15" x14ac:dyDescent="0.25">
      <c r="A1427" s="7" t="s">
        <v>16</v>
      </c>
      <c r="B1427" s="7" t="s">
        <v>60</v>
      </c>
      <c r="C1427" s="7" t="s">
        <v>18</v>
      </c>
      <c r="D1427" s="3">
        <v>6337035000105</v>
      </c>
      <c r="E1427" s="8" t="s">
        <v>639</v>
      </c>
      <c r="F1427" s="8" t="s">
        <v>237</v>
      </c>
      <c r="G1427" s="8" t="s">
        <v>238</v>
      </c>
      <c r="H1427" s="8" t="s">
        <v>795</v>
      </c>
      <c r="I1427" s="3">
        <v>2</v>
      </c>
      <c r="J1427" s="8" t="s">
        <v>766</v>
      </c>
      <c r="K1427" s="8" t="s">
        <v>767</v>
      </c>
      <c r="L1427" s="8" t="s">
        <v>730</v>
      </c>
      <c r="M1427" s="1" t="s">
        <v>790</v>
      </c>
      <c r="N1427" s="8" t="s">
        <v>791</v>
      </c>
      <c r="O1427" s="6">
        <v>0</v>
      </c>
      <c r="P1427" s="6">
        <v>0</v>
      </c>
      <c r="Q1427" s="6">
        <v>0</v>
      </c>
      <c r="R1427" s="6">
        <v>0</v>
      </c>
      <c r="S1427" s="6">
        <v>25</v>
      </c>
    </row>
    <row r="1428" spans="1:19" ht="15" x14ac:dyDescent="0.25">
      <c r="A1428" s="7" t="s">
        <v>16</v>
      </c>
      <c r="B1428" s="7" t="s">
        <v>60</v>
      </c>
      <c r="C1428" s="7" t="s">
        <v>18</v>
      </c>
      <c r="D1428" s="3">
        <v>6337035000105</v>
      </c>
      <c r="E1428" s="8" t="s">
        <v>639</v>
      </c>
      <c r="F1428" s="8" t="s">
        <v>237</v>
      </c>
      <c r="G1428" s="8" t="s">
        <v>238</v>
      </c>
      <c r="H1428" s="8" t="s">
        <v>795</v>
      </c>
      <c r="I1428" s="3">
        <v>2</v>
      </c>
      <c r="J1428" s="8" t="s">
        <v>742</v>
      </c>
      <c r="K1428" s="8" t="s">
        <v>743</v>
      </c>
      <c r="L1428" s="8" t="s">
        <v>723</v>
      </c>
      <c r="M1428" s="1" t="s">
        <v>790</v>
      </c>
      <c r="N1428" s="8" t="s">
        <v>791</v>
      </c>
      <c r="O1428" s="6">
        <v>0</v>
      </c>
      <c r="P1428" s="6">
        <v>0</v>
      </c>
      <c r="Q1428" s="6">
        <v>0</v>
      </c>
      <c r="R1428" s="6">
        <v>0</v>
      </c>
      <c r="S1428" s="6">
        <v>25</v>
      </c>
    </row>
    <row r="1429" spans="1:19" ht="15" x14ac:dyDescent="0.25">
      <c r="A1429" s="7" t="s">
        <v>16</v>
      </c>
      <c r="B1429" s="7" t="s">
        <v>60</v>
      </c>
      <c r="C1429" s="7" t="s">
        <v>18</v>
      </c>
      <c r="D1429" s="3">
        <v>5919720000179</v>
      </c>
      <c r="E1429" s="8" t="s">
        <v>638</v>
      </c>
      <c r="F1429" s="8" t="s">
        <v>237</v>
      </c>
      <c r="G1429" s="8" t="s">
        <v>238</v>
      </c>
      <c r="H1429" s="8" t="s">
        <v>795</v>
      </c>
      <c r="I1429" s="3">
        <v>2</v>
      </c>
      <c r="J1429" s="8" t="s">
        <v>766</v>
      </c>
      <c r="K1429" s="8" t="s">
        <v>767</v>
      </c>
      <c r="L1429" s="8" t="s">
        <v>730</v>
      </c>
      <c r="M1429" s="1" t="s">
        <v>790</v>
      </c>
      <c r="N1429" s="8" t="s">
        <v>791</v>
      </c>
      <c r="O1429" s="6">
        <v>0</v>
      </c>
      <c r="P1429" s="6">
        <v>0</v>
      </c>
      <c r="Q1429" s="6">
        <v>0</v>
      </c>
      <c r="R1429" s="6">
        <v>0</v>
      </c>
      <c r="S1429" s="6">
        <v>25</v>
      </c>
    </row>
    <row r="1430" spans="1:19" ht="15" x14ac:dyDescent="0.25">
      <c r="A1430" s="7" t="s">
        <v>16</v>
      </c>
      <c r="B1430" s="7" t="s">
        <v>60</v>
      </c>
      <c r="C1430" s="7" t="s">
        <v>18</v>
      </c>
      <c r="D1430" s="3">
        <v>5919720000179</v>
      </c>
      <c r="E1430" s="8" t="s">
        <v>638</v>
      </c>
      <c r="F1430" s="8" t="s">
        <v>237</v>
      </c>
      <c r="G1430" s="8" t="s">
        <v>238</v>
      </c>
      <c r="H1430" s="8" t="s">
        <v>795</v>
      </c>
      <c r="I1430" s="3">
        <v>2</v>
      </c>
      <c r="J1430" s="8" t="s">
        <v>742</v>
      </c>
      <c r="K1430" s="8" t="s">
        <v>743</v>
      </c>
      <c r="L1430" s="8" t="s">
        <v>723</v>
      </c>
      <c r="M1430" s="1" t="s">
        <v>790</v>
      </c>
      <c r="N1430" s="8" t="s">
        <v>791</v>
      </c>
      <c r="O1430" s="6">
        <v>0</v>
      </c>
      <c r="P1430" s="6">
        <v>0</v>
      </c>
      <c r="Q1430" s="6">
        <v>0</v>
      </c>
      <c r="R1430" s="6">
        <v>0</v>
      </c>
      <c r="S1430" s="6">
        <v>25</v>
      </c>
    </row>
    <row r="1431" spans="1:19" ht="15" x14ac:dyDescent="0.25">
      <c r="A1431" s="7" t="s">
        <v>16</v>
      </c>
      <c r="B1431" s="7" t="s">
        <v>60</v>
      </c>
      <c r="C1431" s="7" t="s">
        <v>18</v>
      </c>
      <c r="D1431" s="3">
        <v>1656123000148</v>
      </c>
      <c r="E1431" s="8" t="s">
        <v>634</v>
      </c>
      <c r="F1431" s="8" t="s">
        <v>237</v>
      </c>
      <c r="G1431" s="8" t="s">
        <v>238</v>
      </c>
      <c r="H1431" s="8" t="s">
        <v>795</v>
      </c>
      <c r="I1431" s="3">
        <v>2</v>
      </c>
      <c r="J1431" s="8" t="s">
        <v>766</v>
      </c>
      <c r="K1431" s="8" t="s">
        <v>767</v>
      </c>
      <c r="L1431" s="8" t="s">
        <v>730</v>
      </c>
      <c r="M1431" s="1" t="s">
        <v>790</v>
      </c>
      <c r="N1431" s="8" t="s">
        <v>791</v>
      </c>
      <c r="O1431" s="6">
        <v>0</v>
      </c>
      <c r="P1431" s="6">
        <v>0</v>
      </c>
      <c r="Q1431" s="6">
        <v>0</v>
      </c>
      <c r="R1431" s="6">
        <v>0</v>
      </c>
      <c r="S1431" s="6">
        <v>90</v>
      </c>
    </row>
    <row r="1432" spans="1:19" ht="15" x14ac:dyDescent="0.25">
      <c r="A1432" s="7" t="s">
        <v>16</v>
      </c>
      <c r="B1432" s="7" t="s">
        <v>60</v>
      </c>
      <c r="C1432" s="7" t="s">
        <v>18</v>
      </c>
      <c r="D1432" s="3">
        <v>1656123000148</v>
      </c>
      <c r="E1432" s="8" t="s">
        <v>634</v>
      </c>
      <c r="F1432" s="8" t="s">
        <v>237</v>
      </c>
      <c r="G1432" s="8" t="s">
        <v>238</v>
      </c>
      <c r="H1432" s="8" t="s">
        <v>795</v>
      </c>
      <c r="I1432" s="3">
        <v>2</v>
      </c>
      <c r="J1432" s="8" t="s">
        <v>742</v>
      </c>
      <c r="K1432" s="8" t="s">
        <v>743</v>
      </c>
      <c r="L1432" s="8" t="s">
        <v>723</v>
      </c>
      <c r="M1432" s="1" t="s">
        <v>790</v>
      </c>
      <c r="N1432" s="8" t="s">
        <v>791</v>
      </c>
      <c r="O1432" s="6">
        <v>0</v>
      </c>
      <c r="P1432" s="6">
        <v>0</v>
      </c>
      <c r="Q1432" s="6">
        <v>0</v>
      </c>
      <c r="R1432" s="6">
        <v>0</v>
      </c>
      <c r="S1432" s="6">
        <v>90</v>
      </c>
    </row>
    <row r="1433" spans="1:19" ht="15" x14ac:dyDescent="0.25">
      <c r="A1433" s="7" t="s">
        <v>16</v>
      </c>
      <c r="B1433" s="7" t="s">
        <v>60</v>
      </c>
      <c r="C1433" s="7" t="s">
        <v>18</v>
      </c>
      <c r="D1433" s="3">
        <v>1277573000120</v>
      </c>
      <c r="E1433" s="8" t="s">
        <v>474</v>
      </c>
      <c r="F1433" s="8" t="s">
        <v>237</v>
      </c>
      <c r="G1433" s="8" t="s">
        <v>238</v>
      </c>
      <c r="H1433" s="8" t="s">
        <v>795</v>
      </c>
      <c r="I1433" s="3">
        <v>2</v>
      </c>
      <c r="J1433" s="8" t="s">
        <v>766</v>
      </c>
      <c r="K1433" s="8" t="s">
        <v>767</v>
      </c>
      <c r="L1433" s="8" t="s">
        <v>730</v>
      </c>
      <c r="M1433" s="1" t="s">
        <v>790</v>
      </c>
      <c r="N1433" s="8" t="s">
        <v>791</v>
      </c>
      <c r="O1433" s="6">
        <v>0</v>
      </c>
      <c r="P1433" s="6">
        <v>0</v>
      </c>
      <c r="Q1433" s="6">
        <v>0</v>
      </c>
      <c r="R1433" s="6">
        <v>0</v>
      </c>
      <c r="S1433" s="6">
        <v>0</v>
      </c>
    </row>
    <row r="1434" spans="1:19" ht="15" x14ac:dyDescent="0.25">
      <c r="A1434" s="7" t="s">
        <v>16</v>
      </c>
      <c r="B1434" s="7" t="s">
        <v>60</v>
      </c>
      <c r="C1434" s="7" t="s">
        <v>18</v>
      </c>
      <c r="D1434" s="3">
        <v>1277573000120</v>
      </c>
      <c r="E1434" s="8" t="s">
        <v>474</v>
      </c>
      <c r="F1434" s="8" t="s">
        <v>237</v>
      </c>
      <c r="G1434" s="8" t="s">
        <v>238</v>
      </c>
      <c r="H1434" s="8" t="s">
        <v>795</v>
      </c>
      <c r="I1434" s="3">
        <v>2</v>
      </c>
      <c r="J1434" s="8" t="s">
        <v>742</v>
      </c>
      <c r="K1434" s="8" t="s">
        <v>743</v>
      </c>
      <c r="L1434" s="8" t="s">
        <v>723</v>
      </c>
      <c r="M1434" s="1" t="s">
        <v>790</v>
      </c>
      <c r="N1434" s="8" t="s">
        <v>791</v>
      </c>
      <c r="O1434" s="6">
        <v>0</v>
      </c>
      <c r="P1434" s="6">
        <v>3</v>
      </c>
      <c r="Q1434" s="6">
        <v>0</v>
      </c>
      <c r="R1434" s="6">
        <v>0</v>
      </c>
      <c r="S1434" s="6">
        <v>0</v>
      </c>
    </row>
    <row r="1435" spans="1:19" ht="15" x14ac:dyDescent="0.25">
      <c r="A1435" s="7" t="s">
        <v>16</v>
      </c>
      <c r="B1435" s="7" t="s">
        <v>60</v>
      </c>
      <c r="C1435" s="7" t="s">
        <v>18</v>
      </c>
      <c r="D1435" s="3">
        <v>1011865000116</v>
      </c>
      <c r="E1435" s="8" t="s">
        <v>528</v>
      </c>
      <c r="F1435" s="8" t="s">
        <v>237</v>
      </c>
      <c r="G1435" s="8" t="s">
        <v>238</v>
      </c>
      <c r="H1435" s="8" t="s">
        <v>795</v>
      </c>
      <c r="I1435" s="3">
        <v>2</v>
      </c>
      <c r="J1435" s="8" t="s">
        <v>766</v>
      </c>
      <c r="K1435" s="8" t="s">
        <v>767</v>
      </c>
      <c r="L1435" s="8" t="s">
        <v>730</v>
      </c>
      <c r="M1435" s="1" t="s">
        <v>790</v>
      </c>
      <c r="N1435" s="8" t="s">
        <v>791</v>
      </c>
      <c r="O1435" s="6">
        <v>0</v>
      </c>
      <c r="P1435" s="6">
        <v>0</v>
      </c>
      <c r="Q1435" s="6">
        <v>0</v>
      </c>
      <c r="R1435" s="6">
        <v>0</v>
      </c>
      <c r="S1435" s="6">
        <v>250</v>
      </c>
    </row>
    <row r="1436" spans="1:19" ht="15" x14ac:dyDescent="0.25">
      <c r="A1436" s="7" t="s">
        <v>16</v>
      </c>
      <c r="B1436" s="7" t="s">
        <v>60</v>
      </c>
      <c r="C1436" s="7" t="s">
        <v>18</v>
      </c>
      <c r="D1436" s="3">
        <v>1011865000116</v>
      </c>
      <c r="E1436" s="8" t="s">
        <v>528</v>
      </c>
      <c r="F1436" s="8" t="s">
        <v>237</v>
      </c>
      <c r="G1436" s="8" t="s">
        <v>238</v>
      </c>
      <c r="H1436" s="8" t="s">
        <v>795</v>
      </c>
      <c r="I1436" s="3">
        <v>2</v>
      </c>
      <c r="J1436" s="8" t="s">
        <v>742</v>
      </c>
      <c r="K1436" s="8" t="s">
        <v>743</v>
      </c>
      <c r="L1436" s="8" t="s">
        <v>723</v>
      </c>
      <c r="M1436" s="1" t="s">
        <v>790</v>
      </c>
      <c r="N1436" s="8" t="s">
        <v>791</v>
      </c>
      <c r="O1436" s="6">
        <v>0</v>
      </c>
      <c r="P1436" s="6">
        <v>0</v>
      </c>
      <c r="Q1436" s="6">
        <v>0</v>
      </c>
      <c r="R1436" s="6">
        <v>0</v>
      </c>
      <c r="S1436" s="6">
        <v>250</v>
      </c>
    </row>
    <row r="1437" spans="1:19" ht="15" x14ac:dyDescent="0.25">
      <c r="A1437" s="7" t="s">
        <v>16</v>
      </c>
      <c r="B1437" s="7" t="s">
        <v>60</v>
      </c>
      <c r="C1437" s="7" t="s">
        <v>18</v>
      </c>
      <c r="D1437" s="3">
        <v>1570589000126</v>
      </c>
      <c r="E1437" s="8" t="s">
        <v>633</v>
      </c>
      <c r="F1437" s="8" t="s">
        <v>237</v>
      </c>
      <c r="G1437" s="8" t="s">
        <v>238</v>
      </c>
      <c r="H1437" s="8" t="s">
        <v>795</v>
      </c>
      <c r="I1437" s="3">
        <v>2</v>
      </c>
      <c r="J1437" s="8" t="s">
        <v>766</v>
      </c>
      <c r="K1437" s="8" t="s">
        <v>767</v>
      </c>
      <c r="L1437" s="8" t="s">
        <v>730</v>
      </c>
      <c r="M1437" s="1" t="s">
        <v>790</v>
      </c>
      <c r="N1437" s="8" t="s">
        <v>791</v>
      </c>
      <c r="O1437" s="6">
        <v>0</v>
      </c>
      <c r="P1437" s="6">
        <v>0</v>
      </c>
      <c r="Q1437" s="6">
        <v>0</v>
      </c>
      <c r="R1437" s="6">
        <v>0</v>
      </c>
      <c r="S1437" s="6">
        <v>190</v>
      </c>
    </row>
    <row r="1438" spans="1:19" ht="15" x14ac:dyDescent="0.25">
      <c r="A1438" s="7" t="s">
        <v>16</v>
      </c>
      <c r="B1438" s="7" t="s">
        <v>60</v>
      </c>
      <c r="C1438" s="7" t="s">
        <v>18</v>
      </c>
      <c r="D1438" s="3">
        <v>1570589000126</v>
      </c>
      <c r="E1438" s="8" t="s">
        <v>633</v>
      </c>
      <c r="F1438" s="8" t="s">
        <v>237</v>
      </c>
      <c r="G1438" s="8" t="s">
        <v>238</v>
      </c>
      <c r="H1438" s="8" t="s">
        <v>795</v>
      </c>
      <c r="I1438" s="3">
        <v>2</v>
      </c>
      <c r="J1438" s="8" t="s">
        <v>742</v>
      </c>
      <c r="K1438" s="8" t="s">
        <v>743</v>
      </c>
      <c r="L1438" s="8" t="s">
        <v>723</v>
      </c>
      <c r="M1438" s="1" t="s">
        <v>790</v>
      </c>
      <c r="N1438" s="8" t="s">
        <v>791</v>
      </c>
      <c r="O1438" s="6">
        <v>0</v>
      </c>
      <c r="P1438" s="6">
        <v>0</v>
      </c>
      <c r="Q1438" s="6">
        <v>0</v>
      </c>
      <c r="R1438" s="6">
        <v>0</v>
      </c>
      <c r="S1438" s="6">
        <v>190</v>
      </c>
    </row>
    <row r="1439" spans="1:19" ht="15" x14ac:dyDescent="0.25">
      <c r="A1439" s="7" t="s">
        <v>16</v>
      </c>
      <c r="B1439" s="7" t="s">
        <v>60</v>
      </c>
      <c r="C1439" s="7" t="s">
        <v>18</v>
      </c>
      <c r="D1439" s="3">
        <v>2476067000203</v>
      </c>
      <c r="E1439" s="8" t="s">
        <v>269</v>
      </c>
      <c r="F1439" s="8" t="s">
        <v>237</v>
      </c>
      <c r="G1439" s="8" t="s">
        <v>238</v>
      </c>
      <c r="H1439" s="8" t="s">
        <v>795</v>
      </c>
      <c r="I1439" s="3">
        <v>2</v>
      </c>
      <c r="J1439" s="8" t="s">
        <v>766</v>
      </c>
      <c r="K1439" s="8" t="s">
        <v>767</v>
      </c>
      <c r="L1439" s="8" t="s">
        <v>730</v>
      </c>
      <c r="M1439" s="1" t="s">
        <v>790</v>
      </c>
      <c r="N1439" s="8" t="s">
        <v>791</v>
      </c>
      <c r="O1439" s="6">
        <v>0</v>
      </c>
      <c r="P1439" s="6">
        <v>0</v>
      </c>
      <c r="Q1439" s="6">
        <v>0</v>
      </c>
      <c r="R1439" s="6">
        <v>20</v>
      </c>
      <c r="S1439" s="6">
        <v>0</v>
      </c>
    </row>
    <row r="1440" spans="1:19" ht="15" x14ac:dyDescent="0.25">
      <c r="A1440" s="7" t="s">
        <v>16</v>
      </c>
      <c r="B1440" s="7" t="s">
        <v>60</v>
      </c>
      <c r="C1440" s="7" t="s">
        <v>18</v>
      </c>
      <c r="D1440" s="3">
        <v>2476067000203</v>
      </c>
      <c r="E1440" s="8" t="s">
        <v>269</v>
      </c>
      <c r="F1440" s="8" t="s">
        <v>237</v>
      </c>
      <c r="G1440" s="8" t="s">
        <v>238</v>
      </c>
      <c r="H1440" s="8" t="s">
        <v>795</v>
      </c>
      <c r="I1440" s="3">
        <v>2</v>
      </c>
      <c r="J1440" s="8" t="s">
        <v>742</v>
      </c>
      <c r="K1440" s="8" t="s">
        <v>743</v>
      </c>
      <c r="L1440" s="8" t="s">
        <v>723</v>
      </c>
      <c r="M1440" s="1" t="s">
        <v>790</v>
      </c>
      <c r="N1440" s="8" t="s">
        <v>791</v>
      </c>
      <c r="O1440" s="6">
        <v>0</v>
      </c>
      <c r="P1440" s="6">
        <v>0</v>
      </c>
      <c r="Q1440" s="6">
        <v>0</v>
      </c>
      <c r="R1440" s="6">
        <v>0</v>
      </c>
      <c r="S1440" s="6">
        <v>0</v>
      </c>
    </row>
    <row r="1441" spans="1:19" ht="15" x14ac:dyDescent="0.25">
      <c r="A1441" s="7" t="s">
        <v>16</v>
      </c>
      <c r="B1441" s="7" t="s">
        <v>60</v>
      </c>
      <c r="C1441" s="7" t="s">
        <v>18</v>
      </c>
      <c r="D1441" s="3">
        <v>2476067000122</v>
      </c>
      <c r="E1441" s="8" t="s">
        <v>536</v>
      </c>
      <c r="F1441" s="8" t="s">
        <v>237</v>
      </c>
      <c r="G1441" s="8" t="s">
        <v>238</v>
      </c>
      <c r="H1441" s="8" t="s">
        <v>795</v>
      </c>
      <c r="I1441" s="3">
        <v>2</v>
      </c>
      <c r="J1441" s="8" t="s">
        <v>766</v>
      </c>
      <c r="K1441" s="8" t="s">
        <v>767</v>
      </c>
      <c r="L1441" s="8" t="s">
        <v>730</v>
      </c>
      <c r="M1441" s="1" t="s">
        <v>790</v>
      </c>
      <c r="N1441" s="8" t="s">
        <v>791</v>
      </c>
      <c r="O1441" s="6">
        <v>0</v>
      </c>
      <c r="P1441" s="6">
        <v>0</v>
      </c>
      <c r="Q1441" s="6">
        <v>0</v>
      </c>
      <c r="R1441" s="6">
        <v>0</v>
      </c>
      <c r="S1441" s="6">
        <v>-15</v>
      </c>
    </row>
    <row r="1442" spans="1:19" ht="15" x14ac:dyDescent="0.25">
      <c r="A1442" s="7" t="s">
        <v>16</v>
      </c>
      <c r="B1442" s="7" t="s">
        <v>60</v>
      </c>
      <c r="C1442" s="7" t="s">
        <v>18</v>
      </c>
      <c r="D1442" s="3">
        <v>2476067000122</v>
      </c>
      <c r="E1442" s="8" t="s">
        <v>536</v>
      </c>
      <c r="F1442" s="8" t="s">
        <v>237</v>
      </c>
      <c r="G1442" s="8" t="s">
        <v>238</v>
      </c>
      <c r="H1442" s="8" t="s">
        <v>795</v>
      </c>
      <c r="I1442" s="3">
        <v>2</v>
      </c>
      <c r="J1442" s="8" t="s">
        <v>742</v>
      </c>
      <c r="K1442" s="8" t="s">
        <v>743</v>
      </c>
      <c r="L1442" s="8" t="s">
        <v>723</v>
      </c>
      <c r="M1442" s="1" t="s">
        <v>790</v>
      </c>
      <c r="N1442" s="8" t="s">
        <v>791</v>
      </c>
      <c r="O1442" s="6">
        <v>0</v>
      </c>
      <c r="P1442" s="6">
        <v>0</v>
      </c>
      <c r="Q1442" s="6">
        <v>0</v>
      </c>
      <c r="R1442" s="6">
        <v>0</v>
      </c>
      <c r="S1442" s="6">
        <v>-15</v>
      </c>
    </row>
    <row r="1443" spans="1:19" ht="15" x14ac:dyDescent="0.25">
      <c r="A1443" s="7" t="s">
        <v>16</v>
      </c>
      <c r="B1443" s="7" t="s">
        <v>60</v>
      </c>
      <c r="C1443" s="7" t="s">
        <v>18</v>
      </c>
      <c r="D1443" s="3">
        <v>33000167002155</v>
      </c>
      <c r="E1443" s="8" t="s">
        <v>625</v>
      </c>
      <c r="F1443" s="8" t="s">
        <v>626</v>
      </c>
      <c r="G1443" s="8" t="s">
        <v>238</v>
      </c>
      <c r="H1443" s="8" t="s">
        <v>795</v>
      </c>
      <c r="I1443" s="3">
        <v>2</v>
      </c>
      <c r="J1443" s="8" t="s">
        <v>766</v>
      </c>
      <c r="K1443" s="8" t="s">
        <v>767</v>
      </c>
      <c r="L1443" s="8" t="s">
        <v>730</v>
      </c>
      <c r="M1443" s="1" t="s">
        <v>790</v>
      </c>
      <c r="N1443" s="8" t="s">
        <v>791</v>
      </c>
      <c r="O1443" s="6">
        <v>0</v>
      </c>
      <c r="P1443" s="6">
        <v>0</v>
      </c>
      <c r="Q1443" s="6">
        <v>0</v>
      </c>
      <c r="R1443" s="6">
        <v>0</v>
      </c>
      <c r="S1443" s="6">
        <v>25</v>
      </c>
    </row>
    <row r="1444" spans="1:19" ht="15" x14ac:dyDescent="0.25">
      <c r="A1444" s="7" t="s">
        <v>16</v>
      </c>
      <c r="B1444" s="7" t="s">
        <v>60</v>
      </c>
      <c r="C1444" s="7" t="s">
        <v>18</v>
      </c>
      <c r="D1444" s="3">
        <v>33000167002155</v>
      </c>
      <c r="E1444" s="8" t="s">
        <v>625</v>
      </c>
      <c r="F1444" s="8" t="s">
        <v>626</v>
      </c>
      <c r="G1444" s="8" t="s">
        <v>238</v>
      </c>
      <c r="H1444" s="8" t="s">
        <v>795</v>
      </c>
      <c r="I1444" s="3">
        <v>2</v>
      </c>
      <c r="J1444" s="8" t="s">
        <v>742</v>
      </c>
      <c r="K1444" s="8" t="s">
        <v>743</v>
      </c>
      <c r="L1444" s="8" t="s">
        <v>723</v>
      </c>
      <c r="M1444" s="1" t="s">
        <v>790</v>
      </c>
      <c r="N1444" s="8" t="s">
        <v>791</v>
      </c>
      <c r="O1444" s="6">
        <v>0</v>
      </c>
      <c r="P1444" s="6">
        <v>0</v>
      </c>
      <c r="Q1444" s="6">
        <v>0</v>
      </c>
      <c r="R1444" s="6">
        <v>0</v>
      </c>
      <c r="S1444" s="6">
        <v>25</v>
      </c>
    </row>
    <row r="1445" spans="1:19" ht="15" x14ac:dyDescent="0.25">
      <c r="A1445" s="7" t="s">
        <v>16</v>
      </c>
      <c r="B1445" s="7" t="s">
        <v>60</v>
      </c>
      <c r="C1445" s="7" t="s">
        <v>18</v>
      </c>
      <c r="D1445" s="3">
        <v>9192098000109</v>
      </c>
      <c r="E1445" s="8" t="s">
        <v>640</v>
      </c>
      <c r="F1445" s="8" t="s">
        <v>641</v>
      </c>
      <c r="G1445" s="8" t="s">
        <v>268</v>
      </c>
      <c r="H1445" s="8" t="s">
        <v>795</v>
      </c>
      <c r="I1445" s="3">
        <v>2</v>
      </c>
      <c r="J1445" s="8" t="s">
        <v>778</v>
      </c>
      <c r="K1445" s="8" t="s">
        <v>779</v>
      </c>
      <c r="L1445" s="8" t="s">
        <v>730</v>
      </c>
      <c r="M1445" s="1" t="s">
        <v>790</v>
      </c>
      <c r="N1445" s="8" t="s">
        <v>791</v>
      </c>
      <c r="O1445" s="6">
        <v>0</v>
      </c>
      <c r="P1445" s="6">
        <v>0</v>
      </c>
      <c r="Q1445" s="6">
        <v>0</v>
      </c>
      <c r="R1445" s="6">
        <v>0</v>
      </c>
      <c r="S1445" s="6">
        <v>100</v>
      </c>
    </row>
    <row r="1446" spans="1:19" ht="15" x14ac:dyDescent="0.25">
      <c r="A1446" s="7" t="s">
        <v>16</v>
      </c>
      <c r="B1446" s="7" t="s">
        <v>60</v>
      </c>
      <c r="C1446" s="7" t="s">
        <v>18</v>
      </c>
      <c r="D1446" s="3">
        <v>9192098000109</v>
      </c>
      <c r="E1446" s="8" t="s">
        <v>640</v>
      </c>
      <c r="F1446" s="8" t="s">
        <v>641</v>
      </c>
      <c r="G1446" s="8" t="s">
        <v>268</v>
      </c>
      <c r="H1446" s="8" t="s">
        <v>795</v>
      </c>
      <c r="I1446" s="3">
        <v>2</v>
      </c>
      <c r="J1446" s="8" t="s">
        <v>744</v>
      </c>
      <c r="K1446" s="8" t="s">
        <v>745</v>
      </c>
      <c r="L1446" s="8" t="s">
        <v>723</v>
      </c>
      <c r="M1446" s="1" t="s">
        <v>790</v>
      </c>
      <c r="N1446" s="8" t="s">
        <v>791</v>
      </c>
      <c r="O1446" s="6">
        <v>0</v>
      </c>
      <c r="P1446" s="6">
        <v>0</v>
      </c>
      <c r="Q1446" s="6">
        <v>0</v>
      </c>
      <c r="R1446" s="6">
        <v>0</v>
      </c>
      <c r="S1446" s="6">
        <v>100</v>
      </c>
    </row>
    <row r="1447" spans="1:19" ht="15" x14ac:dyDescent="0.25">
      <c r="A1447" s="7" t="s">
        <v>16</v>
      </c>
      <c r="B1447" s="7" t="s">
        <v>60</v>
      </c>
      <c r="C1447" s="7" t="s">
        <v>18</v>
      </c>
      <c r="D1447" s="3">
        <v>15126437000496</v>
      </c>
      <c r="E1447" s="8" t="s">
        <v>328</v>
      </c>
      <c r="F1447" s="8" t="s">
        <v>310</v>
      </c>
      <c r="G1447" s="8" t="s">
        <v>268</v>
      </c>
      <c r="H1447" s="8" t="s">
        <v>795</v>
      </c>
      <c r="I1447" s="3">
        <v>2</v>
      </c>
      <c r="J1447" s="8" t="s">
        <v>778</v>
      </c>
      <c r="K1447" s="8" t="s">
        <v>779</v>
      </c>
      <c r="L1447" s="8" t="s">
        <v>730</v>
      </c>
      <c r="M1447" s="1" t="s">
        <v>790</v>
      </c>
      <c r="N1447" s="8" t="s">
        <v>791</v>
      </c>
      <c r="O1447" s="6">
        <v>0</v>
      </c>
      <c r="P1447" s="6">
        <v>0</v>
      </c>
      <c r="Q1447" s="6">
        <v>0</v>
      </c>
      <c r="R1447" s="6">
        <v>0</v>
      </c>
      <c r="S1447" s="6">
        <v>500</v>
      </c>
    </row>
    <row r="1448" spans="1:19" ht="15" x14ac:dyDescent="0.25">
      <c r="A1448" s="7" t="s">
        <v>16</v>
      </c>
      <c r="B1448" s="7" t="s">
        <v>60</v>
      </c>
      <c r="C1448" s="7" t="s">
        <v>18</v>
      </c>
      <c r="D1448" s="3">
        <v>15126437000496</v>
      </c>
      <c r="E1448" s="8" t="s">
        <v>328</v>
      </c>
      <c r="F1448" s="8" t="s">
        <v>310</v>
      </c>
      <c r="G1448" s="8" t="s">
        <v>268</v>
      </c>
      <c r="H1448" s="8" t="s">
        <v>795</v>
      </c>
      <c r="I1448" s="3">
        <v>2</v>
      </c>
      <c r="J1448" s="8" t="s">
        <v>744</v>
      </c>
      <c r="K1448" s="8" t="s">
        <v>745</v>
      </c>
      <c r="L1448" s="8" t="s">
        <v>723</v>
      </c>
      <c r="M1448" s="1" t="s">
        <v>790</v>
      </c>
      <c r="N1448" s="8" t="s">
        <v>791</v>
      </c>
      <c r="O1448" s="6">
        <v>0</v>
      </c>
      <c r="P1448" s="6">
        <v>0</v>
      </c>
      <c r="Q1448" s="6">
        <v>0</v>
      </c>
      <c r="R1448" s="6">
        <v>0</v>
      </c>
      <c r="S1448" s="6">
        <v>500</v>
      </c>
    </row>
    <row r="1449" spans="1:19" ht="15" x14ac:dyDescent="0.25">
      <c r="A1449" s="7" t="s">
        <v>16</v>
      </c>
      <c r="B1449" s="7" t="s">
        <v>60</v>
      </c>
      <c r="C1449" s="7" t="s">
        <v>18</v>
      </c>
      <c r="D1449" s="3">
        <v>12361267000789</v>
      </c>
      <c r="E1449" s="8" t="s">
        <v>487</v>
      </c>
      <c r="F1449" s="8" t="s">
        <v>310</v>
      </c>
      <c r="G1449" s="8" t="s">
        <v>268</v>
      </c>
      <c r="H1449" s="8" t="s">
        <v>795</v>
      </c>
      <c r="I1449" s="3">
        <v>2</v>
      </c>
      <c r="J1449" s="8" t="s">
        <v>778</v>
      </c>
      <c r="K1449" s="8" t="s">
        <v>779</v>
      </c>
      <c r="L1449" s="8" t="s">
        <v>730</v>
      </c>
      <c r="M1449" s="1" t="s">
        <v>790</v>
      </c>
      <c r="N1449" s="8" t="s">
        <v>791</v>
      </c>
      <c r="O1449" s="6">
        <v>0</v>
      </c>
      <c r="P1449" s="6">
        <v>0</v>
      </c>
      <c r="Q1449" s="6">
        <v>0</v>
      </c>
      <c r="R1449" s="6">
        <v>0</v>
      </c>
      <c r="S1449" s="6">
        <v>0</v>
      </c>
    </row>
    <row r="1450" spans="1:19" ht="15" x14ac:dyDescent="0.25">
      <c r="A1450" s="7" t="s">
        <v>16</v>
      </c>
      <c r="B1450" s="7" t="s">
        <v>60</v>
      </c>
      <c r="C1450" s="7" t="s">
        <v>18</v>
      </c>
      <c r="D1450" s="3">
        <v>12361267000789</v>
      </c>
      <c r="E1450" s="8" t="s">
        <v>487</v>
      </c>
      <c r="F1450" s="8" t="s">
        <v>310</v>
      </c>
      <c r="G1450" s="8" t="s">
        <v>268</v>
      </c>
      <c r="H1450" s="8" t="s">
        <v>795</v>
      </c>
      <c r="I1450" s="3">
        <v>2</v>
      </c>
      <c r="J1450" s="8" t="s">
        <v>744</v>
      </c>
      <c r="K1450" s="8" t="s">
        <v>745</v>
      </c>
      <c r="L1450" s="8" t="s">
        <v>723</v>
      </c>
      <c r="M1450" s="1" t="s">
        <v>790</v>
      </c>
      <c r="N1450" s="8" t="s">
        <v>791</v>
      </c>
      <c r="O1450" s="6">
        <v>0</v>
      </c>
      <c r="P1450" s="6">
        <v>2</v>
      </c>
      <c r="Q1450" s="6">
        <v>0</v>
      </c>
      <c r="R1450" s="6">
        <v>0</v>
      </c>
      <c r="S1450" s="6">
        <v>0</v>
      </c>
    </row>
    <row r="1451" spans="1:19" ht="15" x14ac:dyDescent="0.25">
      <c r="A1451" s="7" t="s">
        <v>16</v>
      </c>
      <c r="B1451" s="7" t="s">
        <v>60</v>
      </c>
      <c r="C1451" s="7" t="s">
        <v>18</v>
      </c>
      <c r="D1451" s="3">
        <v>11006293000130</v>
      </c>
      <c r="E1451" s="8" t="s">
        <v>309</v>
      </c>
      <c r="F1451" s="8" t="s">
        <v>310</v>
      </c>
      <c r="G1451" s="8" t="s">
        <v>268</v>
      </c>
      <c r="H1451" s="8" t="s">
        <v>795</v>
      </c>
      <c r="I1451" s="3">
        <v>2</v>
      </c>
      <c r="J1451" s="8" t="s">
        <v>778</v>
      </c>
      <c r="K1451" s="8" t="s">
        <v>779</v>
      </c>
      <c r="L1451" s="8" t="s">
        <v>730</v>
      </c>
      <c r="M1451" s="1" t="s">
        <v>790</v>
      </c>
      <c r="N1451" s="8" t="s">
        <v>791</v>
      </c>
      <c r="O1451" s="6">
        <v>0</v>
      </c>
      <c r="P1451" s="6">
        <v>0</v>
      </c>
      <c r="Q1451" s="6">
        <v>0</v>
      </c>
      <c r="R1451" s="6">
        <v>0</v>
      </c>
      <c r="S1451" s="6">
        <v>450</v>
      </c>
    </row>
    <row r="1452" spans="1:19" ht="15" x14ac:dyDescent="0.25">
      <c r="A1452" s="7" t="s">
        <v>16</v>
      </c>
      <c r="B1452" s="7" t="s">
        <v>60</v>
      </c>
      <c r="C1452" s="7" t="s">
        <v>18</v>
      </c>
      <c r="D1452" s="3">
        <v>11006293000130</v>
      </c>
      <c r="E1452" s="8" t="s">
        <v>309</v>
      </c>
      <c r="F1452" s="8" t="s">
        <v>310</v>
      </c>
      <c r="G1452" s="8" t="s">
        <v>268</v>
      </c>
      <c r="H1452" s="8" t="s">
        <v>795</v>
      </c>
      <c r="I1452" s="3">
        <v>2</v>
      </c>
      <c r="J1452" s="8" t="s">
        <v>744</v>
      </c>
      <c r="K1452" s="8" t="s">
        <v>745</v>
      </c>
      <c r="L1452" s="8" t="s">
        <v>723</v>
      </c>
      <c r="M1452" s="1" t="s">
        <v>790</v>
      </c>
      <c r="N1452" s="8" t="s">
        <v>791</v>
      </c>
      <c r="O1452" s="6">
        <v>0</v>
      </c>
      <c r="P1452" s="6">
        <v>0</v>
      </c>
      <c r="Q1452" s="6">
        <v>0</v>
      </c>
      <c r="R1452" s="6">
        <v>0</v>
      </c>
      <c r="S1452" s="6">
        <v>450</v>
      </c>
    </row>
    <row r="1453" spans="1:19" ht="15" x14ac:dyDescent="0.25">
      <c r="A1453" s="7" t="s">
        <v>16</v>
      </c>
      <c r="B1453" s="7" t="s">
        <v>60</v>
      </c>
      <c r="C1453" s="7" t="s">
        <v>18</v>
      </c>
      <c r="D1453" s="3">
        <v>20909271000171</v>
      </c>
      <c r="E1453" s="8" t="s">
        <v>443</v>
      </c>
      <c r="F1453" s="8" t="s">
        <v>444</v>
      </c>
      <c r="G1453" s="8" t="s">
        <v>223</v>
      </c>
      <c r="H1453" s="8" t="s">
        <v>795</v>
      </c>
      <c r="I1453" s="3">
        <v>1</v>
      </c>
      <c r="J1453" s="8" t="s">
        <v>737</v>
      </c>
      <c r="K1453" s="8" t="s">
        <v>738</v>
      </c>
      <c r="L1453" s="8" t="s">
        <v>739</v>
      </c>
      <c r="M1453" s="1" t="s">
        <v>784</v>
      </c>
      <c r="N1453" s="8" t="s">
        <v>785</v>
      </c>
      <c r="O1453" s="6">
        <v>0</v>
      </c>
      <c r="P1453" s="6">
        <v>0</v>
      </c>
      <c r="Q1453" s="6">
        <v>0</v>
      </c>
      <c r="R1453" s="6">
        <v>70</v>
      </c>
      <c r="S1453" s="6">
        <v>0</v>
      </c>
    </row>
    <row r="1454" spans="1:19" ht="15" x14ac:dyDescent="0.25">
      <c r="A1454" s="7" t="s">
        <v>16</v>
      </c>
      <c r="B1454" s="7" t="s">
        <v>60</v>
      </c>
      <c r="C1454" s="7" t="s">
        <v>18</v>
      </c>
      <c r="D1454" s="3">
        <v>25910449000460</v>
      </c>
      <c r="E1454" s="8" t="s">
        <v>644</v>
      </c>
      <c r="F1454" s="8" t="s">
        <v>645</v>
      </c>
      <c r="G1454" s="8" t="s">
        <v>223</v>
      </c>
      <c r="H1454" s="8" t="s">
        <v>795</v>
      </c>
      <c r="I1454" s="3">
        <v>1</v>
      </c>
      <c r="J1454" s="8" t="s">
        <v>737</v>
      </c>
      <c r="K1454" s="8" t="s">
        <v>738</v>
      </c>
      <c r="L1454" s="8" t="s">
        <v>739</v>
      </c>
      <c r="M1454" s="1" t="s">
        <v>784</v>
      </c>
      <c r="N1454" s="8" t="s">
        <v>785</v>
      </c>
      <c r="O1454" s="6">
        <v>0</v>
      </c>
      <c r="P1454" s="6">
        <v>0</v>
      </c>
      <c r="Q1454" s="6">
        <v>0</v>
      </c>
      <c r="R1454" s="6">
        <v>0</v>
      </c>
      <c r="S1454" s="6">
        <v>30</v>
      </c>
    </row>
    <row r="1455" spans="1:19" ht="15" x14ac:dyDescent="0.25">
      <c r="A1455" s="7" t="s">
        <v>16</v>
      </c>
      <c r="B1455" s="7" t="s">
        <v>60</v>
      </c>
      <c r="C1455" s="7" t="s">
        <v>18</v>
      </c>
      <c r="D1455" s="3">
        <v>17214149000176</v>
      </c>
      <c r="E1455" s="8" t="s">
        <v>347</v>
      </c>
      <c r="F1455" s="8" t="s">
        <v>235</v>
      </c>
      <c r="G1455" s="8" t="s">
        <v>223</v>
      </c>
      <c r="H1455" s="8" t="s">
        <v>795</v>
      </c>
      <c r="I1455" s="3">
        <v>1</v>
      </c>
      <c r="J1455" s="8" t="s">
        <v>737</v>
      </c>
      <c r="K1455" s="8" t="s">
        <v>738</v>
      </c>
      <c r="L1455" s="8" t="s">
        <v>739</v>
      </c>
      <c r="M1455" s="1" t="s">
        <v>784</v>
      </c>
      <c r="N1455" s="8" t="s">
        <v>785</v>
      </c>
      <c r="O1455" s="6">
        <v>0</v>
      </c>
      <c r="P1455" s="6">
        <v>0</v>
      </c>
      <c r="Q1455" s="6">
        <v>9</v>
      </c>
      <c r="R1455" s="6">
        <v>0</v>
      </c>
      <c r="S1455" s="6">
        <v>0</v>
      </c>
    </row>
    <row r="1456" spans="1:19" ht="15" x14ac:dyDescent="0.25">
      <c r="A1456" s="7" t="s">
        <v>16</v>
      </c>
      <c r="B1456" s="7" t="s">
        <v>60</v>
      </c>
      <c r="C1456" s="7" t="s">
        <v>18</v>
      </c>
      <c r="D1456" s="3">
        <v>410960000120</v>
      </c>
      <c r="E1456" s="8" t="s">
        <v>234</v>
      </c>
      <c r="F1456" s="8" t="s">
        <v>235</v>
      </c>
      <c r="G1456" s="8" t="s">
        <v>223</v>
      </c>
      <c r="H1456" s="8" t="s">
        <v>795</v>
      </c>
      <c r="I1456" s="3">
        <v>1</v>
      </c>
      <c r="J1456" s="8" t="s">
        <v>737</v>
      </c>
      <c r="K1456" s="8" t="s">
        <v>738</v>
      </c>
      <c r="L1456" s="8" t="s">
        <v>739</v>
      </c>
      <c r="M1456" s="1" t="s">
        <v>784</v>
      </c>
      <c r="N1456" s="8" t="s">
        <v>785</v>
      </c>
      <c r="O1456" s="6">
        <v>0</v>
      </c>
      <c r="P1456" s="6">
        <v>0</v>
      </c>
      <c r="Q1456" s="6">
        <v>0</v>
      </c>
      <c r="R1456" s="6">
        <v>46</v>
      </c>
      <c r="S1456" s="6">
        <v>662</v>
      </c>
    </row>
    <row r="1457" spans="1:19" ht="15" x14ac:dyDescent="0.25">
      <c r="A1457" s="7" t="s">
        <v>16</v>
      </c>
      <c r="B1457" s="7" t="s">
        <v>60</v>
      </c>
      <c r="C1457" s="7" t="s">
        <v>18</v>
      </c>
      <c r="D1457" s="3">
        <v>2623693000102</v>
      </c>
      <c r="E1457" s="8" t="s">
        <v>538</v>
      </c>
      <c r="F1457" s="8" t="s">
        <v>235</v>
      </c>
      <c r="G1457" s="8" t="s">
        <v>223</v>
      </c>
      <c r="H1457" s="8" t="s">
        <v>795</v>
      </c>
      <c r="I1457" s="3">
        <v>1</v>
      </c>
      <c r="J1457" s="8" t="s">
        <v>737</v>
      </c>
      <c r="K1457" s="8" t="s">
        <v>738</v>
      </c>
      <c r="L1457" s="8" t="s">
        <v>739</v>
      </c>
      <c r="M1457" s="1" t="s">
        <v>784</v>
      </c>
      <c r="N1457" s="8" t="s">
        <v>785</v>
      </c>
      <c r="O1457" s="6">
        <v>0</v>
      </c>
      <c r="P1457" s="6">
        <v>0</v>
      </c>
      <c r="Q1457" s="6">
        <v>0</v>
      </c>
      <c r="R1457" s="6">
        <v>0</v>
      </c>
      <c r="S1457" s="6">
        <v>20</v>
      </c>
    </row>
    <row r="1458" spans="1:19" ht="15" x14ac:dyDescent="0.25">
      <c r="A1458" s="7" t="s">
        <v>16</v>
      </c>
      <c r="B1458" s="7" t="s">
        <v>60</v>
      </c>
      <c r="C1458" s="7" t="s">
        <v>18</v>
      </c>
      <c r="D1458" s="3">
        <v>19878404000100</v>
      </c>
      <c r="E1458" s="8" t="s">
        <v>351</v>
      </c>
      <c r="F1458" s="8" t="s">
        <v>352</v>
      </c>
      <c r="G1458" s="8" t="s">
        <v>223</v>
      </c>
      <c r="H1458" s="8" t="s">
        <v>795</v>
      </c>
      <c r="I1458" s="3">
        <v>1</v>
      </c>
      <c r="J1458" s="8" t="s">
        <v>737</v>
      </c>
      <c r="K1458" s="8" t="s">
        <v>738</v>
      </c>
      <c r="L1458" s="8" t="s">
        <v>739</v>
      </c>
      <c r="M1458" s="1" t="s">
        <v>784</v>
      </c>
      <c r="N1458" s="8" t="s">
        <v>785</v>
      </c>
      <c r="O1458" s="6">
        <v>0</v>
      </c>
      <c r="P1458" s="6">
        <v>0</v>
      </c>
      <c r="Q1458" s="6">
        <v>0</v>
      </c>
      <c r="R1458" s="6">
        <v>52</v>
      </c>
      <c r="S1458" s="6">
        <v>0</v>
      </c>
    </row>
    <row r="1459" spans="1:19" ht="15" x14ac:dyDescent="0.25">
      <c r="A1459" s="7" t="s">
        <v>16</v>
      </c>
      <c r="B1459" s="7" t="s">
        <v>60</v>
      </c>
      <c r="C1459" s="7" t="s">
        <v>18</v>
      </c>
      <c r="D1459" s="3">
        <v>17689407000928</v>
      </c>
      <c r="E1459" s="8" t="s">
        <v>348</v>
      </c>
      <c r="F1459" s="8" t="s">
        <v>349</v>
      </c>
      <c r="G1459" s="8" t="s">
        <v>223</v>
      </c>
      <c r="H1459" s="8" t="s">
        <v>795</v>
      </c>
      <c r="I1459" s="3">
        <v>1</v>
      </c>
      <c r="J1459" s="8" t="s">
        <v>737</v>
      </c>
      <c r="K1459" s="8" t="s">
        <v>738</v>
      </c>
      <c r="L1459" s="8" t="s">
        <v>739</v>
      </c>
      <c r="M1459" s="1" t="s">
        <v>784</v>
      </c>
      <c r="N1459" s="8" t="s">
        <v>785</v>
      </c>
      <c r="O1459" s="6">
        <v>0</v>
      </c>
      <c r="P1459" s="6">
        <v>0</v>
      </c>
      <c r="Q1459" s="6">
        <v>0</v>
      </c>
      <c r="R1459" s="6">
        <v>6</v>
      </c>
      <c r="S1459" s="6">
        <v>0</v>
      </c>
    </row>
    <row r="1460" spans="1:19" ht="15" x14ac:dyDescent="0.25">
      <c r="A1460" s="7" t="s">
        <v>16</v>
      </c>
      <c r="B1460" s="7" t="s">
        <v>60</v>
      </c>
      <c r="C1460" s="7" t="s">
        <v>18</v>
      </c>
      <c r="D1460" s="3">
        <v>18836965000184</v>
      </c>
      <c r="E1460" s="8" t="s">
        <v>499</v>
      </c>
      <c r="F1460" s="8" t="s">
        <v>500</v>
      </c>
      <c r="G1460" s="8" t="s">
        <v>223</v>
      </c>
      <c r="H1460" s="8" t="s">
        <v>795</v>
      </c>
      <c r="I1460" s="3">
        <v>1</v>
      </c>
      <c r="J1460" s="8" t="s">
        <v>737</v>
      </c>
      <c r="K1460" s="8" t="s">
        <v>738</v>
      </c>
      <c r="L1460" s="8" t="s">
        <v>739</v>
      </c>
      <c r="M1460" s="1" t="s">
        <v>784</v>
      </c>
      <c r="N1460" s="8" t="s">
        <v>785</v>
      </c>
      <c r="O1460" s="6">
        <v>0</v>
      </c>
      <c r="P1460" s="6">
        <v>0</v>
      </c>
      <c r="Q1460" s="6">
        <v>0</v>
      </c>
      <c r="R1460" s="6">
        <v>20</v>
      </c>
      <c r="S1460" s="6">
        <v>0</v>
      </c>
    </row>
    <row r="1461" spans="1:19" ht="15" x14ac:dyDescent="0.25">
      <c r="A1461" s="7" t="s">
        <v>16</v>
      </c>
      <c r="B1461" s="7" t="s">
        <v>60</v>
      </c>
      <c r="C1461" s="7" t="s">
        <v>18</v>
      </c>
      <c r="D1461" s="3">
        <v>25648387000207</v>
      </c>
      <c r="E1461" s="8" t="s">
        <v>573</v>
      </c>
      <c r="F1461" s="8" t="s">
        <v>346</v>
      </c>
      <c r="G1461" s="8" t="s">
        <v>223</v>
      </c>
      <c r="H1461" s="8" t="s">
        <v>795</v>
      </c>
      <c r="I1461" s="3">
        <v>1</v>
      </c>
      <c r="J1461" s="8" t="s">
        <v>737</v>
      </c>
      <c r="K1461" s="8" t="s">
        <v>738</v>
      </c>
      <c r="L1461" s="8" t="s">
        <v>739</v>
      </c>
      <c r="M1461" s="1" t="s">
        <v>784</v>
      </c>
      <c r="N1461" s="8" t="s">
        <v>785</v>
      </c>
      <c r="O1461" s="6">
        <v>0</v>
      </c>
      <c r="P1461" s="6">
        <v>0</v>
      </c>
      <c r="Q1461" s="6">
        <v>0</v>
      </c>
      <c r="R1461" s="6">
        <v>0</v>
      </c>
      <c r="S1461" s="6">
        <v>650</v>
      </c>
    </row>
    <row r="1462" spans="1:19" ht="15" x14ac:dyDescent="0.25">
      <c r="A1462" s="7" t="s">
        <v>16</v>
      </c>
      <c r="B1462" s="7" t="s">
        <v>60</v>
      </c>
      <c r="C1462" s="7" t="s">
        <v>18</v>
      </c>
      <c r="D1462" s="3">
        <v>20150900000122</v>
      </c>
      <c r="E1462" s="8" t="s">
        <v>353</v>
      </c>
      <c r="F1462" s="8" t="s">
        <v>346</v>
      </c>
      <c r="G1462" s="8" t="s">
        <v>223</v>
      </c>
      <c r="H1462" s="8" t="s">
        <v>795</v>
      </c>
      <c r="I1462" s="3">
        <v>1</v>
      </c>
      <c r="J1462" s="8" t="s">
        <v>737</v>
      </c>
      <c r="K1462" s="8" t="s">
        <v>738</v>
      </c>
      <c r="L1462" s="8" t="s">
        <v>739</v>
      </c>
      <c r="M1462" s="1" t="s">
        <v>784</v>
      </c>
      <c r="N1462" s="8" t="s">
        <v>785</v>
      </c>
      <c r="O1462" s="6">
        <v>0</v>
      </c>
      <c r="P1462" s="6">
        <v>0</v>
      </c>
      <c r="Q1462" s="6">
        <v>0</v>
      </c>
      <c r="R1462" s="6">
        <v>18</v>
      </c>
      <c r="S1462" s="6">
        <v>0</v>
      </c>
    </row>
    <row r="1463" spans="1:19" ht="15" x14ac:dyDescent="0.25">
      <c r="A1463" s="7" t="s">
        <v>16</v>
      </c>
      <c r="B1463" s="7" t="s">
        <v>60</v>
      </c>
      <c r="C1463" s="7" t="s">
        <v>18</v>
      </c>
      <c r="D1463" s="3">
        <v>25761040000187</v>
      </c>
      <c r="E1463" s="8" t="s">
        <v>449</v>
      </c>
      <c r="F1463" s="8" t="s">
        <v>346</v>
      </c>
      <c r="G1463" s="8" t="s">
        <v>223</v>
      </c>
      <c r="H1463" s="8" t="s">
        <v>795</v>
      </c>
      <c r="I1463" s="3">
        <v>1</v>
      </c>
      <c r="J1463" s="8" t="s">
        <v>737</v>
      </c>
      <c r="K1463" s="8" t="s">
        <v>738</v>
      </c>
      <c r="L1463" s="8" t="s">
        <v>739</v>
      </c>
      <c r="M1463" s="1" t="s">
        <v>784</v>
      </c>
      <c r="N1463" s="8" t="s">
        <v>785</v>
      </c>
      <c r="O1463" s="6">
        <v>0</v>
      </c>
      <c r="P1463" s="6">
        <v>0</v>
      </c>
      <c r="Q1463" s="6">
        <v>6</v>
      </c>
      <c r="R1463" s="6">
        <v>0</v>
      </c>
      <c r="S1463" s="6">
        <v>0</v>
      </c>
    </row>
    <row r="1464" spans="1:19" ht="15" x14ac:dyDescent="0.25">
      <c r="A1464" s="7" t="s">
        <v>16</v>
      </c>
      <c r="B1464" s="7" t="s">
        <v>60</v>
      </c>
      <c r="C1464" s="7" t="s">
        <v>18</v>
      </c>
      <c r="D1464" s="3">
        <v>17087591000189</v>
      </c>
      <c r="E1464" s="8" t="s">
        <v>345</v>
      </c>
      <c r="F1464" s="8" t="s">
        <v>346</v>
      </c>
      <c r="G1464" s="8" t="s">
        <v>223</v>
      </c>
      <c r="H1464" s="8" t="s">
        <v>795</v>
      </c>
      <c r="I1464" s="3">
        <v>1</v>
      </c>
      <c r="J1464" s="8" t="s">
        <v>737</v>
      </c>
      <c r="K1464" s="8" t="s">
        <v>738</v>
      </c>
      <c r="L1464" s="8" t="s">
        <v>739</v>
      </c>
      <c r="M1464" s="1" t="s">
        <v>784</v>
      </c>
      <c r="N1464" s="8" t="s">
        <v>785</v>
      </c>
      <c r="O1464" s="6">
        <v>0</v>
      </c>
      <c r="P1464" s="6">
        <v>0</v>
      </c>
      <c r="Q1464" s="6">
        <v>2</v>
      </c>
      <c r="R1464" s="6">
        <v>0</v>
      </c>
      <c r="S1464" s="6">
        <v>0</v>
      </c>
    </row>
    <row r="1465" spans="1:19" ht="15" x14ac:dyDescent="0.25">
      <c r="A1465" s="7" t="s">
        <v>16</v>
      </c>
      <c r="B1465" s="7" t="s">
        <v>60</v>
      </c>
      <c r="C1465" s="7" t="s">
        <v>18</v>
      </c>
      <c r="D1465" s="3">
        <v>14408631000159</v>
      </c>
      <c r="E1465" s="8" t="s">
        <v>324</v>
      </c>
      <c r="F1465" s="8" t="s">
        <v>325</v>
      </c>
      <c r="G1465" s="8" t="s">
        <v>223</v>
      </c>
      <c r="H1465" s="8" t="s">
        <v>795</v>
      </c>
      <c r="I1465" s="3">
        <v>1</v>
      </c>
      <c r="J1465" s="8" t="s">
        <v>737</v>
      </c>
      <c r="K1465" s="8" t="s">
        <v>738</v>
      </c>
      <c r="L1465" s="8" t="s">
        <v>739</v>
      </c>
      <c r="M1465" s="1" t="s">
        <v>784</v>
      </c>
      <c r="N1465" s="8" t="s">
        <v>785</v>
      </c>
      <c r="O1465" s="6">
        <v>0</v>
      </c>
      <c r="P1465" s="6">
        <v>0</v>
      </c>
      <c r="Q1465" s="6">
        <v>0</v>
      </c>
      <c r="R1465" s="6">
        <v>8</v>
      </c>
      <c r="S1465" s="6">
        <v>0</v>
      </c>
    </row>
    <row r="1466" spans="1:19" ht="15" x14ac:dyDescent="0.25">
      <c r="A1466" s="7" t="s">
        <v>16</v>
      </c>
      <c r="B1466" s="7" t="s">
        <v>60</v>
      </c>
      <c r="C1466" s="7" t="s">
        <v>18</v>
      </c>
      <c r="D1466" s="3">
        <v>3533726001583</v>
      </c>
      <c r="E1466" s="8" t="s">
        <v>271</v>
      </c>
      <c r="F1466" s="8" t="s">
        <v>261</v>
      </c>
      <c r="G1466" s="8" t="s">
        <v>262</v>
      </c>
      <c r="H1466" s="8" t="s">
        <v>795</v>
      </c>
      <c r="I1466" s="3">
        <v>2</v>
      </c>
      <c r="J1466" s="8" t="s">
        <v>766</v>
      </c>
      <c r="K1466" s="8" t="s">
        <v>767</v>
      </c>
      <c r="L1466" s="8" t="s">
        <v>730</v>
      </c>
      <c r="M1466" s="1" t="s">
        <v>790</v>
      </c>
      <c r="N1466" s="8" t="s">
        <v>791</v>
      </c>
      <c r="O1466" s="6">
        <v>0</v>
      </c>
      <c r="P1466" s="6">
        <v>0</v>
      </c>
      <c r="Q1466" s="6">
        <v>0</v>
      </c>
      <c r="R1466" s="6">
        <v>0</v>
      </c>
      <c r="S1466" s="6">
        <v>105</v>
      </c>
    </row>
    <row r="1467" spans="1:19" ht="15" x14ac:dyDescent="0.25">
      <c r="A1467" s="7" t="s">
        <v>16</v>
      </c>
      <c r="B1467" s="7" t="s">
        <v>60</v>
      </c>
      <c r="C1467" s="7" t="s">
        <v>18</v>
      </c>
      <c r="D1467" s="3">
        <v>3533726001583</v>
      </c>
      <c r="E1467" s="8" t="s">
        <v>271</v>
      </c>
      <c r="F1467" s="8" t="s">
        <v>261</v>
      </c>
      <c r="G1467" s="8" t="s">
        <v>262</v>
      </c>
      <c r="H1467" s="8" t="s">
        <v>795</v>
      </c>
      <c r="I1467" s="3">
        <v>2</v>
      </c>
      <c r="J1467" s="8" t="s">
        <v>742</v>
      </c>
      <c r="K1467" s="8" t="s">
        <v>743</v>
      </c>
      <c r="L1467" s="8" t="s">
        <v>723</v>
      </c>
      <c r="M1467" s="1" t="s">
        <v>790</v>
      </c>
      <c r="N1467" s="8" t="s">
        <v>791</v>
      </c>
      <c r="O1467" s="6">
        <v>0</v>
      </c>
      <c r="P1467" s="6">
        <v>0</v>
      </c>
      <c r="Q1467" s="6">
        <v>0</v>
      </c>
      <c r="R1467" s="6">
        <v>0</v>
      </c>
      <c r="S1467" s="6">
        <v>105</v>
      </c>
    </row>
    <row r="1468" spans="1:19" ht="15" x14ac:dyDescent="0.25">
      <c r="A1468" s="7" t="s">
        <v>16</v>
      </c>
      <c r="B1468" s="7" t="s">
        <v>60</v>
      </c>
      <c r="C1468" s="7" t="s">
        <v>18</v>
      </c>
      <c r="D1468" s="3">
        <v>15126437001204</v>
      </c>
      <c r="E1468" s="8" t="s">
        <v>643</v>
      </c>
      <c r="F1468" s="8" t="s">
        <v>261</v>
      </c>
      <c r="G1468" s="8" t="s">
        <v>262</v>
      </c>
      <c r="H1468" s="8" t="s">
        <v>795</v>
      </c>
      <c r="I1468" s="3">
        <v>2</v>
      </c>
      <c r="J1468" s="8" t="s">
        <v>766</v>
      </c>
      <c r="K1468" s="8" t="s">
        <v>767</v>
      </c>
      <c r="L1468" s="8" t="s">
        <v>730</v>
      </c>
      <c r="M1468" s="1" t="s">
        <v>790</v>
      </c>
      <c r="N1468" s="8" t="s">
        <v>791</v>
      </c>
      <c r="O1468" s="6">
        <v>0</v>
      </c>
      <c r="P1468" s="6">
        <v>0</v>
      </c>
      <c r="Q1468" s="6">
        <v>0</v>
      </c>
      <c r="R1468" s="6">
        <v>0</v>
      </c>
      <c r="S1468" s="6">
        <v>750</v>
      </c>
    </row>
    <row r="1469" spans="1:19" ht="15" x14ac:dyDescent="0.25">
      <c r="A1469" s="7" t="s">
        <v>16</v>
      </c>
      <c r="B1469" s="7" t="s">
        <v>60</v>
      </c>
      <c r="C1469" s="7" t="s">
        <v>18</v>
      </c>
      <c r="D1469" s="3">
        <v>15126437001204</v>
      </c>
      <c r="E1469" s="8" t="s">
        <v>643</v>
      </c>
      <c r="F1469" s="8" t="s">
        <v>261</v>
      </c>
      <c r="G1469" s="8" t="s">
        <v>262</v>
      </c>
      <c r="H1469" s="8" t="s">
        <v>795</v>
      </c>
      <c r="I1469" s="3">
        <v>2</v>
      </c>
      <c r="J1469" s="8" t="s">
        <v>742</v>
      </c>
      <c r="K1469" s="8" t="s">
        <v>743</v>
      </c>
      <c r="L1469" s="8" t="s">
        <v>723</v>
      </c>
      <c r="M1469" s="1" t="s">
        <v>790</v>
      </c>
      <c r="N1469" s="8" t="s">
        <v>791</v>
      </c>
      <c r="O1469" s="6">
        <v>0</v>
      </c>
      <c r="P1469" s="6">
        <v>0</v>
      </c>
      <c r="Q1469" s="6">
        <v>0</v>
      </c>
      <c r="R1469" s="6">
        <v>0</v>
      </c>
      <c r="S1469" s="6">
        <v>750</v>
      </c>
    </row>
    <row r="1470" spans="1:19" ht="15" x14ac:dyDescent="0.25">
      <c r="A1470" s="7" t="s">
        <v>16</v>
      </c>
      <c r="B1470" s="7" t="s">
        <v>60</v>
      </c>
      <c r="C1470" s="7" t="s">
        <v>18</v>
      </c>
      <c r="D1470" s="3">
        <v>3925419000142</v>
      </c>
      <c r="E1470" s="8" t="s">
        <v>272</v>
      </c>
      <c r="F1470" s="8" t="s">
        <v>261</v>
      </c>
      <c r="G1470" s="8" t="s">
        <v>262</v>
      </c>
      <c r="H1470" s="8" t="s">
        <v>795</v>
      </c>
      <c r="I1470" s="3">
        <v>2</v>
      </c>
      <c r="J1470" s="8" t="s">
        <v>766</v>
      </c>
      <c r="K1470" s="8" t="s">
        <v>767</v>
      </c>
      <c r="L1470" s="8" t="s">
        <v>730</v>
      </c>
      <c r="M1470" s="1" t="s">
        <v>790</v>
      </c>
      <c r="N1470" s="8" t="s">
        <v>791</v>
      </c>
      <c r="O1470" s="6">
        <v>0</v>
      </c>
      <c r="P1470" s="6">
        <v>0</v>
      </c>
      <c r="Q1470" s="6">
        <v>0</v>
      </c>
      <c r="R1470" s="6">
        <v>0</v>
      </c>
      <c r="S1470" s="6">
        <v>0</v>
      </c>
    </row>
    <row r="1471" spans="1:19" ht="15" x14ac:dyDescent="0.25">
      <c r="A1471" s="7" t="s">
        <v>16</v>
      </c>
      <c r="B1471" s="7" t="s">
        <v>60</v>
      </c>
      <c r="C1471" s="7" t="s">
        <v>18</v>
      </c>
      <c r="D1471" s="3">
        <v>3925419000142</v>
      </c>
      <c r="E1471" s="8" t="s">
        <v>272</v>
      </c>
      <c r="F1471" s="8" t="s">
        <v>261</v>
      </c>
      <c r="G1471" s="8" t="s">
        <v>262</v>
      </c>
      <c r="H1471" s="8" t="s">
        <v>795</v>
      </c>
      <c r="I1471" s="3">
        <v>2</v>
      </c>
      <c r="J1471" s="8" t="s">
        <v>742</v>
      </c>
      <c r="K1471" s="8" t="s">
        <v>743</v>
      </c>
      <c r="L1471" s="8" t="s">
        <v>723</v>
      </c>
      <c r="M1471" s="1" t="s">
        <v>790</v>
      </c>
      <c r="N1471" s="8" t="s">
        <v>791</v>
      </c>
      <c r="O1471" s="6">
        <v>0</v>
      </c>
      <c r="P1471" s="6">
        <v>4</v>
      </c>
      <c r="Q1471" s="6">
        <v>0</v>
      </c>
      <c r="R1471" s="6">
        <v>0</v>
      </c>
      <c r="S1471" s="6">
        <v>0</v>
      </c>
    </row>
    <row r="1472" spans="1:19" ht="15" x14ac:dyDescent="0.25">
      <c r="A1472" s="7" t="s">
        <v>16</v>
      </c>
      <c r="B1472" s="7" t="s">
        <v>60</v>
      </c>
      <c r="C1472" s="7" t="s">
        <v>18</v>
      </c>
      <c r="D1472" s="3">
        <v>4966545000370</v>
      </c>
      <c r="E1472" s="8" t="s">
        <v>546</v>
      </c>
      <c r="F1472" s="8" t="s">
        <v>219</v>
      </c>
      <c r="G1472" s="8" t="s">
        <v>220</v>
      </c>
      <c r="H1472" s="8" t="s">
        <v>795</v>
      </c>
      <c r="I1472" s="3">
        <v>1</v>
      </c>
      <c r="J1472" s="8" t="s">
        <v>780</v>
      </c>
      <c r="K1472" s="8" t="s">
        <v>781</v>
      </c>
      <c r="L1472" s="8" t="s">
        <v>739</v>
      </c>
      <c r="M1472" s="1" t="s">
        <v>790</v>
      </c>
      <c r="N1472" s="8" t="s">
        <v>791</v>
      </c>
      <c r="O1472" s="6">
        <v>0</v>
      </c>
      <c r="P1472" s="6">
        <v>0</v>
      </c>
      <c r="Q1472" s="6">
        <v>0</v>
      </c>
      <c r="R1472" s="6">
        <v>0</v>
      </c>
      <c r="S1472" s="6">
        <v>40</v>
      </c>
    </row>
    <row r="1473" spans="1:19" ht="15" x14ac:dyDescent="0.25">
      <c r="A1473" s="7" t="s">
        <v>16</v>
      </c>
      <c r="B1473" s="7" t="s">
        <v>60</v>
      </c>
      <c r="C1473" s="7" t="s">
        <v>18</v>
      </c>
      <c r="D1473" s="3">
        <v>83367342000252</v>
      </c>
      <c r="E1473" s="8" t="s">
        <v>590</v>
      </c>
      <c r="F1473" s="8" t="s">
        <v>219</v>
      </c>
      <c r="G1473" s="8" t="s">
        <v>220</v>
      </c>
      <c r="H1473" s="8" t="s">
        <v>795</v>
      </c>
      <c r="I1473" s="3">
        <v>1</v>
      </c>
      <c r="J1473" s="8" t="s">
        <v>780</v>
      </c>
      <c r="K1473" s="8" t="s">
        <v>781</v>
      </c>
      <c r="L1473" s="8" t="s">
        <v>739</v>
      </c>
      <c r="M1473" s="1" t="s">
        <v>790</v>
      </c>
      <c r="N1473" s="8" t="s">
        <v>791</v>
      </c>
      <c r="O1473" s="6">
        <v>0</v>
      </c>
      <c r="P1473" s="6">
        <v>0</v>
      </c>
      <c r="Q1473" s="6">
        <v>0</v>
      </c>
      <c r="R1473" s="6">
        <v>0</v>
      </c>
      <c r="S1473" s="6">
        <v>40</v>
      </c>
    </row>
    <row r="1474" spans="1:19" ht="15" x14ac:dyDescent="0.25">
      <c r="A1474" s="7" t="s">
        <v>16</v>
      </c>
      <c r="B1474" s="7" t="s">
        <v>60</v>
      </c>
      <c r="C1474" s="7" t="s">
        <v>18</v>
      </c>
      <c r="D1474" s="3">
        <v>12361267000274</v>
      </c>
      <c r="E1474" s="8" t="s">
        <v>485</v>
      </c>
      <c r="F1474" s="8" t="s">
        <v>219</v>
      </c>
      <c r="G1474" s="8" t="s">
        <v>220</v>
      </c>
      <c r="H1474" s="8" t="s">
        <v>795</v>
      </c>
      <c r="I1474" s="3">
        <v>1</v>
      </c>
      <c r="J1474" s="8" t="s">
        <v>780</v>
      </c>
      <c r="K1474" s="8" t="s">
        <v>781</v>
      </c>
      <c r="L1474" s="8" t="s">
        <v>739</v>
      </c>
      <c r="M1474" s="1" t="s">
        <v>790</v>
      </c>
      <c r="N1474" s="8" t="s">
        <v>791</v>
      </c>
      <c r="O1474" s="6">
        <v>0</v>
      </c>
      <c r="P1474" s="6">
        <v>4</v>
      </c>
      <c r="Q1474" s="6">
        <v>0</v>
      </c>
      <c r="R1474" s="6">
        <v>0</v>
      </c>
      <c r="S1474" s="6">
        <v>0</v>
      </c>
    </row>
    <row r="1475" spans="1:19" ht="15" x14ac:dyDescent="0.25">
      <c r="A1475" s="7" t="s">
        <v>16</v>
      </c>
      <c r="B1475" s="7" t="s">
        <v>60</v>
      </c>
      <c r="C1475" s="7" t="s">
        <v>18</v>
      </c>
      <c r="D1475" s="3">
        <v>12371009253</v>
      </c>
      <c r="E1475" s="8" t="s">
        <v>218</v>
      </c>
      <c r="F1475" s="8" t="s">
        <v>219</v>
      </c>
      <c r="G1475" s="8" t="s">
        <v>220</v>
      </c>
      <c r="H1475" s="8" t="s">
        <v>795</v>
      </c>
      <c r="I1475" s="3">
        <v>1</v>
      </c>
      <c r="J1475" s="8" t="s">
        <v>780</v>
      </c>
      <c r="K1475" s="8" t="s">
        <v>781</v>
      </c>
      <c r="L1475" s="8" t="s">
        <v>739</v>
      </c>
      <c r="M1475" s="1" t="s">
        <v>790</v>
      </c>
      <c r="N1475" s="8" t="s">
        <v>791</v>
      </c>
      <c r="O1475" s="6">
        <v>0</v>
      </c>
      <c r="P1475" s="6">
        <v>0</v>
      </c>
      <c r="Q1475" s="6">
        <v>0</v>
      </c>
      <c r="R1475" s="6">
        <v>12</v>
      </c>
      <c r="S1475" s="6">
        <v>0</v>
      </c>
    </row>
    <row r="1476" spans="1:19" ht="15" x14ac:dyDescent="0.25">
      <c r="A1476" s="7" t="s">
        <v>16</v>
      </c>
      <c r="B1476" s="7" t="s">
        <v>60</v>
      </c>
      <c r="C1476" s="7" t="s">
        <v>18</v>
      </c>
      <c r="D1476" s="3">
        <v>93326645287</v>
      </c>
      <c r="E1476" s="8" t="s">
        <v>803</v>
      </c>
      <c r="F1476" s="8" t="s">
        <v>219</v>
      </c>
      <c r="G1476" s="8" t="s">
        <v>220</v>
      </c>
      <c r="H1476" s="8" t="s">
        <v>795</v>
      </c>
      <c r="I1476" s="3">
        <v>1</v>
      </c>
      <c r="J1476" s="8" t="s">
        <v>780</v>
      </c>
      <c r="K1476" s="8" t="s">
        <v>781</v>
      </c>
      <c r="L1476" s="8" t="s">
        <v>739</v>
      </c>
      <c r="M1476" s="1" t="s">
        <v>790</v>
      </c>
      <c r="N1476" s="8" t="s">
        <v>791</v>
      </c>
      <c r="O1476" s="6">
        <v>0</v>
      </c>
      <c r="P1476" s="6">
        <v>0</v>
      </c>
      <c r="Q1476" s="6">
        <v>0</v>
      </c>
      <c r="R1476" s="6">
        <v>16</v>
      </c>
      <c r="S1476" s="6">
        <v>0</v>
      </c>
    </row>
    <row r="1477" spans="1:19" ht="15" x14ac:dyDescent="0.25">
      <c r="A1477" s="7" t="s">
        <v>16</v>
      </c>
      <c r="B1477" s="7" t="s">
        <v>60</v>
      </c>
      <c r="C1477" s="7" t="s">
        <v>18</v>
      </c>
      <c r="D1477" s="3">
        <v>4201372001028</v>
      </c>
      <c r="E1477" s="8" t="s">
        <v>273</v>
      </c>
      <c r="F1477" s="8" t="s">
        <v>219</v>
      </c>
      <c r="G1477" s="8" t="s">
        <v>220</v>
      </c>
      <c r="H1477" s="8" t="s">
        <v>795</v>
      </c>
      <c r="I1477" s="3">
        <v>1</v>
      </c>
      <c r="J1477" s="8" t="s">
        <v>780</v>
      </c>
      <c r="K1477" s="8" t="s">
        <v>781</v>
      </c>
      <c r="L1477" s="8" t="s">
        <v>739</v>
      </c>
      <c r="M1477" s="1" t="s">
        <v>790</v>
      </c>
      <c r="N1477" s="8" t="s">
        <v>791</v>
      </c>
      <c r="O1477" s="6">
        <v>0</v>
      </c>
      <c r="P1477" s="6">
        <v>0</v>
      </c>
      <c r="Q1477" s="6">
        <v>0</v>
      </c>
      <c r="R1477" s="6">
        <v>32</v>
      </c>
      <c r="S1477" s="6">
        <v>0</v>
      </c>
    </row>
    <row r="1478" spans="1:19" ht="15" x14ac:dyDescent="0.25">
      <c r="A1478" s="7" t="s">
        <v>16</v>
      </c>
      <c r="B1478" s="7" t="s">
        <v>60</v>
      </c>
      <c r="C1478" s="7" t="s">
        <v>18</v>
      </c>
      <c r="D1478" s="3">
        <v>5055128000257</v>
      </c>
      <c r="E1478" s="8" t="s">
        <v>636</v>
      </c>
      <c r="F1478" s="8" t="s">
        <v>637</v>
      </c>
      <c r="G1478" s="8" t="s">
        <v>229</v>
      </c>
      <c r="H1478" s="8" t="s">
        <v>795</v>
      </c>
      <c r="I1478" s="3">
        <v>2</v>
      </c>
      <c r="J1478" s="8" t="s">
        <v>778</v>
      </c>
      <c r="K1478" s="8" t="s">
        <v>779</v>
      </c>
      <c r="L1478" s="8" t="s">
        <v>730</v>
      </c>
      <c r="M1478" s="1" t="s">
        <v>790</v>
      </c>
      <c r="N1478" s="8" t="s">
        <v>791</v>
      </c>
      <c r="O1478" s="6">
        <v>0</v>
      </c>
      <c r="P1478" s="6">
        <v>0</v>
      </c>
      <c r="Q1478" s="6">
        <v>0</v>
      </c>
      <c r="R1478" s="6">
        <v>0</v>
      </c>
      <c r="S1478" s="6">
        <v>75</v>
      </c>
    </row>
    <row r="1479" spans="1:19" ht="15" x14ac:dyDescent="0.25">
      <c r="A1479" s="7" t="s">
        <v>16</v>
      </c>
      <c r="B1479" s="7" t="s">
        <v>60</v>
      </c>
      <c r="C1479" s="7" t="s">
        <v>18</v>
      </c>
      <c r="D1479" s="3">
        <v>5055128000257</v>
      </c>
      <c r="E1479" s="8" t="s">
        <v>636</v>
      </c>
      <c r="F1479" s="8" t="s">
        <v>637</v>
      </c>
      <c r="G1479" s="8" t="s">
        <v>229</v>
      </c>
      <c r="H1479" s="8" t="s">
        <v>795</v>
      </c>
      <c r="I1479" s="3">
        <v>2</v>
      </c>
      <c r="J1479" s="8" t="s">
        <v>748</v>
      </c>
      <c r="K1479" s="8" t="s">
        <v>749</v>
      </c>
      <c r="L1479" s="8" t="s">
        <v>723</v>
      </c>
      <c r="M1479" s="1" t="s">
        <v>790</v>
      </c>
      <c r="N1479" s="8" t="s">
        <v>791</v>
      </c>
      <c r="O1479" s="6">
        <v>0</v>
      </c>
      <c r="P1479" s="6">
        <v>0</v>
      </c>
      <c r="Q1479" s="6">
        <v>0</v>
      </c>
      <c r="R1479" s="6">
        <v>0</v>
      </c>
      <c r="S1479" s="6">
        <v>75</v>
      </c>
    </row>
    <row r="1480" spans="1:19" ht="15" x14ac:dyDescent="0.25">
      <c r="A1480" s="7" t="s">
        <v>16</v>
      </c>
      <c r="B1480" s="7" t="s">
        <v>60</v>
      </c>
      <c r="C1480" s="7" t="s">
        <v>18</v>
      </c>
      <c r="D1480" s="3">
        <v>12361267008844</v>
      </c>
      <c r="E1480" s="8" t="s">
        <v>493</v>
      </c>
      <c r="F1480" s="8" t="s">
        <v>228</v>
      </c>
      <c r="G1480" s="8" t="s">
        <v>229</v>
      </c>
      <c r="H1480" s="8" t="s">
        <v>795</v>
      </c>
      <c r="I1480" s="3">
        <v>2</v>
      </c>
      <c r="J1480" s="8" t="s">
        <v>778</v>
      </c>
      <c r="K1480" s="8" t="s">
        <v>779</v>
      </c>
      <c r="L1480" s="8" t="s">
        <v>730</v>
      </c>
      <c r="M1480" s="1" t="s">
        <v>790</v>
      </c>
      <c r="N1480" s="8" t="s">
        <v>791</v>
      </c>
      <c r="O1480" s="6">
        <v>0</v>
      </c>
      <c r="P1480" s="6">
        <v>0</v>
      </c>
      <c r="Q1480" s="6">
        <v>0</v>
      </c>
      <c r="R1480" s="6">
        <v>0</v>
      </c>
      <c r="S1480" s="6">
        <v>0</v>
      </c>
    </row>
    <row r="1481" spans="1:19" ht="15" x14ac:dyDescent="0.25">
      <c r="A1481" s="7" t="s">
        <v>16</v>
      </c>
      <c r="B1481" s="7" t="s">
        <v>60</v>
      </c>
      <c r="C1481" s="7" t="s">
        <v>18</v>
      </c>
      <c r="D1481" s="3">
        <v>12361267008844</v>
      </c>
      <c r="E1481" s="8" t="s">
        <v>493</v>
      </c>
      <c r="F1481" s="8" t="s">
        <v>228</v>
      </c>
      <c r="G1481" s="8" t="s">
        <v>229</v>
      </c>
      <c r="H1481" s="8" t="s">
        <v>795</v>
      </c>
      <c r="I1481" s="3">
        <v>2</v>
      </c>
      <c r="J1481" s="8" t="s">
        <v>748</v>
      </c>
      <c r="K1481" s="8" t="s">
        <v>749</v>
      </c>
      <c r="L1481" s="8" t="s">
        <v>723</v>
      </c>
      <c r="M1481" s="1" t="s">
        <v>790</v>
      </c>
      <c r="N1481" s="8" t="s">
        <v>791</v>
      </c>
      <c r="O1481" s="6">
        <v>0</v>
      </c>
      <c r="P1481" s="6">
        <v>2</v>
      </c>
      <c r="Q1481" s="6">
        <v>2</v>
      </c>
      <c r="R1481" s="6">
        <v>0</v>
      </c>
      <c r="S1481" s="6">
        <v>0</v>
      </c>
    </row>
    <row r="1482" spans="1:19" ht="15" x14ac:dyDescent="0.25">
      <c r="A1482" s="7" t="s">
        <v>16</v>
      </c>
      <c r="B1482" s="7" t="s">
        <v>60</v>
      </c>
      <c r="C1482" s="7" t="s">
        <v>18</v>
      </c>
      <c r="D1482" s="3">
        <v>83925694404</v>
      </c>
      <c r="E1482" s="8" t="s">
        <v>227</v>
      </c>
      <c r="F1482" s="8" t="s">
        <v>228</v>
      </c>
      <c r="G1482" s="8" t="s">
        <v>229</v>
      </c>
      <c r="H1482" s="8" t="s">
        <v>795</v>
      </c>
      <c r="I1482" s="3">
        <v>2</v>
      </c>
      <c r="J1482" s="8" t="s">
        <v>778</v>
      </c>
      <c r="K1482" s="8" t="s">
        <v>779</v>
      </c>
      <c r="L1482" s="8" t="s">
        <v>730</v>
      </c>
      <c r="M1482" s="1" t="s">
        <v>790</v>
      </c>
      <c r="N1482" s="8" t="s">
        <v>791</v>
      </c>
      <c r="O1482" s="6">
        <v>26</v>
      </c>
      <c r="P1482" s="6">
        <v>0</v>
      </c>
      <c r="Q1482" s="6">
        <v>0</v>
      </c>
      <c r="R1482" s="6">
        <v>0</v>
      </c>
      <c r="S1482" s="6">
        <v>0</v>
      </c>
    </row>
    <row r="1483" spans="1:19" ht="15" x14ac:dyDescent="0.25">
      <c r="A1483" s="7" t="s">
        <v>16</v>
      </c>
      <c r="B1483" s="7" t="s">
        <v>60</v>
      </c>
      <c r="C1483" s="7" t="s">
        <v>18</v>
      </c>
      <c r="D1483" s="3">
        <v>83925694404</v>
      </c>
      <c r="E1483" s="8" t="s">
        <v>227</v>
      </c>
      <c r="F1483" s="8" t="s">
        <v>228</v>
      </c>
      <c r="G1483" s="8" t="s">
        <v>229</v>
      </c>
      <c r="H1483" s="8" t="s">
        <v>795</v>
      </c>
      <c r="I1483" s="3">
        <v>2</v>
      </c>
      <c r="J1483" s="8" t="s">
        <v>748</v>
      </c>
      <c r="K1483" s="8" t="s">
        <v>749</v>
      </c>
      <c r="L1483" s="8" t="s">
        <v>723</v>
      </c>
      <c r="M1483" s="1" t="s">
        <v>790</v>
      </c>
      <c r="N1483" s="8" t="s">
        <v>791</v>
      </c>
      <c r="O1483" s="6">
        <v>0</v>
      </c>
      <c r="P1483" s="6">
        <v>0</v>
      </c>
      <c r="Q1483" s="6">
        <v>0</v>
      </c>
      <c r="R1483" s="6">
        <v>0</v>
      </c>
      <c r="S1483" s="6">
        <v>0</v>
      </c>
    </row>
    <row r="1484" spans="1:19" ht="15" x14ac:dyDescent="0.25">
      <c r="A1484" s="7" t="s">
        <v>16</v>
      </c>
      <c r="B1484" s="7" t="s">
        <v>60</v>
      </c>
      <c r="C1484" s="7" t="s">
        <v>18</v>
      </c>
      <c r="D1484" s="3">
        <v>8680639000681</v>
      </c>
      <c r="E1484" s="8" t="s">
        <v>303</v>
      </c>
      <c r="F1484" s="8" t="s">
        <v>228</v>
      </c>
      <c r="G1484" s="8" t="s">
        <v>229</v>
      </c>
      <c r="H1484" s="8" t="s">
        <v>795</v>
      </c>
      <c r="I1484" s="3">
        <v>2</v>
      </c>
      <c r="J1484" s="8" t="s">
        <v>778</v>
      </c>
      <c r="K1484" s="8" t="s">
        <v>779</v>
      </c>
      <c r="L1484" s="8" t="s">
        <v>730</v>
      </c>
      <c r="M1484" s="1" t="s">
        <v>790</v>
      </c>
      <c r="N1484" s="8" t="s">
        <v>791</v>
      </c>
      <c r="O1484" s="6">
        <v>0</v>
      </c>
      <c r="P1484" s="6">
        <v>0</v>
      </c>
      <c r="Q1484" s="6">
        <v>0</v>
      </c>
      <c r="R1484" s="6">
        <v>80</v>
      </c>
      <c r="S1484" s="6">
        <v>140</v>
      </c>
    </row>
    <row r="1485" spans="1:19" ht="15" x14ac:dyDescent="0.25">
      <c r="A1485" s="7" t="s">
        <v>16</v>
      </c>
      <c r="B1485" s="7" t="s">
        <v>60</v>
      </c>
      <c r="C1485" s="7" t="s">
        <v>18</v>
      </c>
      <c r="D1485" s="3">
        <v>8680639000681</v>
      </c>
      <c r="E1485" s="8" t="s">
        <v>303</v>
      </c>
      <c r="F1485" s="8" t="s">
        <v>228</v>
      </c>
      <c r="G1485" s="8" t="s">
        <v>229</v>
      </c>
      <c r="H1485" s="8" t="s">
        <v>795</v>
      </c>
      <c r="I1485" s="3">
        <v>2</v>
      </c>
      <c r="J1485" s="8" t="s">
        <v>748</v>
      </c>
      <c r="K1485" s="8" t="s">
        <v>749</v>
      </c>
      <c r="L1485" s="8" t="s">
        <v>723</v>
      </c>
      <c r="M1485" s="1" t="s">
        <v>790</v>
      </c>
      <c r="N1485" s="8" t="s">
        <v>791</v>
      </c>
      <c r="O1485" s="6">
        <v>0</v>
      </c>
      <c r="P1485" s="6">
        <v>0</v>
      </c>
      <c r="Q1485" s="6">
        <v>0</v>
      </c>
      <c r="R1485" s="6">
        <v>0</v>
      </c>
      <c r="S1485" s="6">
        <v>140</v>
      </c>
    </row>
    <row r="1486" spans="1:19" ht="15" x14ac:dyDescent="0.25">
      <c r="A1486" s="7" t="s">
        <v>16</v>
      </c>
      <c r="B1486" s="7" t="s">
        <v>60</v>
      </c>
      <c r="C1486" s="7" t="s">
        <v>18</v>
      </c>
      <c r="D1486" s="3">
        <v>3904395000145</v>
      </c>
      <c r="E1486" s="8" t="s">
        <v>477</v>
      </c>
      <c r="F1486" s="8" t="s">
        <v>478</v>
      </c>
      <c r="G1486" s="8" t="s">
        <v>265</v>
      </c>
      <c r="H1486" s="8" t="s">
        <v>795</v>
      </c>
      <c r="I1486" s="3">
        <v>2</v>
      </c>
      <c r="J1486" s="8" t="s">
        <v>778</v>
      </c>
      <c r="K1486" s="8" t="s">
        <v>779</v>
      </c>
      <c r="L1486" s="8" t="s">
        <v>730</v>
      </c>
      <c r="M1486" s="1" t="s">
        <v>790</v>
      </c>
      <c r="N1486" s="8" t="s">
        <v>791</v>
      </c>
      <c r="O1486" s="6">
        <v>24</v>
      </c>
      <c r="P1486" s="6">
        <v>0</v>
      </c>
      <c r="Q1486" s="6">
        <v>0</v>
      </c>
      <c r="R1486" s="6">
        <v>0</v>
      </c>
      <c r="S1486" s="6">
        <v>0</v>
      </c>
    </row>
    <row r="1487" spans="1:19" ht="15" x14ac:dyDescent="0.25">
      <c r="A1487" s="7" t="s">
        <v>16</v>
      </c>
      <c r="B1487" s="7" t="s">
        <v>60</v>
      </c>
      <c r="C1487" s="7" t="s">
        <v>18</v>
      </c>
      <c r="D1487" s="3">
        <v>3904395000145</v>
      </c>
      <c r="E1487" s="8" t="s">
        <v>477</v>
      </c>
      <c r="F1487" s="8" t="s">
        <v>478</v>
      </c>
      <c r="G1487" s="8" t="s">
        <v>265</v>
      </c>
      <c r="H1487" s="8" t="s">
        <v>795</v>
      </c>
      <c r="I1487" s="3">
        <v>2</v>
      </c>
      <c r="J1487" s="8" t="s">
        <v>748</v>
      </c>
      <c r="K1487" s="8" t="s">
        <v>749</v>
      </c>
      <c r="L1487" s="8" t="s">
        <v>723</v>
      </c>
      <c r="M1487" s="1" t="s">
        <v>790</v>
      </c>
      <c r="N1487" s="8" t="s">
        <v>791</v>
      </c>
      <c r="O1487" s="6">
        <v>0</v>
      </c>
      <c r="P1487" s="6">
        <v>0</v>
      </c>
      <c r="Q1487" s="6">
        <v>0</v>
      </c>
      <c r="R1487" s="6">
        <v>0</v>
      </c>
      <c r="S1487" s="6">
        <v>0</v>
      </c>
    </row>
    <row r="1488" spans="1:19" ht="15" x14ac:dyDescent="0.25">
      <c r="A1488" s="7" t="s">
        <v>16</v>
      </c>
      <c r="B1488" s="7" t="s">
        <v>60</v>
      </c>
      <c r="C1488" s="7" t="s">
        <v>18</v>
      </c>
      <c r="D1488" s="3">
        <v>6047087001291</v>
      </c>
      <c r="E1488" s="8" t="s">
        <v>479</v>
      </c>
      <c r="F1488" s="8" t="s">
        <v>480</v>
      </c>
      <c r="G1488" s="8" t="s">
        <v>265</v>
      </c>
      <c r="H1488" s="8" t="s">
        <v>795</v>
      </c>
      <c r="I1488" s="3">
        <v>2</v>
      </c>
      <c r="J1488" s="8" t="s">
        <v>778</v>
      </c>
      <c r="K1488" s="8" t="s">
        <v>779</v>
      </c>
      <c r="L1488" s="8" t="s">
        <v>730</v>
      </c>
      <c r="M1488" s="1" t="s">
        <v>790</v>
      </c>
      <c r="N1488" s="8" t="s">
        <v>791</v>
      </c>
      <c r="O1488" s="6">
        <v>0</v>
      </c>
      <c r="P1488" s="6">
        <v>0</v>
      </c>
      <c r="Q1488" s="6">
        <v>0</v>
      </c>
      <c r="R1488" s="6">
        <v>0</v>
      </c>
      <c r="S1488" s="6">
        <v>0</v>
      </c>
    </row>
    <row r="1489" spans="1:19" ht="15" x14ac:dyDescent="0.25">
      <c r="A1489" s="7" t="s">
        <v>16</v>
      </c>
      <c r="B1489" s="7" t="s">
        <v>60</v>
      </c>
      <c r="C1489" s="7" t="s">
        <v>18</v>
      </c>
      <c r="D1489" s="3">
        <v>6047087001291</v>
      </c>
      <c r="E1489" s="8" t="s">
        <v>479</v>
      </c>
      <c r="F1489" s="8" t="s">
        <v>480</v>
      </c>
      <c r="G1489" s="8" t="s">
        <v>265</v>
      </c>
      <c r="H1489" s="8" t="s">
        <v>795</v>
      </c>
      <c r="I1489" s="3">
        <v>2</v>
      </c>
      <c r="J1489" s="8" t="s">
        <v>748</v>
      </c>
      <c r="K1489" s="8" t="s">
        <v>749</v>
      </c>
      <c r="L1489" s="8" t="s">
        <v>723</v>
      </c>
      <c r="M1489" s="1" t="s">
        <v>790</v>
      </c>
      <c r="N1489" s="8" t="s">
        <v>791</v>
      </c>
      <c r="O1489" s="6">
        <v>0</v>
      </c>
      <c r="P1489" s="6">
        <v>8</v>
      </c>
      <c r="Q1489" s="6">
        <v>0</v>
      </c>
      <c r="R1489" s="6">
        <v>0</v>
      </c>
      <c r="S1489" s="6">
        <v>0</v>
      </c>
    </row>
    <row r="1490" spans="1:19" ht="15" x14ac:dyDescent="0.25">
      <c r="A1490" s="7" t="s">
        <v>16</v>
      </c>
      <c r="B1490" s="7" t="s">
        <v>60</v>
      </c>
      <c r="C1490" s="7" t="s">
        <v>18</v>
      </c>
      <c r="D1490" s="3">
        <v>9039744000275</v>
      </c>
      <c r="E1490" s="8" t="s">
        <v>429</v>
      </c>
      <c r="F1490" s="8" t="s">
        <v>430</v>
      </c>
      <c r="G1490" s="8" t="s">
        <v>265</v>
      </c>
      <c r="H1490" s="8" t="s">
        <v>795</v>
      </c>
      <c r="I1490" s="3">
        <v>2</v>
      </c>
      <c r="J1490" s="8" t="s">
        <v>778</v>
      </c>
      <c r="K1490" s="8" t="s">
        <v>779</v>
      </c>
      <c r="L1490" s="8" t="s">
        <v>730</v>
      </c>
      <c r="M1490" s="1" t="s">
        <v>790</v>
      </c>
      <c r="N1490" s="8" t="s">
        <v>791</v>
      </c>
      <c r="O1490" s="6">
        <v>0</v>
      </c>
      <c r="P1490" s="6">
        <v>0</v>
      </c>
      <c r="Q1490" s="6">
        <v>0</v>
      </c>
      <c r="R1490" s="6">
        <v>0</v>
      </c>
      <c r="S1490" s="6">
        <v>0</v>
      </c>
    </row>
    <row r="1491" spans="1:19" ht="15" x14ac:dyDescent="0.25">
      <c r="A1491" s="7" t="s">
        <v>16</v>
      </c>
      <c r="B1491" s="7" t="s">
        <v>60</v>
      </c>
      <c r="C1491" s="7" t="s">
        <v>18</v>
      </c>
      <c r="D1491" s="3">
        <v>9039744000275</v>
      </c>
      <c r="E1491" s="8" t="s">
        <v>429</v>
      </c>
      <c r="F1491" s="8" t="s">
        <v>430</v>
      </c>
      <c r="G1491" s="8" t="s">
        <v>265</v>
      </c>
      <c r="H1491" s="8" t="s">
        <v>795</v>
      </c>
      <c r="I1491" s="3">
        <v>2</v>
      </c>
      <c r="J1491" s="8" t="s">
        <v>748</v>
      </c>
      <c r="K1491" s="8" t="s">
        <v>749</v>
      </c>
      <c r="L1491" s="8" t="s">
        <v>723</v>
      </c>
      <c r="M1491" s="1" t="s">
        <v>790</v>
      </c>
      <c r="N1491" s="8" t="s">
        <v>791</v>
      </c>
      <c r="O1491" s="6">
        <v>0</v>
      </c>
      <c r="P1491" s="6">
        <v>7</v>
      </c>
      <c r="Q1491" s="6">
        <v>0</v>
      </c>
      <c r="R1491" s="6">
        <v>0</v>
      </c>
      <c r="S1491" s="6">
        <v>0</v>
      </c>
    </row>
    <row r="1492" spans="1:19" ht="15" x14ac:dyDescent="0.25">
      <c r="A1492" s="7" t="s">
        <v>16</v>
      </c>
      <c r="B1492" s="7" t="s">
        <v>60</v>
      </c>
      <c r="C1492" s="7" t="s">
        <v>18</v>
      </c>
      <c r="D1492" s="3">
        <v>12361267007287</v>
      </c>
      <c r="E1492" s="8" t="s">
        <v>490</v>
      </c>
      <c r="F1492" s="8" t="s">
        <v>264</v>
      </c>
      <c r="G1492" s="8" t="s">
        <v>265</v>
      </c>
      <c r="H1492" s="8" t="s">
        <v>795</v>
      </c>
      <c r="I1492" s="3">
        <v>2</v>
      </c>
      <c r="J1492" s="8" t="s">
        <v>778</v>
      </c>
      <c r="K1492" s="8" t="s">
        <v>779</v>
      </c>
      <c r="L1492" s="8" t="s">
        <v>730</v>
      </c>
      <c r="M1492" s="1" t="s">
        <v>790</v>
      </c>
      <c r="N1492" s="8" t="s">
        <v>791</v>
      </c>
      <c r="O1492" s="6">
        <v>0</v>
      </c>
      <c r="P1492" s="6">
        <v>0</v>
      </c>
      <c r="Q1492" s="6">
        <v>0</v>
      </c>
      <c r="R1492" s="6">
        <v>0</v>
      </c>
      <c r="S1492" s="6">
        <v>0</v>
      </c>
    </row>
    <row r="1493" spans="1:19" ht="15" x14ac:dyDescent="0.25">
      <c r="A1493" s="7" t="s">
        <v>16</v>
      </c>
      <c r="B1493" s="7" t="s">
        <v>60</v>
      </c>
      <c r="C1493" s="7" t="s">
        <v>18</v>
      </c>
      <c r="D1493" s="3">
        <v>12361267007287</v>
      </c>
      <c r="E1493" s="8" t="s">
        <v>490</v>
      </c>
      <c r="F1493" s="8" t="s">
        <v>264</v>
      </c>
      <c r="G1493" s="8" t="s">
        <v>265</v>
      </c>
      <c r="H1493" s="8" t="s">
        <v>795</v>
      </c>
      <c r="I1493" s="3">
        <v>2</v>
      </c>
      <c r="J1493" s="8" t="s">
        <v>748</v>
      </c>
      <c r="K1493" s="8" t="s">
        <v>749</v>
      </c>
      <c r="L1493" s="8" t="s">
        <v>723</v>
      </c>
      <c r="M1493" s="1" t="s">
        <v>790</v>
      </c>
      <c r="N1493" s="8" t="s">
        <v>791</v>
      </c>
      <c r="O1493" s="6">
        <v>0</v>
      </c>
      <c r="P1493" s="6">
        <v>8</v>
      </c>
      <c r="Q1493" s="6">
        <v>16</v>
      </c>
      <c r="R1493" s="6">
        <v>0</v>
      </c>
      <c r="S1493" s="6">
        <v>0</v>
      </c>
    </row>
    <row r="1494" spans="1:19" ht="15" x14ac:dyDescent="0.25">
      <c r="A1494" s="7" t="s">
        <v>16</v>
      </c>
      <c r="B1494" s="7" t="s">
        <v>60</v>
      </c>
      <c r="C1494" s="7" t="s">
        <v>18</v>
      </c>
      <c r="D1494" s="3">
        <v>11452240000143</v>
      </c>
      <c r="E1494" s="8" t="s">
        <v>311</v>
      </c>
      <c r="F1494" s="8" t="s">
        <v>264</v>
      </c>
      <c r="G1494" s="8" t="s">
        <v>265</v>
      </c>
      <c r="H1494" s="8" t="s">
        <v>795</v>
      </c>
      <c r="I1494" s="3">
        <v>2</v>
      </c>
      <c r="J1494" s="8" t="s">
        <v>778</v>
      </c>
      <c r="K1494" s="8" t="s">
        <v>779</v>
      </c>
      <c r="L1494" s="8" t="s">
        <v>730</v>
      </c>
      <c r="M1494" s="1" t="s">
        <v>790</v>
      </c>
      <c r="N1494" s="8" t="s">
        <v>791</v>
      </c>
      <c r="O1494" s="6">
        <v>0</v>
      </c>
      <c r="P1494" s="6">
        <v>0</v>
      </c>
      <c r="Q1494" s="6">
        <v>0</v>
      </c>
      <c r="R1494" s="6">
        <v>0</v>
      </c>
      <c r="S1494" s="6">
        <v>0</v>
      </c>
    </row>
    <row r="1495" spans="1:19" ht="15" x14ac:dyDescent="0.25">
      <c r="A1495" s="7" t="s">
        <v>16</v>
      </c>
      <c r="B1495" s="7" t="s">
        <v>60</v>
      </c>
      <c r="C1495" s="7" t="s">
        <v>18</v>
      </c>
      <c r="D1495" s="3">
        <v>11452240000143</v>
      </c>
      <c r="E1495" s="8" t="s">
        <v>311</v>
      </c>
      <c r="F1495" s="8" t="s">
        <v>264</v>
      </c>
      <c r="G1495" s="8" t="s">
        <v>265</v>
      </c>
      <c r="H1495" s="8" t="s">
        <v>795</v>
      </c>
      <c r="I1495" s="3">
        <v>2</v>
      </c>
      <c r="J1495" s="8" t="s">
        <v>748</v>
      </c>
      <c r="K1495" s="8" t="s">
        <v>749</v>
      </c>
      <c r="L1495" s="8" t="s">
        <v>723</v>
      </c>
      <c r="M1495" s="1" t="s">
        <v>790</v>
      </c>
      <c r="N1495" s="8" t="s">
        <v>791</v>
      </c>
      <c r="O1495" s="6">
        <v>0</v>
      </c>
      <c r="P1495" s="6">
        <v>0</v>
      </c>
      <c r="Q1495" s="6">
        <v>4</v>
      </c>
      <c r="R1495" s="6">
        <v>0</v>
      </c>
      <c r="S1495" s="6">
        <v>0</v>
      </c>
    </row>
    <row r="1496" spans="1:19" ht="15" x14ac:dyDescent="0.25">
      <c r="A1496" s="7" t="s">
        <v>16</v>
      </c>
      <c r="B1496" s="7" t="s">
        <v>60</v>
      </c>
      <c r="C1496" s="7" t="s">
        <v>18</v>
      </c>
      <c r="D1496" s="3">
        <v>6047087009276</v>
      </c>
      <c r="E1496" s="8" t="s">
        <v>423</v>
      </c>
      <c r="F1496" s="8" t="s">
        <v>264</v>
      </c>
      <c r="G1496" s="8" t="s">
        <v>265</v>
      </c>
      <c r="H1496" s="8" t="s">
        <v>795</v>
      </c>
      <c r="I1496" s="3">
        <v>2</v>
      </c>
      <c r="J1496" s="8" t="s">
        <v>778</v>
      </c>
      <c r="K1496" s="8" t="s">
        <v>779</v>
      </c>
      <c r="L1496" s="8" t="s">
        <v>730</v>
      </c>
      <c r="M1496" s="1" t="s">
        <v>790</v>
      </c>
      <c r="N1496" s="8" t="s">
        <v>791</v>
      </c>
      <c r="O1496" s="6">
        <v>0</v>
      </c>
      <c r="P1496" s="6">
        <v>0</v>
      </c>
      <c r="Q1496" s="6">
        <v>0</v>
      </c>
      <c r="R1496" s="6">
        <v>0</v>
      </c>
      <c r="S1496" s="6">
        <v>0</v>
      </c>
    </row>
    <row r="1497" spans="1:19" ht="15" x14ac:dyDescent="0.25">
      <c r="A1497" s="7" t="s">
        <v>16</v>
      </c>
      <c r="B1497" s="7" t="s">
        <v>60</v>
      </c>
      <c r="C1497" s="7" t="s">
        <v>18</v>
      </c>
      <c r="D1497" s="3">
        <v>6047087009276</v>
      </c>
      <c r="E1497" s="8" t="s">
        <v>423</v>
      </c>
      <c r="F1497" s="8" t="s">
        <v>264</v>
      </c>
      <c r="G1497" s="8" t="s">
        <v>265</v>
      </c>
      <c r="H1497" s="8" t="s">
        <v>795</v>
      </c>
      <c r="I1497" s="3">
        <v>2</v>
      </c>
      <c r="J1497" s="8" t="s">
        <v>748</v>
      </c>
      <c r="K1497" s="8" t="s">
        <v>749</v>
      </c>
      <c r="L1497" s="8" t="s">
        <v>723</v>
      </c>
      <c r="M1497" s="1" t="s">
        <v>790</v>
      </c>
      <c r="N1497" s="8" t="s">
        <v>791</v>
      </c>
      <c r="O1497" s="6">
        <v>0</v>
      </c>
      <c r="P1497" s="6">
        <v>30</v>
      </c>
      <c r="Q1497" s="6">
        <v>0</v>
      </c>
      <c r="R1497" s="6">
        <v>0</v>
      </c>
      <c r="S1497" s="6">
        <v>0</v>
      </c>
    </row>
    <row r="1498" spans="1:19" ht="15" x14ac:dyDescent="0.25">
      <c r="A1498" s="7" t="s">
        <v>16</v>
      </c>
      <c r="B1498" s="7" t="s">
        <v>60</v>
      </c>
      <c r="C1498" s="7" t="s">
        <v>18</v>
      </c>
      <c r="D1498" s="3">
        <v>10892164000124</v>
      </c>
      <c r="E1498" s="8" t="s">
        <v>307</v>
      </c>
      <c r="F1498" s="8" t="s">
        <v>264</v>
      </c>
      <c r="G1498" s="8" t="s">
        <v>265</v>
      </c>
      <c r="H1498" s="8" t="s">
        <v>795</v>
      </c>
      <c r="I1498" s="3">
        <v>2</v>
      </c>
      <c r="J1498" s="8" t="s">
        <v>778</v>
      </c>
      <c r="K1498" s="8" t="s">
        <v>779</v>
      </c>
      <c r="L1498" s="8" t="s">
        <v>730</v>
      </c>
      <c r="M1498" s="1" t="s">
        <v>790</v>
      </c>
      <c r="N1498" s="8" t="s">
        <v>791</v>
      </c>
      <c r="O1498" s="6">
        <v>0</v>
      </c>
      <c r="P1498" s="6">
        <v>0</v>
      </c>
      <c r="Q1498" s="6">
        <v>0</v>
      </c>
      <c r="R1498" s="6">
        <v>40</v>
      </c>
      <c r="S1498" s="6">
        <v>0</v>
      </c>
    </row>
    <row r="1499" spans="1:19" ht="15" x14ac:dyDescent="0.25">
      <c r="A1499" s="7" t="s">
        <v>16</v>
      </c>
      <c r="B1499" s="7" t="s">
        <v>60</v>
      </c>
      <c r="C1499" s="7" t="s">
        <v>18</v>
      </c>
      <c r="D1499" s="3">
        <v>10892164000124</v>
      </c>
      <c r="E1499" s="8" t="s">
        <v>307</v>
      </c>
      <c r="F1499" s="8" t="s">
        <v>264</v>
      </c>
      <c r="G1499" s="8" t="s">
        <v>265</v>
      </c>
      <c r="H1499" s="8" t="s">
        <v>795</v>
      </c>
      <c r="I1499" s="3">
        <v>2</v>
      </c>
      <c r="J1499" s="8" t="s">
        <v>748</v>
      </c>
      <c r="K1499" s="8" t="s">
        <v>749</v>
      </c>
      <c r="L1499" s="8" t="s">
        <v>723</v>
      </c>
      <c r="M1499" s="1" t="s">
        <v>790</v>
      </c>
      <c r="N1499" s="8" t="s">
        <v>791</v>
      </c>
      <c r="O1499" s="6">
        <v>0</v>
      </c>
      <c r="P1499" s="6">
        <v>0</v>
      </c>
      <c r="Q1499" s="6">
        <v>0</v>
      </c>
      <c r="R1499" s="6">
        <v>0</v>
      </c>
      <c r="S1499" s="6">
        <v>0</v>
      </c>
    </row>
    <row r="1500" spans="1:19" ht="15" x14ac:dyDescent="0.25">
      <c r="A1500" s="7" t="s">
        <v>16</v>
      </c>
      <c r="B1500" s="7" t="s">
        <v>60</v>
      </c>
      <c r="C1500" s="7" t="s">
        <v>18</v>
      </c>
      <c r="D1500" s="3">
        <v>2284062000440</v>
      </c>
      <c r="E1500" s="8" t="s">
        <v>263</v>
      </c>
      <c r="F1500" s="8" t="s">
        <v>264</v>
      </c>
      <c r="G1500" s="8" t="s">
        <v>265</v>
      </c>
      <c r="H1500" s="8" t="s">
        <v>795</v>
      </c>
      <c r="I1500" s="3">
        <v>2</v>
      </c>
      <c r="J1500" s="8" t="s">
        <v>778</v>
      </c>
      <c r="K1500" s="8" t="s">
        <v>779</v>
      </c>
      <c r="L1500" s="8" t="s">
        <v>730</v>
      </c>
      <c r="M1500" s="1" t="s">
        <v>790</v>
      </c>
      <c r="N1500" s="8" t="s">
        <v>791</v>
      </c>
      <c r="O1500" s="6">
        <v>0</v>
      </c>
      <c r="P1500" s="6">
        <v>0</v>
      </c>
      <c r="Q1500" s="6">
        <v>0</v>
      </c>
      <c r="R1500" s="6">
        <v>0</v>
      </c>
      <c r="S1500" s="6">
        <v>0</v>
      </c>
    </row>
    <row r="1501" spans="1:19" ht="15" x14ac:dyDescent="0.25">
      <c r="A1501" s="7" t="s">
        <v>16</v>
      </c>
      <c r="B1501" s="7" t="s">
        <v>60</v>
      </c>
      <c r="C1501" s="7" t="s">
        <v>18</v>
      </c>
      <c r="D1501" s="3">
        <v>2284062000440</v>
      </c>
      <c r="E1501" s="8" t="s">
        <v>263</v>
      </c>
      <c r="F1501" s="8" t="s">
        <v>264</v>
      </c>
      <c r="G1501" s="8" t="s">
        <v>265</v>
      </c>
      <c r="H1501" s="8" t="s">
        <v>795</v>
      </c>
      <c r="I1501" s="3">
        <v>2</v>
      </c>
      <c r="J1501" s="8" t="s">
        <v>748</v>
      </c>
      <c r="K1501" s="8" t="s">
        <v>749</v>
      </c>
      <c r="L1501" s="8" t="s">
        <v>723</v>
      </c>
      <c r="M1501" s="1" t="s">
        <v>790</v>
      </c>
      <c r="N1501" s="8" t="s">
        <v>791</v>
      </c>
      <c r="O1501" s="6">
        <v>0</v>
      </c>
      <c r="P1501" s="6">
        <v>20</v>
      </c>
      <c r="Q1501" s="6">
        <v>0</v>
      </c>
      <c r="R1501" s="6">
        <v>0</v>
      </c>
      <c r="S1501" s="6">
        <v>0</v>
      </c>
    </row>
    <row r="1502" spans="1:19" ht="15" x14ac:dyDescent="0.25">
      <c r="A1502" s="7" t="s">
        <v>16</v>
      </c>
      <c r="B1502" s="7" t="s">
        <v>60</v>
      </c>
      <c r="C1502" s="7" t="s">
        <v>18</v>
      </c>
      <c r="D1502" s="3">
        <v>11214624000470</v>
      </c>
      <c r="E1502" s="8" t="s">
        <v>607</v>
      </c>
      <c r="F1502" s="8" t="s">
        <v>264</v>
      </c>
      <c r="G1502" s="8" t="s">
        <v>265</v>
      </c>
      <c r="H1502" s="8" t="s">
        <v>795</v>
      </c>
      <c r="I1502" s="3">
        <v>2</v>
      </c>
      <c r="J1502" s="8" t="s">
        <v>778</v>
      </c>
      <c r="K1502" s="8" t="s">
        <v>779</v>
      </c>
      <c r="L1502" s="8" t="s">
        <v>730</v>
      </c>
      <c r="M1502" s="1" t="s">
        <v>790</v>
      </c>
      <c r="N1502" s="8" t="s">
        <v>791</v>
      </c>
      <c r="O1502" s="6">
        <v>0</v>
      </c>
      <c r="P1502" s="6">
        <v>0</v>
      </c>
      <c r="Q1502" s="6">
        <v>0</v>
      </c>
      <c r="R1502" s="6">
        <v>0</v>
      </c>
      <c r="S1502" s="6">
        <v>50</v>
      </c>
    </row>
    <row r="1503" spans="1:19" ht="15" x14ac:dyDescent="0.25">
      <c r="A1503" s="7" t="s">
        <v>16</v>
      </c>
      <c r="B1503" s="7" t="s">
        <v>60</v>
      </c>
      <c r="C1503" s="7" t="s">
        <v>18</v>
      </c>
      <c r="D1503" s="3">
        <v>11214624000470</v>
      </c>
      <c r="E1503" s="8" t="s">
        <v>607</v>
      </c>
      <c r="F1503" s="8" t="s">
        <v>264</v>
      </c>
      <c r="G1503" s="8" t="s">
        <v>265</v>
      </c>
      <c r="H1503" s="8" t="s">
        <v>795</v>
      </c>
      <c r="I1503" s="3">
        <v>2</v>
      </c>
      <c r="J1503" s="8" t="s">
        <v>748</v>
      </c>
      <c r="K1503" s="8" t="s">
        <v>749</v>
      </c>
      <c r="L1503" s="8" t="s">
        <v>723</v>
      </c>
      <c r="M1503" s="1" t="s">
        <v>790</v>
      </c>
      <c r="N1503" s="8" t="s">
        <v>791</v>
      </c>
      <c r="O1503" s="6">
        <v>0</v>
      </c>
      <c r="P1503" s="6">
        <v>0</v>
      </c>
      <c r="Q1503" s="6">
        <v>0</v>
      </c>
      <c r="R1503" s="6">
        <v>0</v>
      </c>
      <c r="S1503" s="6">
        <v>50</v>
      </c>
    </row>
    <row r="1504" spans="1:19" ht="15" x14ac:dyDescent="0.25">
      <c r="A1504" s="7" t="s">
        <v>16</v>
      </c>
      <c r="B1504" s="7" t="s">
        <v>60</v>
      </c>
      <c r="C1504" s="7" t="s">
        <v>18</v>
      </c>
      <c r="D1504" s="3">
        <v>11214624001957</v>
      </c>
      <c r="E1504" s="8" t="s">
        <v>484</v>
      </c>
      <c r="F1504" s="8" t="s">
        <v>264</v>
      </c>
      <c r="G1504" s="8" t="s">
        <v>265</v>
      </c>
      <c r="H1504" s="8" t="s">
        <v>795</v>
      </c>
      <c r="I1504" s="3">
        <v>2</v>
      </c>
      <c r="J1504" s="8" t="s">
        <v>778</v>
      </c>
      <c r="K1504" s="8" t="s">
        <v>779</v>
      </c>
      <c r="L1504" s="8" t="s">
        <v>730</v>
      </c>
      <c r="M1504" s="1" t="s">
        <v>790</v>
      </c>
      <c r="N1504" s="8" t="s">
        <v>791</v>
      </c>
      <c r="O1504" s="6">
        <v>0</v>
      </c>
      <c r="P1504" s="6">
        <v>0</v>
      </c>
      <c r="Q1504" s="6">
        <v>0</v>
      </c>
      <c r="R1504" s="6">
        <v>0</v>
      </c>
      <c r="S1504" s="6">
        <v>0</v>
      </c>
    </row>
    <row r="1505" spans="1:19" ht="15" x14ac:dyDescent="0.25">
      <c r="A1505" s="7" t="s">
        <v>16</v>
      </c>
      <c r="B1505" s="7" t="s">
        <v>60</v>
      </c>
      <c r="C1505" s="7" t="s">
        <v>18</v>
      </c>
      <c r="D1505" s="3">
        <v>11214624001957</v>
      </c>
      <c r="E1505" s="8" t="s">
        <v>484</v>
      </c>
      <c r="F1505" s="8" t="s">
        <v>264</v>
      </c>
      <c r="G1505" s="8" t="s">
        <v>265</v>
      </c>
      <c r="H1505" s="8" t="s">
        <v>795</v>
      </c>
      <c r="I1505" s="3">
        <v>2</v>
      </c>
      <c r="J1505" s="8" t="s">
        <v>748</v>
      </c>
      <c r="K1505" s="8" t="s">
        <v>749</v>
      </c>
      <c r="L1505" s="8" t="s">
        <v>723</v>
      </c>
      <c r="M1505" s="1" t="s">
        <v>790</v>
      </c>
      <c r="N1505" s="8" t="s">
        <v>791</v>
      </c>
      <c r="O1505" s="6">
        <v>0</v>
      </c>
      <c r="P1505" s="6">
        <v>6</v>
      </c>
      <c r="Q1505" s="6">
        <v>0</v>
      </c>
      <c r="R1505" s="6">
        <v>0</v>
      </c>
      <c r="S1505" s="6">
        <v>0</v>
      </c>
    </row>
    <row r="1506" spans="1:19" ht="15" x14ac:dyDescent="0.25">
      <c r="A1506" s="7" t="s">
        <v>16</v>
      </c>
      <c r="B1506" s="7" t="s">
        <v>60</v>
      </c>
      <c r="C1506" s="7" t="s">
        <v>18</v>
      </c>
      <c r="D1506" s="3">
        <v>11022597001597</v>
      </c>
      <c r="E1506" s="8" t="s">
        <v>434</v>
      </c>
      <c r="F1506" s="8" t="s">
        <v>264</v>
      </c>
      <c r="G1506" s="8" t="s">
        <v>265</v>
      </c>
      <c r="H1506" s="8" t="s">
        <v>795</v>
      </c>
      <c r="I1506" s="3">
        <v>2</v>
      </c>
      <c r="J1506" s="8" t="s">
        <v>778</v>
      </c>
      <c r="K1506" s="8" t="s">
        <v>779</v>
      </c>
      <c r="L1506" s="8" t="s">
        <v>730</v>
      </c>
      <c r="M1506" s="1" t="s">
        <v>790</v>
      </c>
      <c r="N1506" s="8" t="s">
        <v>791</v>
      </c>
      <c r="O1506" s="6">
        <v>0</v>
      </c>
      <c r="P1506" s="6">
        <v>0</v>
      </c>
      <c r="Q1506" s="6">
        <v>0</v>
      </c>
      <c r="R1506" s="6">
        <v>0</v>
      </c>
      <c r="S1506" s="6">
        <v>0</v>
      </c>
    </row>
    <row r="1507" spans="1:19" ht="15" x14ac:dyDescent="0.25">
      <c r="A1507" s="7" t="s">
        <v>16</v>
      </c>
      <c r="B1507" s="7" t="s">
        <v>60</v>
      </c>
      <c r="C1507" s="7" t="s">
        <v>18</v>
      </c>
      <c r="D1507" s="3">
        <v>11022597001597</v>
      </c>
      <c r="E1507" s="8" t="s">
        <v>434</v>
      </c>
      <c r="F1507" s="8" t="s">
        <v>264</v>
      </c>
      <c r="G1507" s="8" t="s">
        <v>265</v>
      </c>
      <c r="H1507" s="8" t="s">
        <v>795</v>
      </c>
      <c r="I1507" s="3">
        <v>2</v>
      </c>
      <c r="J1507" s="8" t="s">
        <v>748</v>
      </c>
      <c r="K1507" s="8" t="s">
        <v>749</v>
      </c>
      <c r="L1507" s="8" t="s">
        <v>723</v>
      </c>
      <c r="M1507" s="1" t="s">
        <v>790</v>
      </c>
      <c r="N1507" s="8" t="s">
        <v>791</v>
      </c>
      <c r="O1507" s="6">
        <v>0</v>
      </c>
      <c r="P1507" s="6">
        <v>25</v>
      </c>
      <c r="Q1507" s="6">
        <v>0</v>
      </c>
      <c r="R1507" s="6">
        <v>0</v>
      </c>
      <c r="S1507" s="6">
        <v>0</v>
      </c>
    </row>
    <row r="1508" spans="1:19" ht="15" x14ac:dyDescent="0.25">
      <c r="A1508" s="7" t="s">
        <v>16</v>
      </c>
      <c r="B1508" s="7" t="s">
        <v>60</v>
      </c>
      <c r="C1508" s="7" t="s">
        <v>18</v>
      </c>
      <c r="D1508" s="3">
        <v>10839561000132</v>
      </c>
      <c r="E1508" s="8" t="s">
        <v>306</v>
      </c>
      <c r="F1508" s="8" t="s">
        <v>264</v>
      </c>
      <c r="G1508" s="8" t="s">
        <v>265</v>
      </c>
      <c r="H1508" s="8" t="s">
        <v>795</v>
      </c>
      <c r="I1508" s="3">
        <v>2</v>
      </c>
      <c r="J1508" s="8" t="s">
        <v>778</v>
      </c>
      <c r="K1508" s="8" t="s">
        <v>779</v>
      </c>
      <c r="L1508" s="8" t="s">
        <v>730</v>
      </c>
      <c r="M1508" s="1" t="s">
        <v>790</v>
      </c>
      <c r="N1508" s="8" t="s">
        <v>791</v>
      </c>
      <c r="O1508" s="6">
        <v>0</v>
      </c>
      <c r="P1508" s="6">
        <v>0</v>
      </c>
      <c r="Q1508" s="6">
        <v>0</v>
      </c>
      <c r="R1508" s="6">
        <v>28</v>
      </c>
      <c r="S1508" s="6">
        <v>0</v>
      </c>
    </row>
    <row r="1509" spans="1:19" ht="15" x14ac:dyDescent="0.25">
      <c r="A1509" s="7" t="s">
        <v>16</v>
      </c>
      <c r="B1509" s="7" t="s">
        <v>60</v>
      </c>
      <c r="C1509" s="7" t="s">
        <v>18</v>
      </c>
      <c r="D1509" s="3">
        <v>10839561000132</v>
      </c>
      <c r="E1509" s="8" t="s">
        <v>306</v>
      </c>
      <c r="F1509" s="8" t="s">
        <v>264</v>
      </c>
      <c r="G1509" s="8" t="s">
        <v>265</v>
      </c>
      <c r="H1509" s="8" t="s">
        <v>795</v>
      </c>
      <c r="I1509" s="3">
        <v>2</v>
      </c>
      <c r="J1509" s="8" t="s">
        <v>748</v>
      </c>
      <c r="K1509" s="8" t="s">
        <v>749</v>
      </c>
      <c r="L1509" s="8" t="s">
        <v>723</v>
      </c>
      <c r="M1509" s="1" t="s">
        <v>790</v>
      </c>
      <c r="N1509" s="8" t="s">
        <v>791</v>
      </c>
      <c r="O1509" s="6">
        <v>0</v>
      </c>
      <c r="P1509" s="6">
        <v>0</v>
      </c>
      <c r="Q1509" s="6">
        <v>6</v>
      </c>
      <c r="R1509" s="6">
        <v>0</v>
      </c>
      <c r="S1509" s="6">
        <v>0</v>
      </c>
    </row>
    <row r="1510" spans="1:19" ht="15" x14ac:dyDescent="0.25">
      <c r="A1510" s="7" t="s">
        <v>16</v>
      </c>
      <c r="B1510" s="7" t="s">
        <v>60</v>
      </c>
      <c r="C1510" s="7" t="s">
        <v>18</v>
      </c>
      <c r="D1510" s="3">
        <v>12361267004008</v>
      </c>
      <c r="E1510" s="8" t="s">
        <v>489</v>
      </c>
      <c r="F1510" s="8" t="s">
        <v>295</v>
      </c>
      <c r="G1510" s="8" t="s">
        <v>296</v>
      </c>
      <c r="H1510" s="8" t="s">
        <v>795</v>
      </c>
      <c r="I1510" s="3">
        <v>2</v>
      </c>
      <c r="J1510" s="8" t="s">
        <v>778</v>
      </c>
      <c r="K1510" s="8" t="s">
        <v>779</v>
      </c>
      <c r="L1510" s="8" t="s">
        <v>730</v>
      </c>
      <c r="M1510" s="1" t="s">
        <v>790</v>
      </c>
      <c r="N1510" s="8" t="s">
        <v>791</v>
      </c>
      <c r="O1510" s="6">
        <v>0</v>
      </c>
      <c r="P1510" s="6">
        <v>0</v>
      </c>
      <c r="Q1510" s="6">
        <v>0</v>
      </c>
      <c r="R1510" s="6">
        <v>0</v>
      </c>
      <c r="S1510" s="6">
        <v>0</v>
      </c>
    </row>
    <row r="1511" spans="1:19" ht="15" x14ac:dyDescent="0.25">
      <c r="A1511" s="7" t="s">
        <v>16</v>
      </c>
      <c r="B1511" s="7" t="s">
        <v>60</v>
      </c>
      <c r="C1511" s="7" t="s">
        <v>18</v>
      </c>
      <c r="D1511" s="3">
        <v>12361267004008</v>
      </c>
      <c r="E1511" s="8" t="s">
        <v>489</v>
      </c>
      <c r="F1511" s="8" t="s">
        <v>295</v>
      </c>
      <c r="G1511" s="8" t="s">
        <v>296</v>
      </c>
      <c r="H1511" s="8" t="s">
        <v>795</v>
      </c>
      <c r="I1511" s="3">
        <v>2</v>
      </c>
      <c r="J1511" s="8" t="s">
        <v>744</v>
      </c>
      <c r="K1511" s="8" t="s">
        <v>745</v>
      </c>
      <c r="L1511" s="8" t="s">
        <v>723</v>
      </c>
      <c r="M1511" s="1" t="s">
        <v>790</v>
      </c>
      <c r="N1511" s="8" t="s">
        <v>791</v>
      </c>
      <c r="O1511" s="6">
        <v>0</v>
      </c>
      <c r="P1511" s="6">
        <v>2</v>
      </c>
      <c r="Q1511" s="6">
        <v>0</v>
      </c>
      <c r="R1511" s="6">
        <v>0</v>
      </c>
      <c r="S1511" s="6">
        <v>0</v>
      </c>
    </row>
    <row r="1512" spans="1:19" ht="15" x14ac:dyDescent="0.25">
      <c r="A1512" s="7" t="s">
        <v>16</v>
      </c>
      <c r="B1512" s="7" t="s">
        <v>60</v>
      </c>
      <c r="C1512" s="7" t="s">
        <v>18</v>
      </c>
      <c r="D1512" s="3">
        <v>81715716000410</v>
      </c>
      <c r="E1512" s="8" t="s">
        <v>648</v>
      </c>
      <c r="F1512" s="8" t="s">
        <v>649</v>
      </c>
      <c r="G1512" s="8" t="s">
        <v>233</v>
      </c>
      <c r="H1512" s="8" t="s">
        <v>795</v>
      </c>
      <c r="I1512" s="3">
        <v>2</v>
      </c>
      <c r="J1512" s="8" t="s">
        <v>754</v>
      </c>
      <c r="K1512" s="8" t="s">
        <v>755</v>
      </c>
      <c r="L1512" s="8" t="s">
        <v>730</v>
      </c>
      <c r="M1512" s="1" t="s">
        <v>784</v>
      </c>
      <c r="N1512" s="8" t="s">
        <v>785</v>
      </c>
      <c r="O1512" s="6">
        <v>0</v>
      </c>
      <c r="P1512" s="6">
        <v>0</v>
      </c>
      <c r="Q1512" s="6">
        <v>0</v>
      </c>
      <c r="R1512" s="6">
        <v>0</v>
      </c>
      <c r="S1512" s="6">
        <v>30</v>
      </c>
    </row>
    <row r="1513" spans="1:19" ht="15" x14ac:dyDescent="0.25">
      <c r="A1513" s="7" t="s">
        <v>16</v>
      </c>
      <c r="B1513" s="7" t="s">
        <v>60</v>
      </c>
      <c r="C1513" s="7" t="s">
        <v>18</v>
      </c>
      <c r="D1513" s="3">
        <v>81715716000410</v>
      </c>
      <c r="E1513" s="8" t="s">
        <v>648</v>
      </c>
      <c r="F1513" s="8" t="s">
        <v>649</v>
      </c>
      <c r="G1513" s="8" t="s">
        <v>233</v>
      </c>
      <c r="H1513" s="8" t="s">
        <v>795</v>
      </c>
      <c r="I1513" s="3">
        <v>2</v>
      </c>
      <c r="J1513" s="8" t="s">
        <v>735</v>
      </c>
      <c r="K1513" s="8" t="s">
        <v>736</v>
      </c>
      <c r="L1513" s="8" t="s">
        <v>723</v>
      </c>
      <c r="M1513" s="1" t="s">
        <v>784</v>
      </c>
      <c r="N1513" s="8" t="s">
        <v>785</v>
      </c>
      <c r="O1513" s="6">
        <v>0</v>
      </c>
      <c r="P1513" s="6">
        <v>0</v>
      </c>
      <c r="Q1513" s="6">
        <v>0</v>
      </c>
      <c r="R1513" s="6">
        <v>0</v>
      </c>
      <c r="S1513" s="6">
        <v>30</v>
      </c>
    </row>
    <row r="1514" spans="1:19" ht="15" x14ac:dyDescent="0.25">
      <c r="A1514" s="7" t="s">
        <v>16</v>
      </c>
      <c r="B1514" s="7" t="s">
        <v>60</v>
      </c>
      <c r="C1514" s="7" t="s">
        <v>18</v>
      </c>
      <c r="D1514" s="3">
        <v>81270548000153</v>
      </c>
      <c r="E1514" s="8" t="s">
        <v>507</v>
      </c>
      <c r="F1514" s="8" t="s">
        <v>508</v>
      </c>
      <c r="G1514" s="8" t="s">
        <v>233</v>
      </c>
      <c r="H1514" s="8" t="s">
        <v>795</v>
      </c>
      <c r="I1514" s="3">
        <v>2</v>
      </c>
      <c r="J1514" s="8" t="s">
        <v>754</v>
      </c>
      <c r="K1514" s="8" t="s">
        <v>755</v>
      </c>
      <c r="L1514" s="8" t="s">
        <v>730</v>
      </c>
      <c r="M1514" s="1" t="s">
        <v>784</v>
      </c>
      <c r="N1514" s="8" t="s">
        <v>785</v>
      </c>
      <c r="O1514" s="6">
        <v>0</v>
      </c>
      <c r="P1514" s="6">
        <v>0</v>
      </c>
      <c r="Q1514" s="6">
        <v>0</v>
      </c>
      <c r="R1514" s="6">
        <v>0</v>
      </c>
      <c r="S1514" s="6">
        <v>0</v>
      </c>
    </row>
    <row r="1515" spans="1:19" ht="15" x14ac:dyDescent="0.25">
      <c r="A1515" s="7" t="s">
        <v>16</v>
      </c>
      <c r="B1515" s="7" t="s">
        <v>60</v>
      </c>
      <c r="C1515" s="7" t="s">
        <v>18</v>
      </c>
      <c r="D1515" s="3">
        <v>81270548000153</v>
      </c>
      <c r="E1515" s="8" t="s">
        <v>507</v>
      </c>
      <c r="F1515" s="8" t="s">
        <v>508</v>
      </c>
      <c r="G1515" s="8" t="s">
        <v>233</v>
      </c>
      <c r="H1515" s="8" t="s">
        <v>795</v>
      </c>
      <c r="I1515" s="3">
        <v>2</v>
      </c>
      <c r="J1515" s="8" t="s">
        <v>735</v>
      </c>
      <c r="K1515" s="8" t="s">
        <v>736</v>
      </c>
      <c r="L1515" s="8" t="s">
        <v>723</v>
      </c>
      <c r="M1515" s="1" t="s">
        <v>784</v>
      </c>
      <c r="N1515" s="8" t="s">
        <v>785</v>
      </c>
      <c r="O1515" s="6">
        <v>0</v>
      </c>
      <c r="P1515" s="6">
        <v>0</v>
      </c>
      <c r="Q1515" s="6">
        <v>3</v>
      </c>
      <c r="R1515" s="6">
        <v>0</v>
      </c>
      <c r="S1515" s="6">
        <v>0</v>
      </c>
    </row>
    <row r="1516" spans="1:19" ht="15" x14ac:dyDescent="0.25">
      <c r="A1516" s="7" t="s">
        <v>16</v>
      </c>
      <c r="B1516" s="7" t="s">
        <v>60</v>
      </c>
      <c r="C1516" s="7" t="s">
        <v>18</v>
      </c>
      <c r="D1516" s="3">
        <v>7734165000136</v>
      </c>
      <c r="E1516" s="8" t="s">
        <v>425</v>
      </c>
      <c r="F1516" s="8" t="s">
        <v>385</v>
      </c>
      <c r="G1516" s="8" t="s">
        <v>233</v>
      </c>
      <c r="H1516" s="8" t="s">
        <v>795</v>
      </c>
      <c r="I1516" s="3">
        <v>2</v>
      </c>
      <c r="J1516" s="8" t="s">
        <v>754</v>
      </c>
      <c r="K1516" s="8" t="s">
        <v>755</v>
      </c>
      <c r="L1516" s="8" t="s">
        <v>730</v>
      </c>
      <c r="M1516" s="1" t="s">
        <v>784</v>
      </c>
      <c r="N1516" s="8" t="s">
        <v>785</v>
      </c>
      <c r="O1516" s="6">
        <v>0</v>
      </c>
      <c r="P1516" s="6">
        <v>0</v>
      </c>
      <c r="Q1516" s="6">
        <v>0</v>
      </c>
      <c r="R1516" s="6">
        <v>96</v>
      </c>
      <c r="S1516" s="6">
        <v>5575</v>
      </c>
    </row>
    <row r="1517" spans="1:19" ht="15" x14ac:dyDescent="0.25">
      <c r="A1517" s="7" t="s">
        <v>16</v>
      </c>
      <c r="B1517" s="7" t="s">
        <v>60</v>
      </c>
      <c r="C1517" s="7" t="s">
        <v>18</v>
      </c>
      <c r="D1517" s="3">
        <v>7734165000136</v>
      </c>
      <c r="E1517" s="8" t="s">
        <v>425</v>
      </c>
      <c r="F1517" s="8" t="s">
        <v>385</v>
      </c>
      <c r="G1517" s="8" t="s">
        <v>233</v>
      </c>
      <c r="H1517" s="8" t="s">
        <v>795</v>
      </c>
      <c r="I1517" s="3">
        <v>2</v>
      </c>
      <c r="J1517" s="8" t="s">
        <v>735</v>
      </c>
      <c r="K1517" s="8" t="s">
        <v>736</v>
      </c>
      <c r="L1517" s="8" t="s">
        <v>723</v>
      </c>
      <c r="M1517" s="1" t="s">
        <v>784</v>
      </c>
      <c r="N1517" s="8" t="s">
        <v>785</v>
      </c>
      <c r="O1517" s="6">
        <v>0</v>
      </c>
      <c r="P1517" s="6">
        <v>0</v>
      </c>
      <c r="Q1517" s="6">
        <v>0</v>
      </c>
      <c r="R1517" s="6">
        <v>0</v>
      </c>
      <c r="S1517" s="6">
        <v>5575</v>
      </c>
    </row>
    <row r="1518" spans="1:19" ht="15" x14ac:dyDescent="0.25">
      <c r="A1518" s="7" t="s">
        <v>16</v>
      </c>
      <c r="B1518" s="7" t="s">
        <v>60</v>
      </c>
      <c r="C1518" s="7" t="s">
        <v>18</v>
      </c>
      <c r="D1518" s="3">
        <v>7404052000172</v>
      </c>
      <c r="E1518" s="8" t="s">
        <v>516</v>
      </c>
      <c r="F1518" s="8" t="s">
        <v>385</v>
      </c>
      <c r="G1518" s="8" t="s">
        <v>233</v>
      </c>
      <c r="H1518" s="8" t="s">
        <v>795</v>
      </c>
      <c r="I1518" s="3">
        <v>2</v>
      </c>
      <c r="J1518" s="8" t="s">
        <v>754</v>
      </c>
      <c r="K1518" s="8" t="s">
        <v>755</v>
      </c>
      <c r="L1518" s="8" t="s">
        <v>730</v>
      </c>
      <c r="M1518" s="1" t="s">
        <v>784</v>
      </c>
      <c r="N1518" s="8" t="s">
        <v>785</v>
      </c>
      <c r="O1518" s="6">
        <v>0</v>
      </c>
      <c r="P1518" s="6">
        <v>0</v>
      </c>
      <c r="Q1518" s="6">
        <v>0</v>
      </c>
      <c r="R1518" s="6">
        <v>0</v>
      </c>
      <c r="S1518" s="6">
        <v>130</v>
      </c>
    </row>
    <row r="1519" spans="1:19" ht="15" x14ac:dyDescent="0.25">
      <c r="A1519" s="7" t="s">
        <v>16</v>
      </c>
      <c r="B1519" s="7" t="s">
        <v>60</v>
      </c>
      <c r="C1519" s="7" t="s">
        <v>18</v>
      </c>
      <c r="D1519" s="3">
        <v>7404052000172</v>
      </c>
      <c r="E1519" s="8" t="s">
        <v>516</v>
      </c>
      <c r="F1519" s="8" t="s">
        <v>385</v>
      </c>
      <c r="G1519" s="8" t="s">
        <v>233</v>
      </c>
      <c r="H1519" s="8" t="s">
        <v>795</v>
      </c>
      <c r="I1519" s="3">
        <v>2</v>
      </c>
      <c r="J1519" s="8" t="s">
        <v>735</v>
      </c>
      <c r="K1519" s="8" t="s">
        <v>736</v>
      </c>
      <c r="L1519" s="8" t="s">
        <v>723</v>
      </c>
      <c r="M1519" s="1" t="s">
        <v>784</v>
      </c>
      <c r="N1519" s="8" t="s">
        <v>785</v>
      </c>
      <c r="O1519" s="6">
        <v>0</v>
      </c>
      <c r="P1519" s="6">
        <v>0</v>
      </c>
      <c r="Q1519" s="6">
        <v>0</v>
      </c>
      <c r="R1519" s="6">
        <v>0</v>
      </c>
      <c r="S1519" s="6">
        <v>130</v>
      </c>
    </row>
    <row r="1520" spans="1:19" ht="15" x14ac:dyDescent="0.25">
      <c r="A1520" s="7" t="s">
        <v>16</v>
      </c>
      <c r="B1520" s="7" t="s">
        <v>60</v>
      </c>
      <c r="C1520" s="7" t="s">
        <v>18</v>
      </c>
      <c r="D1520" s="3">
        <v>8597121000174</v>
      </c>
      <c r="E1520" s="8" t="s">
        <v>428</v>
      </c>
      <c r="F1520" s="8" t="s">
        <v>385</v>
      </c>
      <c r="G1520" s="8" t="s">
        <v>233</v>
      </c>
      <c r="H1520" s="8" t="s">
        <v>795</v>
      </c>
      <c r="I1520" s="3">
        <v>2</v>
      </c>
      <c r="J1520" s="8" t="s">
        <v>754</v>
      </c>
      <c r="K1520" s="8" t="s">
        <v>755</v>
      </c>
      <c r="L1520" s="8" t="s">
        <v>730</v>
      </c>
      <c r="M1520" s="1" t="s">
        <v>784</v>
      </c>
      <c r="N1520" s="8" t="s">
        <v>785</v>
      </c>
      <c r="O1520" s="6">
        <v>0</v>
      </c>
      <c r="P1520" s="6">
        <v>0</v>
      </c>
      <c r="Q1520" s="6">
        <v>0</v>
      </c>
      <c r="R1520" s="6">
        <v>0</v>
      </c>
      <c r="S1520" s="6">
        <v>560</v>
      </c>
    </row>
    <row r="1521" spans="1:19" ht="15" x14ac:dyDescent="0.25">
      <c r="A1521" s="7" t="s">
        <v>16</v>
      </c>
      <c r="B1521" s="7" t="s">
        <v>60</v>
      </c>
      <c r="C1521" s="7" t="s">
        <v>18</v>
      </c>
      <c r="D1521" s="3">
        <v>8597121000174</v>
      </c>
      <c r="E1521" s="8" t="s">
        <v>428</v>
      </c>
      <c r="F1521" s="8" t="s">
        <v>385</v>
      </c>
      <c r="G1521" s="8" t="s">
        <v>233</v>
      </c>
      <c r="H1521" s="8" t="s">
        <v>795</v>
      </c>
      <c r="I1521" s="3">
        <v>2</v>
      </c>
      <c r="J1521" s="8" t="s">
        <v>735</v>
      </c>
      <c r="K1521" s="8" t="s">
        <v>736</v>
      </c>
      <c r="L1521" s="8" t="s">
        <v>723</v>
      </c>
      <c r="M1521" s="1" t="s">
        <v>784</v>
      </c>
      <c r="N1521" s="8" t="s">
        <v>785</v>
      </c>
      <c r="O1521" s="6">
        <v>0</v>
      </c>
      <c r="P1521" s="6">
        <v>0</v>
      </c>
      <c r="Q1521" s="6">
        <v>0</v>
      </c>
      <c r="R1521" s="6">
        <v>0</v>
      </c>
      <c r="S1521" s="6">
        <v>560</v>
      </c>
    </row>
    <row r="1522" spans="1:19" ht="15" x14ac:dyDescent="0.25">
      <c r="A1522" s="7" t="s">
        <v>16</v>
      </c>
      <c r="B1522" s="7" t="s">
        <v>60</v>
      </c>
      <c r="C1522" s="7" t="s">
        <v>18</v>
      </c>
      <c r="D1522" s="3">
        <v>942063000167</v>
      </c>
      <c r="E1522" s="8" t="s">
        <v>527</v>
      </c>
      <c r="F1522" s="8" t="s">
        <v>385</v>
      </c>
      <c r="G1522" s="8" t="s">
        <v>233</v>
      </c>
      <c r="H1522" s="8" t="s">
        <v>795</v>
      </c>
      <c r="I1522" s="3">
        <v>2</v>
      </c>
      <c r="J1522" s="8" t="s">
        <v>754</v>
      </c>
      <c r="K1522" s="8" t="s">
        <v>755</v>
      </c>
      <c r="L1522" s="8" t="s">
        <v>730</v>
      </c>
      <c r="M1522" s="1" t="s">
        <v>784</v>
      </c>
      <c r="N1522" s="8" t="s">
        <v>785</v>
      </c>
      <c r="O1522" s="6">
        <v>0</v>
      </c>
      <c r="P1522" s="6">
        <v>0</v>
      </c>
      <c r="Q1522" s="6">
        <v>0</v>
      </c>
      <c r="R1522" s="6">
        <v>0</v>
      </c>
      <c r="S1522" s="6">
        <v>800</v>
      </c>
    </row>
    <row r="1523" spans="1:19" ht="15" x14ac:dyDescent="0.25">
      <c r="A1523" s="7" t="s">
        <v>16</v>
      </c>
      <c r="B1523" s="7" t="s">
        <v>60</v>
      </c>
      <c r="C1523" s="7" t="s">
        <v>18</v>
      </c>
      <c r="D1523" s="3">
        <v>942063000167</v>
      </c>
      <c r="E1523" s="8" t="s">
        <v>527</v>
      </c>
      <c r="F1523" s="8" t="s">
        <v>385</v>
      </c>
      <c r="G1523" s="8" t="s">
        <v>233</v>
      </c>
      <c r="H1523" s="8" t="s">
        <v>795</v>
      </c>
      <c r="I1523" s="3">
        <v>2</v>
      </c>
      <c r="J1523" s="8" t="s">
        <v>735</v>
      </c>
      <c r="K1523" s="8" t="s">
        <v>736</v>
      </c>
      <c r="L1523" s="8" t="s">
        <v>723</v>
      </c>
      <c r="M1523" s="1" t="s">
        <v>784</v>
      </c>
      <c r="N1523" s="8" t="s">
        <v>785</v>
      </c>
      <c r="O1523" s="6">
        <v>0</v>
      </c>
      <c r="P1523" s="6">
        <v>0</v>
      </c>
      <c r="Q1523" s="6">
        <v>0</v>
      </c>
      <c r="R1523" s="6">
        <v>0</v>
      </c>
      <c r="S1523" s="6">
        <v>800</v>
      </c>
    </row>
    <row r="1524" spans="1:19" ht="15" x14ac:dyDescent="0.25">
      <c r="A1524" s="7" t="s">
        <v>16</v>
      </c>
      <c r="B1524" s="7" t="s">
        <v>60</v>
      </c>
      <c r="C1524" s="7" t="s">
        <v>18</v>
      </c>
      <c r="D1524" s="3">
        <v>76591569000130</v>
      </c>
      <c r="E1524" s="8" t="s">
        <v>386</v>
      </c>
      <c r="F1524" s="8" t="s">
        <v>385</v>
      </c>
      <c r="G1524" s="8" t="s">
        <v>233</v>
      </c>
      <c r="H1524" s="8" t="s">
        <v>795</v>
      </c>
      <c r="I1524" s="3">
        <v>2</v>
      </c>
      <c r="J1524" s="8" t="s">
        <v>754</v>
      </c>
      <c r="K1524" s="8" t="s">
        <v>755</v>
      </c>
      <c r="L1524" s="8" t="s">
        <v>730</v>
      </c>
      <c r="M1524" s="1" t="s">
        <v>784</v>
      </c>
      <c r="N1524" s="8" t="s">
        <v>785</v>
      </c>
      <c r="O1524" s="6">
        <v>0</v>
      </c>
      <c r="P1524" s="6">
        <v>0</v>
      </c>
      <c r="Q1524" s="6">
        <v>0</v>
      </c>
      <c r="R1524" s="6">
        <v>12</v>
      </c>
      <c r="S1524" s="6">
        <v>1000</v>
      </c>
    </row>
    <row r="1525" spans="1:19" ht="15" x14ac:dyDescent="0.25">
      <c r="A1525" s="7" t="s">
        <v>16</v>
      </c>
      <c r="B1525" s="7" t="s">
        <v>60</v>
      </c>
      <c r="C1525" s="7" t="s">
        <v>18</v>
      </c>
      <c r="D1525" s="3">
        <v>76591569000130</v>
      </c>
      <c r="E1525" s="8" t="s">
        <v>386</v>
      </c>
      <c r="F1525" s="8" t="s">
        <v>385</v>
      </c>
      <c r="G1525" s="8" t="s">
        <v>233</v>
      </c>
      <c r="H1525" s="8" t="s">
        <v>795</v>
      </c>
      <c r="I1525" s="3">
        <v>2</v>
      </c>
      <c r="J1525" s="8" t="s">
        <v>735</v>
      </c>
      <c r="K1525" s="8" t="s">
        <v>736</v>
      </c>
      <c r="L1525" s="8" t="s">
        <v>723</v>
      </c>
      <c r="M1525" s="1" t="s">
        <v>784</v>
      </c>
      <c r="N1525" s="8" t="s">
        <v>785</v>
      </c>
      <c r="O1525" s="6">
        <v>0</v>
      </c>
      <c r="P1525" s="6">
        <v>0</v>
      </c>
      <c r="Q1525" s="6">
        <v>0</v>
      </c>
      <c r="R1525" s="6">
        <v>0</v>
      </c>
      <c r="S1525" s="6">
        <v>1000</v>
      </c>
    </row>
    <row r="1526" spans="1:19" ht="15" x14ac:dyDescent="0.25">
      <c r="A1526" s="7" t="s">
        <v>16</v>
      </c>
      <c r="B1526" s="7" t="s">
        <v>60</v>
      </c>
      <c r="C1526" s="7" t="s">
        <v>18</v>
      </c>
      <c r="D1526" s="3">
        <v>76659820002367</v>
      </c>
      <c r="E1526" s="8" t="s">
        <v>586</v>
      </c>
      <c r="F1526" s="8" t="s">
        <v>385</v>
      </c>
      <c r="G1526" s="8" t="s">
        <v>233</v>
      </c>
      <c r="H1526" s="8" t="s">
        <v>795</v>
      </c>
      <c r="I1526" s="3">
        <v>2</v>
      </c>
      <c r="J1526" s="8" t="s">
        <v>754</v>
      </c>
      <c r="K1526" s="8" t="s">
        <v>755</v>
      </c>
      <c r="L1526" s="8" t="s">
        <v>730</v>
      </c>
      <c r="M1526" s="1" t="s">
        <v>784</v>
      </c>
      <c r="N1526" s="8" t="s">
        <v>785</v>
      </c>
      <c r="O1526" s="6">
        <v>0</v>
      </c>
      <c r="P1526" s="6">
        <v>0</v>
      </c>
      <c r="Q1526" s="6">
        <v>0</v>
      </c>
      <c r="R1526" s="6">
        <v>0</v>
      </c>
      <c r="S1526" s="6">
        <v>45</v>
      </c>
    </row>
    <row r="1527" spans="1:19" ht="15" x14ac:dyDescent="0.25">
      <c r="A1527" s="7" t="s">
        <v>16</v>
      </c>
      <c r="B1527" s="7" t="s">
        <v>60</v>
      </c>
      <c r="C1527" s="7" t="s">
        <v>18</v>
      </c>
      <c r="D1527" s="3">
        <v>76659820002367</v>
      </c>
      <c r="E1527" s="8" t="s">
        <v>586</v>
      </c>
      <c r="F1527" s="8" t="s">
        <v>385</v>
      </c>
      <c r="G1527" s="8" t="s">
        <v>233</v>
      </c>
      <c r="H1527" s="8" t="s">
        <v>795</v>
      </c>
      <c r="I1527" s="3">
        <v>2</v>
      </c>
      <c r="J1527" s="8" t="s">
        <v>735</v>
      </c>
      <c r="K1527" s="8" t="s">
        <v>736</v>
      </c>
      <c r="L1527" s="8" t="s">
        <v>723</v>
      </c>
      <c r="M1527" s="1" t="s">
        <v>784</v>
      </c>
      <c r="N1527" s="8" t="s">
        <v>785</v>
      </c>
      <c r="O1527" s="6">
        <v>0</v>
      </c>
      <c r="P1527" s="6">
        <v>0</v>
      </c>
      <c r="Q1527" s="6">
        <v>0</v>
      </c>
      <c r="R1527" s="6">
        <v>0</v>
      </c>
      <c r="S1527" s="6">
        <v>45</v>
      </c>
    </row>
    <row r="1528" spans="1:19" ht="15" x14ac:dyDescent="0.25">
      <c r="A1528" s="7" t="s">
        <v>16</v>
      </c>
      <c r="B1528" s="7" t="s">
        <v>60</v>
      </c>
      <c r="C1528" s="7" t="s">
        <v>18</v>
      </c>
      <c r="D1528" s="3">
        <v>76555069000143</v>
      </c>
      <c r="E1528" s="8" t="s">
        <v>384</v>
      </c>
      <c r="F1528" s="8" t="s">
        <v>385</v>
      </c>
      <c r="G1528" s="8" t="s">
        <v>233</v>
      </c>
      <c r="H1528" s="8" t="s">
        <v>795</v>
      </c>
      <c r="I1528" s="3">
        <v>2</v>
      </c>
      <c r="J1528" s="8" t="s">
        <v>754</v>
      </c>
      <c r="K1528" s="8" t="s">
        <v>755</v>
      </c>
      <c r="L1528" s="8" t="s">
        <v>730</v>
      </c>
      <c r="M1528" s="1" t="s">
        <v>784</v>
      </c>
      <c r="N1528" s="8" t="s">
        <v>785</v>
      </c>
      <c r="O1528" s="6">
        <v>0</v>
      </c>
      <c r="P1528" s="6">
        <v>0</v>
      </c>
      <c r="Q1528" s="6">
        <v>0</v>
      </c>
      <c r="R1528" s="6">
        <v>0</v>
      </c>
      <c r="S1528" s="6">
        <v>280</v>
      </c>
    </row>
    <row r="1529" spans="1:19" ht="15" x14ac:dyDescent="0.25">
      <c r="A1529" s="7" t="s">
        <v>16</v>
      </c>
      <c r="B1529" s="7" t="s">
        <v>60</v>
      </c>
      <c r="C1529" s="7" t="s">
        <v>18</v>
      </c>
      <c r="D1529" s="3">
        <v>76555069000143</v>
      </c>
      <c r="E1529" s="8" t="s">
        <v>384</v>
      </c>
      <c r="F1529" s="8" t="s">
        <v>385</v>
      </c>
      <c r="G1529" s="8" t="s">
        <v>233</v>
      </c>
      <c r="H1529" s="8" t="s">
        <v>795</v>
      </c>
      <c r="I1529" s="3">
        <v>2</v>
      </c>
      <c r="J1529" s="8" t="s">
        <v>735</v>
      </c>
      <c r="K1529" s="8" t="s">
        <v>736</v>
      </c>
      <c r="L1529" s="8" t="s">
        <v>723</v>
      </c>
      <c r="M1529" s="1" t="s">
        <v>784</v>
      </c>
      <c r="N1529" s="8" t="s">
        <v>785</v>
      </c>
      <c r="O1529" s="6">
        <v>0</v>
      </c>
      <c r="P1529" s="6">
        <v>0</v>
      </c>
      <c r="Q1529" s="6">
        <v>2</v>
      </c>
      <c r="R1529" s="6">
        <v>0</v>
      </c>
      <c r="S1529" s="6">
        <v>280</v>
      </c>
    </row>
    <row r="1530" spans="1:19" ht="15" x14ac:dyDescent="0.25">
      <c r="A1530" s="7" t="s">
        <v>16</v>
      </c>
      <c r="B1530" s="7" t="s">
        <v>60</v>
      </c>
      <c r="C1530" s="7" t="s">
        <v>18</v>
      </c>
      <c r="D1530" s="3">
        <v>29435005005600</v>
      </c>
      <c r="E1530" s="8" t="s">
        <v>518</v>
      </c>
      <c r="F1530" s="8" t="s">
        <v>385</v>
      </c>
      <c r="G1530" s="8" t="s">
        <v>233</v>
      </c>
      <c r="H1530" s="8" t="s">
        <v>795</v>
      </c>
      <c r="I1530" s="3">
        <v>2</v>
      </c>
      <c r="J1530" s="8" t="s">
        <v>754</v>
      </c>
      <c r="K1530" s="8" t="s">
        <v>755</v>
      </c>
      <c r="L1530" s="8" t="s">
        <v>730</v>
      </c>
      <c r="M1530" s="1" t="s">
        <v>784</v>
      </c>
      <c r="N1530" s="8" t="s">
        <v>785</v>
      </c>
      <c r="O1530" s="6">
        <v>0</v>
      </c>
      <c r="P1530" s="6">
        <v>0</v>
      </c>
      <c r="Q1530" s="6">
        <v>0</v>
      </c>
      <c r="R1530" s="6">
        <v>0</v>
      </c>
      <c r="S1530" s="6">
        <v>185</v>
      </c>
    </row>
    <row r="1531" spans="1:19" ht="15" x14ac:dyDescent="0.25">
      <c r="A1531" s="7" t="s">
        <v>16</v>
      </c>
      <c r="B1531" s="7" t="s">
        <v>60</v>
      </c>
      <c r="C1531" s="7" t="s">
        <v>18</v>
      </c>
      <c r="D1531" s="3">
        <v>29435005005600</v>
      </c>
      <c r="E1531" s="8" t="s">
        <v>518</v>
      </c>
      <c r="F1531" s="8" t="s">
        <v>385</v>
      </c>
      <c r="G1531" s="8" t="s">
        <v>233</v>
      </c>
      <c r="H1531" s="8" t="s">
        <v>795</v>
      </c>
      <c r="I1531" s="3">
        <v>2</v>
      </c>
      <c r="J1531" s="8" t="s">
        <v>735</v>
      </c>
      <c r="K1531" s="8" t="s">
        <v>736</v>
      </c>
      <c r="L1531" s="8" t="s">
        <v>723</v>
      </c>
      <c r="M1531" s="1" t="s">
        <v>784</v>
      </c>
      <c r="N1531" s="8" t="s">
        <v>785</v>
      </c>
      <c r="O1531" s="6">
        <v>0</v>
      </c>
      <c r="P1531" s="6">
        <v>0</v>
      </c>
      <c r="Q1531" s="6">
        <v>0</v>
      </c>
      <c r="R1531" s="6">
        <v>0</v>
      </c>
      <c r="S1531" s="6">
        <v>185</v>
      </c>
    </row>
    <row r="1532" spans="1:19" ht="15" x14ac:dyDescent="0.25">
      <c r="A1532" s="7" t="s">
        <v>16</v>
      </c>
      <c r="B1532" s="7" t="s">
        <v>60</v>
      </c>
      <c r="C1532" s="7" t="s">
        <v>18</v>
      </c>
      <c r="D1532" s="3">
        <v>3850913000195</v>
      </c>
      <c r="E1532" s="8" t="s">
        <v>542</v>
      </c>
      <c r="F1532" s="8" t="s">
        <v>385</v>
      </c>
      <c r="G1532" s="8" t="s">
        <v>233</v>
      </c>
      <c r="H1532" s="8" t="s">
        <v>795</v>
      </c>
      <c r="I1532" s="3">
        <v>2</v>
      </c>
      <c r="J1532" s="8" t="s">
        <v>754</v>
      </c>
      <c r="K1532" s="8" t="s">
        <v>755</v>
      </c>
      <c r="L1532" s="8" t="s">
        <v>730</v>
      </c>
      <c r="M1532" s="1" t="s">
        <v>784</v>
      </c>
      <c r="N1532" s="8" t="s">
        <v>785</v>
      </c>
      <c r="O1532" s="6">
        <v>0</v>
      </c>
      <c r="P1532" s="6">
        <v>0</v>
      </c>
      <c r="Q1532" s="6">
        <v>0</v>
      </c>
      <c r="R1532" s="6">
        <v>0</v>
      </c>
      <c r="S1532" s="6">
        <v>660</v>
      </c>
    </row>
    <row r="1533" spans="1:19" ht="15" x14ac:dyDescent="0.25">
      <c r="A1533" s="7" t="s">
        <v>16</v>
      </c>
      <c r="B1533" s="7" t="s">
        <v>60</v>
      </c>
      <c r="C1533" s="7" t="s">
        <v>18</v>
      </c>
      <c r="D1533" s="3">
        <v>3850913000195</v>
      </c>
      <c r="E1533" s="8" t="s">
        <v>542</v>
      </c>
      <c r="F1533" s="8" t="s">
        <v>385</v>
      </c>
      <c r="G1533" s="8" t="s">
        <v>233</v>
      </c>
      <c r="H1533" s="8" t="s">
        <v>795</v>
      </c>
      <c r="I1533" s="3">
        <v>2</v>
      </c>
      <c r="J1533" s="8" t="s">
        <v>735</v>
      </c>
      <c r="K1533" s="8" t="s">
        <v>736</v>
      </c>
      <c r="L1533" s="8" t="s">
        <v>723</v>
      </c>
      <c r="M1533" s="1" t="s">
        <v>784</v>
      </c>
      <c r="N1533" s="8" t="s">
        <v>785</v>
      </c>
      <c r="O1533" s="6">
        <v>0</v>
      </c>
      <c r="P1533" s="6">
        <v>0</v>
      </c>
      <c r="Q1533" s="6">
        <v>0</v>
      </c>
      <c r="R1533" s="6">
        <v>0</v>
      </c>
      <c r="S1533" s="6">
        <v>660</v>
      </c>
    </row>
    <row r="1534" spans="1:19" ht="15" x14ac:dyDescent="0.25">
      <c r="A1534" s="7" t="s">
        <v>16</v>
      </c>
      <c r="B1534" s="7" t="s">
        <v>60</v>
      </c>
      <c r="C1534" s="7" t="s">
        <v>18</v>
      </c>
      <c r="D1534" s="3">
        <v>30117769000155</v>
      </c>
      <c r="E1534" s="8" t="s">
        <v>578</v>
      </c>
      <c r="F1534" s="8" t="s">
        <v>385</v>
      </c>
      <c r="G1534" s="8" t="s">
        <v>233</v>
      </c>
      <c r="H1534" s="8" t="s">
        <v>795</v>
      </c>
      <c r="I1534" s="3">
        <v>2</v>
      </c>
      <c r="J1534" s="8" t="s">
        <v>754</v>
      </c>
      <c r="K1534" s="8" t="s">
        <v>755</v>
      </c>
      <c r="L1534" s="8" t="s">
        <v>730</v>
      </c>
      <c r="M1534" s="1" t="s">
        <v>784</v>
      </c>
      <c r="N1534" s="8" t="s">
        <v>785</v>
      </c>
      <c r="O1534" s="6">
        <v>0</v>
      </c>
      <c r="P1534" s="6">
        <v>0</v>
      </c>
      <c r="Q1534" s="6">
        <v>0</v>
      </c>
      <c r="R1534" s="6">
        <v>0</v>
      </c>
      <c r="S1534" s="6">
        <v>205</v>
      </c>
    </row>
    <row r="1535" spans="1:19" ht="15" x14ac:dyDescent="0.25">
      <c r="A1535" s="7" t="s">
        <v>16</v>
      </c>
      <c r="B1535" s="7" t="s">
        <v>60</v>
      </c>
      <c r="C1535" s="7" t="s">
        <v>18</v>
      </c>
      <c r="D1535" s="3">
        <v>30117769000155</v>
      </c>
      <c r="E1535" s="8" t="s">
        <v>578</v>
      </c>
      <c r="F1535" s="8" t="s">
        <v>385</v>
      </c>
      <c r="G1535" s="8" t="s">
        <v>233</v>
      </c>
      <c r="H1535" s="8" t="s">
        <v>795</v>
      </c>
      <c r="I1535" s="3">
        <v>2</v>
      </c>
      <c r="J1535" s="8" t="s">
        <v>735</v>
      </c>
      <c r="K1535" s="8" t="s">
        <v>736</v>
      </c>
      <c r="L1535" s="8" t="s">
        <v>723</v>
      </c>
      <c r="M1535" s="1" t="s">
        <v>784</v>
      </c>
      <c r="N1535" s="8" t="s">
        <v>785</v>
      </c>
      <c r="O1535" s="6">
        <v>0</v>
      </c>
      <c r="P1535" s="6">
        <v>0</v>
      </c>
      <c r="Q1535" s="6">
        <v>0</v>
      </c>
      <c r="R1535" s="6">
        <v>0</v>
      </c>
      <c r="S1535" s="6">
        <v>205</v>
      </c>
    </row>
    <row r="1536" spans="1:19" ht="15" x14ac:dyDescent="0.25">
      <c r="A1536" s="7" t="s">
        <v>16</v>
      </c>
      <c r="B1536" s="7" t="s">
        <v>60</v>
      </c>
      <c r="C1536" s="7" t="s">
        <v>18</v>
      </c>
      <c r="D1536" s="3">
        <v>304148000110</v>
      </c>
      <c r="E1536" s="8" t="s">
        <v>231</v>
      </c>
      <c r="F1536" s="8" t="s">
        <v>232</v>
      </c>
      <c r="G1536" s="8" t="s">
        <v>233</v>
      </c>
      <c r="H1536" s="8" t="s">
        <v>795</v>
      </c>
      <c r="I1536" s="3">
        <v>2</v>
      </c>
      <c r="J1536" s="8" t="s">
        <v>754</v>
      </c>
      <c r="K1536" s="8" t="s">
        <v>755</v>
      </c>
      <c r="L1536" s="8" t="s">
        <v>730</v>
      </c>
      <c r="M1536" s="1" t="s">
        <v>784</v>
      </c>
      <c r="N1536" s="8" t="s">
        <v>785</v>
      </c>
      <c r="O1536" s="6">
        <v>0</v>
      </c>
      <c r="P1536" s="6">
        <v>0</v>
      </c>
      <c r="Q1536" s="6">
        <v>0</v>
      </c>
      <c r="R1536" s="6">
        <v>0</v>
      </c>
      <c r="S1536" s="6">
        <v>175</v>
      </c>
    </row>
    <row r="1537" spans="1:19" ht="15" x14ac:dyDescent="0.25">
      <c r="A1537" s="7" t="s">
        <v>16</v>
      </c>
      <c r="B1537" s="7" t="s">
        <v>60</v>
      </c>
      <c r="C1537" s="7" t="s">
        <v>18</v>
      </c>
      <c r="D1537" s="3">
        <v>304148000110</v>
      </c>
      <c r="E1537" s="8" t="s">
        <v>231</v>
      </c>
      <c r="F1537" s="8" t="s">
        <v>232</v>
      </c>
      <c r="G1537" s="8" t="s">
        <v>233</v>
      </c>
      <c r="H1537" s="8" t="s">
        <v>795</v>
      </c>
      <c r="I1537" s="3">
        <v>2</v>
      </c>
      <c r="J1537" s="8" t="s">
        <v>735</v>
      </c>
      <c r="K1537" s="8" t="s">
        <v>736</v>
      </c>
      <c r="L1537" s="8" t="s">
        <v>723</v>
      </c>
      <c r="M1537" s="1" t="s">
        <v>784</v>
      </c>
      <c r="N1537" s="8" t="s">
        <v>785</v>
      </c>
      <c r="O1537" s="6">
        <v>0</v>
      </c>
      <c r="P1537" s="6">
        <v>0</v>
      </c>
      <c r="Q1537" s="6">
        <v>0</v>
      </c>
      <c r="R1537" s="6">
        <v>0</v>
      </c>
      <c r="S1537" s="6">
        <v>175</v>
      </c>
    </row>
    <row r="1538" spans="1:19" ht="15" x14ac:dyDescent="0.25">
      <c r="A1538" s="7" t="s">
        <v>16</v>
      </c>
      <c r="B1538" s="7" t="s">
        <v>60</v>
      </c>
      <c r="C1538" s="7" t="s">
        <v>18</v>
      </c>
      <c r="D1538" s="3">
        <v>78633088000176</v>
      </c>
      <c r="E1538" s="8" t="s">
        <v>628</v>
      </c>
      <c r="F1538" s="8" t="s">
        <v>583</v>
      </c>
      <c r="G1538" s="8" t="s">
        <v>233</v>
      </c>
      <c r="H1538" s="8" t="s">
        <v>795</v>
      </c>
      <c r="I1538" s="3">
        <v>2</v>
      </c>
      <c r="J1538" s="8" t="s">
        <v>754</v>
      </c>
      <c r="K1538" s="8" t="s">
        <v>755</v>
      </c>
      <c r="L1538" s="8" t="s">
        <v>730</v>
      </c>
      <c r="M1538" s="1" t="s">
        <v>784</v>
      </c>
      <c r="N1538" s="8" t="s">
        <v>785</v>
      </c>
      <c r="O1538" s="6">
        <v>0</v>
      </c>
      <c r="P1538" s="6">
        <v>0</v>
      </c>
      <c r="Q1538" s="6">
        <v>0</v>
      </c>
      <c r="R1538" s="6">
        <v>0</v>
      </c>
      <c r="S1538" s="6">
        <v>10</v>
      </c>
    </row>
    <row r="1539" spans="1:19" ht="15" x14ac:dyDescent="0.25">
      <c r="A1539" s="7" t="s">
        <v>16</v>
      </c>
      <c r="B1539" s="7" t="s">
        <v>60</v>
      </c>
      <c r="C1539" s="7" t="s">
        <v>18</v>
      </c>
      <c r="D1539" s="3">
        <v>78633088000176</v>
      </c>
      <c r="E1539" s="8" t="s">
        <v>628</v>
      </c>
      <c r="F1539" s="8" t="s">
        <v>583</v>
      </c>
      <c r="G1539" s="8" t="s">
        <v>233</v>
      </c>
      <c r="H1539" s="8" t="s">
        <v>795</v>
      </c>
      <c r="I1539" s="3">
        <v>2</v>
      </c>
      <c r="J1539" s="8" t="s">
        <v>735</v>
      </c>
      <c r="K1539" s="8" t="s">
        <v>736</v>
      </c>
      <c r="L1539" s="8" t="s">
        <v>723</v>
      </c>
      <c r="M1539" s="1" t="s">
        <v>784</v>
      </c>
      <c r="N1539" s="8" t="s">
        <v>785</v>
      </c>
      <c r="O1539" s="6">
        <v>0</v>
      </c>
      <c r="P1539" s="6">
        <v>0</v>
      </c>
      <c r="Q1539" s="6">
        <v>0</v>
      </c>
      <c r="R1539" s="6">
        <v>0</v>
      </c>
      <c r="S1539" s="6">
        <v>10</v>
      </c>
    </row>
    <row r="1540" spans="1:19" ht="15" x14ac:dyDescent="0.25">
      <c r="A1540" s="7" t="s">
        <v>16</v>
      </c>
      <c r="B1540" s="7" t="s">
        <v>60</v>
      </c>
      <c r="C1540" s="7" t="s">
        <v>18</v>
      </c>
      <c r="D1540" s="3">
        <v>4762301000103</v>
      </c>
      <c r="E1540" s="8" t="s">
        <v>600</v>
      </c>
      <c r="F1540" s="8" t="s">
        <v>583</v>
      </c>
      <c r="G1540" s="8" t="s">
        <v>233</v>
      </c>
      <c r="H1540" s="8" t="s">
        <v>795</v>
      </c>
      <c r="I1540" s="3">
        <v>2</v>
      </c>
      <c r="J1540" s="8" t="s">
        <v>754</v>
      </c>
      <c r="K1540" s="8" t="s">
        <v>755</v>
      </c>
      <c r="L1540" s="8" t="s">
        <v>730</v>
      </c>
      <c r="M1540" s="1" t="s">
        <v>784</v>
      </c>
      <c r="N1540" s="8" t="s">
        <v>785</v>
      </c>
      <c r="O1540" s="6">
        <v>0</v>
      </c>
      <c r="P1540" s="6">
        <v>0</v>
      </c>
      <c r="Q1540" s="6">
        <v>0</v>
      </c>
      <c r="R1540" s="6">
        <v>0</v>
      </c>
      <c r="S1540" s="6">
        <v>405</v>
      </c>
    </row>
    <row r="1541" spans="1:19" ht="15" x14ac:dyDescent="0.25">
      <c r="A1541" s="7" t="s">
        <v>16</v>
      </c>
      <c r="B1541" s="7" t="s">
        <v>60</v>
      </c>
      <c r="C1541" s="7" t="s">
        <v>18</v>
      </c>
      <c r="D1541" s="3">
        <v>4762301000103</v>
      </c>
      <c r="E1541" s="8" t="s">
        <v>600</v>
      </c>
      <c r="F1541" s="8" t="s">
        <v>583</v>
      </c>
      <c r="G1541" s="8" t="s">
        <v>233</v>
      </c>
      <c r="H1541" s="8" t="s">
        <v>795</v>
      </c>
      <c r="I1541" s="3">
        <v>2</v>
      </c>
      <c r="J1541" s="8" t="s">
        <v>735</v>
      </c>
      <c r="K1541" s="8" t="s">
        <v>736</v>
      </c>
      <c r="L1541" s="8" t="s">
        <v>723</v>
      </c>
      <c r="M1541" s="1" t="s">
        <v>784</v>
      </c>
      <c r="N1541" s="8" t="s">
        <v>785</v>
      </c>
      <c r="O1541" s="6">
        <v>0</v>
      </c>
      <c r="P1541" s="6">
        <v>0</v>
      </c>
      <c r="Q1541" s="6">
        <v>0</v>
      </c>
      <c r="R1541" s="6">
        <v>0</v>
      </c>
      <c r="S1541" s="6">
        <v>405</v>
      </c>
    </row>
    <row r="1542" spans="1:19" ht="15" x14ac:dyDescent="0.25">
      <c r="A1542" s="7" t="s">
        <v>16</v>
      </c>
      <c r="B1542" s="7" t="s">
        <v>60</v>
      </c>
      <c r="C1542" s="7" t="s">
        <v>18</v>
      </c>
      <c r="D1542" s="3">
        <v>73863342000109</v>
      </c>
      <c r="E1542" s="8" t="s">
        <v>582</v>
      </c>
      <c r="F1542" s="8" t="s">
        <v>583</v>
      </c>
      <c r="G1542" s="8" t="s">
        <v>233</v>
      </c>
      <c r="H1542" s="8" t="s">
        <v>795</v>
      </c>
      <c r="I1542" s="3">
        <v>2</v>
      </c>
      <c r="J1542" s="8" t="s">
        <v>754</v>
      </c>
      <c r="K1542" s="8" t="s">
        <v>755</v>
      </c>
      <c r="L1542" s="8" t="s">
        <v>730</v>
      </c>
      <c r="M1542" s="1" t="s">
        <v>784</v>
      </c>
      <c r="N1542" s="8" t="s">
        <v>785</v>
      </c>
      <c r="O1542" s="6">
        <v>0</v>
      </c>
      <c r="P1542" s="6">
        <v>0</v>
      </c>
      <c r="Q1542" s="6">
        <v>0</v>
      </c>
      <c r="R1542" s="6">
        <v>0</v>
      </c>
      <c r="S1542" s="6">
        <v>20</v>
      </c>
    </row>
    <row r="1543" spans="1:19" ht="15" x14ac:dyDescent="0.25">
      <c r="A1543" s="7" t="s">
        <v>16</v>
      </c>
      <c r="B1543" s="7" t="s">
        <v>60</v>
      </c>
      <c r="C1543" s="7" t="s">
        <v>18</v>
      </c>
      <c r="D1543" s="3">
        <v>73863342000109</v>
      </c>
      <c r="E1543" s="8" t="s">
        <v>582</v>
      </c>
      <c r="F1543" s="8" t="s">
        <v>583</v>
      </c>
      <c r="G1543" s="8" t="s">
        <v>233</v>
      </c>
      <c r="H1543" s="8" t="s">
        <v>795</v>
      </c>
      <c r="I1543" s="3">
        <v>2</v>
      </c>
      <c r="J1543" s="8" t="s">
        <v>735</v>
      </c>
      <c r="K1543" s="8" t="s">
        <v>736</v>
      </c>
      <c r="L1543" s="8" t="s">
        <v>723</v>
      </c>
      <c r="M1543" s="1" t="s">
        <v>784</v>
      </c>
      <c r="N1543" s="8" t="s">
        <v>785</v>
      </c>
      <c r="O1543" s="6">
        <v>0</v>
      </c>
      <c r="P1543" s="6">
        <v>0</v>
      </c>
      <c r="Q1543" s="6">
        <v>0</v>
      </c>
      <c r="R1543" s="6">
        <v>0</v>
      </c>
      <c r="S1543" s="6">
        <v>20</v>
      </c>
    </row>
    <row r="1544" spans="1:19" ht="15" x14ac:dyDescent="0.25">
      <c r="A1544" s="7" t="s">
        <v>16</v>
      </c>
      <c r="B1544" s="7" t="s">
        <v>60</v>
      </c>
      <c r="C1544" s="7" t="s">
        <v>18</v>
      </c>
      <c r="D1544" s="3">
        <v>75222224001895</v>
      </c>
      <c r="E1544" s="8" t="s">
        <v>584</v>
      </c>
      <c r="F1544" s="8" t="s">
        <v>583</v>
      </c>
      <c r="G1544" s="8" t="s">
        <v>233</v>
      </c>
      <c r="H1544" s="8" t="s">
        <v>795</v>
      </c>
      <c r="I1544" s="3">
        <v>2</v>
      </c>
      <c r="J1544" s="8" t="s">
        <v>754</v>
      </c>
      <c r="K1544" s="8" t="s">
        <v>755</v>
      </c>
      <c r="L1544" s="8" t="s">
        <v>730</v>
      </c>
      <c r="M1544" s="1" t="s">
        <v>784</v>
      </c>
      <c r="N1544" s="8" t="s">
        <v>785</v>
      </c>
      <c r="O1544" s="6">
        <v>0</v>
      </c>
      <c r="P1544" s="6">
        <v>0</v>
      </c>
      <c r="Q1544" s="6">
        <v>0</v>
      </c>
      <c r="R1544" s="6">
        <v>0</v>
      </c>
      <c r="S1544" s="6">
        <v>1485</v>
      </c>
    </row>
    <row r="1545" spans="1:19" ht="15" x14ac:dyDescent="0.25">
      <c r="A1545" s="7" t="s">
        <v>16</v>
      </c>
      <c r="B1545" s="7" t="s">
        <v>60</v>
      </c>
      <c r="C1545" s="7" t="s">
        <v>18</v>
      </c>
      <c r="D1545" s="3">
        <v>75222224001895</v>
      </c>
      <c r="E1545" s="8" t="s">
        <v>584</v>
      </c>
      <c r="F1545" s="8" t="s">
        <v>583</v>
      </c>
      <c r="G1545" s="8" t="s">
        <v>233</v>
      </c>
      <c r="H1545" s="8" t="s">
        <v>795</v>
      </c>
      <c r="I1545" s="3">
        <v>2</v>
      </c>
      <c r="J1545" s="8" t="s">
        <v>735</v>
      </c>
      <c r="K1545" s="8" t="s">
        <v>736</v>
      </c>
      <c r="L1545" s="8" t="s">
        <v>723</v>
      </c>
      <c r="M1545" s="1" t="s">
        <v>784</v>
      </c>
      <c r="N1545" s="8" t="s">
        <v>785</v>
      </c>
      <c r="O1545" s="6">
        <v>0</v>
      </c>
      <c r="P1545" s="6">
        <v>0</v>
      </c>
      <c r="Q1545" s="6">
        <v>0</v>
      </c>
      <c r="R1545" s="6">
        <v>0</v>
      </c>
      <c r="S1545" s="6">
        <v>1485</v>
      </c>
    </row>
    <row r="1546" spans="1:19" ht="15" x14ac:dyDescent="0.25">
      <c r="A1546" s="7" t="s">
        <v>16</v>
      </c>
      <c r="B1546" s="7" t="s">
        <v>60</v>
      </c>
      <c r="C1546" s="7" t="s">
        <v>18</v>
      </c>
      <c r="D1546" s="3">
        <v>79115762000193</v>
      </c>
      <c r="E1546" s="8" t="s">
        <v>521</v>
      </c>
      <c r="F1546" s="8" t="s">
        <v>522</v>
      </c>
      <c r="G1546" s="8" t="s">
        <v>233</v>
      </c>
      <c r="H1546" s="8" t="s">
        <v>795</v>
      </c>
      <c r="I1546" s="3">
        <v>2</v>
      </c>
      <c r="J1546" s="8" t="s">
        <v>754</v>
      </c>
      <c r="K1546" s="8" t="s">
        <v>755</v>
      </c>
      <c r="L1546" s="8" t="s">
        <v>730</v>
      </c>
      <c r="M1546" s="1" t="s">
        <v>784</v>
      </c>
      <c r="N1546" s="8" t="s">
        <v>785</v>
      </c>
      <c r="O1546" s="6">
        <v>0</v>
      </c>
      <c r="P1546" s="6">
        <v>0</v>
      </c>
      <c r="Q1546" s="6">
        <v>0</v>
      </c>
      <c r="R1546" s="6">
        <v>0</v>
      </c>
      <c r="S1546" s="6">
        <v>25</v>
      </c>
    </row>
    <row r="1547" spans="1:19" ht="15" x14ac:dyDescent="0.25">
      <c r="A1547" s="7" t="s">
        <v>16</v>
      </c>
      <c r="B1547" s="7" t="s">
        <v>60</v>
      </c>
      <c r="C1547" s="7" t="s">
        <v>18</v>
      </c>
      <c r="D1547" s="3">
        <v>79115762000193</v>
      </c>
      <c r="E1547" s="8" t="s">
        <v>521</v>
      </c>
      <c r="F1547" s="8" t="s">
        <v>522</v>
      </c>
      <c r="G1547" s="8" t="s">
        <v>233</v>
      </c>
      <c r="H1547" s="8" t="s">
        <v>795</v>
      </c>
      <c r="I1547" s="3">
        <v>2</v>
      </c>
      <c r="J1547" s="8" t="s">
        <v>735</v>
      </c>
      <c r="K1547" s="8" t="s">
        <v>736</v>
      </c>
      <c r="L1547" s="8" t="s">
        <v>723</v>
      </c>
      <c r="M1547" s="1" t="s">
        <v>784</v>
      </c>
      <c r="N1547" s="8" t="s">
        <v>785</v>
      </c>
      <c r="O1547" s="6">
        <v>0</v>
      </c>
      <c r="P1547" s="6">
        <v>0</v>
      </c>
      <c r="Q1547" s="6">
        <v>0</v>
      </c>
      <c r="R1547" s="6">
        <v>0</v>
      </c>
      <c r="S1547" s="6">
        <v>25</v>
      </c>
    </row>
    <row r="1548" spans="1:19" ht="15" x14ac:dyDescent="0.25">
      <c r="A1548" s="7" t="s">
        <v>16</v>
      </c>
      <c r="B1548" s="7" t="s">
        <v>60</v>
      </c>
      <c r="C1548" s="7" t="s">
        <v>18</v>
      </c>
      <c r="D1548" s="3">
        <v>7794623002257</v>
      </c>
      <c r="E1548" s="8" t="s">
        <v>552</v>
      </c>
      <c r="F1548" s="8" t="s">
        <v>553</v>
      </c>
      <c r="G1548" s="8" t="s">
        <v>233</v>
      </c>
      <c r="H1548" s="8" t="s">
        <v>795</v>
      </c>
      <c r="I1548" s="3">
        <v>2</v>
      </c>
      <c r="J1548" s="8" t="s">
        <v>754</v>
      </c>
      <c r="K1548" s="8" t="s">
        <v>755</v>
      </c>
      <c r="L1548" s="8" t="s">
        <v>730</v>
      </c>
      <c r="M1548" s="1" t="s">
        <v>784</v>
      </c>
      <c r="N1548" s="8" t="s">
        <v>785</v>
      </c>
      <c r="O1548" s="6">
        <v>0</v>
      </c>
      <c r="P1548" s="6">
        <v>0</v>
      </c>
      <c r="Q1548" s="6">
        <v>0</v>
      </c>
      <c r="R1548" s="6">
        <v>0</v>
      </c>
      <c r="S1548" s="6">
        <v>630</v>
      </c>
    </row>
    <row r="1549" spans="1:19" ht="15" x14ac:dyDescent="0.25">
      <c r="A1549" s="7" t="s">
        <v>16</v>
      </c>
      <c r="B1549" s="7" t="s">
        <v>60</v>
      </c>
      <c r="C1549" s="7" t="s">
        <v>18</v>
      </c>
      <c r="D1549" s="3">
        <v>7794623002257</v>
      </c>
      <c r="E1549" s="8" t="s">
        <v>552</v>
      </c>
      <c r="F1549" s="8" t="s">
        <v>553</v>
      </c>
      <c r="G1549" s="8" t="s">
        <v>233</v>
      </c>
      <c r="H1549" s="8" t="s">
        <v>795</v>
      </c>
      <c r="I1549" s="3">
        <v>2</v>
      </c>
      <c r="J1549" s="8" t="s">
        <v>735</v>
      </c>
      <c r="K1549" s="8" t="s">
        <v>736</v>
      </c>
      <c r="L1549" s="8" t="s">
        <v>723</v>
      </c>
      <c r="M1549" s="1" t="s">
        <v>784</v>
      </c>
      <c r="N1549" s="8" t="s">
        <v>785</v>
      </c>
      <c r="O1549" s="6">
        <v>0</v>
      </c>
      <c r="P1549" s="6">
        <v>0</v>
      </c>
      <c r="Q1549" s="6">
        <v>0</v>
      </c>
      <c r="R1549" s="6">
        <v>0</v>
      </c>
      <c r="S1549" s="6">
        <v>630</v>
      </c>
    </row>
    <row r="1550" spans="1:19" ht="15" x14ac:dyDescent="0.25">
      <c r="A1550" s="7" t="s">
        <v>16</v>
      </c>
      <c r="B1550" s="7" t="s">
        <v>60</v>
      </c>
      <c r="C1550" s="7" t="s">
        <v>18</v>
      </c>
      <c r="D1550" s="3">
        <v>6047087001372</v>
      </c>
      <c r="E1550" s="8" t="s">
        <v>285</v>
      </c>
      <c r="F1550" s="8" t="s">
        <v>286</v>
      </c>
      <c r="G1550" s="8" t="s">
        <v>241</v>
      </c>
      <c r="H1550" s="8" t="s">
        <v>795</v>
      </c>
      <c r="I1550" s="3">
        <v>2</v>
      </c>
      <c r="J1550" s="8" t="s">
        <v>733</v>
      </c>
      <c r="K1550" s="8" t="s">
        <v>734</v>
      </c>
      <c r="L1550" s="8" t="s">
        <v>730</v>
      </c>
      <c r="M1550" s="1" t="s">
        <v>784</v>
      </c>
      <c r="N1550" s="8" t="s">
        <v>785</v>
      </c>
      <c r="O1550" s="6">
        <v>0</v>
      </c>
      <c r="P1550" s="6">
        <v>0</v>
      </c>
      <c r="Q1550" s="6">
        <v>0</v>
      </c>
      <c r="R1550" s="6">
        <v>0</v>
      </c>
      <c r="S1550" s="6">
        <v>0</v>
      </c>
    </row>
    <row r="1551" spans="1:19" ht="15" x14ac:dyDescent="0.25">
      <c r="A1551" s="7" t="s">
        <v>16</v>
      </c>
      <c r="B1551" s="7" t="s">
        <v>60</v>
      </c>
      <c r="C1551" s="7" t="s">
        <v>18</v>
      </c>
      <c r="D1551" s="3">
        <v>6047087001372</v>
      </c>
      <c r="E1551" s="8" t="s">
        <v>285</v>
      </c>
      <c r="F1551" s="8" t="s">
        <v>286</v>
      </c>
      <c r="G1551" s="8" t="s">
        <v>241</v>
      </c>
      <c r="H1551" s="8" t="s">
        <v>795</v>
      </c>
      <c r="I1551" s="3">
        <v>2</v>
      </c>
      <c r="J1551" s="8" t="s">
        <v>760</v>
      </c>
      <c r="K1551" s="8" t="s">
        <v>761</v>
      </c>
      <c r="L1551" s="8" t="s">
        <v>723</v>
      </c>
      <c r="M1551" s="1" t="s">
        <v>784</v>
      </c>
      <c r="N1551" s="8" t="s">
        <v>785</v>
      </c>
      <c r="O1551" s="6">
        <v>0</v>
      </c>
      <c r="P1551" s="6">
        <v>2</v>
      </c>
      <c r="Q1551" s="6">
        <v>0</v>
      </c>
      <c r="R1551" s="6">
        <v>0</v>
      </c>
      <c r="S1551" s="6">
        <v>0</v>
      </c>
    </row>
    <row r="1552" spans="1:19" ht="15" x14ac:dyDescent="0.25">
      <c r="A1552" s="7" t="s">
        <v>16</v>
      </c>
      <c r="B1552" s="7" t="s">
        <v>60</v>
      </c>
      <c r="C1552" s="7" t="s">
        <v>18</v>
      </c>
      <c r="D1552" s="3">
        <v>10558548000105</v>
      </c>
      <c r="E1552" s="8" t="s">
        <v>481</v>
      </c>
      <c r="F1552" s="8" t="s">
        <v>482</v>
      </c>
      <c r="G1552" s="8" t="s">
        <v>241</v>
      </c>
      <c r="H1552" s="8" t="s">
        <v>795</v>
      </c>
      <c r="I1552" s="3">
        <v>2</v>
      </c>
      <c r="J1552" s="8" t="s">
        <v>733</v>
      </c>
      <c r="K1552" s="8" t="s">
        <v>734</v>
      </c>
      <c r="L1552" s="8" t="s">
        <v>730</v>
      </c>
      <c r="M1552" s="1" t="s">
        <v>784</v>
      </c>
      <c r="N1552" s="8" t="s">
        <v>785</v>
      </c>
      <c r="O1552" s="6">
        <v>3</v>
      </c>
      <c r="P1552" s="6">
        <v>0</v>
      </c>
      <c r="Q1552" s="6">
        <v>0</v>
      </c>
      <c r="R1552" s="6">
        <v>0</v>
      </c>
      <c r="S1552" s="6">
        <v>0</v>
      </c>
    </row>
    <row r="1553" spans="1:19" ht="15" x14ac:dyDescent="0.25">
      <c r="A1553" s="7" t="s">
        <v>16</v>
      </c>
      <c r="B1553" s="7" t="s">
        <v>60</v>
      </c>
      <c r="C1553" s="7" t="s">
        <v>18</v>
      </c>
      <c r="D1553" s="3">
        <v>10558548000105</v>
      </c>
      <c r="E1553" s="8" t="s">
        <v>481</v>
      </c>
      <c r="F1553" s="8" t="s">
        <v>482</v>
      </c>
      <c r="G1553" s="8" t="s">
        <v>241</v>
      </c>
      <c r="H1553" s="8" t="s">
        <v>795</v>
      </c>
      <c r="I1553" s="3">
        <v>2</v>
      </c>
      <c r="J1553" s="8" t="s">
        <v>752</v>
      </c>
      <c r="K1553" s="8" t="s">
        <v>753</v>
      </c>
      <c r="L1553" s="8" t="s">
        <v>723</v>
      </c>
      <c r="M1553" s="1" t="s">
        <v>784</v>
      </c>
      <c r="N1553" s="8" t="s">
        <v>785</v>
      </c>
      <c r="O1553" s="6">
        <v>0</v>
      </c>
      <c r="P1553" s="6">
        <v>0</v>
      </c>
      <c r="Q1553" s="6">
        <v>0</v>
      </c>
      <c r="R1553" s="6">
        <v>0</v>
      </c>
      <c r="S1553" s="6">
        <v>0</v>
      </c>
    </row>
    <row r="1554" spans="1:19" ht="15" x14ac:dyDescent="0.25">
      <c r="A1554" s="7" t="s">
        <v>16</v>
      </c>
      <c r="B1554" s="7" t="s">
        <v>60</v>
      </c>
      <c r="C1554" s="7" t="s">
        <v>18</v>
      </c>
      <c r="D1554" s="3">
        <v>25308058000128</v>
      </c>
      <c r="E1554" s="8" t="s">
        <v>501</v>
      </c>
      <c r="F1554" s="8" t="s">
        <v>502</v>
      </c>
      <c r="G1554" s="8" t="s">
        <v>241</v>
      </c>
      <c r="H1554" s="8" t="s">
        <v>795</v>
      </c>
      <c r="I1554" s="3">
        <v>2</v>
      </c>
      <c r="J1554" s="8" t="s">
        <v>733</v>
      </c>
      <c r="K1554" s="8" t="s">
        <v>734</v>
      </c>
      <c r="L1554" s="8" t="s">
        <v>730</v>
      </c>
      <c r="M1554" s="1" t="s">
        <v>784</v>
      </c>
      <c r="N1554" s="8" t="s">
        <v>785</v>
      </c>
      <c r="O1554" s="6">
        <v>0</v>
      </c>
      <c r="P1554" s="6">
        <v>0</v>
      </c>
      <c r="Q1554" s="6">
        <v>0</v>
      </c>
      <c r="R1554" s="6">
        <v>0</v>
      </c>
      <c r="S1554" s="6">
        <v>0</v>
      </c>
    </row>
    <row r="1555" spans="1:19" ht="15" x14ac:dyDescent="0.25">
      <c r="A1555" s="7" t="s">
        <v>16</v>
      </c>
      <c r="B1555" s="7" t="s">
        <v>60</v>
      </c>
      <c r="C1555" s="7" t="s">
        <v>18</v>
      </c>
      <c r="D1555" s="3">
        <v>25308058000128</v>
      </c>
      <c r="E1555" s="8" t="s">
        <v>501</v>
      </c>
      <c r="F1555" s="8" t="s">
        <v>502</v>
      </c>
      <c r="G1555" s="8" t="s">
        <v>241</v>
      </c>
      <c r="H1555" s="8" t="s">
        <v>795</v>
      </c>
      <c r="I1555" s="3">
        <v>2</v>
      </c>
      <c r="J1555" s="8" t="s">
        <v>752</v>
      </c>
      <c r="K1555" s="8" t="s">
        <v>753</v>
      </c>
      <c r="L1555" s="8" t="s">
        <v>723</v>
      </c>
      <c r="M1555" s="1" t="s">
        <v>784</v>
      </c>
      <c r="N1555" s="8" t="s">
        <v>785</v>
      </c>
      <c r="O1555" s="6">
        <v>0</v>
      </c>
      <c r="P1555" s="6">
        <v>2</v>
      </c>
      <c r="Q1555" s="6">
        <v>0</v>
      </c>
      <c r="R1555" s="6">
        <v>0</v>
      </c>
      <c r="S1555" s="6">
        <v>0</v>
      </c>
    </row>
    <row r="1556" spans="1:19" ht="15" x14ac:dyDescent="0.25">
      <c r="A1556" s="7" t="s">
        <v>16</v>
      </c>
      <c r="B1556" s="7" t="s">
        <v>60</v>
      </c>
      <c r="C1556" s="7" t="s">
        <v>18</v>
      </c>
      <c r="D1556" s="3">
        <v>437007000175</v>
      </c>
      <c r="E1556" s="8" t="s">
        <v>239</v>
      </c>
      <c r="F1556" s="8" t="s">
        <v>240</v>
      </c>
      <c r="G1556" s="8" t="s">
        <v>241</v>
      </c>
      <c r="H1556" s="8" t="s">
        <v>795</v>
      </c>
      <c r="I1556" s="3">
        <v>2</v>
      </c>
      <c r="J1556" s="8" t="s">
        <v>733</v>
      </c>
      <c r="K1556" s="8" t="s">
        <v>734</v>
      </c>
      <c r="L1556" s="8" t="s">
        <v>730</v>
      </c>
      <c r="M1556" s="1" t="s">
        <v>784</v>
      </c>
      <c r="N1556" s="8" t="s">
        <v>785</v>
      </c>
      <c r="O1556" s="6">
        <v>0</v>
      </c>
      <c r="P1556" s="6">
        <v>0</v>
      </c>
      <c r="Q1556" s="6">
        <v>0</v>
      </c>
      <c r="R1556" s="6">
        <v>298</v>
      </c>
      <c r="S1556" s="6">
        <v>500</v>
      </c>
    </row>
    <row r="1557" spans="1:19" ht="15" x14ac:dyDescent="0.25">
      <c r="A1557" s="7" t="s">
        <v>16</v>
      </c>
      <c r="B1557" s="7" t="s">
        <v>60</v>
      </c>
      <c r="C1557" s="7" t="s">
        <v>18</v>
      </c>
      <c r="D1557" s="3">
        <v>437007000175</v>
      </c>
      <c r="E1557" s="8" t="s">
        <v>239</v>
      </c>
      <c r="F1557" s="8" t="s">
        <v>240</v>
      </c>
      <c r="G1557" s="8" t="s">
        <v>241</v>
      </c>
      <c r="H1557" s="8" t="s">
        <v>795</v>
      </c>
      <c r="I1557" s="3">
        <v>2</v>
      </c>
      <c r="J1557" s="8" t="s">
        <v>760</v>
      </c>
      <c r="K1557" s="8" t="s">
        <v>761</v>
      </c>
      <c r="L1557" s="8" t="s">
        <v>723</v>
      </c>
      <c r="M1557" s="1" t="s">
        <v>784</v>
      </c>
      <c r="N1557" s="8" t="s">
        <v>785</v>
      </c>
      <c r="O1557" s="6">
        <v>0</v>
      </c>
      <c r="P1557" s="6">
        <v>0</v>
      </c>
      <c r="Q1557" s="6">
        <v>0</v>
      </c>
      <c r="R1557" s="6">
        <v>0</v>
      </c>
      <c r="S1557" s="6">
        <v>500</v>
      </c>
    </row>
    <row r="1558" spans="1:19" ht="15" x14ac:dyDescent="0.25">
      <c r="A1558" s="7" t="s">
        <v>16</v>
      </c>
      <c r="B1558" s="7" t="s">
        <v>60</v>
      </c>
      <c r="C1558" s="7" t="s">
        <v>18</v>
      </c>
      <c r="D1558" s="3">
        <v>60884855001207</v>
      </c>
      <c r="E1558" s="8" t="s">
        <v>377</v>
      </c>
      <c r="F1558" s="8" t="s">
        <v>240</v>
      </c>
      <c r="G1558" s="8" t="s">
        <v>241</v>
      </c>
      <c r="H1558" s="8" t="s">
        <v>795</v>
      </c>
      <c r="I1558" s="3">
        <v>2</v>
      </c>
      <c r="J1558" s="8" t="s">
        <v>733</v>
      </c>
      <c r="K1558" s="8" t="s">
        <v>734</v>
      </c>
      <c r="L1558" s="8" t="s">
        <v>730</v>
      </c>
      <c r="M1558" s="1" t="s">
        <v>784</v>
      </c>
      <c r="N1558" s="8" t="s">
        <v>785</v>
      </c>
      <c r="O1558" s="6">
        <v>0</v>
      </c>
      <c r="P1558" s="6">
        <v>0</v>
      </c>
      <c r="Q1558" s="6">
        <v>0</v>
      </c>
      <c r="R1558" s="6">
        <v>40</v>
      </c>
      <c r="S1558" s="6">
        <v>790</v>
      </c>
    </row>
    <row r="1559" spans="1:19" ht="15" x14ac:dyDescent="0.25">
      <c r="A1559" s="7" t="s">
        <v>16</v>
      </c>
      <c r="B1559" s="7" t="s">
        <v>60</v>
      </c>
      <c r="C1559" s="7" t="s">
        <v>18</v>
      </c>
      <c r="D1559" s="3">
        <v>60884855001207</v>
      </c>
      <c r="E1559" s="8" t="s">
        <v>377</v>
      </c>
      <c r="F1559" s="8" t="s">
        <v>240</v>
      </c>
      <c r="G1559" s="8" t="s">
        <v>241</v>
      </c>
      <c r="H1559" s="8" t="s">
        <v>795</v>
      </c>
      <c r="I1559" s="3">
        <v>2</v>
      </c>
      <c r="J1559" s="8" t="s">
        <v>760</v>
      </c>
      <c r="K1559" s="8" t="s">
        <v>761</v>
      </c>
      <c r="L1559" s="8" t="s">
        <v>723</v>
      </c>
      <c r="M1559" s="1" t="s">
        <v>784</v>
      </c>
      <c r="N1559" s="8" t="s">
        <v>785</v>
      </c>
      <c r="O1559" s="6">
        <v>0</v>
      </c>
      <c r="P1559" s="6">
        <v>0</v>
      </c>
      <c r="Q1559" s="6">
        <v>13</v>
      </c>
      <c r="R1559" s="6">
        <v>0</v>
      </c>
      <c r="S1559" s="6">
        <v>790</v>
      </c>
    </row>
    <row r="1560" spans="1:19" ht="15" x14ac:dyDescent="0.25">
      <c r="A1560" s="7" t="s">
        <v>16</v>
      </c>
      <c r="B1560" s="7" t="s">
        <v>60</v>
      </c>
      <c r="C1560" s="7" t="s">
        <v>18</v>
      </c>
      <c r="D1560" s="3">
        <v>28523215000378</v>
      </c>
      <c r="E1560" s="8" t="s">
        <v>646</v>
      </c>
      <c r="F1560" s="8" t="s">
        <v>240</v>
      </c>
      <c r="G1560" s="8" t="s">
        <v>241</v>
      </c>
      <c r="H1560" s="8" t="s">
        <v>795</v>
      </c>
      <c r="I1560" s="3">
        <v>2</v>
      </c>
      <c r="J1560" s="8" t="s">
        <v>733</v>
      </c>
      <c r="K1560" s="8" t="s">
        <v>734</v>
      </c>
      <c r="L1560" s="8" t="s">
        <v>730</v>
      </c>
      <c r="M1560" s="1" t="s">
        <v>784</v>
      </c>
      <c r="N1560" s="8" t="s">
        <v>785</v>
      </c>
      <c r="O1560" s="6">
        <v>0</v>
      </c>
      <c r="P1560" s="6">
        <v>0</v>
      </c>
      <c r="Q1560" s="6">
        <v>0</v>
      </c>
      <c r="R1560" s="6">
        <v>0</v>
      </c>
      <c r="S1560" s="6">
        <v>300</v>
      </c>
    </row>
    <row r="1561" spans="1:19" ht="15" x14ac:dyDescent="0.25">
      <c r="A1561" s="7" t="s">
        <v>16</v>
      </c>
      <c r="B1561" s="7" t="s">
        <v>60</v>
      </c>
      <c r="C1561" s="7" t="s">
        <v>18</v>
      </c>
      <c r="D1561" s="3">
        <v>28523215000378</v>
      </c>
      <c r="E1561" s="8" t="s">
        <v>646</v>
      </c>
      <c r="F1561" s="8" t="s">
        <v>240</v>
      </c>
      <c r="G1561" s="8" t="s">
        <v>241</v>
      </c>
      <c r="H1561" s="8" t="s">
        <v>795</v>
      </c>
      <c r="I1561" s="3">
        <v>2</v>
      </c>
      <c r="J1561" s="8" t="s">
        <v>760</v>
      </c>
      <c r="K1561" s="8" t="s">
        <v>761</v>
      </c>
      <c r="L1561" s="8" t="s">
        <v>723</v>
      </c>
      <c r="M1561" s="1" t="s">
        <v>784</v>
      </c>
      <c r="N1561" s="8" t="s">
        <v>785</v>
      </c>
      <c r="O1561" s="6">
        <v>0</v>
      </c>
      <c r="P1561" s="6">
        <v>0</v>
      </c>
      <c r="Q1561" s="6">
        <v>0</v>
      </c>
      <c r="R1561" s="6">
        <v>0</v>
      </c>
      <c r="S1561" s="6">
        <v>300</v>
      </c>
    </row>
    <row r="1562" spans="1:19" ht="15" x14ac:dyDescent="0.25">
      <c r="A1562" s="7" t="s">
        <v>16</v>
      </c>
      <c r="B1562" s="7" t="s">
        <v>60</v>
      </c>
      <c r="C1562" s="7" t="s">
        <v>18</v>
      </c>
      <c r="D1562" s="3">
        <v>521197000104</v>
      </c>
      <c r="E1562" s="8" t="s">
        <v>526</v>
      </c>
      <c r="F1562" s="8" t="s">
        <v>240</v>
      </c>
      <c r="G1562" s="8" t="s">
        <v>241</v>
      </c>
      <c r="H1562" s="8" t="s">
        <v>795</v>
      </c>
      <c r="I1562" s="3">
        <v>2</v>
      </c>
      <c r="J1562" s="8" t="s">
        <v>733</v>
      </c>
      <c r="K1562" s="8" t="s">
        <v>734</v>
      </c>
      <c r="L1562" s="8" t="s">
        <v>730</v>
      </c>
      <c r="M1562" s="1" t="s">
        <v>784</v>
      </c>
      <c r="N1562" s="8" t="s">
        <v>785</v>
      </c>
      <c r="O1562" s="6">
        <v>0</v>
      </c>
      <c r="P1562" s="6">
        <v>0</v>
      </c>
      <c r="Q1562" s="6">
        <v>0</v>
      </c>
      <c r="R1562" s="6">
        <v>0</v>
      </c>
      <c r="S1562" s="6">
        <v>298</v>
      </c>
    </row>
    <row r="1563" spans="1:19" ht="15" x14ac:dyDescent="0.25">
      <c r="A1563" s="7" t="s">
        <v>16</v>
      </c>
      <c r="B1563" s="7" t="s">
        <v>60</v>
      </c>
      <c r="C1563" s="7" t="s">
        <v>18</v>
      </c>
      <c r="D1563" s="3">
        <v>521197000104</v>
      </c>
      <c r="E1563" s="8" t="s">
        <v>526</v>
      </c>
      <c r="F1563" s="8" t="s">
        <v>240</v>
      </c>
      <c r="G1563" s="8" t="s">
        <v>241</v>
      </c>
      <c r="H1563" s="8" t="s">
        <v>795</v>
      </c>
      <c r="I1563" s="3">
        <v>2</v>
      </c>
      <c r="J1563" s="8" t="s">
        <v>752</v>
      </c>
      <c r="K1563" s="8" t="s">
        <v>753</v>
      </c>
      <c r="L1563" s="8" t="s">
        <v>723</v>
      </c>
      <c r="M1563" s="1" t="s">
        <v>784</v>
      </c>
      <c r="N1563" s="8" t="s">
        <v>785</v>
      </c>
      <c r="O1563" s="6">
        <v>0</v>
      </c>
      <c r="P1563" s="6">
        <v>0</v>
      </c>
      <c r="Q1563" s="6">
        <v>0</v>
      </c>
      <c r="R1563" s="6">
        <v>0</v>
      </c>
      <c r="S1563" s="6">
        <v>298</v>
      </c>
    </row>
    <row r="1564" spans="1:19" ht="15" x14ac:dyDescent="0.25">
      <c r="A1564" s="7" t="s">
        <v>16</v>
      </c>
      <c r="B1564" s="7" t="s">
        <v>60</v>
      </c>
      <c r="C1564" s="7" t="s">
        <v>18</v>
      </c>
      <c r="D1564" s="3">
        <v>7794623001528</v>
      </c>
      <c r="E1564" s="8" t="s">
        <v>298</v>
      </c>
      <c r="F1564" s="8" t="s">
        <v>299</v>
      </c>
      <c r="G1564" s="8" t="s">
        <v>241</v>
      </c>
      <c r="H1564" s="8" t="s">
        <v>795</v>
      </c>
      <c r="I1564" s="3">
        <v>2</v>
      </c>
      <c r="J1564" s="8" t="s">
        <v>733</v>
      </c>
      <c r="K1564" s="8" t="s">
        <v>734</v>
      </c>
      <c r="L1564" s="8" t="s">
        <v>730</v>
      </c>
      <c r="M1564" s="1" t="s">
        <v>784</v>
      </c>
      <c r="N1564" s="8" t="s">
        <v>785</v>
      </c>
      <c r="O1564" s="6">
        <v>0</v>
      </c>
      <c r="P1564" s="6">
        <v>0</v>
      </c>
      <c r="Q1564" s="6">
        <v>0</v>
      </c>
      <c r="R1564" s="6">
        <v>28</v>
      </c>
      <c r="S1564" s="6">
        <v>0</v>
      </c>
    </row>
    <row r="1565" spans="1:19" ht="15" x14ac:dyDescent="0.25">
      <c r="A1565" s="7" t="s">
        <v>16</v>
      </c>
      <c r="B1565" s="7" t="s">
        <v>60</v>
      </c>
      <c r="C1565" s="7" t="s">
        <v>18</v>
      </c>
      <c r="D1565" s="3">
        <v>7794623001528</v>
      </c>
      <c r="E1565" s="8" t="s">
        <v>298</v>
      </c>
      <c r="F1565" s="8" t="s">
        <v>299</v>
      </c>
      <c r="G1565" s="8" t="s">
        <v>241</v>
      </c>
      <c r="H1565" s="8" t="s">
        <v>795</v>
      </c>
      <c r="I1565" s="3">
        <v>2</v>
      </c>
      <c r="J1565" s="8" t="s">
        <v>760</v>
      </c>
      <c r="K1565" s="8" t="s">
        <v>761</v>
      </c>
      <c r="L1565" s="8" t="s">
        <v>723</v>
      </c>
      <c r="M1565" s="1" t="s">
        <v>784</v>
      </c>
      <c r="N1565" s="8" t="s">
        <v>785</v>
      </c>
      <c r="O1565" s="6">
        <v>0</v>
      </c>
      <c r="P1565" s="6">
        <v>0</v>
      </c>
      <c r="Q1565" s="6">
        <v>0</v>
      </c>
      <c r="R1565" s="6">
        <v>0</v>
      </c>
      <c r="S1565" s="6">
        <v>0</v>
      </c>
    </row>
    <row r="1566" spans="1:19" ht="15" x14ac:dyDescent="0.25">
      <c r="A1566" s="7" t="s">
        <v>16</v>
      </c>
      <c r="B1566" s="7" t="s">
        <v>60</v>
      </c>
      <c r="C1566" s="7" t="s">
        <v>18</v>
      </c>
      <c r="D1566" s="3">
        <v>30638381000108</v>
      </c>
      <c r="E1566" s="8" t="s">
        <v>647</v>
      </c>
      <c r="F1566" s="8" t="s">
        <v>367</v>
      </c>
      <c r="G1566" s="8" t="s">
        <v>241</v>
      </c>
      <c r="H1566" s="8" t="s">
        <v>795</v>
      </c>
      <c r="I1566" s="3">
        <v>2</v>
      </c>
      <c r="J1566" s="8" t="s">
        <v>733</v>
      </c>
      <c r="K1566" s="8" t="s">
        <v>734</v>
      </c>
      <c r="L1566" s="8" t="s">
        <v>730</v>
      </c>
      <c r="M1566" s="1" t="s">
        <v>784</v>
      </c>
      <c r="N1566" s="8" t="s">
        <v>785</v>
      </c>
      <c r="O1566" s="6">
        <v>0</v>
      </c>
      <c r="P1566" s="6">
        <v>0</v>
      </c>
      <c r="Q1566" s="6">
        <v>0</v>
      </c>
      <c r="R1566" s="6">
        <v>0</v>
      </c>
      <c r="S1566" s="6">
        <v>125</v>
      </c>
    </row>
    <row r="1567" spans="1:19" ht="15" x14ac:dyDescent="0.25">
      <c r="A1567" s="7" t="s">
        <v>16</v>
      </c>
      <c r="B1567" s="7" t="s">
        <v>60</v>
      </c>
      <c r="C1567" s="7" t="s">
        <v>18</v>
      </c>
      <c r="D1567" s="3">
        <v>30638381000108</v>
      </c>
      <c r="E1567" s="8" t="s">
        <v>647</v>
      </c>
      <c r="F1567" s="8" t="s">
        <v>367</v>
      </c>
      <c r="G1567" s="8" t="s">
        <v>241</v>
      </c>
      <c r="H1567" s="8" t="s">
        <v>795</v>
      </c>
      <c r="I1567" s="3">
        <v>2</v>
      </c>
      <c r="J1567" s="8" t="s">
        <v>752</v>
      </c>
      <c r="K1567" s="8" t="s">
        <v>753</v>
      </c>
      <c r="L1567" s="8" t="s">
        <v>723</v>
      </c>
      <c r="M1567" s="1" t="s">
        <v>784</v>
      </c>
      <c r="N1567" s="8" t="s">
        <v>785</v>
      </c>
      <c r="O1567" s="6">
        <v>0</v>
      </c>
      <c r="P1567" s="6">
        <v>0</v>
      </c>
      <c r="Q1567" s="6">
        <v>0</v>
      </c>
      <c r="R1567" s="6">
        <v>0</v>
      </c>
      <c r="S1567" s="6">
        <v>125</v>
      </c>
    </row>
    <row r="1568" spans="1:19" ht="15" x14ac:dyDescent="0.25">
      <c r="A1568" s="7" t="s">
        <v>16</v>
      </c>
      <c r="B1568" s="7" t="s">
        <v>60</v>
      </c>
      <c r="C1568" s="7" t="s">
        <v>18</v>
      </c>
      <c r="D1568" s="3">
        <v>28806545000532</v>
      </c>
      <c r="E1568" s="8" t="s">
        <v>366</v>
      </c>
      <c r="F1568" s="8" t="s">
        <v>367</v>
      </c>
      <c r="G1568" s="8" t="s">
        <v>241</v>
      </c>
      <c r="H1568" s="8" t="s">
        <v>795</v>
      </c>
      <c r="I1568" s="3">
        <v>2</v>
      </c>
      <c r="J1568" s="8" t="s">
        <v>733</v>
      </c>
      <c r="K1568" s="8" t="s">
        <v>734</v>
      </c>
      <c r="L1568" s="8" t="s">
        <v>730</v>
      </c>
      <c r="M1568" s="1" t="s">
        <v>784</v>
      </c>
      <c r="N1568" s="8" t="s">
        <v>785</v>
      </c>
      <c r="O1568" s="6">
        <v>0</v>
      </c>
      <c r="P1568" s="6">
        <v>0</v>
      </c>
      <c r="Q1568" s="6">
        <v>0</v>
      </c>
      <c r="R1568" s="6">
        <v>96</v>
      </c>
      <c r="S1568" s="6">
        <v>0</v>
      </c>
    </row>
    <row r="1569" spans="1:19" ht="15" x14ac:dyDescent="0.25">
      <c r="A1569" s="7" t="s">
        <v>16</v>
      </c>
      <c r="B1569" s="7" t="s">
        <v>60</v>
      </c>
      <c r="C1569" s="7" t="s">
        <v>18</v>
      </c>
      <c r="D1569" s="3">
        <v>28806545000532</v>
      </c>
      <c r="E1569" s="8" t="s">
        <v>366</v>
      </c>
      <c r="F1569" s="8" t="s">
        <v>367</v>
      </c>
      <c r="G1569" s="8" t="s">
        <v>241</v>
      </c>
      <c r="H1569" s="8" t="s">
        <v>795</v>
      </c>
      <c r="I1569" s="3">
        <v>2</v>
      </c>
      <c r="J1569" s="8" t="s">
        <v>752</v>
      </c>
      <c r="K1569" s="8" t="s">
        <v>753</v>
      </c>
      <c r="L1569" s="8" t="s">
        <v>723</v>
      </c>
      <c r="M1569" s="1" t="s">
        <v>784</v>
      </c>
      <c r="N1569" s="8" t="s">
        <v>785</v>
      </c>
      <c r="O1569" s="6">
        <v>0</v>
      </c>
      <c r="P1569" s="6">
        <v>0</v>
      </c>
      <c r="Q1569" s="6">
        <v>0</v>
      </c>
      <c r="R1569" s="6">
        <v>0</v>
      </c>
      <c r="S1569" s="6">
        <v>0</v>
      </c>
    </row>
    <row r="1570" spans="1:19" ht="15" x14ac:dyDescent="0.25">
      <c r="A1570" s="7" t="s">
        <v>16</v>
      </c>
      <c r="B1570" s="7" t="s">
        <v>60</v>
      </c>
      <c r="C1570" s="7" t="s">
        <v>18</v>
      </c>
      <c r="D1570" s="3">
        <v>68709211000212</v>
      </c>
      <c r="E1570" s="8" t="s">
        <v>459</v>
      </c>
      <c r="F1570" s="8" t="s">
        <v>369</v>
      </c>
      <c r="G1570" s="8" t="s">
        <v>241</v>
      </c>
      <c r="H1570" s="8" t="s">
        <v>795</v>
      </c>
      <c r="I1570" s="3">
        <v>2</v>
      </c>
      <c r="J1570" s="8" t="s">
        <v>733</v>
      </c>
      <c r="K1570" s="8" t="s">
        <v>734</v>
      </c>
      <c r="L1570" s="8" t="s">
        <v>730</v>
      </c>
      <c r="M1570" s="1" t="s">
        <v>784</v>
      </c>
      <c r="N1570" s="8" t="s">
        <v>785</v>
      </c>
      <c r="O1570" s="6">
        <v>0</v>
      </c>
      <c r="P1570" s="6">
        <v>0</v>
      </c>
      <c r="Q1570" s="6">
        <v>0</v>
      </c>
      <c r="R1570" s="6">
        <v>0</v>
      </c>
      <c r="S1570" s="6">
        <v>200</v>
      </c>
    </row>
    <row r="1571" spans="1:19" ht="15" x14ac:dyDescent="0.25">
      <c r="A1571" s="7" t="s">
        <v>16</v>
      </c>
      <c r="B1571" s="7" t="s">
        <v>60</v>
      </c>
      <c r="C1571" s="7" t="s">
        <v>18</v>
      </c>
      <c r="D1571" s="3">
        <v>68709211000212</v>
      </c>
      <c r="E1571" s="8" t="s">
        <v>459</v>
      </c>
      <c r="F1571" s="8" t="s">
        <v>369</v>
      </c>
      <c r="G1571" s="8" t="s">
        <v>241</v>
      </c>
      <c r="H1571" s="8" t="s">
        <v>795</v>
      </c>
      <c r="I1571" s="3">
        <v>2</v>
      </c>
      <c r="J1571" s="8" t="s">
        <v>752</v>
      </c>
      <c r="K1571" s="8" t="s">
        <v>753</v>
      </c>
      <c r="L1571" s="8" t="s">
        <v>723</v>
      </c>
      <c r="M1571" s="1" t="s">
        <v>784</v>
      </c>
      <c r="N1571" s="8" t="s">
        <v>785</v>
      </c>
      <c r="O1571" s="6">
        <v>0</v>
      </c>
      <c r="P1571" s="6">
        <v>2</v>
      </c>
      <c r="Q1571" s="6">
        <v>0</v>
      </c>
      <c r="R1571" s="6">
        <v>0</v>
      </c>
      <c r="S1571" s="6">
        <v>200</v>
      </c>
    </row>
    <row r="1572" spans="1:19" ht="15" x14ac:dyDescent="0.25">
      <c r="A1572" s="7" t="s">
        <v>16</v>
      </c>
      <c r="B1572" s="7" t="s">
        <v>60</v>
      </c>
      <c r="C1572" s="7" t="s">
        <v>18</v>
      </c>
      <c r="D1572" s="3">
        <v>29072642000188</v>
      </c>
      <c r="E1572" s="8" t="s">
        <v>368</v>
      </c>
      <c r="F1572" s="8" t="s">
        <v>369</v>
      </c>
      <c r="G1572" s="8" t="s">
        <v>241</v>
      </c>
      <c r="H1572" s="8" t="s">
        <v>795</v>
      </c>
      <c r="I1572" s="3">
        <v>2</v>
      </c>
      <c r="J1572" s="8" t="s">
        <v>733</v>
      </c>
      <c r="K1572" s="8" t="s">
        <v>734</v>
      </c>
      <c r="L1572" s="8" t="s">
        <v>730</v>
      </c>
      <c r="M1572" s="1" t="s">
        <v>784</v>
      </c>
      <c r="N1572" s="8" t="s">
        <v>785</v>
      </c>
      <c r="O1572" s="6">
        <v>0</v>
      </c>
      <c r="P1572" s="6">
        <v>0</v>
      </c>
      <c r="Q1572" s="6">
        <v>0</v>
      </c>
      <c r="R1572" s="6">
        <v>0</v>
      </c>
      <c r="S1572" s="6">
        <v>0</v>
      </c>
    </row>
    <row r="1573" spans="1:19" ht="15" x14ac:dyDescent="0.25">
      <c r="A1573" s="7" t="s">
        <v>16</v>
      </c>
      <c r="B1573" s="7" t="s">
        <v>60</v>
      </c>
      <c r="C1573" s="7" t="s">
        <v>18</v>
      </c>
      <c r="D1573" s="3">
        <v>29072642000188</v>
      </c>
      <c r="E1573" s="8" t="s">
        <v>368</v>
      </c>
      <c r="F1573" s="8" t="s">
        <v>369</v>
      </c>
      <c r="G1573" s="8" t="s">
        <v>241</v>
      </c>
      <c r="H1573" s="8" t="s">
        <v>795</v>
      </c>
      <c r="I1573" s="3">
        <v>2</v>
      </c>
      <c r="J1573" s="8" t="s">
        <v>752</v>
      </c>
      <c r="K1573" s="8" t="s">
        <v>753</v>
      </c>
      <c r="L1573" s="8" t="s">
        <v>723</v>
      </c>
      <c r="M1573" s="1" t="s">
        <v>784</v>
      </c>
      <c r="N1573" s="8" t="s">
        <v>785</v>
      </c>
      <c r="O1573" s="6">
        <v>0</v>
      </c>
      <c r="P1573" s="6">
        <v>10</v>
      </c>
      <c r="Q1573" s="6">
        <v>0</v>
      </c>
      <c r="R1573" s="6">
        <v>0</v>
      </c>
      <c r="S1573" s="6">
        <v>0</v>
      </c>
    </row>
    <row r="1574" spans="1:19" ht="15" x14ac:dyDescent="0.25">
      <c r="A1574" s="7" t="s">
        <v>16</v>
      </c>
      <c r="B1574" s="7" t="s">
        <v>60</v>
      </c>
      <c r="C1574" s="7" t="s">
        <v>18</v>
      </c>
      <c r="D1574" s="3">
        <v>21109731000140</v>
      </c>
      <c r="E1574" s="8" t="s">
        <v>672</v>
      </c>
      <c r="F1574" s="8" t="s">
        <v>652</v>
      </c>
      <c r="G1574" s="8" t="s">
        <v>241</v>
      </c>
      <c r="H1574" s="8" t="s">
        <v>795</v>
      </c>
      <c r="I1574" s="3">
        <v>2</v>
      </c>
      <c r="J1574" s="8" t="s">
        <v>733</v>
      </c>
      <c r="K1574" s="8" t="s">
        <v>734</v>
      </c>
      <c r="L1574" s="8" t="s">
        <v>730</v>
      </c>
      <c r="M1574" s="1" t="s">
        <v>784</v>
      </c>
      <c r="N1574" s="8" t="s">
        <v>785</v>
      </c>
      <c r="O1574" s="6">
        <v>0</v>
      </c>
      <c r="P1574" s="6">
        <v>0</v>
      </c>
      <c r="Q1574" s="6">
        <v>0</v>
      </c>
      <c r="R1574" s="6">
        <v>112</v>
      </c>
      <c r="S1574" s="6">
        <v>0</v>
      </c>
    </row>
    <row r="1575" spans="1:19" ht="15" x14ac:dyDescent="0.25">
      <c r="A1575" s="7" t="s">
        <v>16</v>
      </c>
      <c r="B1575" s="7" t="s">
        <v>60</v>
      </c>
      <c r="C1575" s="7" t="s">
        <v>18</v>
      </c>
      <c r="D1575" s="3">
        <v>21109731000140</v>
      </c>
      <c r="E1575" s="8" t="s">
        <v>672</v>
      </c>
      <c r="F1575" s="8" t="s">
        <v>652</v>
      </c>
      <c r="G1575" s="8" t="s">
        <v>241</v>
      </c>
      <c r="H1575" s="8" t="s">
        <v>795</v>
      </c>
      <c r="I1575" s="3">
        <v>2</v>
      </c>
      <c r="J1575" s="8" t="s">
        <v>760</v>
      </c>
      <c r="K1575" s="8" t="s">
        <v>761</v>
      </c>
      <c r="L1575" s="8" t="s">
        <v>723</v>
      </c>
      <c r="M1575" s="1" t="s">
        <v>784</v>
      </c>
      <c r="N1575" s="8" t="s">
        <v>785</v>
      </c>
      <c r="O1575" s="6">
        <v>0</v>
      </c>
      <c r="P1575" s="6">
        <v>0</v>
      </c>
      <c r="Q1575" s="6">
        <v>0</v>
      </c>
      <c r="R1575" s="6">
        <v>0</v>
      </c>
      <c r="S1575" s="6">
        <v>0</v>
      </c>
    </row>
    <row r="1576" spans="1:19" ht="15" x14ac:dyDescent="0.25">
      <c r="A1576" s="7" t="s">
        <v>16</v>
      </c>
      <c r="B1576" s="7" t="s">
        <v>60</v>
      </c>
      <c r="C1576" s="7" t="s">
        <v>18</v>
      </c>
      <c r="D1576" s="3">
        <v>60922168000348</v>
      </c>
      <c r="E1576" s="8" t="s">
        <v>694</v>
      </c>
      <c r="F1576" s="8" t="s">
        <v>652</v>
      </c>
      <c r="G1576" s="8" t="s">
        <v>241</v>
      </c>
      <c r="H1576" s="8" t="s">
        <v>795</v>
      </c>
      <c r="I1576" s="3">
        <v>2</v>
      </c>
      <c r="J1576" s="8" t="s">
        <v>733</v>
      </c>
      <c r="K1576" s="8" t="s">
        <v>734</v>
      </c>
      <c r="L1576" s="8" t="s">
        <v>730</v>
      </c>
      <c r="M1576" s="1" t="s">
        <v>784</v>
      </c>
      <c r="N1576" s="8" t="s">
        <v>785</v>
      </c>
      <c r="O1576" s="6">
        <v>0</v>
      </c>
      <c r="P1576" s="6">
        <v>0</v>
      </c>
      <c r="Q1576" s="6">
        <v>0</v>
      </c>
      <c r="R1576" s="6">
        <v>0</v>
      </c>
      <c r="S1576" s="6">
        <v>130</v>
      </c>
    </row>
    <row r="1577" spans="1:19" ht="15" x14ac:dyDescent="0.25">
      <c r="A1577" s="7" t="s">
        <v>16</v>
      </c>
      <c r="B1577" s="7" t="s">
        <v>60</v>
      </c>
      <c r="C1577" s="7" t="s">
        <v>18</v>
      </c>
      <c r="D1577" s="3">
        <v>60922168000348</v>
      </c>
      <c r="E1577" s="8" t="s">
        <v>694</v>
      </c>
      <c r="F1577" s="8" t="s">
        <v>652</v>
      </c>
      <c r="G1577" s="8" t="s">
        <v>241</v>
      </c>
      <c r="H1577" s="8" t="s">
        <v>795</v>
      </c>
      <c r="I1577" s="3">
        <v>2</v>
      </c>
      <c r="J1577" s="8" t="s">
        <v>760</v>
      </c>
      <c r="K1577" s="8" t="s">
        <v>761</v>
      </c>
      <c r="L1577" s="8" t="s">
        <v>723</v>
      </c>
      <c r="M1577" s="1" t="s">
        <v>784</v>
      </c>
      <c r="N1577" s="8" t="s">
        <v>785</v>
      </c>
      <c r="O1577" s="6">
        <v>0</v>
      </c>
      <c r="P1577" s="6">
        <v>3</v>
      </c>
      <c r="Q1577" s="6">
        <v>6</v>
      </c>
      <c r="R1577" s="6">
        <v>0</v>
      </c>
      <c r="S1577" s="6">
        <v>130</v>
      </c>
    </row>
    <row r="1578" spans="1:19" ht="15" x14ac:dyDescent="0.25">
      <c r="A1578" s="7" t="s">
        <v>16</v>
      </c>
      <c r="B1578" s="7" t="s">
        <v>60</v>
      </c>
      <c r="C1578" s="7" t="s">
        <v>18</v>
      </c>
      <c r="D1578" s="3">
        <v>7794623004896</v>
      </c>
      <c r="E1578" s="8" t="s">
        <v>664</v>
      </c>
      <c r="F1578" s="8" t="s">
        <v>652</v>
      </c>
      <c r="G1578" s="8" t="s">
        <v>241</v>
      </c>
      <c r="H1578" s="8" t="s">
        <v>795</v>
      </c>
      <c r="I1578" s="3">
        <v>2</v>
      </c>
      <c r="J1578" s="8" t="s">
        <v>733</v>
      </c>
      <c r="K1578" s="8" t="s">
        <v>734</v>
      </c>
      <c r="L1578" s="8" t="s">
        <v>730</v>
      </c>
      <c r="M1578" s="1" t="s">
        <v>784</v>
      </c>
      <c r="N1578" s="8" t="s">
        <v>785</v>
      </c>
      <c r="O1578" s="6">
        <v>0</v>
      </c>
      <c r="P1578" s="6">
        <v>0</v>
      </c>
      <c r="Q1578" s="6">
        <v>0</v>
      </c>
      <c r="R1578" s="6">
        <v>0</v>
      </c>
      <c r="S1578" s="6">
        <v>1750</v>
      </c>
    </row>
    <row r="1579" spans="1:19" ht="15" x14ac:dyDescent="0.25">
      <c r="A1579" s="7" t="s">
        <v>16</v>
      </c>
      <c r="B1579" s="7" t="s">
        <v>60</v>
      </c>
      <c r="C1579" s="7" t="s">
        <v>18</v>
      </c>
      <c r="D1579" s="3">
        <v>7794623004896</v>
      </c>
      <c r="E1579" s="8" t="s">
        <v>664</v>
      </c>
      <c r="F1579" s="8" t="s">
        <v>652</v>
      </c>
      <c r="G1579" s="8" t="s">
        <v>241</v>
      </c>
      <c r="H1579" s="8" t="s">
        <v>795</v>
      </c>
      <c r="I1579" s="3">
        <v>2</v>
      </c>
      <c r="J1579" s="8" t="s">
        <v>760</v>
      </c>
      <c r="K1579" s="8" t="s">
        <v>761</v>
      </c>
      <c r="L1579" s="8" t="s">
        <v>723</v>
      </c>
      <c r="M1579" s="1" t="s">
        <v>784</v>
      </c>
      <c r="N1579" s="8" t="s">
        <v>785</v>
      </c>
      <c r="O1579" s="6">
        <v>0</v>
      </c>
      <c r="P1579" s="6">
        <v>0</v>
      </c>
      <c r="Q1579" s="6">
        <v>0</v>
      </c>
      <c r="R1579" s="6">
        <v>0</v>
      </c>
      <c r="S1579" s="6">
        <v>1750</v>
      </c>
    </row>
    <row r="1580" spans="1:19" ht="15" x14ac:dyDescent="0.25">
      <c r="A1580" s="7" t="s">
        <v>16</v>
      </c>
      <c r="B1580" s="7" t="s">
        <v>60</v>
      </c>
      <c r="C1580" s="7" t="s">
        <v>18</v>
      </c>
      <c r="D1580" s="3">
        <v>2864097000106</v>
      </c>
      <c r="E1580" s="8" t="s">
        <v>659</v>
      </c>
      <c r="F1580" s="8" t="s">
        <v>652</v>
      </c>
      <c r="G1580" s="8" t="s">
        <v>241</v>
      </c>
      <c r="H1580" s="8" t="s">
        <v>795</v>
      </c>
      <c r="I1580" s="3">
        <v>2</v>
      </c>
      <c r="J1580" s="8" t="s">
        <v>733</v>
      </c>
      <c r="K1580" s="8" t="s">
        <v>734</v>
      </c>
      <c r="L1580" s="8" t="s">
        <v>730</v>
      </c>
      <c r="M1580" s="1" t="s">
        <v>784</v>
      </c>
      <c r="N1580" s="8" t="s">
        <v>785</v>
      </c>
      <c r="O1580" s="6">
        <v>0</v>
      </c>
      <c r="P1580" s="6">
        <v>0</v>
      </c>
      <c r="Q1580" s="6">
        <v>0</v>
      </c>
      <c r="R1580" s="6">
        <v>0</v>
      </c>
      <c r="S1580" s="6">
        <v>40</v>
      </c>
    </row>
    <row r="1581" spans="1:19" ht="15" x14ac:dyDescent="0.25">
      <c r="A1581" s="7" t="s">
        <v>16</v>
      </c>
      <c r="B1581" s="7" t="s">
        <v>60</v>
      </c>
      <c r="C1581" s="7" t="s">
        <v>18</v>
      </c>
      <c r="D1581" s="3">
        <v>2864097000106</v>
      </c>
      <c r="E1581" s="8" t="s">
        <v>659</v>
      </c>
      <c r="F1581" s="8" t="s">
        <v>652</v>
      </c>
      <c r="G1581" s="8" t="s">
        <v>241</v>
      </c>
      <c r="H1581" s="8" t="s">
        <v>795</v>
      </c>
      <c r="I1581" s="3">
        <v>2</v>
      </c>
      <c r="J1581" s="8" t="s">
        <v>760</v>
      </c>
      <c r="K1581" s="8" t="s">
        <v>761</v>
      </c>
      <c r="L1581" s="8" t="s">
        <v>723</v>
      </c>
      <c r="M1581" s="1" t="s">
        <v>784</v>
      </c>
      <c r="N1581" s="8" t="s">
        <v>785</v>
      </c>
      <c r="O1581" s="6">
        <v>0</v>
      </c>
      <c r="P1581" s="6">
        <v>0</v>
      </c>
      <c r="Q1581" s="6">
        <v>0</v>
      </c>
      <c r="R1581" s="6">
        <v>0</v>
      </c>
      <c r="S1581" s="6">
        <v>40</v>
      </c>
    </row>
    <row r="1582" spans="1:19" ht="15" x14ac:dyDescent="0.25">
      <c r="A1582" s="7" t="s">
        <v>16</v>
      </c>
      <c r="B1582" s="7" t="s">
        <v>60</v>
      </c>
      <c r="C1582" s="7" t="s">
        <v>18</v>
      </c>
      <c r="D1582" s="3">
        <v>39086160000130</v>
      </c>
      <c r="E1582" s="8" t="s">
        <v>691</v>
      </c>
      <c r="F1582" s="8" t="s">
        <v>652</v>
      </c>
      <c r="G1582" s="8" t="s">
        <v>241</v>
      </c>
      <c r="H1582" s="8" t="s">
        <v>795</v>
      </c>
      <c r="I1582" s="3">
        <v>2</v>
      </c>
      <c r="J1582" s="8" t="s">
        <v>733</v>
      </c>
      <c r="K1582" s="8" t="s">
        <v>734</v>
      </c>
      <c r="L1582" s="8" t="s">
        <v>730</v>
      </c>
      <c r="M1582" s="1" t="s">
        <v>784</v>
      </c>
      <c r="N1582" s="8" t="s">
        <v>785</v>
      </c>
      <c r="O1582" s="6">
        <v>0</v>
      </c>
      <c r="P1582" s="6">
        <v>0</v>
      </c>
      <c r="Q1582" s="6">
        <v>0</v>
      </c>
      <c r="R1582" s="6">
        <v>88</v>
      </c>
      <c r="S1582" s="6">
        <v>180</v>
      </c>
    </row>
    <row r="1583" spans="1:19" ht="15" x14ac:dyDescent="0.25">
      <c r="A1583" s="7" t="s">
        <v>16</v>
      </c>
      <c r="B1583" s="7" t="s">
        <v>60</v>
      </c>
      <c r="C1583" s="7" t="s">
        <v>18</v>
      </c>
      <c r="D1583" s="3">
        <v>39086160000130</v>
      </c>
      <c r="E1583" s="8" t="s">
        <v>691</v>
      </c>
      <c r="F1583" s="8" t="s">
        <v>652</v>
      </c>
      <c r="G1583" s="8" t="s">
        <v>241</v>
      </c>
      <c r="H1583" s="8" t="s">
        <v>795</v>
      </c>
      <c r="I1583" s="3">
        <v>2</v>
      </c>
      <c r="J1583" s="8" t="s">
        <v>760</v>
      </c>
      <c r="K1583" s="8" t="s">
        <v>761</v>
      </c>
      <c r="L1583" s="8" t="s">
        <v>723</v>
      </c>
      <c r="M1583" s="1" t="s">
        <v>784</v>
      </c>
      <c r="N1583" s="8" t="s">
        <v>785</v>
      </c>
      <c r="O1583" s="6">
        <v>0</v>
      </c>
      <c r="P1583" s="6">
        <v>0</v>
      </c>
      <c r="Q1583" s="6">
        <v>0</v>
      </c>
      <c r="R1583" s="6">
        <v>0</v>
      </c>
      <c r="S1583" s="6">
        <v>180</v>
      </c>
    </row>
    <row r="1584" spans="1:19" ht="15" x14ac:dyDescent="0.25">
      <c r="A1584" s="7" t="s">
        <v>16</v>
      </c>
      <c r="B1584" s="7" t="s">
        <v>60</v>
      </c>
      <c r="C1584" s="7" t="s">
        <v>18</v>
      </c>
      <c r="D1584" s="3">
        <v>40226946000276</v>
      </c>
      <c r="E1584" s="8" t="s">
        <v>707</v>
      </c>
      <c r="F1584" s="8" t="s">
        <v>652</v>
      </c>
      <c r="G1584" s="8" t="s">
        <v>241</v>
      </c>
      <c r="H1584" s="8" t="s">
        <v>795</v>
      </c>
      <c r="I1584" s="3">
        <v>2</v>
      </c>
      <c r="J1584" s="8" t="s">
        <v>733</v>
      </c>
      <c r="K1584" s="8" t="s">
        <v>734</v>
      </c>
      <c r="L1584" s="8" t="s">
        <v>730</v>
      </c>
      <c r="M1584" s="1" t="s">
        <v>784</v>
      </c>
      <c r="N1584" s="8" t="s">
        <v>785</v>
      </c>
      <c r="O1584" s="6">
        <v>0</v>
      </c>
      <c r="P1584" s="6">
        <v>0</v>
      </c>
      <c r="Q1584" s="6">
        <v>0</v>
      </c>
      <c r="R1584" s="6">
        <v>0</v>
      </c>
      <c r="S1584" s="6">
        <v>0</v>
      </c>
    </row>
    <row r="1585" spans="1:19" ht="15" x14ac:dyDescent="0.25">
      <c r="A1585" s="7" t="s">
        <v>16</v>
      </c>
      <c r="B1585" s="7" t="s">
        <v>60</v>
      </c>
      <c r="C1585" s="7" t="s">
        <v>18</v>
      </c>
      <c r="D1585" s="3">
        <v>40226946000276</v>
      </c>
      <c r="E1585" s="8" t="s">
        <v>707</v>
      </c>
      <c r="F1585" s="8" t="s">
        <v>652</v>
      </c>
      <c r="G1585" s="8" t="s">
        <v>241</v>
      </c>
      <c r="H1585" s="8" t="s">
        <v>795</v>
      </c>
      <c r="I1585" s="3">
        <v>2</v>
      </c>
      <c r="J1585" s="8" t="s">
        <v>760</v>
      </c>
      <c r="K1585" s="8" t="s">
        <v>761</v>
      </c>
      <c r="L1585" s="8" t="s">
        <v>723</v>
      </c>
      <c r="M1585" s="1" t="s">
        <v>784</v>
      </c>
      <c r="N1585" s="8" t="s">
        <v>785</v>
      </c>
      <c r="O1585" s="6">
        <v>0</v>
      </c>
      <c r="P1585" s="6">
        <v>2</v>
      </c>
      <c r="Q1585" s="6">
        <v>0</v>
      </c>
      <c r="R1585" s="6">
        <v>0</v>
      </c>
      <c r="S1585" s="6">
        <v>0</v>
      </c>
    </row>
    <row r="1586" spans="1:19" ht="15" x14ac:dyDescent="0.25">
      <c r="A1586" s="7" t="s">
        <v>16</v>
      </c>
      <c r="B1586" s="7" t="s">
        <v>60</v>
      </c>
      <c r="C1586" s="7" t="s">
        <v>18</v>
      </c>
      <c r="D1586" s="3">
        <v>21265360000195</v>
      </c>
      <c r="E1586" s="8" t="s">
        <v>673</v>
      </c>
      <c r="F1586" s="8" t="s">
        <v>652</v>
      </c>
      <c r="G1586" s="8" t="s">
        <v>241</v>
      </c>
      <c r="H1586" s="8" t="s">
        <v>795</v>
      </c>
      <c r="I1586" s="3">
        <v>2</v>
      </c>
      <c r="J1586" s="8" t="s">
        <v>733</v>
      </c>
      <c r="K1586" s="8" t="s">
        <v>734</v>
      </c>
      <c r="L1586" s="8" t="s">
        <v>730</v>
      </c>
      <c r="M1586" s="1" t="s">
        <v>784</v>
      </c>
      <c r="N1586" s="8" t="s">
        <v>785</v>
      </c>
      <c r="O1586" s="6">
        <v>0</v>
      </c>
      <c r="P1586" s="6">
        <v>0</v>
      </c>
      <c r="Q1586" s="6">
        <v>0</v>
      </c>
      <c r="R1586" s="6">
        <v>16</v>
      </c>
      <c r="S1586" s="6">
        <v>0</v>
      </c>
    </row>
    <row r="1587" spans="1:19" ht="15" x14ac:dyDescent="0.25">
      <c r="A1587" s="7" t="s">
        <v>16</v>
      </c>
      <c r="B1587" s="7" t="s">
        <v>60</v>
      </c>
      <c r="C1587" s="7" t="s">
        <v>18</v>
      </c>
      <c r="D1587" s="3">
        <v>21265360000195</v>
      </c>
      <c r="E1587" s="8" t="s">
        <v>673</v>
      </c>
      <c r="F1587" s="8" t="s">
        <v>652</v>
      </c>
      <c r="G1587" s="8" t="s">
        <v>241</v>
      </c>
      <c r="H1587" s="8" t="s">
        <v>795</v>
      </c>
      <c r="I1587" s="3">
        <v>2</v>
      </c>
      <c r="J1587" s="8" t="s">
        <v>752</v>
      </c>
      <c r="K1587" s="8" t="s">
        <v>753</v>
      </c>
      <c r="L1587" s="8" t="s">
        <v>723</v>
      </c>
      <c r="M1587" s="1" t="s">
        <v>784</v>
      </c>
      <c r="N1587" s="8" t="s">
        <v>785</v>
      </c>
      <c r="O1587" s="6">
        <v>0</v>
      </c>
      <c r="P1587" s="6">
        <v>0</v>
      </c>
      <c r="Q1587" s="6">
        <v>0</v>
      </c>
      <c r="R1587" s="6">
        <v>0</v>
      </c>
      <c r="S1587" s="6">
        <v>0</v>
      </c>
    </row>
    <row r="1588" spans="1:19" ht="15" x14ac:dyDescent="0.25">
      <c r="A1588" s="7" t="s">
        <v>16</v>
      </c>
      <c r="B1588" s="7" t="s">
        <v>60</v>
      </c>
      <c r="C1588" s="7" t="s">
        <v>18</v>
      </c>
      <c r="D1588" s="3">
        <v>31635857000292</v>
      </c>
      <c r="E1588" s="8" t="s">
        <v>683</v>
      </c>
      <c r="F1588" s="8" t="s">
        <v>652</v>
      </c>
      <c r="G1588" s="8" t="s">
        <v>241</v>
      </c>
      <c r="H1588" s="8" t="s">
        <v>795</v>
      </c>
      <c r="I1588" s="3">
        <v>2</v>
      </c>
      <c r="J1588" s="8" t="s">
        <v>733</v>
      </c>
      <c r="K1588" s="8" t="s">
        <v>734</v>
      </c>
      <c r="L1588" s="8" t="s">
        <v>730</v>
      </c>
      <c r="M1588" s="1" t="s">
        <v>784</v>
      </c>
      <c r="N1588" s="8" t="s">
        <v>785</v>
      </c>
      <c r="O1588" s="6">
        <v>0</v>
      </c>
      <c r="P1588" s="6">
        <v>0</v>
      </c>
      <c r="Q1588" s="6">
        <v>0</v>
      </c>
      <c r="R1588" s="6">
        <v>16</v>
      </c>
      <c r="S1588" s="6">
        <v>0</v>
      </c>
    </row>
    <row r="1589" spans="1:19" ht="15" x14ac:dyDescent="0.25">
      <c r="A1589" s="7" t="s">
        <v>16</v>
      </c>
      <c r="B1589" s="7" t="s">
        <v>60</v>
      </c>
      <c r="C1589" s="7" t="s">
        <v>18</v>
      </c>
      <c r="D1589" s="3">
        <v>31635857000292</v>
      </c>
      <c r="E1589" s="8" t="s">
        <v>683</v>
      </c>
      <c r="F1589" s="8" t="s">
        <v>652</v>
      </c>
      <c r="G1589" s="8" t="s">
        <v>241</v>
      </c>
      <c r="H1589" s="8" t="s">
        <v>795</v>
      </c>
      <c r="I1589" s="3">
        <v>2</v>
      </c>
      <c r="J1589" s="8" t="s">
        <v>760</v>
      </c>
      <c r="K1589" s="8" t="s">
        <v>761</v>
      </c>
      <c r="L1589" s="8" t="s">
        <v>723</v>
      </c>
      <c r="M1589" s="1" t="s">
        <v>784</v>
      </c>
      <c r="N1589" s="8" t="s">
        <v>785</v>
      </c>
      <c r="O1589" s="6">
        <v>0</v>
      </c>
      <c r="P1589" s="6">
        <v>0</v>
      </c>
      <c r="Q1589" s="6">
        <v>0</v>
      </c>
      <c r="R1589" s="6">
        <v>0</v>
      </c>
      <c r="S1589" s="6">
        <v>0</v>
      </c>
    </row>
    <row r="1590" spans="1:19" ht="15" x14ac:dyDescent="0.25">
      <c r="A1590" s="7" t="s">
        <v>16</v>
      </c>
      <c r="B1590" s="7" t="s">
        <v>60</v>
      </c>
      <c r="C1590" s="7" t="s">
        <v>18</v>
      </c>
      <c r="D1590" s="3">
        <v>73696718000219</v>
      </c>
      <c r="E1590" s="8" t="s">
        <v>696</v>
      </c>
      <c r="F1590" s="8" t="s">
        <v>652</v>
      </c>
      <c r="G1590" s="8" t="s">
        <v>241</v>
      </c>
      <c r="H1590" s="8" t="s">
        <v>795</v>
      </c>
      <c r="I1590" s="3">
        <v>2</v>
      </c>
      <c r="J1590" s="8" t="s">
        <v>733</v>
      </c>
      <c r="K1590" s="8" t="s">
        <v>734</v>
      </c>
      <c r="L1590" s="8" t="s">
        <v>730</v>
      </c>
      <c r="M1590" s="1" t="s">
        <v>784</v>
      </c>
      <c r="N1590" s="8" t="s">
        <v>785</v>
      </c>
      <c r="O1590" s="6">
        <v>0</v>
      </c>
      <c r="P1590" s="6">
        <v>0</v>
      </c>
      <c r="Q1590" s="6">
        <v>0</v>
      </c>
      <c r="R1590" s="6">
        <v>0</v>
      </c>
      <c r="S1590" s="6">
        <v>0</v>
      </c>
    </row>
    <row r="1591" spans="1:19" ht="15" x14ac:dyDescent="0.25">
      <c r="A1591" s="7" t="s">
        <v>16</v>
      </c>
      <c r="B1591" s="7" t="s">
        <v>60</v>
      </c>
      <c r="C1591" s="7" t="s">
        <v>18</v>
      </c>
      <c r="D1591" s="3">
        <v>73696718000219</v>
      </c>
      <c r="E1591" s="8" t="s">
        <v>696</v>
      </c>
      <c r="F1591" s="8" t="s">
        <v>652</v>
      </c>
      <c r="G1591" s="8" t="s">
        <v>241</v>
      </c>
      <c r="H1591" s="8" t="s">
        <v>795</v>
      </c>
      <c r="I1591" s="3">
        <v>2</v>
      </c>
      <c r="J1591" s="8" t="s">
        <v>752</v>
      </c>
      <c r="K1591" s="8" t="s">
        <v>753</v>
      </c>
      <c r="L1591" s="8" t="s">
        <v>723</v>
      </c>
      <c r="M1591" s="1" t="s">
        <v>784</v>
      </c>
      <c r="N1591" s="8" t="s">
        <v>785</v>
      </c>
      <c r="O1591" s="6">
        <v>0</v>
      </c>
      <c r="P1591" s="6">
        <v>0</v>
      </c>
      <c r="Q1591" s="6">
        <v>7</v>
      </c>
      <c r="R1591" s="6">
        <v>0</v>
      </c>
      <c r="S1591" s="6">
        <v>0</v>
      </c>
    </row>
    <row r="1592" spans="1:19" ht="15" x14ac:dyDescent="0.25">
      <c r="A1592" s="7" t="s">
        <v>16</v>
      </c>
      <c r="B1592" s="7" t="s">
        <v>60</v>
      </c>
      <c r="C1592" s="7" t="s">
        <v>18</v>
      </c>
      <c r="D1592" s="3">
        <v>2284062000521</v>
      </c>
      <c r="E1592" s="8" t="s">
        <v>658</v>
      </c>
      <c r="F1592" s="8" t="s">
        <v>652</v>
      </c>
      <c r="G1592" s="8" t="s">
        <v>241</v>
      </c>
      <c r="H1592" s="8" t="s">
        <v>795</v>
      </c>
      <c r="I1592" s="3">
        <v>2</v>
      </c>
      <c r="J1592" s="8" t="s">
        <v>733</v>
      </c>
      <c r="K1592" s="8" t="s">
        <v>734</v>
      </c>
      <c r="L1592" s="8" t="s">
        <v>730</v>
      </c>
      <c r="M1592" s="1" t="s">
        <v>784</v>
      </c>
      <c r="N1592" s="8" t="s">
        <v>785</v>
      </c>
      <c r="O1592" s="6">
        <v>0</v>
      </c>
      <c r="P1592" s="6">
        <v>0</v>
      </c>
      <c r="Q1592" s="6">
        <v>0</v>
      </c>
      <c r="R1592" s="6">
        <v>0</v>
      </c>
      <c r="S1592" s="6">
        <v>0</v>
      </c>
    </row>
    <row r="1593" spans="1:19" ht="15" x14ac:dyDescent="0.25">
      <c r="A1593" s="7" t="s">
        <v>16</v>
      </c>
      <c r="B1593" s="7" t="s">
        <v>60</v>
      </c>
      <c r="C1593" s="7" t="s">
        <v>18</v>
      </c>
      <c r="D1593" s="3">
        <v>2284062000521</v>
      </c>
      <c r="E1593" s="8" t="s">
        <v>658</v>
      </c>
      <c r="F1593" s="8" t="s">
        <v>652</v>
      </c>
      <c r="G1593" s="8" t="s">
        <v>241</v>
      </c>
      <c r="H1593" s="8" t="s">
        <v>795</v>
      </c>
      <c r="I1593" s="3">
        <v>2</v>
      </c>
      <c r="J1593" s="8" t="s">
        <v>752</v>
      </c>
      <c r="K1593" s="8" t="s">
        <v>753</v>
      </c>
      <c r="L1593" s="8" t="s">
        <v>723</v>
      </c>
      <c r="M1593" s="1" t="s">
        <v>784</v>
      </c>
      <c r="N1593" s="8" t="s">
        <v>785</v>
      </c>
      <c r="O1593" s="6">
        <v>0</v>
      </c>
      <c r="P1593" s="6">
        <v>13</v>
      </c>
      <c r="Q1593" s="6">
        <v>5</v>
      </c>
      <c r="R1593" s="6">
        <v>0</v>
      </c>
      <c r="S1593" s="6">
        <v>0</v>
      </c>
    </row>
    <row r="1594" spans="1:19" ht="15" x14ac:dyDescent="0.25">
      <c r="A1594" s="7" t="s">
        <v>16</v>
      </c>
      <c r="B1594" s="7" t="s">
        <v>60</v>
      </c>
      <c r="C1594" s="7" t="s">
        <v>18</v>
      </c>
      <c r="D1594" s="3">
        <v>24217779000160</v>
      </c>
      <c r="E1594" s="8" t="s">
        <v>674</v>
      </c>
      <c r="F1594" s="8" t="s">
        <v>652</v>
      </c>
      <c r="G1594" s="8" t="s">
        <v>241</v>
      </c>
      <c r="H1594" s="8" t="s">
        <v>795</v>
      </c>
      <c r="I1594" s="3">
        <v>2</v>
      </c>
      <c r="J1594" s="8" t="s">
        <v>733</v>
      </c>
      <c r="K1594" s="8" t="s">
        <v>734</v>
      </c>
      <c r="L1594" s="8" t="s">
        <v>730</v>
      </c>
      <c r="M1594" s="1" t="s">
        <v>784</v>
      </c>
      <c r="N1594" s="8" t="s">
        <v>785</v>
      </c>
      <c r="O1594" s="6">
        <v>0</v>
      </c>
      <c r="P1594" s="6">
        <v>0</v>
      </c>
      <c r="Q1594" s="6">
        <v>0</v>
      </c>
      <c r="R1594" s="6">
        <v>0</v>
      </c>
      <c r="S1594" s="6">
        <v>0</v>
      </c>
    </row>
    <row r="1595" spans="1:19" ht="15" x14ac:dyDescent="0.25">
      <c r="A1595" s="7" t="s">
        <v>16</v>
      </c>
      <c r="B1595" s="7" t="s">
        <v>60</v>
      </c>
      <c r="C1595" s="7" t="s">
        <v>18</v>
      </c>
      <c r="D1595" s="3">
        <v>24217779000160</v>
      </c>
      <c r="E1595" s="8" t="s">
        <v>674</v>
      </c>
      <c r="F1595" s="8" t="s">
        <v>652</v>
      </c>
      <c r="G1595" s="8" t="s">
        <v>241</v>
      </c>
      <c r="H1595" s="8" t="s">
        <v>795</v>
      </c>
      <c r="I1595" s="3">
        <v>2</v>
      </c>
      <c r="J1595" s="8" t="s">
        <v>752</v>
      </c>
      <c r="K1595" s="8" t="s">
        <v>753</v>
      </c>
      <c r="L1595" s="8" t="s">
        <v>723</v>
      </c>
      <c r="M1595" s="1" t="s">
        <v>784</v>
      </c>
      <c r="N1595" s="8" t="s">
        <v>785</v>
      </c>
      <c r="O1595" s="6">
        <v>0</v>
      </c>
      <c r="P1595" s="6">
        <v>29</v>
      </c>
      <c r="Q1595" s="6">
        <v>14</v>
      </c>
      <c r="R1595" s="6">
        <v>0</v>
      </c>
      <c r="S1595" s="6">
        <v>0</v>
      </c>
    </row>
    <row r="1596" spans="1:19" ht="15" x14ac:dyDescent="0.25">
      <c r="A1596" s="7" t="s">
        <v>16</v>
      </c>
      <c r="B1596" s="7" t="s">
        <v>60</v>
      </c>
      <c r="C1596" s="7" t="s">
        <v>18</v>
      </c>
      <c r="D1596" s="3">
        <v>6047087000996</v>
      </c>
      <c r="E1596" s="8" t="s">
        <v>660</v>
      </c>
      <c r="F1596" s="8" t="s">
        <v>652</v>
      </c>
      <c r="G1596" s="8" t="s">
        <v>241</v>
      </c>
      <c r="H1596" s="8" t="s">
        <v>795</v>
      </c>
      <c r="I1596" s="3">
        <v>2</v>
      </c>
      <c r="J1596" s="8" t="s">
        <v>733</v>
      </c>
      <c r="K1596" s="8" t="s">
        <v>734</v>
      </c>
      <c r="L1596" s="8" t="s">
        <v>730</v>
      </c>
      <c r="M1596" s="1" t="s">
        <v>784</v>
      </c>
      <c r="N1596" s="8" t="s">
        <v>785</v>
      </c>
      <c r="O1596" s="6">
        <v>0</v>
      </c>
      <c r="P1596" s="6">
        <v>0</v>
      </c>
      <c r="Q1596" s="6">
        <v>0</v>
      </c>
      <c r="R1596" s="6">
        <v>0</v>
      </c>
      <c r="S1596" s="6">
        <v>225</v>
      </c>
    </row>
    <row r="1597" spans="1:19" ht="15" x14ac:dyDescent="0.25">
      <c r="A1597" s="7" t="s">
        <v>16</v>
      </c>
      <c r="B1597" s="7" t="s">
        <v>60</v>
      </c>
      <c r="C1597" s="7" t="s">
        <v>18</v>
      </c>
      <c r="D1597" s="3">
        <v>6047087000996</v>
      </c>
      <c r="E1597" s="8" t="s">
        <v>660</v>
      </c>
      <c r="F1597" s="8" t="s">
        <v>652</v>
      </c>
      <c r="G1597" s="8" t="s">
        <v>241</v>
      </c>
      <c r="H1597" s="8" t="s">
        <v>795</v>
      </c>
      <c r="I1597" s="3">
        <v>2</v>
      </c>
      <c r="J1597" s="8" t="s">
        <v>760</v>
      </c>
      <c r="K1597" s="8" t="s">
        <v>761</v>
      </c>
      <c r="L1597" s="8" t="s">
        <v>723</v>
      </c>
      <c r="M1597" s="1" t="s">
        <v>784</v>
      </c>
      <c r="N1597" s="8" t="s">
        <v>785</v>
      </c>
      <c r="O1597" s="6">
        <v>0</v>
      </c>
      <c r="P1597" s="6">
        <v>0</v>
      </c>
      <c r="Q1597" s="6">
        <v>13</v>
      </c>
      <c r="R1597" s="6">
        <v>0</v>
      </c>
      <c r="S1597" s="6">
        <v>225</v>
      </c>
    </row>
    <row r="1598" spans="1:19" ht="15" x14ac:dyDescent="0.25">
      <c r="A1598" s="7" t="s">
        <v>16</v>
      </c>
      <c r="B1598" s="7" t="s">
        <v>60</v>
      </c>
      <c r="C1598" s="7" t="s">
        <v>18</v>
      </c>
      <c r="D1598" s="3">
        <v>6047087002697</v>
      </c>
      <c r="E1598" s="8" t="s">
        <v>662</v>
      </c>
      <c r="F1598" s="8" t="s">
        <v>652</v>
      </c>
      <c r="G1598" s="8" t="s">
        <v>241</v>
      </c>
      <c r="H1598" s="8" t="s">
        <v>795</v>
      </c>
      <c r="I1598" s="3">
        <v>2</v>
      </c>
      <c r="J1598" s="8" t="s">
        <v>733</v>
      </c>
      <c r="K1598" s="8" t="s">
        <v>734</v>
      </c>
      <c r="L1598" s="8" t="s">
        <v>730</v>
      </c>
      <c r="M1598" s="1" t="s">
        <v>784</v>
      </c>
      <c r="N1598" s="8" t="s">
        <v>785</v>
      </c>
      <c r="O1598" s="6">
        <v>0</v>
      </c>
      <c r="P1598" s="6">
        <v>0</v>
      </c>
      <c r="Q1598" s="6">
        <v>0</v>
      </c>
      <c r="R1598" s="6">
        <v>0</v>
      </c>
      <c r="S1598" s="6">
        <v>0</v>
      </c>
    </row>
    <row r="1599" spans="1:19" ht="15" x14ac:dyDescent="0.25">
      <c r="A1599" s="7" t="s">
        <v>16</v>
      </c>
      <c r="B1599" s="7" t="s">
        <v>60</v>
      </c>
      <c r="C1599" s="7" t="s">
        <v>18</v>
      </c>
      <c r="D1599" s="3">
        <v>6047087002697</v>
      </c>
      <c r="E1599" s="8" t="s">
        <v>662</v>
      </c>
      <c r="F1599" s="8" t="s">
        <v>652</v>
      </c>
      <c r="G1599" s="8" t="s">
        <v>241</v>
      </c>
      <c r="H1599" s="8" t="s">
        <v>795</v>
      </c>
      <c r="I1599" s="3">
        <v>2</v>
      </c>
      <c r="J1599" s="8" t="s">
        <v>760</v>
      </c>
      <c r="K1599" s="8" t="s">
        <v>761</v>
      </c>
      <c r="L1599" s="8" t="s">
        <v>723</v>
      </c>
      <c r="M1599" s="1" t="s">
        <v>784</v>
      </c>
      <c r="N1599" s="8" t="s">
        <v>785</v>
      </c>
      <c r="O1599" s="6">
        <v>0</v>
      </c>
      <c r="P1599" s="6">
        <v>22</v>
      </c>
      <c r="Q1599" s="6">
        <v>10</v>
      </c>
      <c r="R1599" s="6">
        <v>0</v>
      </c>
      <c r="S1599" s="6">
        <v>0</v>
      </c>
    </row>
    <row r="1600" spans="1:19" ht="15" x14ac:dyDescent="0.25">
      <c r="A1600" s="7" t="s">
        <v>16</v>
      </c>
      <c r="B1600" s="7" t="s">
        <v>60</v>
      </c>
      <c r="C1600" s="7" t="s">
        <v>18</v>
      </c>
      <c r="D1600" s="3">
        <v>394544020453</v>
      </c>
      <c r="E1600" s="8" t="s">
        <v>655</v>
      </c>
      <c r="F1600" s="8" t="s">
        <v>652</v>
      </c>
      <c r="G1600" s="8" t="s">
        <v>241</v>
      </c>
      <c r="H1600" s="8" t="s">
        <v>795</v>
      </c>
      <c r="I1600" s="3">
        <v>2</v>
      </c>
      <c r="J1600" s="8" t="s">
        <v>733</v>
      </c>
      <c r="K1600" s="8" t="s">
        <v>734</v>
      </c>
      <c r="L1600" s="8" t="s">
        <v>730</v>
      </c>
      <c r="M1600" s="1" t="s">
        <v>784</v>
      </c>
      <c r="N1600" s="8" t="s">
        <v>785</v>
      </c>
      <c r="O1600" s="6">
        <v>0</v>
      </c>
      <c r="P1600" s="6">
        <v>0</v>
      </c>
      <c r="Q1600" s="6">
        <v>0</v>
      </c>
      <c r="R1600" s="6">
        <v>0</v>
      </c>
      <c r="S1600" s="6">
        <v>200</v>
      </c>
    </row>
    <row r="1601" spans="1:19" ht="15" x14ac:dyDescent="0.25">
      <c r="A1601" s="7" t="s">
        <v>16</v>
      </c>
      <c r="B1601" s="7" t="s">
        <v>60</v>
      </c>
      <c r="C1601" s="7" t="s">
        <v>18</v>
      </c>
      <c r="D1601" s="3">
        <v>394544020453</v>
      </c>
      <c r="E1601" s="8" t="s">
        <v>655</v>
      </c>
      <c r="F1601" s="8" t="s">
        <v>652</v>
      </c>
      <c r="G1601" s="8" t="s">
        <v>241</v>
      </c>
      <c r="H1601" s="8" t="s">
        <v>795</v>
      </c>
      <c r="I1601" s="3">
        <v>2</v>
      </c>
      <c r="J1601" s="8" t="s">
        <v>760</v>
      </c>
      <c r="K1601" s="8" t="s">
        <v>761</v>
      </c>
      <c r="L1601" s="8" t="s">
        <v>723</v>
      </c>
      <c r="M1601" s="1" t="s">
        <v>784</v>
      </c>
      <c r="N1601" s="8" t="s">
        <v>785</v>
      </c>
      <c r="O1601" s="6">
        <v>0</v>
      </c>
      <c r="P1601" s="6">
        <v>0</v>
      </c>
      <c r="Q1601" s="6">
        <v>0</v>
      </c>
      <c r="R1601" s="6">
        <v>0</v>
      </c>
      <c r="S1601" s="6">
        <v>200</v>
      </c>
    </row>
    <row r="1602" spans="1:19" ht="15" x14ac:dyDescent="0.25">
      <c r="A1602" s="7" t="s">
        <v>16</v>
      </c>
      <c r="B1602" s="7" t="s">
        <v>60</v>
      </c>
      <c r="C1602" s="7" t="s">
        <v>18</v>
      </c>
      <c r="D1602" s="3">
        <v>27901222000131</v>
      </c>
      <c r="E1602" s="8" t="s">
        <v>675</v>
      </c>
      <c r="F1602" s="8" t="s">
        <v>652</v>
      </c>
      <c r="G1602" s="8" t="s">
        <v>241</v>
      </c>
      <c r="H1602" s="8" t="s">
        <v>795</v>
      </c>
      <c r="I1602" s="3">
        <v>2</v>
      </c>
      <c r="J1602" s="8" t="s">
        <v>733</v>
      </c>
      <c r="K1602" s="8" t="s">
        <v>734</v>
      </c>
      <c r="L1602" s="8" t="s">
        <v>730</v>
      </c>
      <c r="M1602" s="1" t="s">
        <v>784</v>
      </c>
      <c r="N1602" s="8" t="s">
        <v>785</v>
      </c>
      <c r="O1602" s="6">
        <v>0</v>
      </c>
      <c r="P1602" s="6">
        <v>0</v>
      </c>
      <c r="Q1602" s="6">
        <v>0</v>
      </c>
      <c r="R1602" s="6">
        <v>0</v>
      </c>
      <c r="S1602" s="6">
        <v>0</v>
      </c>
    </row>
    <row r="1603" spans="1:19" ht="15" x14ac:dyDescent="0.25">
      <c r="A1603" s="7" t="s">
        <v>16</v>
      </c>
      <c r="B1603" s="7" t="s">
        <v>60</v>
      </c>
      <c r="C1603" s="7" t="s">
        <v>18</v>
      </c>
      <c r="D1603" s="3">
        <v>27901222000131</v>
      </c>
      <c r="E1603" s="8" t="s">
        <v>675</v>
      </c>
      <c r="F1603" s="8" t="s">
        <v>652</v>
      </c>
      <c r="G1603" s="8" t="s">
        <v>241</v>
      </c>
      <c r="H1603" s="8" t="s">
        <v>795</v>
      </c>
      <c r="I1603" s="3">
        <v>2</v>
      </c>
      <c r="J1603" s="8" t="s">
        <v>760</v>
      </c>
      <c r="K1603" s="8" t="s">
        <v>761</v>
      </c>
      <c r="L1603" s="8" t="s">
        <v>723</v>
      </c>
      <c r="M1603" s="1" t="s">
        <v>784</v>
      </c>
      <c r="N1603" s="8" t="s">
        <v>785</v>
      </c>
      <c r="O1603" s="6">
        <v>0</v>
      </c>
      <c r="P1603" s="6">
        <v>0</v>
      </c>
      <c r="Q1603" s="6">
        <v>6</v>
      </c>
      <c r="R1603" s="6">
        <v>0</v>
      </c>
      <c r="S1603" s="6">
        <v>0</v>
      </c>
    </row>
    <row r="1604" spans="1:19" ht="15" x14ac:dyDescent="0.25">
      <c r="A1604" s="7" t="s">
        <v>16</v>
      </c>
      <c r="B1604" s="7" t="s">
        <v>60</v>
      </c>
      <c r="C1604" s="7" t="s">
        <v>18</v>
      </c>
      <c r="D1604" s="3">
        <v>394502014870</v>
      </c>
      <c r="E1604" s="8" t="s">
        <v>697</v>
      </c>
      <c r="F1604" s="8" t="s">
        <v>652</v>
      </c>
      <c r="G1604" s="8" t="s">
        <v>241</v>
      </c>
      <c r="H1604" s="8" t="s">
        <v>795</v>
      </c>
      <c r="I1604" s="3">
        <v>2</v>
      </c>
      <c r="J1604" s="8" t="s">
        <v>733</v>
      </c>
      <c r="K1604" s="8" t="s">
        <v>734</v>
      </c>
      <c r="L1604" s="8" t="s">
        <v>730</v>
      </c>
      <c r="M1604" s="1" t="s">
        <v>784</v>
      </c>
      <c r="N1604" s="8" t="s">
        <v>785</v>
      </c>
      <c r="O1604" s="6">
        <v>0</v>
      </c>
      <c r="P1604" s="6">
        <v>0</v>
      </c>
      <c r="Q1604" s="6">
        <v>0</v>
      </c>
      <c r="R1604" s="6">
        <v>0</v>
      </c>
      <c r="S1604" s="6">
        <v>0</v>
      </c>
    </row>
    <row r="1605" spans="1:19" ht="15" x14ac:dyDescent="0.25">
      <c r="A1605" s="7" t="s">
        <v>16</v>
      </c>
      <c r="B1605" s="7" t="s">
        <v>60</v>
      </c>
      <c r="C1605" s="7" t="s">
        <v>18</v>
      </c>
      <c r="D1605" s="3">
        <v>394502014870</v>
      </c>
      <c r="E1605" s="8" t="s">
        <v>697</v>
      </c>
      <c r="F1605" s="8" t="s">
        <v>652</v>
      </c>
      <c r="G1605" s="8" t="s">
        <v>241</v>
      </c>
      <c r="H1605" s="8" t="s">
        <v>795</v>
      </c>
      <c r="I1605" s="3">
        <v>2</v>
      </c>
      <c r="J1605" s="8" t="s">
        <v>752</v>
      </c>
      <c r="K1605" s="8" t="s">
        <v>753</v>
      </c>
      <c r="L1605" s="8" t="s">
        <v>723</v>
      </c>
      <c r="M1605" s="1" t="s">
        <v>784</v>
      </c>
      <c r="N1605" s="8" t="s">
        <v>785</v>
      </c>
      <c r="O1605" s="6">
        <v>0</v>
      </c>
      <c r="P1605" s="6">
        <v>5</v>
      </c>
      <c r="Q1605" s="6">
        <v>0</v>
      </c>
      <c r="R1605" s="6">
        <v>0</v>
      </c>
      <c r="S1605" s="6">
        <v>0</v>
      </c>
    </row>
    <row r="1606" spans="1:19" ht="15" x14ac:dyDescent="0.25">
      <c r="A1606" s="7" t="s">
        <v>16</v>
      </c>
      <c r="B1606" s="7" t="s">
        <v>60</v>
      </c>
      <c r="C1606" s="7" t="s">
        <v>18</v>
      </c>
      <c r="D1606" s="3">
        <v>6047087003316</v>
      </c>
      <c r="E1606" s="8" t="s">
        <v>663</v>
      </c>
      <c r="F1606" s="8" t="s">
        <v>652</v>
      </c>
      <c r="G1606" s="8" t="s">
        <v>241</v>
      </c>
      <c r="H1606" s="8" t="s">
        <v>795</v>
      </c>
      <c r="I1606" s="3">
        <v>2</v>
      </c>
      <c r="J1606" s="8" t="s">
        <v>733</v>
      </c>
      <c r="K1606" s="8" t="s">
        <v>734</v>
      </c>
      <c r="L1606" s="8" t="s">
        <v>730</v>
      </c>
      <c r="M1606" s="1" t="s">
        <v>784</v>
      </c>
      <c r="N1606" s="8" t="s">
        <v>785</v>
      </c>
      <c r="O1606" s="6">
        <v>0</v>
      </c>
      <c r="P1606" s="6">
        <v>0</v>
      </c>
      <c r="Q1606" s="6">
        <v>0</v>
      </c>
      <c r="R1606" s="6">
        <v>0</v>
      </c>
      <c r="S1606" s="6">
        <v>0</v>
      </c>
    </row>
    <row r="1607" spans="1:19" ht="15" x14ac:dyDescent="0.25">
      <c r="A1607" s="7" t="s">
        <v>16</v>
      </c>
      <c r="B1607" s="7" t="s">
        <v>60</v>
      </c>
      <c r="C1607" s="7" t="s">
        <v>18</v>
      </c>
      <c r="D1607" s="3">
        <v>6047087003316</v>
      </c>
      <c r="E1607" s="8" t="s">
        <v>663</v>
      </c>
      <c r="F1607" s="8" t="s">
        <v>652</v>
      </c>
      <c r="G1607" s="8" t="s">
        <v>241</v>
      </c>
      <c r="H1607" s="8" t="s">
        <v>795</v>
      </c>
      <c r="I1607" s="3">
        <v>2</v>
      </c>
      <c r="J1607" s="8" t="s">
        <v>760</v>
      </c>
      <c r="K1607" s="8" t="s">
        <v>761</v>
      </c>
      <c r="L1607" s="8" t="s">
        <v>723</v>
      </c>
      <c r="M1607" s="1" t="s">
        <v>784</v>
      </c>
      <c r="N1607" s="8" t="s">
        <v>785</v>
      </c>
      <c r="O1607" s="6">
        <v>0</v>
      </c>
      <c r="P1607" s="6">
        <v>0</v>
      </c>
      <c r="Q1607" s="6">
        <v>1</v>
      </c>
      <c r="R1607" s="6">
        <v>0</v>
      </c>
      <c r="S1607" s="6">
        <v>0</v>
      </c>
    </row>
    <row r="1608" spans="1:19" ht="15" x14ac:dyDescent="0.25">
      <c r="A1608" s="7" t="s">
        <v>16</v>
      </c>
      <c r="B1608" s="7" t="s">
        <v>60</v>
      </c>
      <c r="C1608" s="7" t="s">
        <v>18</v>
      </c>
      <c r="D1608" s="3">
        <v>29435005005783</v>
      </c>
      <c r="E1608" s="8" t="s">
        <v>680</v>
      </c>
      <c r="F1608" s="8" t="s">
        <v>652</v>
      </c>
      <c r="G1608" s="8" t="s">
        <v>241</v>
      </c>
      <c r="H1608" s="8" t="s">
        <v>795</v>
      </c>
      <c r="I1608" s="3">
        <v>2</v>
      </c>
      <c r="J1608" s="8" t="s">
        <v>733</v>
      </c>
      <c r="K1608" s="8" t="s">
        <v>734</v>
      </c>
      <c r="L1608" s="8" t="s">
        <v>730</v>
      </c>
      <c r="M1608" s="1" t="s">
        <v>784</v>
      </c>
      <c r="N1608" s="8" t="s">
        <v>785</v>
      </c>
      <c r="O1608" s="6">
        <v>0</v>
      </c>
      <c r="P1608" s="6">
        <v>0</v>
      </c>
      <c r="Q1608" s="6">
        <v>0</v>
      </c>
      <c r="R1608" s="6">
        <v>0</v>
      </c>
      <c r="S1608" s="6">
        <v>250</v>
      </c>
    </row>
    <row r="1609" spans="1:19" ht="15" x14ac:dyDescent="0.25">
      <c r="A1609" s="7" t="s">
        <v>16</v>
      </c>
      <c r="B1609" s="7" t="s">
        <v>60</v>
      </c>
      <c r="C1609" s="7" t="s">
        <v>18</v>
      </c>
      <c r="D1609" s="3">
        <v>29435005005783</v>
      </c>
      <c r="E1609" s="8" t="s">
        <v>680</v>
      </c>
      <c r="F1609" s="8" t="s">
        <v>652</v>
      </c>
      <c r="G1609" s="8" t="s">
        <v>241</v>
      </c>
      <c r="H1609" s="8" t="s">
        <v>795</v>
      </c>
      <c r="I1609" s="3">
        <v>2</v>
      </c>
      <c r="J1609" s="8" t="s">
        <v>752</v>
      </c>
      <c r="K1609" s="8" t="s">
        <v>753</v>
      </c>
      <c r="L1609" s="8" t="s">
        <v>723</v>
      </c>
      <c r="M1609" s="1" t="s">
        <v>784</v>
      </c>
      <c r="N1609" s="8" t="s">
        <v>785</v>
      </c>
      <c r="O1609" s="6">
        <v>0</v>
      </c>
      <c r="P1609" s="6">
        <v>1</v>
      </c>
      <c r="Q1609" s="6">
        <v>0</v>
      </c>
      <c r="R1609" s="6">
        <v>0</v>
      </c>
      <c r="S1609" s="6">
        <v>250</v>
      </c>
    </row>
    <row r="1610" spans="1:19" ht="15" x14ac:dyDescent="0.25">
      <c r="A1610" s="7" t="s">
        <v>16</v>
      </c>
      <c r="B1610" s="7" t="s">
        <v>60</v>
      </c>
      <c r="C1610" s="7" t="s">
        <v>18</v>
      </c>
      <c r="D1610" s="3">
        <v>29435005005198</v>
      </c>
      <c r="E1610" s="8" t="s">
        <v>679</v>
      </c>
      <c r="F1610" s="8" t="s">
        <v>652</v>
      </c>
      <c r="G1610" s="8" t="s">
        <v>241</v>
      </c>
      <c r="H1610" s="8" t="s">
        <v>795</v>
      </c>
      <c r="I1610" s="3">
        <v>2</v>
      </c>
      <c r="J1610" s="8" t="s">
        <v>733</v>
      </c>
      <c r="K1610" s="8" t="s">
        <v>734</v>
      </c>
      <c r="L1610" s="8" t="s">
        <v>730</v>
      </c>
      <c r="M1610" s="1" t="s">
        <v>784</v>
      </c>
      <c r="N1610" s="8" t="s">
        <v>785</v>
      </c>
      <c r="O1610" s="6">
        <v>0</v>
      </c>
      <c r="P1610" s="6">
        <v>0</v>
      </c>
      <c r="Q1610" s="6">
        <v>0</v>
      </c>
      <c r="R1610" s="6">
        <v>0</v>
      </c>
      <c r="S1610" s="6">
        <v>0</v>
      </c>
    </row>
    <row r="1611" spans="1:19" ht="15" x14ac:dyDescent="0.25">
      <c r="A1611" s="7" t="s">
        <v>16</v>
      </c>
      <c r="B1611" s="7" t="s">
        <v>60</v>
      </c>
      <c r="C1611" s="7" t="s">
        <v>18</v>
      </c>
      <c r="D1611" s="3">
        <v>29435005005198</v>
      </c>
      <c r="E1611" s="8" t="s">
        <v>679</v>
      </c>
      <c r="F1611" s="8" t="s">
        <v>652</v>
      </c>
      <c r="G1611" s="8" t="s">
        <v>241</v>
      </c>
      <c r="H1611" s="8" t="s">
        <v>795</v>
      </c>
      <c r="I1611" s="3">
        <v>2</v>
      </c>
      <c r="J1611" s="8" t="s">
        <v>760</v>
      </c>
      <c r="K1611" s="8" t="s">
        <v>761</v>
      </c>
      <c r="L1611" s="8" t="s">
        <v>723</v>
      </c>
      <c r="M1611" s="1" t="s">
        <v>784</v>
      </c>
      <c r="N1611" s="8" t="s">
        <v>785</v>
      </c>
      <c r="O1611" s="6">
        <v>0</v>
      </c>
      <c r="P1611" s="6">
        <v>15</v>
      </c>
      <c r="Q1611" s="6">
        <v>14</v>
      </c>
      <c r="R1611" s="6">
        <v>0</v>
      </c>
      <c r="S1611" s="6">
        <v>0</v>
      </c>
    </row>
    <row r="1612" spans="1:19" ht="15" x14ac:dyDescent="0.25">
      <c r="A1612" s="7" t="s">
        <v>16</v>
      </c>
      <c r="B1612" s="7" t="s">
        <v>60</v>
      </c>
      <c r="C1612" s="7" t="s">
        <v>18</v>
      </c>
      <c r="D1612" s="3">
        <v>6047087001020</v>
      </c>
      <c r="E1612" s="8" t="s">
        <v>661</v>
      </c>
      <c r="F1612" s="8" t="s">
        <v>652</v>
      </c>
      <c r="G1612" s="8" t="s">
        <v>241</v>
      </c>
      <c r="H1612" s="8" t="s">
        <v>795</v>
      </c>
      <c r="I1612" s="3">
        <v>2</v>
      </c>
      <c r="J1612" s="8" t="s">
        <v>733</v>
      </c>
      <c r="K1612" s="8" t="s">
        <v>734</v>
      </c>
      <c r="L1612" s="8" t="s">
        <v>730</v>
      </c>
      <c r="M1612" s="1" t="s">
        <v>784</v>
      </c>
      <c r="N1612" s="8" t="s">
        <v>785</v>
      </c>
      <c r="O1612" s="6">
        <v>0</v>
      </c>
      <c r="P1612" s="6">
        <v>0</v>
      </c>
      <c r="Q1612" s="6">
        <v>0</v>
      </c>
      <c r="R1612" s="6">
        <v>0</v>
      </c>
      <c r="S1612" s="6">
        <v>0</v>
      </c>
    </row>
    <row r="1613" spans="1:19" ht="15" x14ac:dyDescent="0.25">
      <c r="A1613" s="7" t="s">
        <v>16</v>
      </c>
      <c r="B1613" s="7" t="s">
        <v>60</v>
      </c>
      <c r="C1613" s="7" t="s">
        <v>18</v>
      </c>
      <c r="D1613" s="3">
        <v>6047087001020</v>
      </c>
      <c r="E1613" s="8" t="s">
        <v>661</v>
      </c>
      <c r="F1613" s="8" t="s">
        <v>652</v>
      </c>
      <c r="G1613" s="8" t="s">
        <v>241</v>
      </c>
      <c r="H1613" s="8" t="s">
        <v>795</v>
      </c>
      <c r="I1613" s="3">
        <v>2</v>
      </c>
      <c r="J1613" s="8" t="s">
        <v>760</v>
      </c>
      <c r="K1613" s="8" t="s">
        <v>761</v>
      </c>
      <c r="L1613" s="8" t="s">
        <v>723</v>
      </c>
      <c r="M1613" s="1" t="s">
        <v>784</v>
      </c>
      <c r="N1613" s="8" t="s">
        <v>785</v>
      </c>
      <c r="O1613" s="6">
        <v>0</v>
      </c>
      <c r="P1613" s="6">
        <v>33</v>
      </c>
      <c r="Q1613" s="6">
        <v>66</v>
      </c>
      <c r="R1613" s="6">
        <v>0</v>
      </c>
      <c r="S1613" s="6">
        <v>0</v>
      </c>
    </row>
    <row r="1614" spans="1:19" ht="15" x14ac:dyDescent="0.25">
      <c r="A1614" s="7" t="s">
        <v>16</v>
      </c>
      <c r="B1614" s="7" t="s">
        <v>60</v>
      </c>
      <c r="C1614" s="7" t="s">
        <v>18</v>
      </c>
      <c r="D1614" s="3">
        <v>29259736000403</v>
      </c>
      <c r="E1614" s="8" t="s">
        <v>678</v>
      </c>
      <c r="F1614" s="8" t="s">
        <v>652</v>
      </c>
      <c r="G1614" s="8" t="s">
        <v>241</v>
      </c>
      <c r="H1614" s="8" t="s">
        <v>795</v>
      </c>
      <c r="I1614" s="3">
        <v>2</v>
      </c>
      <c r="J1614" s="8" t="s">
        <v>733</v>
      </c>
      <c r="K1614" s="8" t="s">
        <v>734</v>
      </c>
      <c r="L1614" s="8" t="s">
        <v>730</v>
      </c>
      <c r="M1614" s="1" t="s">
        <v>784</v>
      </c>
      <c r="N1614" s="8" t="s">
        <v>785</v>
      </c>
      <c r="O1614" s="6">
        <v>0</v>
      </c>
      <c r="P1614" s="6">
        <v>0</v>
      </c>
      <c r="Q1614" s="6">
        <v>0</v>
      </c>
      <c r="R1614" s="6">
        <v>1</v>
      </c>
      <c r="S1614" s="6">
        <v>0</v>
      </c>
    </row>
    <row r="1615" spans="1:19" ht="15" x14ac:dyDescent="0.25">
      <c r="A1615" s="7" t="s">
        <v>16</v>
      </c>
      <c r="B1615" s="7" t="s">
        <v>60</v>
      </c>
      <c r="C1615" s="7" t="s">
        <v>18</v>
      </c>
      <c r="D1615" s="3">
        <v>29259736000403</v>
      </c>
      <c r="E1615" s="8" t="s">
        <v>678</v>
      </c>
      <c r="F1615" s="8" t="s">
        <v>652</v>
      </c>
      <c r="G1615" s="8" t="s">
        <v>241</v>
      </c>
      <c r="H1615" s="8" t="s">
        <v>795</v>
      </c>
      <c r="I1615" s="3">
        <v>2</v>
      </c>
      <c r="J1615" s="8" t="s">
        <v>760</v>
      </c>
      <c r="K1615" s="8" t="s">
        <v>761</v>
      </c>
      <c r="L1615" s="8" t="s">
        <v>723</v>
      </c>
      <c r="M1615" s="1" t="s">
        <v>784</v>
      </c>
      <c r="N1615" s="8" t="s">
        <v>785</v>
      </c>
      <c r="O1615" s="6">
        <v>0</v>
      </c>
      <c r="P1615" s="6">
        <v>3</v>
      </c>
      <c r="Q1615" s="6">
        <v>0</v>
      </c>
      <c r="R1615" s="6">
        <v>0</v>
      </c>
      <c r="S1615" s="6">
        <v>0</v>
      </c>
    </row>
    <row r="1616" spans="1:19" ht="15" x14ac:dyDescent="0.25">
      <c r="A1616" s="7" t="s">
        <v>16</v>
      </c>
      <c r="B1616" s="7" t="s">
        <v>60</v>
      </c>
      <c r="C1616" s="7" t="s">
        <v>18</v>
      </c>
      <c r="D1616" s="3">
        <v>8100676002102</v>
      </c>
      <c r="E1616" s="8" t="s">
        <v>665</v>
      </c>
      <c r="F1616" s="8" t="s">
        <v>652</v>
      </c>
      <c r="G1616" s="8" t="s">
        <v>241</v>
      </c>
      <c r="H1616" s="8" t="s">
        <v>795</v>
      </c>
      <c r="I1616" s="3">
        <v>2</v>
      </c>
      <c r="J1616" s="8" t="s">
        <v>733</v>
      </c>
      <c r="K1616" s="8" t="s">
        <v>734</v>
      </c>
      <c r="L1616" s="8" t="s">
        <v>730</v>
      </c>
      <c r="M1616" s="1" t="s">
        <v>784</v>
      </c>
      <c r="N1616" s="8" t="s">
        <v>785</v>
      </c>
      <c r="O1616" s="6">
        <v>0</v>
      </c>
      <c r="P1616" s="6">
        <v>0</v>
      </c>
      <c r="Q1616" s="6">
        <v>0</v>
      </c>
      <c r="R1616" s="6">
        <v>0</v>
      </c>
      <c r="S1616" s="6">
        <v>0</v>
      </c>
    </row>
    <row r="1617" spans="1:19" ht="15" x14ac:dyDescent="0.25">
      <c r="A1617" s="7" t="s">
        <v>16</v>
      </c>
      <c r="B1617" s="7" t="s">
        <v>60</v>
      </c>
      <c r="C1617" s="7" t="s">
        <v>18</v>
      </c>
      <c r="D1617" s="3">
        <v>8100676002102</v>
      </c>
      <c r="E1617" s="8" t="s">
        <v>665</v>
      </c>
      <c r="F1617" s="8" t="s">
        <v>652</v>
      </c>
      <c r="G1617" s="8" t="s">
        <v>241</v>
      </c>
      <c r="H1617" s="8" t="s">
        <v>795</v>
      </c>
      <c r="I1617" s="3">
        <v>2</v>
      </c>
      <c r="J1617" s="8" t="s">
        <v>760</v>
      </c>
      <c r="K1617" s="8" t="s">
        <v>761</v>
      </c>
      <c r="L1617" s="8" t="s">
        <v>723</v>
      </c>
      <c r="M1617" s="1" t="s">
        <v>784</v>
      </c>
      <c r="N1617" s="8" t="s">
        <v>785</v>
      </c>
      <c r="O1617" s="6">
        <v>0</v>
      </c>
      <c r="P1617" s="6">
        <v>23</v>
      </c>
      <c r="Q1617" s="6">
        <v>16</v>
      </c>
      <c r="R1617" s="6">
        <v>0</v>
      </c>
      <c r="S1617" s="6">
        <v>0</v>
      </c>
    </row>
    <row r="1618" spans="1:19" ht="15" x14ac:dyDescent="0.25">
      <c r="A1618" s="7" t="s">
        <v>16</v>
      </c>
      <c r="B1618" s="7" t="s">
        <v>60</v>
      </c>
      <c r="C1618" s="7" t="s">
        <v>18</v>
      </c>
      <c r="D1618" s="3">
        <v>29435005006160</v>
      </c>
      <c r="E1618" s="8" t="s">
        <v>681</v>
      </c>
      <c r="F1618" s="8" t="s">
        <v>652</v>
      </c>
      <c r="G1618" s="8" t="s">
        <v>241</v>
      </c>
      <c r="H1618" s="8" t="s">
        <v>795</v>
      </c>
      <c r="I1618" s="3">
        <v>2</v>
      </c>
      <c r="J1618" s="8" t="s">
        <v>733</v>
      </c>
      <c r="K1618" s="8" t="s">
        <v>734</v>
      </c>
      <c r="L1618" s="8" t="s">
        <v>730</v>
      </c>
      <c r="M1618" s="1" t="s">
        <v>784</v>
      </c>
      <c r="N1618" s="8" t="s">
        <v>785</v>
      </c>
      <c r="O1618" s="6">
        <v>0</v>
      </c>
      <c r="P1618" s="6">
        <v>0</v>
      </c>
      <c r="Q1618" s="6">
        <v>0</v>
      </c>
      <c r="R1618" s="6">
        <v>0</v>
      </c>
      <c r="S1618" s="6">
        <v>80</v>
      </c>
    </row>
    <row r="1619" spans="1:19" ht="15" x14ac:dyDescent="0.25">
      <c r="A1619" s="7" t="s">
        <v>16</v>
      </c>
      <c r="B1619" s="7" t="s">
        <v>60</v>
      </c>
      <c r="C1619" s="7" t="s">
        <v>18</v>
      </c>
      <c r="D1619" s="3">
        <v>29435005006160</v>
      </c>
      <c r="E1619" s="8" t="s">
        <v>681</v>
      </c>
      <c r="F1619" s="8" t="s">
        <v>652</v>
      </c>
      <c r="G1619" s="8" t="s">
        <v>241</v>
      </c>
      <c r="H1619" s="8" t="s">
        <v>795</v>
      </c>
      <c r="I1619" s="3">
        <v>2</v>
      </c>
      <c r="J1619" s="8" t="s">
        <v>760</v>
      </c>
      <c r="K1619" s="8" t="s">
        <v>761</v>
      </c>
      <c r="L1619" s="8" t="s">
        <v>723</v>
      </c>
      <c r="M1619" s="1" t="s">
        <v>784</v>
      </c>
      <c r="N1619" s="8" t="s">
        <v>785</v>
      </c>
      <c r="O1619" s="6">
        <v>0</v>
      </c>
      <c r="P1619" s="6">
        <v>10</v>
      </c>
      <c r="Q1619" s="6">
        <v>0</v>
      </c>
      <c r="R1619" s="6">
        <v>0</v>
      </c>
      <c r="S1619" s="6">
        <v>80</v>
      </c>
    </row>
    <row r="1620" spans="1:19" ht="15" x14ac:dyDescent="0.25">
      <c r="A1620" s="7" t="s">
        <v>16</v>
      </c>
      <c r="B1620" s="7" t="s">
        <v>60</v>
      </c>
      <c r="C1620" s="7" t="s">
        <v>18</v>
      </c>
      <c r="D1620" s="3">
        <v>60884855001630</v>
      </c>
      <c r="E1620" s="8" t="s">
        <v>693</v>
      </c>
      <c r="F1620" s="8" t="s">
        <v>652</v>
      </c>
      <c r="G1620" s="8" t="s">
        <v>241</v>
      </c>
      <c r="H1620" s="8" t="s">
        <v>795</v>
      </c>
      <c r="I1620" s="3">
        <v>2</v>
      </c>
      <c r="J1620" s="8" t="s">
        <v>733</v>
      </c>
      <c r="K1620" s="8" t="s">
        <v>734</v>
      </c>
      <c r="L1620" s="8" t="s">
        <v>730</v>
      </c>
      <c r="M1620" s="1" t="s">
        <v>784</v>
      </c>
      <c r="N1620" s="8" t="s">
        <v>785</v>
      </c>
      <c r="O1620" s="6">
        <v>0</v>
      </c>
      <c r="P1620" s="6">
        <v>0</v>
      </c>
      <c r="Q1620" s="6">
        <v>0</v>
      </c>
      <c r="R1620" s="6">
        <v>0</v>
      </c>
      <c r="S1620" s="6">
        <v>385</v>
      </c>
    </row>
    <row r="1621" spans="1:19" ht="15" x14ac:dyDescent="0.25">
      <c r="A1621" s="7" t="s">
        <v>16</v>
      </c>
      <c r="B1621" s="7" t="s">
        <v>60</v>
      </c>
      <c r="C1621" s="7" t="s">
        <v>18</v>
      </c>
      <c r="D1621" s="3">
        <v>60884855001630</v>
      </c>
      <c r="E1621" s="8" t="s">
        <v>693</v>
      </c>
      <c r="F1621" s="8" t="s">
        <v>652</v>
      </c>
      <c r="G1621" s="8" t="s">
        <v>241</v>
      </c>
      <c r="H1621" s="8" t="s">
        <v>795</v>
      </c>
      <c r="I1621" s="3">
        <v>2</v>
      </c>
      <c r="J1621" s="8" t="s">
        <v>752</v>
      </c>
      <c r="K1621" s="8" t="s">
        <v>753</v>
      </c>
      <c r="L1621" s="8" t="s">
        <v>723</v>
      </c>
      <c r="M1621" s="1" t="s">
        <v>784</v>
      </c>
      <c r="N1621" s="8" t="s">
        <v>785</v>
      </c>
      <c r="O1621" s="6">
        <v>0</v>
      </c>
      <c r="P1621" s="6">
        <v>7</v>
      </c>
      <c r="Q1621" s="6">
        <v>5</v>
      </c>
      <c r="R1621" s="6">
        <v>0</v>
      </c>
      <c r="S1621" s="6">
        <v>385</v>
      </c>
    </row>
    <row r="1622" spans="1:19" ht="15" x14ac:dyDescent="0.25">
      <c r="A1622" s="7" t="s">
        <v>16</v>
      </c>
      <c r="B1622" s="7" t="s">
        <v>60</v>
      </c>
      <c r="C1622" s="7" t="s">
        <v>18</v>
      </c>
      <c r="D1622" s="3">
        <v>18010750000100</v>
      </c>
      <c r="E1622" s="8" t="s">
        <v>671</v>
      </c>
      <c r="F1622" s="8" t="s">
        <v>652</v>
      </c>
      <c r="G1622" s="8" t="s">
        <v>241</v>
      </c>
      <c r="H1622" s="8" t="s">
        <v>795</v>
      </c>
      <c r="I1622" s="3">
        <v>2</v>
      </c>
      <c r="J1622" s="8" t="s">
        <v>733</v>
      </c>
      <c r="K1622" s="8" t="s">
        <v>734</v>
      </c>
      <c r="L1622" s="8" t="s">
        <v>730</v>
      </c>
      <c r="M1622" s="1" t="s">
        <v>784</v>
      </c>
      <c r="N1622" s="8" t="s">
        <v>785</v>
      </c>
      <c r="O1622" s="6">
        <v>0</v>
      </c>
      <c r="P1622" s="6">
        <v>0</v>
      </c>
      <c r="Q1622" s="6">
        <v>0</v>
      </c>
      <c r="R1622" s="6">
        <v>0</v>
      </c>
      <c r="S1622" s="6">
        <v>290</v>
      </c>
    </row>
    <row r="1623" spans="1:19" ht="15" x14ac:dyDescent="0.25">
      <c r="A1623" s="7" t="s">
        <v>16</v>
      </c>
      <c r="B1623" s="7" t="s">
        <v>60</v>
      </c>
      <c r="C1623" s="7" t="s">
        <v>18</v>
      </c>
      <c r="D1623" s="3">
        <v>18010750000100</v>
      </c>
      <c r="E1623" s="8" t="s">
        <v>671</v>
      </c>
      <c r="F1623" s="8" t="s">
        <v>652</v>
      </c>
      <c r="G1623" s="8" t="s">
        <v>241</v>
      </c>
      <c r="H1623" s="8" t="s">
        <v>795</v>
      </c>
      <c r="I1623" s="3">
        <v>2</v>
      </c>
      <c r="J1623" s="8" t="s">
        <v>752</v>
      </c>
      <c r="K1623" s="8" t="s">
        <v>753</v>
      </c>
      <c r="L1623" s="8" t="s">
        <v>723</v>
      </c>
      <c r="M1623" s="1" t="s">
        <v>784</v>
      </c>
      <c r="N1623" s="8" t="s">
        <v>785</v>
      </c>
      <c r="O1623" s="6">
        <v>0</v>
      </c>
      <c r="P1623" s="6">
        <v>0</v>
      </c>
      <c r="Q1623" s="6">
        <v>2</v>
      </c>
      <c r="R1623" s="6">
        <v>0</v>
      </c>
      <c r="S1623" s="6">
        <v>290</v>
      </c>
    </row>
    <row r="1624" spans="1:19" ht="15" x14ac:dyDescent="0.25">
      <c r="A1624" s="7" t="s">
        <v>16</v>
      </c>
      <c r="B1624" s="7" t="s">
        <v>60</v>
      </c>
      <c r="C1624" s="7" t="s">
        <v>18</v>
      </c>
      <c r="D1624" s="3">
        <v>33663683005347</v>
      </c>
      <c r="E1624" s="8" t="s">
        <v>688</v>
      </c>
      <c r="F1624" s="8" t="s">
        <v>652</v>
      </c>
      <c r="G1624" s="8" t="s">
        <v>241</v>
      </c>
      <c r="H1624" s="8" t="s">
        <v>795</v>
      </c>
      <c r="I1624" s="3">
        <v>2</v>
      </c>
      <c r="J1624" s="8" t="s">
        <v>733</v>
      </c>
      <c r="K1624" s="8" t="s">
        <v>734</v>
      </c>
      <c r="L1624" s="8" t="s">
        <v>730</v>
      </c>
      <c r="M1624" s="1" t="s">
        <v>784</v>
      </c>
      <c r="N1624" s="8" t="s">
        <v>785</v>
      </c>
      <c r="O1624" s="6">
        <v>0</v>
      </c>
      <c r="P1624" s="6">
        <v>0</v>
      </c>
      <c r="Q1624" s="6">
        <v>0</v>
      </c>
      <c r="R1624" s="6">
        <v>0</v>
      </c>
      <c r="S1624" s="6">
        <v>2400</v>
      </c>
    </row>
    <row r="1625" spans="1:19" ht="15" x14ac:dyDescent="0.25">
      <c r="A1625" s="7" t="s">
        <v>16</v>
      </c>
      <c r="B1625" s="7" t="s">
        <v>60</v>
      </c>
      <c r="C1625" s="7" t="s">
        <v>18</v>
      </c>
      <c r="D1625" s="3">
        <v>33663683005347</v>
      </c>
      <c r="E1625" s="8" t="s">
        <v>688</v>
      </c>
      <c r="F1625" s="8" t="s">
        <v>652</v>
      </c>
      <c r="G1625" s="8" t="s">
        <v>241</v>
      </c>
      <c r="H1625" s="8" t="s">
        <v>795</v>
      </c>
      <c r="I1625" s="3">
        <v>2</v>
      </c>
      <c r="J1625" s="8" t="s">
        <v>752</v>
      </c>
      <c r="K1625" s="8" t="s">
        <v>753</v>
      </c>
      <c r="L1625" s="8" t="s">
        <v>723</v>
      </c>
      <c r="M1625" s="1" t="s">
        <v>784</v>
      </c>
      <c r="N1625" s="8" t="s">
        <v>785</v>
      </c>
      <c r="O1625" s="6">
        <v>0</v>
      </c>
      <c r="P1625" s="6">
        <v>24</v>
      </c>
      <c r="Q1625" s="6">
        <v>24</v>
      </c>
      <c r="R1625" s="6">
        <v>0</v>
      </c>
      <c r="S1625" s="6">
        <v>2400</v>
      </c>
    </row>
    <row r="1626" spans="1:19" ht="15" x14ac:dyDescent="0.25">
      <c r="A1626" s="7" t="s">
        <v>16</v>
      </c>
      <c r="B1626" s="7" t="s">
        <v>60</v>
      </c>
      <c r="C1626" s="7" t="s">
        <v>18</v>
      </c>
      <c r="D1626" s="3">
        <v>394544017150</v>
      </c>
      <c r="E1626" s="8" t="s">
        <v>698</v>
      </c>
      <c r="F1626" s="8" t="s">
        <v>652</v>
      </c>
      <c r="G1626" s="8" t="s">
        <v>241</v>
      </c>
      <c r="H1626" s="8" t="s">
        <v>795</v>
      </c>
      <c r="I1626" s="3">
        <v>2</v>
      </c>
      <c r="J1626" s="8" t="s">
        <v>733</v>
      </c>
      <c r="K1626" s="8" t="s">
        <v>734</v>
      </c>
      <c r="L1626" s="8" t="s">
        <v>730</v>
      </c>
      <c r="M1626" s="1" t="s">
        <v>784</v>
      </c>
      <c r="N1626" s="8" t="s">
        <v>785</v>
      </c>
      <c r="O1626" s="6">
        <v>0</v>
      </c>
      <c r="P1626" s="6">
        <v>0</v>
      </c>
      <c r="Q1626" s="6">
        <v>0</v>
      </c>
      <c r="R1626" s="6">
        <v>0</v>
      </c>
      <c r="S1626" s="6">
        <v>0</v>
      </c>
    </row>
    <row r="1627" spans="1:19" ht="15" x14ac:dyDescent="0.25">
      <c r="A1627" s="7" t="s">
        <v>16</v>
      </c>
      <c r="B1627" s="7" t="s">
        <v>60</v>
      </c>
      <c r="C1627" s="7" t="s">
        <v>18</v>
      </c>
      <c r="D1627" s="3">
        <v>394544017150</v>
      </c>
      <c r="E1627" s="8" t="s">
        <v>698</v>
      </c>
      <c r="F1627" s="8" t="s">
        <v>652</v>
      </c>
      <c r="G1627" s="8" t="s">
        <v>241</v>
      </c>
      <c r="H1627" s="8" t="s">
        <v>795</v>
      </c>
      <c r="I1627" s="3">
        <v>2</v>
      </c>
      <c r="J1627" s="8" t="s">
        <v>752</v>
      </c>
      <c r="K1627" s="8" t="s">
        <v>753</v>
      </c>
      <c r="L1627" s="8" t="s">
        <v>723</v>
      </c>
      <c r="M1627" s="1" t="s">
        <v>784</v>
      </c>
      <c r="N1627" s="8" t="s">
        <v>785</v>
      </c>
      <c r="O1627" s="6">
        <v>0</v>
      </c>
      <c r="P1627" s="6">
        <v>20</v>
      </c>
      <c r="Q1627" s="6">
        <v>0</v>
      </c>
      <c r="R1627" s="6">
        <v>0</v>
      </c>
      <c r="S1627" s="6">
        <v>0</v>
      </c>
    </row>
    <row r="1628" spans="1:19" ht="15" x14ac:dyDescent="0.25">
      <c r="A1628" s="7" t="s">
        <v>16</v>
      </c>
      <c r="B1628" s="7" t="s">
        <v>60</v>
      </c>
      <c r="C1628" s="7" t="s">
        <v>18</v>
      </c>
      <c r="D1628" s="3">
        <v>394544021344</v>
      </c>
      <c r="E1628" s="8" t="s">
        <v>657</v>
      </c>
      <c r="F1628" s="8" t="s">
        <v>652</v>
      </c>
      <c r="G1628" s="8" t="s">
        <v>241</v>
      </c>
      <c r="H1628" s="8" t="s">
        <v>795</v>
      </c>
      <c r="I1628" s="3">
        <v>2</v>
      </c>
      <c r="J1628" s="8" t="s">
        <v>733</v>
      </c>
      <c r="K1628" s="8" t="s">
        <v>734</v>
      </c>
      <c r="L1628" s="8" t="s">
        <v>730</v>
      </c>
      <c r="M1628" s="1" t="s">
        <v>784</v>
      </c>
      <c r="N1628" s="8" t="s">
        <v>785</v>
      </c>
      <c r="O1628" s="6">
        <v>0</v>
      </c>
      <c r="P1628" s="6">
        <v>0</v>
      </c>
      <c r="Q1628" s="6">
        <v>0</v>
      </c>
      <c r="R1628" s="6">
        <v>0</v>
      </c>
      <c r="S1628" s="6">
        <v>0</v>
      </c>
    </row>
    <row r="1629" spans="1:19" ht="15" x14ac:dyDescent="0.25">
      <c r="A1629" s="7" t="s">
        <v>16</v>
      </c>
      <c r="B1629" s="7" t="s">
        <v>60</v>
      </c>
      <c r="C1629" s="7" t="s">
        <v>18</v>
      </c>
      <c r="D1629" s="3">
        <v>394544021344</v>
      </c>
      <c r="E1629" s="8" t="s">
        <v>657</v>
      </c>
      <c r="F1629" s="8" t="s">
        <v>652</v>
      </c>
      <c r="G1629" s="8" t="s">
        <v>241</v>
      </c>
      <c r="H1629" s="8" t="s">
        <v>795</v>
      </c>
      <c r="I1629" s="3">
        <v>2</v>
      </c>
      <c r="J1629" s="8" t="s">
        <v>760</v>
      </c>
      <c r="K1629" s="8" t="s">
        <v>761</v>
      </c>
      <c r="L1629" s="8" t="s">
        <v>723</v>
      </c>
      <c r="M1629" s="1" t="s">
        <v>784</v>
      </c>
      <c r="N1629" s="8" t="s">
        <v>785</v>
      </c>
      <c r="O1629" s="6">
        <v>0</v>
      </c>
      <c r="P1629" s="6">
        <v>208</v>
      </c>
      <c r="Q1629" s="6">
        <v>250</v>
      </c>
      <c r="R1629" s="6">
        <v>0</v>
      </c>
      <c r="S1629" s="6">
        <v>0</v>
      </c>
    </row>
    <row r="1630" spans="1:19" ht="15" x14ac:dyDescent="0.25">
      <c r="A1630" s="7" t="s">
        <v>16</v>
      </c>
      <c r="B1630" s="7" t="s">
        <v>60</v>
      </c>
      <c r="C1630" s="7" t="s">
        <v>18</v>
      </c>
      <c r="D1630" s="3">
        <v>33419482000259</v>
      </c>
      <c r="E1630" s="8" t="s">
        <v>686</v>
      </c>
      <c r="F1630" s="8" t="s">
        <v>652</v>
      </c>
      <c r="G1630" s="8" t="s">
        <v>241</v>
      </c>
      <c r="H1630" s="8" t="s">
        <v>795</v>
      </c>
      <c r="I1630" s="3">
        <v>2</v>
      </c>
      <c r="J1630" s="8" t="s">
        <v>733</v>
      </c>
      <c r="K1630" s="8" t="s">
        <v>734</v>
      </c>
      <c r="L1630" s="8" t="s">
        <v>730</v>
      </c>
      <c r="M1630" s="1" t="s">
        <v>784</v>
      </c>
      <c r="N1630" s="8" t="s">
        <v>785</v>
      </c>
      <c r="O1630" s="6">
        <v>0</v>
      </c>
      <c r="P1630" s="6">
        <v>0</v>
      </c>
      <c r="Q1630" s="6">
        <v>0</v>
      </c>
      <c r="R1630" s="6">
        <v>0</v>
      </c>
      <c r="S1630" s="6">
        <v>20</v>
      </c>
    </row>
    <row r="1631" spans="1:19" ht="15" x14ac:dyDescent="0.25">
      <c r="A1631" s="7" t="s">
        <v>16</v>
      </c>
      <c r="B1631" s="7" t="s">
        <v>60</v>
      </c>
      <c r="C1631" s="7" t="s">
        <v>18</v>
      </c>
      <c r="D1631" s="3">
        <v>33419482000259</v>
      </c>
      <c r="E1631" s="8" t="s">
        <v>686</v>
      </c>
      <c r="F1631" s="8" t="s">
        <v>652</v>
      </c>
      <c r="G1631" s="8" t="s">
        <v>241</v>
      </c>
      <c r="H1631" s="8" t="s">
        <v>795</v>
      </c>
      <c r="I1631" s="3">
        <v>2</v>
      </c>
      <c r="J1631" s="8" t="s">
        <v>760</v>
      </c>
      <c r="K1631" s="8" t="s">
        <v>761</v>
      </c>
      <c r="L1631" s="8" t="s">
        <v>723</v>
      </c>
      <c r="M1631" s="1" t="s">
        <v>784</v>
      </c>
      <c r="N1631" s="8" t="s">
        <v>785</v>
      </c>
      <c r="O1631" s="6">
        <v>0</v>
      </c>
      <c r="P1631" s="6">
        <v>3</v>
      </c>
      <c r="Q1631" s="6">
        <v>7</v>
      </c>
      <c r="R1631" s="6">
        <v>0</v>
      </c>
      <c r="S1631" s="6">
        <v>20</v>
      </c>
    </row>
    <row r="1632" spans="1:19" ht="15" x14ac:dyDescent="0.25">
      <c r="A1632" s="7" t="s">
        <v>16</v>
      </c>
      <c r="B1632" s="7" t="s">
        <v>60</v>
      </c>
      <c r="C1632" s="7" t="s">
        <v>18</v>
      </c>
      <c r="D1632" s="3">
        <v>320465020</v>
      </c>
      <c r="E1632" s="8" t="s">
        <v>704</v>
      </c>
      <c r="F1632" s="8" t="s">
        <v>652</v>
      </c>
      <c r="G1632" s="8" t="s">
        <v>241</v>
      </c>
      <c r="H1632" s="8" t="s">
        <v>795</v>
      </c>
      <c r="I1632" s="3">
        <v>2</v>
      </c>
      <c r="J1632" s="8" t="s">
        <v>733</v>
      </c>
      <c r="K1632" s="8" t="s">
        <v>734</v>
      </c>
      <c r="L1632" s="8" t="s">
        <v>730</v>
      </c>
      <c r="M1632" s="1" t="s">
        <v>784</v>
      </c>
      <c r="N1632" s="8" t="s">
        <v>785</v>
      </c>
      <c r="O1632" s="6">
        <v>3</v>
      </c>
      <c r="P1632" s="6">
        <v>0</v>
      </c>
      <c r="Q1632" s="6">
        <v>0</v>
      </c>
      <c r="R1632" s="6">
        <v>0</v>
      </c>
      <c r="S1632" s="6">
        <v>0</v>
      </c>
    </row>
    <row r="1633" spans="1:19" ht="15" x14ac:dyDescent="0.25">
      <c r="A1633" s="7" t="s">
        <v>16</v>
      </c>
      <c r="B1633" s="7" t="s">
        <v>60</v>
      </c>
      <c r="C1633" s="7" t="s">
        <v>18</v>
      </c>
      <c r="D1633" s="3">
        <v>320465020</v>
      </c>
      <c r="E1633" s="8" t="s">
        <v>704</v>
      </c>
      <c r="F1633" s="8" t="s">
        <v>652</v>
      </c>
      <c r="G1633" s="8" t="s">
        <v>241</v>
      </c>
      <c r="H1633" s="8" t="s">
        <v>795</v>
      </c>
      <c r="I1633" s="3">
        <v>2</v>
      </c>
      <c r="J1633" s="8" t="s">
        <v>760</v>
      </c>
      <c r="K1633" s="8" t="s">
        <v>761</v>
      </c>
      <c r="L1633" s="8" t="s">
        <v>723</v>
      </c>
      <c r="M1633" s="1" t="s">
        <v>784</v>
      </c>
      <c r="N1633" s="8" t="s">
        <v>785</v>
      </c>
      <c r="O1633" s="6">
        <v>0</v>
      </c>
      <c r="P1633" s="6">
        <v>0</v>
      </c>
      <c r="Q1633" s="6">
        <v>0</v>
      </c>
      <c r="R1633" s="6">
        <v>0</v>
      </c>
      <c r="S1633" s="6">
        <v>0</v>
      </c>
    </row>
    <row r="1634" spans="1:19" ht="15" x14ac:dyDescent="0.25">
      <c r="A1634" s="7" t="s">
        <v>16</v>
      </c>
      <c r="B1634" s="7" t="s">
        <v>60</v>
      </c>
      <c r="C1634" s="7" t="s">
        <v>18</v>
      </c>
      <c r="D1634" s="3">
        <v>72101124000506</v>
      </c>
      <c r="E1634" s="8" t="s">
        <v>695</v>
      </c>
      <c r="F1634" s="8" t="s">
        <v>652</v>
      </c>
      <c r="G1634" s="8" t="s">
        <v>241</v>
      </c>
      <c r="H1634" s="8" t="s">
        <v>795</v>
      </c>
      <c r="I1634" s="3">
        <v>2</v>
      </c>
      <c r="J1634" s="8" t="s">
        <v>733</v>
      </c>
      <c r="K1634" s="8" t="s">
        <v>734</v>
      </c>
      <c r="L1634" s="8" t="s">
        <v>730</v>
      </c>
      <c r="M1634" s="1" t="s">
        <v>784</v>
      </c>
      <c r="N1634" s="8" t="s">
        <v>785</v>
      </c>
      <c r="O1634" s="6">
        <v>0</v>
      </c>
      <c r="P1634" s="6">
        <v>0</v>
      </c>
      <c r="Q1634" s="6">
        <v>0</v>
      </c>
      <c r="R1634" s="6">
        <v>214</v>
      </c>
      <c r="S1634" s="6">
        <v>445</v>
      </c>
    </row>
    <row r="1635" spans="1:19" ht="15" x14ac:dyDescent="0.25">
      <c r="A1635" s="7" t="s">
        <v>16</v>
      </c>
      <c r="B1635" s="7" t="s">
        <v>60</v>
      </c>
      <c r="C1635" s="7" t="s">
        <v>18</v>
      </c>
      <c r="D1635" s="3">
        <v>72101124000506</v>
      </c>
      <c r="E1635" s="8" t="s">
        <v>695</v>
      </c>
      <c r="F1635" s="8" t="s">
        <v>652</v>
      </c>
      <c r="G1635" s="8" t="s">
        <v>241</v>
      </c>
      <c r="H1635" s="8" t="s">
        <v>795</v>
      </c>
      <c r="I1635" s="3">
        <v>2</v>
      </c>
      <c r="J1635" s="8" t="s">
        <v>760</v>
      </c>
      <c r="K1635" s="8" t="s">
        <v>761</v>
      </c>
      <c r="L1635" s="8" t="s">
        <v>723</v>
      </c>
      <c r="M1635" s="1" t="s">
        <v>784</v>
      </c>
      <c r="N1635" s="8" t="s">
        <v>785</v>
      </c>
      <c r="O1635" s="6">
        <v>0</v>
      </c>
      <c r="P1635" s="6">
        <v>0</v>
      </c>
      <c r="Q1635" s="6">
        <v>0</v>
      </c>
      <c r="R1635" s="6">
        <v>0</v>
      </c>
      <c r="S1635" s="6">
        <v>445</v>
      </c>
    </row>
    <row r="1636" spans="1:19" ht="15" x14ac:dyDescent="0.25">
      <c r="A1636" s="7" t="s">
        <v>16</v>
      </c>
      <c r="B1636" s="7" t="s">
        <v>60</v>
      </c>
      <c r="C1636" s="7" t="s">
        <v>18</v>
      </c>
      <c r="D1636" s="3">
        <v>28000107000159</v>
      </c>
      <c r="E1636" s="8" t="s">
        <v>676</v>
      </c>
      <c r="F1636" s="8" t="s">
        <v>652</v>
      </c>
      <c r="G1636" s="8" t="s">
        <v>241</v>
      </c>
      <c r="H1636" s="8" t="s">
        <v>795</v>
      </c>
      <c r="I1636" s="3">
        <v>2</v>
      </c>
      <c r="J1636" s="8" t="s">
        <v>733</v>
      </c>
      <c r="K1636" s="8" t="s">
        <v>734</v>
      </c>
      <c r="L1636" s="8" t="s">
        <v>730</v>
      </c>
      <c r="M1636" s="1" t="s">
        <v>784</v>
      </c>
      <c r="N1636" s="8" t="s">
        <v>785</v>
      </c>
      <c r="O1636" s="6">
        <v>0</v>
      </c>
      <c r="P1636" s="6">
        <v>0</v>
      </c>
      <c r="Q1636" s="6">
        <v>0</v>
      </c>
      <c r="R1636" s="6">
        <v>126</v>
      </c>
      <c r="S1636" s="6">
        <v>150</v>
      </c>
    </row>
    <row r="1637" spans="1:19" ht="15" x14ac:dyDescent="0.25">
      <c r="A1637" s="7" t="s">
        <v>16</v>
      </c>
      <c r="B1637" s="7" t="s">
        <v>60</v>
      </c>
      <c r="C1637" s="7" t="s">
        <v>18</v>
      </c>
      <c r="D1637" s="3">
        <v>28000107000159</v>
      </c>
      <c r="E1637" s="8" t="s">
        <v>676</v>
      </c>
      <c r="F1637" s="8" t="s">
        <v>652</v>
      </c>
      <c r="G1637" s="8" t="s">
        <v>241</v>
      </c>
      <c r="H1637" s="8" t="s">
        <v>795</v>
      </c>
      <c r="I1637" s="3">
        <v>2</v>
      </c>
      <c r="J1637" s="8" t="s">
        <v>760</v>
      </c>
      <c r="K1637" s="8" t="s">
        <v>761</v>
      </c>
      <c r="L1637" s="8" t="s">
        <v>723</v>
      </c>
      <c r="M1637" s="1" t="s">
        <v>784</v>
      </c>
      <c r="N1637" s="8" t="s">
        <v>785</v>
      </c>
      <c r="O1637" s="6">
        <v>0</v>
      </c>
      <c r="P1637" s="6">
        <v>0</v>
      </c>
      <c r="Q1637" s="6">
        <v>0</v>
      </c>
      <c r="R1637" s="6">
        <v>0</v>
      </c>
      <c r="S1637" s="6">
        <v>150</v>
      </c>
    </row>
    <row r="1638" spans="1:19" ht="15" x14ac:dyDescent="0.25">
      <c r="A1638" s="7" t="s">
        <v>16</v>
      </c>
      <c r="B1638" s="7" t="s">
        <v>60</v>
      </c>
      <c r="C1638" s="7" t="s">
        <v>18</v>
      </c>
      <c r="D1638" s="3">
        <v>33000167000101</v>
      </c>
      <c r="E1638" s="8" t="s">
        <v>685</v>
      </c>
      <c r="F1638" s="8" t="s">
        <v>652</v>
      </c>
      <c r="G1638" s="8" t="s">
        <v>241</v>
      </c>
      <c r="H1638" s="8" t="s">
        <v>795</v>
      </c>
      <c r="I1638" s="3">
        <v>2</v>
      </c>
      <c r="J1638" s="8" t="s">
        <v>733</v>
      </c>
      <c r="K1638" s="8" t="s">
        <v>734</v>
      </c>
      <c r="L1638" s="8" t="s">
        <v>730</v>
      </c>
      <c r="M1638" s="1" t="s">
        <v>784</v>
      </c>
      <c r="N1638" s="8" t="s">
        <v>785</v>
      </c>
      <c r="O1638" s="6">
        <v>0</v>
      </c>
      <c r="P1638" s="6">
        <v>0</v>
      </c>
      <c r="Q1638" s="6">
        <v>0</v>
      </c>
      <c r="R1638" s="6">
        <v>0</v>
      </c>
      <c r="S1638" s="6">
        <v>120</v>
      </c>
    </row>
    <row r="1639" spans="1:19" ht="15" x14ac:dyDescent="0.25">
      <c r="A1639" s="7" t="s">
        <v>16</v>
      </c>
      <c r="B1639" s="7" t="s">
        <v>60</v>
      </c>
      <c r="C1639" s="7" t="s">
        <v>18</v>
      </c>
      <c r="D1639" s="3">
        <v>33000167000101</v>
      </c>
      <c r="E1639" s="8" t="s">
        <v>685</v>
      </c>
      <c r="F1639" s="8" t="s">
        <v>652</v>
      </c>
      <c r="G1639" s="8" t="s">
        <v>241</v>
      </c>
      <c r="H1639" s="8" t="s">
        <v>795</v>
      </c>
      <c r="I1639" s="3">
        <v>2</v>
      </c>
      <c r="J1639" s="8" t="s">
        <v>760</v>
      </c>
      <c r="K1639" s="8" t="s">
        <v>761</v>
      </c>
      <c r="L1639" s="8" t="s">
        <v>723</v>
      </c>
      <c r="M1639" s="1" t="s">
        <v>784</v>
      </c>
      <c r="N1639" s="8" t="s">
        <v>785</v>
      </c>
      <c r="O1639" s="6">
        <v>0</v>
      </c>
      <c r="P1639" s="6">
        <v>0</v>
      </c>
      <c r="Q1639" s="6">
        <v>0</v>
      </c>
      <c r="R1639" s="6">
        <v>0</v>
      </c>
      <c r="S1639" s="6">
        <v>120</v>
      </c>
    </row>
    <row r="1640" spans="1:19" ht="15" x14ac:dyDescent="0.25">
      <c r="A1640" s="7" t="s">
        <v>16</v>
      </c>
      <c r="B1640" s="7" t="s">
        <v>60</v>
      </c>
      <c r="C1640" s="7" t="s">
        <v>18</v>
      </c>
      <c r="D1640" s="3">
        <v>5371944796</v>
      </c>
      <c r="E1640" s="8" t="s">
        <v>705</v>
      </c>
      <c r="F1640" s="8" t="s">
        <v>652</v>
      </c>
      <c r="G1640" s="8" t="s">
        <v>241</v>
      </c>
      <c r="H1640" s="8" t="s">
        <v>795</v>
      </c>
      <c r="I1640" s="3">
        <v>2</v>
      </c>
      <c r="J1640" s="8" t="s">
        <v>733</v>
      </c>
      <c r="K1640" s="8" t="s">
        <v>734</v>
      </c>
      <c r="L1640" s="8" t="s">
        <v>730</v>
      </c>
      <c r="M1640" s="1" t="s">
        <v>784</v>
      </c>
      <c r="N1640" s="8" t="s">
        <v>785</v>
      </c>
      <c r="O1640" s="6">
        <v>0</v>
      </c>
      <c r="P1640" s="6">
        <v>0</v>
      </c>
      <c r="Q1640" s="6">
        <v>0</v>
      </c>
      <c r="R1640" s="6">
        <v>0</v>
      </c>
      <c r="S1640" s="6">
        <v>20</v>
      </c>
    </row>
    <row r="1641" spans="1:19" ht="15" x14ac:dyDescent="0.25">
      <c r="A1641" s="7" t="s">
        <v>16</v>
      </c>
      <c r="B1641" s="7" t="s">
        <v>60</v>
      </c>
      <c r="C1641" s="7" t="s">
        <v>18</v>
      </c>
      <c r="D1641" s="3">
        <v>5371944796</v>
      </c>
      <c r="E1641" s="8" t="s">
        <v>705</v>
      </c>
      <c r="F1641" s="8" t="s">
        <v>652</v>
      </c>
      <c r="G1641" s="8" t="s">
        <v>241</v>
      </c>
      <c r="H1641" s="8" t="s">
        <v>795</v>
      </c>
      <c r="I1641" s="3">
        <v>2</v>
      </c>
      <c r="J1641" s="8" t="s">
        <v>752</v>
      </c>
      <c r="K1641" s="8" t="s">
        <v>753</v>
      </c>
      <c r="L1641" s="8" t="s">
        <v>723</v>
      </c>
      <c r="M1641" s="1" t="s">
        <v>784</v>
      </c>
      <c r="N1641" s="8" t="s">
        <v>785</v>
      </c>
      <c r="O1641" s="6">
        <v>0</v>
      </c>
      <c r="P1641" s="6">
        <v>0</v>
      </c>
      <c r="Q1641" s="6">
        <v>0</v>
      </c>
      <c r="R1641" s="6">
        <v>0</v>
      </c>
      <c r="S1641" s="6">
        <v>20</v>
      </c>
    </row>
    <row r="1642" spans="1:19" ht="15" x14ac:dyDescent="0.25">
      <c r="A1642" s="7" t="s">
        <v>16</v>
      </c>
      <c r="B1642" s="7" t="s">
        <v>60</v>
      </c>
      <c r="C1642" s="7" t="s">
        <v>18</v>
      </c>
      <c r="D1642" s="3">
        <v>9219138000401</v>
      </c>
      <c r="E1642" s="8" t="s">
        <v>706</v>
      </c>
      <c r="F1642" s="8" t="s">
        <v>652</v>
      </c>
      <c r="G1642" s="8" t="s">
        <v>241</v>
      </c>
      <c r="H1642" s="8" t="s">
        <v>795</v>
      </c>
      <c r="I1642" s="3">
        <v>2</v>
      </c>
      <c r="J1642" s="8" t="s">
        <v>733</v>
      </c>
      <c r="K1642" s="8" t="s">
        <v>734</v>
      </c>
      <c r="L1642" s="8" t="s">
        <v>730</v>
      </c>
      <c r="M1642" s="1" t="s">
        <v>784</v>
      </c>
      <c r="N1642" s="8" t="s">
        <v>785</v>
      </c>
      <c r="O1642" s="6">
        <v>0</v>
      </c>
      <c r="P1642" s="6">
        <v>0</v>
      </c>
      <c r="Q1642" s="6">
        <v>0</v>
      </c>
      <c r="R1642" s="6">
        <v>0</v>
      </c>
      <c r="S1642" s="6">
        <v>285</v>
      </c>
    </row>
    <row r="1643" spans="1:19" ht="15" x14ac:dyDescent="0.25">
      <c r="A1643" s="7" t="s">
        <v>16</v>
      </c>
      <c r="B1643" s="7" t="s">
        <v>60</v>
      </c>
      <c r="C1643" s="7" t="s">
        <v>18</v>
      </c>
      <c r="D1643" s="3">
        <v>9219138000401</v>
      </c>
      <c r="E1643" s="8" t="s">
        <v>706</v>
      </c>
      <c r="F1643" s="8" t="s">
        <v>652</v>
      </c>
      <c r="G1643" s="8" t="s">
        <v>241</v>
      </c>
      <c r="H1643" s="8" t="s">
        <v>795</v>
      </c>
      <c r="I1643" s="3">
        <v>2</v>
      </c>
      <c r="J1643" s="8" t="s">
        <v>760</v>
      </c>
      <c r="K1643" s="8" t="s">
        <v>761</v>
      </c>
      <c r="L1643" s="8" t="s">
        <v>723</v>
      </c>
      <c r="M1643" s="1" t="s">
        <v>784</v>
      </c>
      <c r="N1643" s="8" t="s">
        <v>785</v>
      </c>
      <c r="O1643" s="6">
        <v>0</v>
      </c>
      <c r="P1643" s="6">
        <v>0</v>
      </c>
      <c r="Q1643" s="6">
        <v>0</v>
      </c>
      <c r="R1643" s="6">
        <v>0</v>
      </c>
      <c r="S1643" s="6">
        <v>285</v>
      </c>
    </row>
    <row r="1644" spans="1:19" ht="15" x14ac:dyDescent="0.25">
      <c r="A1644" s="7" t="s">
        <v>16</v>
      </c>
      <c r="B1644" s="7" t="s">
        <v>60</v>
      </c>
      <c r="C1644" s="7" t="s">
        <v>18</v>
      </c>
      <c r="D1644" s="3">
        <v>9219138000584</v>
      </c>
      <c r="E1644" s="8" t="s">
        <v>667</v>
      </c>
      <c r="F1644" s="8" t="s">
        <v>652</v>
      </c>
      <c r="G1644" s="8" t="s">
        <v>241</v>
      </c>
      <c r="H1644" s="8" t="s">
        <v>795</v>
      </c>
      <c r="I1644" s="3">
        <v>2</v>
      </c>
      <c r="J1644" s="8" t="s">
        <v>733</v>
      </c>
      <c r="K1644" s="8" t="s">
        <v>734</v>
      </c>
      <c r="L1644" s="8" t="s">
        <v>730</v>
      </c>
      <c r="M1644" s="1" t="s">
        <v>784</v>
      </c>
      <c r="N1644" s="8" t="s">
        <v>785</v>
      </c>
      <c r="O1644" s="6">
        <v>0</v>
      </c>
      <c r="P1644" s="6">
        <v>0</v>
      </c>
      <c r="Q1644" s="6">
        <v>0</v>
      </c>
      <c r="R1644" s="6">
        <v>140</v>
      </c>
      <c r="S1644" s="6">
        <v>1455</v>
      </c>
    </row>
    <row r="1645" spans="1:19" ht="15" x14ac:dyDescent="0.25">
      <c r="A1645" s="7" t="s">
        <v>16</v>
      </c>
      <c r="B1645" s="7" t="s">
        <v>60</v>
      </c>
      <c r="C1645" s="7" t="s">
        <v>18</v>
      </c>
      <c r="D1645" s="3">
        <v>9219138000584</v>
      </c>
      <c r="E1645" s="8" t="s">
        <v>667</v>
      </c>
      <c r="F1645" s="8" t="s">
        <v>652</v>
      </c>
      <c r="G1645" s="8" t="s">
        <v>241</v>
      </c>
      <c r="H1645" s="8" t="s">
        <v>795</v>
      </c>
      <c r="I1645" s="3">
        <v>2</v>
      </c>
      <c r="J1645" s="8" t="s">
        <v>752</v>
      </c>
      <c r="K1645" s="8" t="s">
        <v>753</v>
      </c>
      <c r="L1645" s="8" t="s">
        <v>723</v>
      </c>
      <c r="M1645" s="1" t="s">
        <v>784</v>
      </c>
      <c r="N1645" s="8" t="s">
        <v>785</v>
      </c>
      <c r="O1645" s="6">
        <v>0</v>
      </c>
      <c r="P1645" s="6">
        <v>2</v>
      </c>
      <c r="Q1645" s="6">
        <v>0</v>
      </c>
      <c r="R1645" s="6">
        <v>0</v>
      </c>
      <c r="S1645" s="6">
        <v>1455</v>
      </c>
    </row>
    <row r="1646" spans="1:19" ht="15" x14ac:dyDescent="0.25">
      <c r="A1646" s="7" t="s">
        <v>16</v>
      </c>
      <c r="B1646" s="7" t="s">
        <v>60</v>
      </c>
      <c r="C1646" s="7" t="s">
        <v>18</v>
      </c>
      <c r="D1646" s="3">
        <v>28602407000108</v>
      </c>
      <c r="E1646" s="8" t="s">
        <v>677</v>
      </c>
      <c r="F1646" s="8" t="s">
        <v>652</v>
      </c>
      <c r="G1646" s="8" t="s">
        <v>241</v>
      </c>
      <c r="H1646" s="8" t="s">
        <v>795</v>
      </c>
      <c r="I1646" s="3">
        <v>2</v>
      </c>
      <c r="J1646" s="8" t="s">
        <v>733</v>
      </c>
      <c r="K1646" s="8" t="s">
        <v>734</v>
      </c>
      <c r="L1646" s="8" t="s">
        <v>730</v>
      </c>
      <c r="M1646" s="1" t="s">
        <v>784</v>
      </c>
      <c r="N1646" s="8" t="s">
        <v>785</v>
      </c>
      <c r="O1646" s="6">
        <v>0</v>
      </c>
      <c r="P1646" s="6">
        <v>0</v>
      </c>
      <c r="Q1646" s="6">
        <v>0</v>
      </c>
      <c r="R1646" s="6">
        <v>4</v>
      </c>
      <c r="S1646" s="6">
        <v>0</v>
      </c>
    </row>
    <row r="1647" spans="1:19" ht="15" x14ac:dyDescent="0.25">
      <c r="A1647" s="7" t="s">
        <v>16</v>
      </c>
      <c r="B1647" s="7" t="s">
        <v>60</v>
      </c>
      <c r="C1647" s="7" t="s">
        <v>18</v>
      </c>
      <c r="D1647" s="3">
        <v>28602407000108</v>
      </c>
      <c r="E1647" s="8" t="s">
        <v>677</v>
      </c>
      <c r="F1647" s="8" t="s">
        <v>652</v>
      </c>
      <c r="G1647" s="8" t="s">
        <v>241</v>
      </c>
      <c r="H1647" s="8" t="s">
        <v>795</v>
      </c>
      <c r="I1647" s="3">
        <v>2</v>
      </c>
      <c r="J1647" s="8" t="s">
        <v>760</v>
      </c>
      <c r="K1647" s="8" t="s">
        <v>761</v>
      </c>
      <c r="L1647" s="8" t="s">
        <v>723</v>
      </c>
      <c r="M1647" s="1" t="s">
        <v>784</v>
      </c>
      <c r="N1647" s="8" t="s">
        <v>785</v>
      </c>
      <c r="O1647" s="6">
        <v>0</v>
      </c>
      <c r="P1647" s="6">
        <v>5</v>
      </c>
      <c r="Q1647" s="6">
        <v>1</v>
      </c>
      <c r="R1647" s="6">
        <v>0</v>
      </c>
      <c r="S1647" s="6">
        <v>0</v>
      </c>
    </row>
    <row r="1648" spans="1:19" ht="15" x14ac:dyDescent="0.25">
      <c r="A1648" s="7" t="s">
        <v>16</v>
      </c>
      <c r="B1648" s="7" t="s">
        <v>60</v>
      </c>
      <c r="C1648" s="7" t="s">
        <v>18</v>
      </c>
      <c r="D1648" s="3">
        <v>36238913000198</v>
      </c>
      <c r="E1648" s="8" t="s">
        <v>503</v>
      </c>
      <c r="F1648" s="8" t="s">
        <v>504</v>
      </c>
      <c r="G1648" s="8" t="s">
        <v>241</v>
      </c>
      <c r="H1648" s="8" t="s">
        <v>795</v>
      </c>
      <c r="I1648" s="3">
        <v>2</v>
      </c>
      <c r="J1648" s="8" t="s">
        <v>733</v>
      </c>
      <c r="K1648" s="8" t="s">
        <v>734</v>
      </c>
      <c r="L1648" s="8" t="s">
        <v>730</v>
      </c>
      <c r="M1648" s="1" t="s">
        <v>784</v>
      </c>
      <c r="N1648" s="8" t="s">
        <v>785</v>
      </c>
      <c r="O1648" s="6">
        <v>0</v>
      </c>
      <c r="P1648" s="6">
        <v>0</v>
      </c>
      <c r="Q1648" s="6">
        <v>0</v>
      </c>
      <c r="R1648" s="6">
        <v>200</v>
      </c>
      <c r="S1648" s="6">
        <v>0</v>
      </c>
    </row>
    <row r="1649" spans="1:19" ht="15" x14ac:dyDescent="0.25">
      <c r="A1649" s="7" t="s">
        <v>16</v>
      </c>
      <c r="B1649" s="7" t="s">
        <v>60</v>
      </c>
      <c r="C1649" s="7" t="s">
        <v>18</v>
      </c>
      <c r="D1649" s="3">
        <v>36238913000198</v>
      </c>
      <c r="E1649" s="8" t="s">
        <v>503</v>
      </c>
      <c r="F1649" s="8" t="s">
        <v>504</v>
      </c>
      <c r="G1649" s="8" t="s">
        <v>241</v>
      </c>
      <c r="H1649" s="8" t="s">
        <v>795</v>
      </c>
      <c r="I1649" s="3">
        <v>2</v>
      </c>
      <c r="J1649" s="8" t="s">
        <v>752</v>
      </c>
      <c r="K1649" s="8" t="s">
        <v>753</v>
      </c>
      <c r="L1649" s="8" t="s">
        <v>723</v>
      </c>
      <c r="M1649" s="1" t="s">
        <v>784</v>
      </c>
      <c r="N1649" s="8" t="s">
        <v>785</v>
      </c>
      <c r="O1649" s="6">
        <v>0</v>
      </c>
      <c r="P1649" s="6">
        <v>0</v>
      </c>
      <c r="Q1649" s="6">
        <v>0</v>
      </c>
      <c r="R1649" s="6">
        <v>0</v>
      </c>
      <c r="S1649" s="6">
        <v>0</v>
      </c>
    </row>
    <row r="1650" spans="1:19" ht="15" x14ac:dyDescent="0.25">
      <c r="A1650" s="7" t="s">
        <v>16</v>
      </c>
      <c r="B1650" s="7" t="s">
        <v>60</v>
      </c>
      <c r="C1650" s="7" t="s">
        <v>18</v>
      </c>
      <c r="D1650" s="3">
        <v>10562003000172</v>
      </c>
      <c r="E1650" s="8" t="s">
        <v>642</v>
      </c>
      <c r="F1650" s="8" t="s">
        <v>458</v>
      </c>
      <c r="G1650" s="8" t="s">
        <v>241</v>
      </c>
      <c r="H1650" s="8" t="s">
        <v>795</v>
      </c>
      <c r="I1650" s="3">
        <v>2</v>
      </c>
      <c r="J1650" s="8" t="s">
        <v>733</v>
      </c>
      <c r="K1650" s="8" t="s">
        <v>734</v>
      </c>
      <c r="L1650" s="8" t="s">
        <v>730</v>
      </c>
      <c r="M1650" s="1" t="s">
        <v>784</v>
      </c>
      <c r="N1650" s="8" t="s">
        <v>785</v>
      </c>
      <c r="O1650" s="6">
        <v>0</v>
      </c>
      <c r="P1650" s="6">
        <v>0</v>
      </c>
      <c r="Q1650" s="6">
        <v>0</v>
      </c>
      <c r="R1650" s="6">
        <v>0</v>
      </c>
      <c r="S1650" s="6">
        <v>175</v>
      </c>
    </row>
    <row r="1651" spans="1:19" ht="15" x14ac:dyDescent="0.25">
      <c r="A1651" s="7" t="s">
        <v>16</v>
      </c>
      <c r="B1651" s="7" t="s">
        <v>60</v>
      </c>
      <c r="C1651" s="7" t="s">
        <v>18</v>
      </c>
      <c r="D1651" s="3">
        <v>10562003000172</v>
      </c>
      <c r="E1651" s="8" t="s">
        <v>642</v>
      </c>
      <c r="F1651" s="8" t="s">
        <v>458</v>
      </c>
      <c r="G1651" s="8" t="s">
        <v>241</v>
      </c>
      <c r="H1651" s="8" t="s">
        <v>795</v>
      </c>
      <c r="I1651" s="3">
        <v>2</v>
      </c>
      <c r="J1651" s="8" t="s">
        <v>752</v>
      </c>
      <c r="K1651" s="8" t="s">
        <v>753</v>
      </c>
      <c r="L1651" s="8" t="s">
        <v>723</v>
      </c>
      <c r="M1651" s="1" t="s">
        <v>784</v>
      </c>
      <c r="N1651" s="8" t="s">
        <v>785</v>
      </c>
      <c r="O1651" s="6">
        <v>0</v>
      </c>
      <c r="P1651" s="6">
        <v>0</v>
      </c>
      <c r="Q1651" s="6">
        <v>0</v>
      </c>
      <c r="R1651" s="6">
        <v>0</v>
      </c>
      <c r="S1651" s="6">
        <v>175</v>
      </c>
    </row>
    <row r="1652" spans="1:19" ht="15" x14ac:dyDescent="0.25">
      <c r="A1652" s="7" t="s">
        <v>16</v>
      </c>
      <c r="B1652" s="7" t="s">
        <v>60</v>
      </c>
      <c r="C1652" s="7" t="s">
        <v>18</v>
      </c>
      <c r="D1652" s="3">
        <v>35917970000726</v>
      </c>
      <c r="E1652" s="8" t="s">
        <v>457</v>
      </c>
      <c r="F1652" s="8" t="s">
        <v>458</v>
      </c>
      <c r="G1652" s="8" t="s">
        <v>241</v>
      </c>
      <c r="H1652" s="8" t="s">
        <v>795</v>
      </c>
      <c r="I1652" s="3">
        <v>2</v>
      </c>
      <c r="J1652" s="8" t="s">
        <v>733</v>
      </c>
      <c r="K1652" s="8" t="s">
        <v>734</v>
      </c>
      <c r="L1652" s="8" t="s">
        <v>730</v>
      </c>
      <c r="M1652" s="1" t="s">
        <v>784</v>
      </c>
      <c r="N1652" s="8" t="s">
        <v>785</v>
      </c>
      <c r="O1652" s="6">
        <v>0</v>
      </c>
      <c r="P1652" s="6">
        <v>0</v>
      </c>
      <c r="Q1652" s="6">
        <v>0</v>
      </c>
      <c r="R1652" s="6">
        <v>30</v>
      </c>
      <c r="S1652" s="6">
        <v>0</v>
      </c>
    </row>
    <row r="1653" spans="1:19" ht="15" x14ac:dyDescent="0.25">
      <c r="A1653" s="7" t="s">
        <v>16</v>
      </c>
      <c r="B1653" s="7" t="s">
        <v>60</v>
      </c>
      <c r="C1653" s="7" t="s">
        <v>18</v>
      </c>
      <c r="D1653" s="3">
        <v>35917970000726</v>
      </c>
      <c r="E1653" s="8" t="s">
        <v>457</v>
      </c>
      <c r="F1653" s="8" t="s">
        <v>458</v>
      </c>
      <c r="G1653" s="8" t="s">
        <v>241</v>
      </c>
      <c r="H1653" s="8" t="s">
        <v>795</v>
      </c>
      <c r="I1653" s="3">
        <v>2</v>
      </c>
      <c r="J1653" s="8" t="s">
        <v>752</v>
      </c>
      <c r="K1653" s="8" t="s">
        <v>753</v>
      </c>
      <c r="L1653" s="8" t="s">
        <v>723</v>
      </c>
      <c r="M1653" s="1" t="s">
        <v>784</v>
      </c>
      <c r="N1653" s="8" t="s">
        <v>785</v>
      </c>
      <c r="O1653" s="6">
        <v>0</v>
      </c>
      <c r="P1653" s="6">
        <v>0</v>
      </c>
      <c r="Q1653" s="6">
        <v>0</v>
      </c>
      <c r="R1653" s="6">
        <v>0</v>
      </c>
      <c r="S1653" s="6">
        <v>0</v>
      </c>
    </row>
    <row r="1654" spans="1:19" ht="15" x14ac:dyDescent="0.25">
      <c r="A1654" s="7" t="s">
        <v>16</v>
      </c>
      <c r="B1654" s="7" t="s">
        <v>60</v>
      </c>
      <c r="C1654" s="7" t="s">
        <v>18</v>
      </c>
      <c r="D1654" s="3">
        <v>12361267009140</v>
      </c>
      <c r="E1654" s="8" t="s">
        <v>561</v>
      </c>
      <c r="F1654" s="8" t="s">
        <v>562</v>
      </c>
      <c r="G1654" s="8" t="s">
        <v>247</v>
      </c>
      <c r="H1654" s="8" t="s">
        <v>795</v>
      </c>
      <c r="I1654" s="3">
        <v>2</v>
      </c>
      <c r="J1654" s="8" t="s">
        <v>778</v>
      </c>
      <c r="K1654" s="8" t="s">
        <v>779</v>
      </c>
      <c r="L1654" s="8" t="s">
        <v>730</v>
      </c>
      <c r="M1654" s="1" t="s">
        <v>790</v>
      </c>
      <c r="N1654" s="8" t="s">
        <v>791</v>
      </c>
      <c r="O1654" s="6">
        <v>0</v>
      </c>
      <c r="P1654" s="6">
        <v>0</v>
      </c>
      <c r="Q1654" s="6">
        <v>0</v>
      </c>
      <c r="R1654" s="6">
        <v>0</v>
      </c>
      <c r="S1654" s="6">
        <v>5</v>
      </c>
    </row>
    <row r="1655" spans="1:19" ht="15" x14ac:dyDescent="0.25">
      <c r="A1655" s="7" t="s">
        <v>16</v>
      </c>
      <c r="B1655" s="7" t="s">
        <v>60</v>
      </c>
      <c r="C1655" s="7" t="s">
        <v>18</v>
      </c>
      <c r="D1655" s="3">
        <v>12361267009140</v>
      </c>
      <c r="E1655" s="8" t="s">
        <v>561</v>
      </c>
      <c r="F1655" s="8" t="s">
        <v>562</v>
      </c>
      <c r="G1655" s="8" t="s">
        <v>247</v>
      </c>
      <c r="H1655" s="8" t="s">
        <v>795</v>
      </c>
      <c r="I1655" s="3">
        <v>2</v>
      </c>
      <c r="J1655" s="8" t="s">
        <v>748</v>
      </c>
      <c r="K1655" s="8" t="s">
        <v>749</v>
      </c>
      <c r="L1655" s="8" t="s">
        <v>723</v>
      </c>
      <c r="M1655" s="1" t="s">
        <v>790</v>
      </c>
      <c r="N1655" s="8" t="s">
        <v>791</v>
      </c>
      <c r="O1655" s="6">
        <v>0</v>
      </c>
      <c r="P1655" s="6">
        <v>0</v>
      </c>
      <c r="Q1655" s="6">
        <v>0</v>
      </c>
      <c r="R1655" s="6">
        <v>0</v>
      </c>
      <c r="S1655" s="6">
        <v>5</v>
      </c>
    </row>
    <row r="1656" spans="1:19" ht="15" x14ac:dyDescent="0.25">
      <c r="A1656" s="7" t="s">
        <v>16</v>
      </c>
      <c r="B1656" s="7" t="s">
        <v>60</v>
      </c>
      <c r="C1656" s="7" t="s">
        <v>18</v>
      </c>
      <c r="D1656" s="3">
        <v>8319329000121</v>
      </c>
      <c r="E1656" s="8" t="s">
        <v>301</v>
      </c>
      <c r="F1656" s="8" t="s">
        <v>246</v>
      </c>
      <c r="G1656" s="8" t="s">
        <v>247</v>
      </c>
      <c r="H1656" s="8" t="s">
        <v>795</v>
      </c>
      <c r="I1656" s="3">
        <v>2</v>
      </c>
      <c r="J1656" s="8" t="s">
        <v>778</v>
      </c>
      <c r="K1656" s="8" t="s">
        <v>779</v>
      </c>
      <c r="L1656" s="8" t="s">
        <v>730</v>
      </c>
      <c r="M1656" s="1" t="s">
        <v>790</v>
      </c>
      <c r="N1656" s="8" t="s">
        <v>791</v>
      </c>
      <c r="O1656" s="6">
        <v>0</v>
      </c>
      <c r="P1656" s="6">
        <v>0</v>
      </c>
      <c r="Q1656" s="6">
        <v>0</v>
      </c>
      <c r="R1656" s="6">
        <v>0</v>
      </c>
      <c r="S1656" s="6">
        <v>0</v>
      </c>
    </row>
    <row r="1657" spans="1:19" ht="15" x14ac:dyDescent="0.25">
      <c r="A1657" s="7" t="s">
        <v>16</v>
      </c>
      <c r="B1657" s="7" t="s">
        <v>60</v>
      </c>
      <c r="C1657" s="7" t="s">
        <v>18</v>
      </c>
      <c r="D1657" s="3">
        <v>8319329000121</v>
      </c>
      <c r="E1657" s="8" t="s">
        <v>301</v>
      </c>
      <c r="F1657" s="8" t="s">
        <v>246</v>
      </c>
      <c r="G1657" s="8" t="s">
        <v>247</v>
      </c>
      <c r="H1657" s="8" t="s">
        <v>795</v>
      </c>
      <c r="I1657" s="3">
        <v>2</v>
      </c>
      <c r="J1657" s="8" t="s">
        <v>748</v>
      </c>
      <c r="K1657" s="8" t="s">
        <v>749</v>
      </c>
      <c r="L1657" s="8" t="s">
        <v>723</v>
      </c>
      <c r="M1657" s="1" t="s">
        <v>790</v>
      </c>
      <c r="N1657" s="8" t="s">
        <v>791</v>
      </c>
      <c r="O1657" s="6">
        <v>0</v>
      </c>
      <c r="P1657" s="6">
        <v>24</v>
      </c>
      <c r="Q1657" s="6">
        <v>0</v>
      </c>
      <c r="R1657" s="6">
        <v>0</v>
      </c>
      <c r="S1657" s="6">
        <v>0</v>
      </c>
    </row>
    <row r="1658" spans="1:19" ht="15" x14ac:dyDescent="0.25">
      <c r="A1658" s="7" t="s">
        <v>16</v>
      </c>
      <c r="B1658" s="7" t="s">
        <v>60</v>
      </c>
      <c r="C1658" s="7" t="s">
        <v>18</v>
      </c>
      <c r="D1658" s="3">
        <v>15126437000739</v>
      </c>
      <c r="E1658" s="8" t="s">
        <v>329</v>
      </c>
      <c r="F1658" s="8" t="s">
        <v>246</v>
      </c>
      <c r="G1658" s="8" t="s">
        <v>247</v>
      </c>
      <c r="H1658" s="8" t="s">
        <v>795</v>
      </c>
      <c r="I1658" s="3">
        <v>2</v>
      </c>
      <c r="J1658" s="8" t="s">
        <v>778</v>
      </c>
      <c r="K1658" s="8" t="s">
        <v>779</v>
      </c>
      <c r="L1658" s="8" t="s">
        <v>730</v>
      </c>
      <c r="M1658" s="1" t="s">
        <v>790</v>
      </c>
      <c r="N1658" s="8" t="s">
        <v>791</v>
      </c>
      <c r="O1658" s="6">
        <v>0</v>
      </c>
      <c r="P1658" s="6">
        <v>0</v>
      </c>
      <c r="Q1658" s="6">
        <v>0</v>
      </c>
      <c r="R1658" s="6">
        <v>0</v>
      </c>
      <c r="S1658" s="6">
        <v>0</v>
      </c>
    </row>
    <row r="1659" spans="1:19" ht="15" x14ac:dyDescent="0.25">
      <c r="A1659" s="7" t="s">
        <v>16</v>
      </c>
      <c r="B1659" s="7" t="s">
        <v>60</v>
      </c>
      <c r="C1659" s="7" t="s">
        <v>18</v>
      </c>
      <c r="D1659" s="3">
        <v>15126437000739</v>
      </c>
      <c r="E1659" s="8" t="s">
        <v>329</v>
      </c>
      <c r="F1659" s="8" t="s">
        <v>246</v>
      </c>
      <c r="G1659" s="8" t="s">
        <v>247</v>
      </c>
      <c r="H1659" s="8" t="s">
        <v>795</v>
      </c>
      <c r="I1659" s="3">
        <v>2</v>
      </c>
      <c r="J1659" s="8" t="s">
        <v>748</v>
      </c>
      <c r="K1659" s="8" t="s">
        <v>749</v>
      </c>
      <c r="L1659" s="8" t="s">
        <v>723</v>
      </c>
      <c r="M1659" s="1" t="s">
        <v>790</v>
      </c>
      <c r="N1659" s="8" t="s">
        <v>791</v>
      </c>
      <c r="O1659" s="6">
        <v>0</v>
      </c>
      <c r="P1659" s="6">
        <v>50</v>
      </c>
      <c r="Q1659" s="6">
        <v>0</v>
      </c>
      <c r="R1659" s="6">
        <v>0</v>
      </c>
      <c r="S1659" s="6">
        <v>0</v>
      </c>
    </row>
    <row r="1660" spans="1:19" ht="15" x14ac:dyDescent="0.25">
      <c r="A1660" s="7" t="s">
        <v>16</v>
      </c>
      <c r="B1660" s="7" t="s">
        <v>60</v>
      </c>
      <c r="C1660" s="7" t="s">
        <v>18</v>
      </c>
      <c r="D1660" s="3">
        <v>29435005009851</v>
      </c>
      <c r="E1660" s="8" t="s">
        <v>372</v>
      </c>
      <c r="F1660" s="8" t="s">
        <v>246</v>
      </c>
      <c r="G1660" s="8" t="s">
        <v>247</v>
      </c>
      <c r="H1660" s="8" t="s">
        <v>795</v>
      </c>
      <c r="I1660" s="3">
        <v>2</v>
      </c>
      <c r="J1660" s="8" t="s">
        <v>778</v>
      </c>
      <c r="K1660" s="8" t="s">
        <v>779</v>
      </c>
      <c r="L1660" s="8" t="s">
        <v>730</v>
      </c>
      <c r="M1660" s="1" t="s">
        <v>790</v>
      </c>
      <c r="N1660" s="8" t="s">
        <v>791</v>
      </c>
      <c r="O1660" s="6">
        <v>0</v>
      </c>
      <c r="P1660" s="6">
        <v>0</v>
      </c>
      <c r="Q1660" s="6">
        <v>0</v>
      </c>
      <c r="R1660" s="6">
        <v>0</v>
      </c>
      <c r="S1660" s="6">
        <v>125</v>
      </c>
    </row>
    <row r="1661" spans="1:19" ht="15" x14ac:dyDescent="0.25">
      <c r="A1661" s="7" t="s">
        <v>16</v>
      </c>
      <c r="B1661" s="7" t="s">
        <v>60</v>
      </c>
      <c r="C1661" s="7" t="s">
        <v>18</v>
      </c>
      <c r="D1661" s="3">
        <v>29435005009851</v>
      </c>
      <c r="E1661" s="8" t="s">
        <v>372</v>
      </c>
      <c r="F1661" s="8" t="s">
        <v>246</v>
      </c>
      <c r="G1661" s="8" t="s">
        <v>247</v>
      </c>
      <c r="H1661" s="8" t="s">
        <v>795</v>
      </c>
      <c r="I1661" s="3">
        <v>2</v>
      </c>
      <c r="J1661" s="8" t="s">
        <v>748</v>
      </c>
      <c r="K1661" s="8" t="s">
        <v>749</v>
      </c>
      <c r="L1661" s="8" t="s">
        <v>723</v>
      </c>
      <c r="M1661" s="1" t="s">
        <v>790</v>
      </c>
      <c r="N1661" s="8" t="s">
        <v>791</v>
      </c>
      <c r="O1661" s="6">
        <v>0</v>
      </c>
      <c r="P1661" s="6">
        <v>70</v>
      </c>
      <c r="Q1661" s="6">
        <v>0</v>
      </c>
      <c r="R1661" s="6">
        <v>0</v>
      </c>
      <c r="S1661" s="6">
        <v>125</v>
      </c>
    </row>
    <row r="1662" spans="1:19" ht="15" x14ac:dyDescent="0.25">
      <c r="A1662" s="7" t="s">
        <v>16</v>
      </c>
      <c r="B1662" s="7" t="s">
        <v>60</v>
      </c>
      <c r="C1662" s="7" t="s">
        <v>18</v>
      </c>
      <c r="D1662" s="3">
        <v>8337586000196</v>
      </c>
      <c r="E1662" s="8" t="s">
        <v>302</v>
      </c>
      <c r="F1662" s="8" t="s">
        <v>246</v>
      </c>
      <c r="G1662" s="8" t="s">
        <v>247</v>
      </c>
      <c r="H1662" s="8" t="s">
        <v>795</v>
      </c>
      <c r="I1662" s="3">
        <v>2</v>
      </c>
      <c r="J1662" s="8" t="s">
        <v>778</v>
      </c>
      <c r="K1662" s="8" t="s">
        <v>779</v>
      </c>
      <c r="L1662" s="8" t="s">
        <v>730</v>
      </c>
      <c r="M1662" s="1" t="s">
        <v>790</v>
      </c>
      <c r="N1662" s="8" t="s">
        <v>791</v>
      </c>
      <c r="O1662" s="6">
        <v>0</v>
      </c>
      <c r="P1662" s="6">
        <v>0</v>
      </c>
      <c r="Q1662" s="6">
        <v>0</v>
      </c>
      <c r="R1662" s="6">
        <v>0</v>
      </c>
      <c r="S1662" s="6">
        <v>0</v>
      </c>
    </row>
    <row r="1663" spans="1:19" ht="15" x14ac:dyDescent="0.25">
      <c r="A1663" s="7" t="s">
        <v>16</v>
      </c>
      <c r="B1663" s="7" t="s">
        <v>60</v>
      </c>
      <c r="C1663" s="7" t="s">
        <v>18</v>
      </c>
      <c r="D1663" s="3">
        <v>8337586000196</v>
      </c>
      <c r="E1663" s="8" t="s">
        <v>302</v>
      </c>
      <c r="F1663" s="8" t="s">
        <v>246</v>
      </c>
      <c r="G1663" s="8" t="s">
        <v>247</v>
      </c>
      <c r="H1663" s="8" t="s">
        <v>795</v>
      </c>
      <c r="I1663" s="3">
        <v>2</v>
      </c>
      <c r="J1663" s="8" t="s">
        <v>748</v>
      </c>
      <c r="K1663" s="8" t="s">
        <v>749</v>
      </c>
      <c r="L1663" s="8" t="s">
        <v>723</v>
      </c>
      <c r="M1663" s="1" t="s">
        <v>790</v>
      </c>
      <c r="N1663" s="8" t="s">
        <v>791</v>
      </c>
      <c r="O1663" s="6">
        <v>0</v>
      </c>
      <c r="P1663" s="6">
        <v>1</v>
      </c>
      <c r="Q1663" s="6">
        <v>0</v>
      </c>
      <c r="R1663" s="6">
        <v>0</v>
      </c>
      <c r="S1663" s="6">
        <v>0</v>
      </c>
    </row>
    <row r="1664" spans="1:19" ht="15" x14ac:dyDescent="0.25">
      <c r="A1664" s="7" t="s">
        <v>16</v>
      </c>
      <c r="B1664" s="7" t="s">
        <v>60</v>
      </c>
      <c r="C1664" s="7" t="s">
        <v>18</v>
      </c>
      <c r="D1664" s="3">
        <v>12361267009654</v>
      </c>
      <c r="E1664" s="8" t="s">
        <v>494</v>
      </c>
      <c r="F1664" s="8" t="s">
        <v>246</v>
      </c>
      <c r="G1664" s="8" t="s">
        <v>247</v>
      </c>
      <c r="H1664" s="8" t="s">
        <v>795</v>
      </c>
      <c r="I1664" s="3">
        <v>2</v>
      </c>
      <c r="J1664" s="8" t="s">
        <v>778</v>
      </c>
      <c r="K1664" s="8" t="s">
        <v>779</v>
      </c>
      <c r="L1664" s="8" t="s">
        <v>730</v>
      </c>
      <c r="M1664" s="1" t="s">
        <v>790</v>
      </c>
      <c r="N1664" s="8" t="s">
        <v>791</v>
      </c>
      <c r="O1664" s="6">
        <v>0</v>
      </c>
      <c r="P1664" s="6">
        <v>0</v>
      </c>
      <c r="Q1664" s="6">
        <v>0</v>
      </c>
      <c r="R1664" s="6">
        <v>0</v>
      </c>
      <c r="S1664" s="6">
        <v>0</v>
      </c>
    </row>
    <row r="1665" spans="1:19" ht="15" x14ac:dyDescent="0.25">
      <c r="A1665" s="7" t="s">
        <v>16</v>
      </c>
      <c r="B1665" s="7" t="s">
        <v>60</v>
      </c>
      <c r="C1665" s="7" t="s">
        <v>18</v>
      </c>
      <c r="D1665" s="3">
        <v>12361267009654</v>
      </c>
      <c r="E1665" s="8" t="s">
        <v>494</v>
      </c>
      <c r="F1665" s="8" t="s">
        <v>246</v>
      </c>
      <c r="G1665" s="8" t="s">
        <v>247</v>
      </c>
      <c r="H1665" s="8" t="s">
        <v>795</v>
      </c>
      <c r="I1665" s="3">
        <v>2</v>
      </c>
      <c r="J1665" s="8" t="s">
        <v>748</v>
      </c>
      <c r="K1665" s="8" t="s">
        <v>749</v>
      </c>
      <c r="L1665" s="8" t="s">
        <v>723</v>
      </c>
      <c r="M1665" s="1" t="s">
        <v>790</v>
      </c>
      <c r="N1665" s="8" t="s">
        <v>791</v>
      </c>
      <c r="O1665" s="6">
        <v>0</v>
      </c>
      <c r="P1665" s="6">
        <v>2</v>
      </c>
      <c r="Q1665" s="6">
        <v>2</v>
      </c>
      <c r="R1665" s="6">
        <v>0</v>
      </c>
      <c r="S1665" s="6">
        <v>0</v>
      </c>
    </row>
    <row r="1666" spans="1:19" ht="15" x14ac:dyDescent="0.25">
      <c r="A1666" s="7" t="s">
        <v>16</v>
      </c>
      <c r="B1666" s="7" t="s">
        <v>60</v>
      </c>
      <c r="C1666" s="7" t="s">
        <v>18</v>
      </c>
      <c r="D1666" s="3">
        <v>1507901000137</v>
      </c>
      <c r="E1666" s="8" t="s">
        <v>256</v>
      </c>
      <c r="F1666" s="8" t="s">
        <v>246</v>
      </c>
      <c r="G1666" s="8" t="s">
        <v>247</v>
      </c>
      <c r="H1666" s="8" t="s">
        <v>795</v>
      </c>
      <c r="I1666" s="3">
        <v>2</v>
      </c>
      <c r="J1666" s="8" t="s">
        <v>778</v>
      </c>
      <c r="K1666" s="8" t="s">
        <v>779</v>
      </c>
      <c r="L1666" s="8" t="s">
        <v>730</v>
      </c>
      <c r="M1666" s="1" t="s">
        <v>790</v>
      </c>
      <c r="N1666" s="8" t="s">
        <v>791</v>
      </c>
      <c r="O1666" s="6">
        <v>0</v>
      </c>
      <c r="P1666" s="6">
        <v>0</v>
      </c>
      <c r="Q1666" s="6">
        <v>0</v>
      </c>
      <c r="R1666" s="6">
        <v>0</v>
      </c>
      <c r="S1666" s="6">
        <v>0</v>
      </c>
    </row>
    <row r="1667" spans="1:19" ht="15" x14ac:dyDescent="0.25">
      <c r="A1667" s="7" t="s">
        <v>16</v>
      </c>
      <c r="B1667" s="7" t="s">
        <v>60</v>
      </c>
      <c r="C1667" s="7" t="s">
        <v>18</v>
      </c>
      <c r="D1667" s="3">
        <v>1507901000137</v>
      </c>
      <c r="E1667" s="8" t="s">
        <v>256</v>
      </c>
      <c r="F1667" s="8" t="s">
        <v>246</v>
      </c>
      <c r="G1667" s="8" t="s">
        <v>247</v>
      </c>
      <c r="H1667" s="8" t="s">
        <v>795</v>
      </c>
      <c r="I1667" s="3">
        <v>2</v>
      </c>
      <c r="J1667" s="8" t="s">
        <v>748</v>
      </c>
      <c r="K1667" s="8" t="s">
        <v>749</v>
      </c>
      <c r="L1667" s="8" t="s">
        <v>723</v>
      </c>
      <c r="M1667" s="1" t="s">
        <v>790</v>
      </c>
      <c r="N1667" s="8" t="s">
        <v>791</v>
      </c>
      <c r="O1667" s="6">
        <v>0</v>
      </c>
      <c r="P1667" s="6">
        <v>10</v>
      </c>
      <c r="Q1667" s="6">
        <v>7</v>
      </c>
      <c r="R1667" s="6">
        <v>0</v>
      </c>
      <c r="S1667" s="6">
        <v>0</v>
      </c>
    </row>
    <row r="1668" spans="1:19" ht="15" x14ac:dyDescent="0.25">
      <c r="A1668" s="7" t="s">
        <v>16</v>
      </c>
      <c r="B1668" s="7" t="s">
        <v>60</v>
      </c>
      <c r="C1668" s="7" t="s">
        <v>18</v>
      </c>
      <c r="D1668" s="3">
        <v>2109397000180</v>
      </c>
      <c r="E1668" s="8" t="s">
        <v>413</v>
      </c>
      <c r="F1668" s="8" t="s">
        <v>246</v>
      </c>
      <c r="G1668" s="8" t="s">
        <v>247</v>
      </c>
      <c r="H1668" s="8" t="s">
        <v>795</v>
      </c>
      <c r="I1668" s="3">
        <v>2</v>
      </c>
      <c r="J1668" s="8" t="s">
        <v>778</v>
      </c>
      <c r="K1668" s="8" t="s">
        <v>779</v>
      </c>
      <c r="L1668" s="8" t="s">
        <v>730</v>
      </c>
      <c r="M1668" s="1" t="s">
        <v>790</v>
      </c>
      <c r="N1668" s="8" t="s">
        <v>791</v>
      </c>
      <c r="O1668" s="6">
        <v>0</v>
      </c>
      <c r="P1668" s="6">
        <v>0</v>
      </c>
      <c r="Q1668" s="6">
        <v>0</v>
      </c>
      <c r="R1668" s="6">
        <v>0</v>
      </c>
      <c r="S1668" s="6">
        <v>0</v>
      </c>
    </row>
    <row r="1669" spans="1:19" ht="15" x14ac:dyDescent="0.25">
      <c r="A1669" s="7" t="s">
        <v>16</v>
      </c>
      <c r="B1669" s="7" t="s">
        <v>60</v>
      </c>
      <c r="C1669" s="7" t="s">
        <v>18</v>
      </c>
      <c r="D1669" s="3">
        <v>2109397000180</v>
      </c>
      <c r="E1669" s="8" t="s">
        <v>413</v>
      </c>
      <c r="F1669" s="8" t="s">
        <v>246</v>
      </c>
      <c r="G1669" s="8" t="s">
        <v>247</v>
      </c>
      <c r="H1669" s="8" t="s">
        <v>795</v>
      </c>
      <c r="I1669" s="3">
        <v>2</v>
      </c>
      <c r="J1669" s="8" t="s">
        <v>748</v>
      </c>
      <c r="K1669" s="8" t="s">
        <v>749</v>
      </c>
      <c r="L1669" s="8" t="s">
        <v>723</v>
      </c>
      <c r="M1669" s="1" t="s">
        <v>790</v>
      </c>
      <c r="N1669" s="8" t="s">
        <v>791</v>
      </c>
      <c r="O1669" s="6">
        <v>0</v>
      </c>
      <c r="P1669" s="6">
        <v>24</v>
      </c>
      <c r="Q1669" s="6">
        <v>0</v>
      </c>
      <c r="R1669" s="6">
        <v>0</v>
      </c>
      <c r="S1669" s="6">
        <v>0</v>
      </c>
    </row>
    <row r="1670" spans="1:19" ht="15" x14ac:dyDescent="0.25">
      <c r="A1670" s="7" t="s">
        <v>16</v>
      </c>
      <c r="B1670" s="7" t="s">
        <v>60</v>
      </c>
      <c r="C1670" s="7" t="s">
        <v>18</v>
      </c>
      <c r="D1670" s="3">
        <v>88645403001372</v>
      </c>
      <c r="E1670" s="8" t="s">
        <v>462</v>
      </c>
      <c r="F1670" s="8" t="s">
        <v>252</v>
      </c>
      <c r="G1670" s="8" t="s">
        <v>253</v>
      </c>
      <c r="H1670" s="8" t="s">
        <v>795</v>
      </c>
      <c r="I1670" s="3">
        <v>2</v>
      </c>
      <c r="J1670" s="8" t="s">
        <v>754</v>
      </c>
      <c r="K1670" s="8" t="s">
        <v>755</v>
      </c>
      <c r="L1670" s="8" t="s">
        <v>730</v>
      </c>
      <c r="M1670" s="1" t="s">
        <v>784</v>
      </c>
      <c r="N1670" s="8" t="s">
        <v>785</v>
      </c>
      <c r="O1670" s="6">
        <v>0</v>
      </c>
      <c r="P1670" s="6">
        <v>0</v>
      </c>
      <c r="Q1670" s="6">
        <v>0</v>
      </c>
      <c r="R1670" s="6">
        <v>32</v>
      </c>
      <c r="S1670" s="6">
        <v>0</v>
      </c>
    </row>
    <row r="1671" spans="1:19" ht="15" x14ac:dyDescent="0.25">
      <c r="A1671" s="7" t="s">
        <v>16</v>
      </c>
      <c r="B1671" s="7" t="s">
        <v>60</v>
      </c>
      <c r="C1671" s="7" t="s">
        <v>18</v>
      </c>
      <c r="D1671" s="3">
        <v>88645403001372</v>
      </c>
      <c r="E1671" s="8" t="s">
        <v>462</v>
      </c>
      <c r="F1671" s="8" t="s">
        <v>252</v>
      </c>
      <c r="G1671" s="8" t="s">
        <v>253</v>
      </c>
      <c r="H1671" s="8" t="s">
        <v>795</v>
      </c>
      <c r="I1671" s="3">
        <v>2</v>
      </c>
      <c r="J1671" s="8" t="s">
        <v>720</v>
      </c>
      <c r="K1671" s="8" t="s">
        <v>721</v>
      </c>
      <c r="L1671" s="8" t="s">
        <v>723</v>
      </c>
      <c r="M1671" s="1" t="s">
        <v>784</v>
      </c>
      <c r="N1671" s="8" t="s">
        <v>785</v>
      </c>
      <c r="O1671" s="6">
        <v>0</v>
      </c>
      <c r="P1671" s="6">
        <v>0</v>
      </c>
      <c r="Q1671" s="6">
        <v>0</v>
      </c>
      <c r="R1671" s="6">
        <v>0</v>
      </c>
      <c r="S1671" s="6">
        <v>0</v>
      </c>
    </row>
    <row r="1672" spans="1:19" ht="15" x14ac:dyDescent="0.25">
      <c r="A1672" s="7" t="s">
        <v>16</v>
      </c>
      <c r="B1672" s="7" t="s">
        <v>60</v>
      </c>
      <c r="C1672" s="7" t="s">
        <v>18</v>
      </c>
      <c r="D1672" s="3">
        <v>87827689002405</v>
      </c>
      <c r="E1672" s="8" t="s">
        <v>394</v>
      </c>
      <c r="F1672" s="8" t="s">
        <v>252</v>
      </c>
      <c r="G1672" s="8" t="s">
        <v>253</v>
      </c>
      <c r="H1672" s="8" t="s">
        <v>795</v>
      </c>
      <c r="I1672" s="3">
        <v>2</v>
      </c>
      <c r="J1672" s="8" t="s">
        <v>754</v>
      </c>
      <c r="K1672" s="8" t="s">
        <v>755</v>
      </c>
      <c r="L1672" s="8" t="s">
        <v>730</v>
      </c>
      <c r="M1672" s="1" t="s">
        <v>784</v>
      </c>
      <c r="N1672" s="8" t="s">
        <v>785</v>
      </c>
      <c r="O1672" s="6">
        <v>0</v>
      </c>
      <c r="P1672" s="6">
        <v>0</v>
      </c>
      <c r="Q1672" s="6">
        <v>0</v>
      </c>
      <c r="R1672" s="6">
        <v>209</v>
      </c>
      <c r="S1672" s="6">
        <v>90</v>
      </c>
    </row>
    <row r="1673" spans="1:19" ht="15" x14ac:dyDescent="0.25">
      <c r="A1673" s="7" t="s">
        <v>16</v>
      </c>
      <c r="B1673" s="7" t="s">
        <v>60</v>
      </c>
      <c r="C1673" s="7" t="s">
        <v>18</v>
      </c>
      <c r="D1673" s="3">
        <v>87827689002405</v>
      </c>
      <c r="E1673" s="8" t="s">
        <v>394</v>
      </c>
      <c r="F1673" s="8" t="s">
        <v>252</v>
      </c>
      <c r="G1673" s="8" t="s">
        <v>253</v>
      </c>
      <c r="H1673" s="8" t="s">
        <v>795</v>
      </c>
      <c r="I1673" s="3">
        <v>2</v>
      </c>
      <c r="J1673" s="8" t="s">
        <v>720</v>
      </c>
      <c r="K1673" s="8" t="s">
        <v>721</v>
      </c>
      <c r="L1673" s="8" t="s">
        <v>723</v>
      </c>
      <c r="M1673" s="1" t="s">
        <v>784</v>
      </c>
      <c r="N1673" s="8" t="s">
        <v>785</v>
      </c>
      <c r="O1673" s="6">
        <v>0</v>
      </c>
      <c r="P1673" s="6">
        <v>0</v>
      </c>
      <c r="Q1673" s="6">
        <v>0</v>
      </c>
      <c r="R1673" s="6">
        <v>0</v>
      </c>
      <c r="S1673" s="6">
        <v>90</v>
      </c>
    </row>
    <row r="1674" spans="1:19" ht="15" x14ac:dyDescent="0.25">
      <c r="A1674" s="7" t="s">
        <v>16</v>
      </c>
      <c r="B1674" s="7" t="s">
        <v>60</v>
      </c>
      <c r="C1674" s="7" t="s">
        <v>18</v>
      </c>
      <c r="D1674" s="3">
        <v>92404789000164</v>
      </c>
      <c r="E1674" s="8" t="s">
        <v>463</v>
      </c>
      <c r="F1674" s="8" t="s">
        <v>464</v>
      </c>
      <c r="G1674" s="8" t="s">
        <v>253</v>
      </c>
      <c r="H1674" s="8" t="s">
        <v>795</v>
      </c>
      <c r="I1674" s="3">
        <v>2</v>
      </c>
      <c r="J1674" s="8" t="s">
        <v>754</v>
      </c>
      <c r="K1674" s="8" t="s">
        <v>755</v>
      </c>
      <c r="L1674" s="8" t="s">
        <v>730</v>
      </c>
      <c r="M1674" s="1" t="s">
        <v>784</v>
      </c>
      <c r="N1674" s="8" t="s">
        <v>785</v>
      </c>
      <c r="O1674" s="6">
        <v>0</v>
      </c>
      <c r="P1674" s="6">
        <v>0</v>
      </c>
      <c r="Q1674" s="6">
        <v>0</v>
      </c>
      <c r="R1674" s="6">
        <v>16</v>
      </c>
      <c r="S1674" s="6">
        <v>0</v>
      </c>
    </row>
    <row r="1675" spans="1:19" ht="15" x14ac:dyDescent="0.25">
      <c r="A1675" s="7" t="s">
        <v>16</v>
      </c>
      <c r="B1675" s="7" t="s">
        <v>60</v>
      </c>
      <c r="C1675" s="7" t="s">
        <v>18</v>
      </c>
      <c r="D1675" s="3">
        <v>92404789000164</v>
      </c>
      <c r="E1675" s="8" t="s">
        <v>463</v>
      </c>
      <c r="F1675" s="8" t="s">
        <v>464</v>
      </c>
      <c r="G1675" s="8" t="s">
        <v>253</v>
      </c>
      <c r="H1675" s="8" t="s">
        <v>795</v>
      </c>
      <c r="I1675" s="3">
        <v>2</v>
      </c>
      <c r="J1675" s="8" t="s">
        <v>720</v>
      </c>
      <c r="K1675" s="8" t="s">
        <v>721</v>
      </c>
      <c r="L1675" s="8" t="s">
        <v>723</v>
      </c>
      <c r="M1675" s="1" t="s">
        <v>784</v>
      </c>
      <c r="N1675" s="8" t="s">
        <v>785</v>
      </c>
      <c r="O1675" s="6">
        <v>0</v>
      </c>
      <c r="P1675" s="6">
        <v>0</v>
      </c>
      <c r="Q1675" s="6">
        <v>0</v>
      </c>
      <c r="R1675" s="6">
        <v>0</v>
      </c>
      <c r="S1675" s="6">
        <v>0</v>
      </c>
    </row>
    <row r="1676" spans="1:19" ht="15" x14ac:dyDescent="0.25">
      <c r="A1676" s="7" t="s">
        <v>16</v>
      </c>
      <c r="B1676" s="7" t="s">
        <v>60</v>
      </c>
      <c r="C1676" s="7" t="s">
        <v>18</v>
      </c>
      <c r="D1676" s="3">
        <v>92685833000151</v>
      </c>
      <c r="E1676" s="8" t="s">
        <v>400</v>
      </c>
      <c r="F1676" s="8" t="s">
        <v>305</v>
      </c>
      <c r="G1676" s="8" t="s">
        <v>253</v>
      </c>
      <c r="H1676" s="8" t="s">
        <v>795</v>
      </c>
      <c r="I1676" s="3">
        <v>2</v>
      </c>
      <c r="J1676" s="8" t="s">
        <v>754</v>
      </c>
      <c r="K1676" s="8" t="s">
        <v>755</v>
      </c>
      <c r="L1676" s="8" t="s">
        <v>730</v>
      </c>
      <c r="M1676" s="1" t="s">
        <v>784</v>
      </c>
      <c r="N1676" s="8" t="s">
        <v>785</v>
      </c>
      <c r="O1676" s="6">
        <v>0</v>
      </c>
      <c r="P1676" s="6">
        <v>0</v>
      </c>
      <c r="Q1676" s="6">
        <v>0</v>
      </c>
      <c r="R1676" s="6">
        <v>8</v>
      </c>
      <c r="S1676" s="6">
        <v>0</v>
      </c>
    </row>
    <row r="1677" spans="1:19" ht="15" x14ac:dyDescent="0.25">
      <c r="A1677" s="7" t="s">
        <v>16</v>
      </c>
      <c r="B1677" s="7" t="s">
        <v>60</v>
      </c>
      <c r="C1677" s="7" t="s">
        <v>18</v>
      </c>
      <c r="D1677" s="3">
        <v>92685833000151</v>
      </c>
      <c r="E1677" s="8" t="s">
        <v>400</v>
      </c>
      <c r="F1677" s="8" t="s">
        <v>305</v>
      </c>
      <c r="G1677" s="8" t="s">
        <v>253</v>
      </c>
      <c r="H1677" s="8" t="s">
        <v>795</v>
      </c>
      <c r="I1677" s="3">
        <v>2</v>
      </c>
      <c r="J1677" s="8" t="s">
        <v>720</v>
      </c>
      <c r="K1677" s="8" t="s">
        <v>721</v>
      </c>
      <c r="L1677" s="8" t="s">
        <v>723</v>
      </c>
      <c r="M1677" s="1" t="s">
        <v>784</v>
      </c>
      <c r="N1677" s="8" t="s">
        <v>785</v>
      </c>
      <c r="O1677" s="6">
        <v>0</v>
      </c>
      <c r="P1677" s="6">
        <v>12</v>
      </c>
      <c r="Q1677" s="6">
        <v>0</v>
      </c>
      <c r="R1677" s="6">
        <v>0</v>
      </c>
      <c r="S1677" s="6">
        <v>0</v>
      </c>
    </row>
    <row r="1678" spans="1:19" ht="15" x14ac:dyDescent="0.25">
      <c r="A1678" s="7" t="s">
        <v>16</v>
      </c>
      <c r="B1678" s="7" t="s">
        <v>60</v>
      </c>
      <c r="C1678" s="7" t="s">
        <v>18</v>
      </c>
      <c r="D1678" s="3">
        <v>87020517000120</v>
      </c>
      <c r="E1678" s="8" t="s">
        <v>391</v>
      </c>
      <c r="F1678" s="8" t="s">
        <v>305</v>
      </c>
      <c r="G1678" s="8" t="s">
        <v>253</v>
      </c>
      <c r="H1678" s="8" t="s">
        <v>795</v>
      </c>
      <c r="I1678" s="3">
        <v>2</v>
      </c>
      <c r="J1678" s="8" t="s">
        <v>754</v>
      </c>
      <c r="K1678" s="8" t="s">
        <v>755</v>
      </c>
      <c r="L1678" s="8" t="s">
        <v>730</v>
      </c>
      <c r="M1678" s="1" t="s">
        <v>784</v>
      </c>
      <c r="N1678" s="8" t="s">
        <v>785</v>
      </c>
      <c r="O1678" s="6">
        <v>0</v>
      </c>
      <c r="P1678" s="6">
        <v>0</v>
      </c>
      <c r="Q1678" s="6">
        <v>0</v>
      </c>
      <c r="R1678" s="6">
        <v>0</v>
      </c>
      <c r="S1678" s="6">
        <v>0</v>
      </c>
    </row>
    <row r="1679" spans="1:19" ht="15" x14ac:dyDescent="0.25">
      <c r="A1679" s="7" t="s">
        <v>16</v>
      </c>
      <c r="B1679" s="7" t="s">
        <v>60</v>
      </c>
      <c r="C1679" s="7" t="s">
        <v>18</v>
      </c>
      <c r="D1679" s="3">
        <v>87020517000120</v>
      </c>
      <c r="E1679" s="8" t="s">
        <v>391</v>
      </c>
      <c r="F1679" s="8" t="s">
        <v>305</v>
      </c>
      <c r="G1679" s="8" t="s">
        <v>253</v>
      </c>
      <c r="H1679" s="8" t="s">
        <v>795</v>
      </c>
      <c r="I1679" s="3">
        <v>2</v>
      </c>
      <c r="J1679" s="8" t="s">
        <v>720</v>
      </c>
      <c r="K1679" s="8" t="s">
        <v>721</v>
      </c>
      <c r="L1679" s="8" t="s">
        <v>723</v>
      </c>
      <c r="M1679" s="1" t="s">
        <v>784</v>
      </c>
      <c r="N1679" s="8" t="s">
        <v>785</v>
      </c>
      <c r="O1679" s="6">
        <v>0</v>
      </c>
      <c r="P1679" s="6">
        <v>12</v>
      </c>
      <c r="Q1679" s="6">
        <v>15</v>
      </c>
      <c r="R1679" s="6">
        <v>0</v>
      </c>
      <c r="S1679" s="6">
        <v>0</v>
      </c>
    </row>
    <row r="1680" spans="1:19" ht="15" x14ac:dyDescent="0.25">
      <c r="A1680" s="7" t="s">
        <v>16</v>
      </c>
      <c r="B1680" s="7" t="s">
        <v>60</v>
      </c>
      <c r="C1680" s="7" t="s">
        <v>18</v>
      </c>
      <c r="D1680" s="3">
        <v>87317764001084</v>
      </c>
      <c r="E1680" s="8" t="s">
        <v>461</v>
      </c>
      <c r="F1680" s="8" t="s">
        <v>305</v>
      </c>
      <c r="G1680" s="8" t="s">
        <v>253</v>
      </c>
      <c r="H1680" s="8" t="s">
        <v>795</v>
      </c>
      <c r="I1680" s="3">
        <v>2</v>
      </c>
      <c r="J1680" s="8" t="s">
        <v>754</v>
      </c>
      <c r="K1680" s="8" t="s">
        <v>755</v>
      </c>
      <c r="L1680" s="8" t="s">
        <v>730</v>
      </c>
      <c r="M1680" s="1" t="s">
        <v>784</v>
      </c>
      <c r="N1680" s="8" t="s">
        <v>785</v>
      </c>
      <c r="O1680" s="6">
        <v>0</v>
      </c>
      <c r="P1680" s="6">
        <v>0</v>
      </c>
      <c r="Q1680" s="6">
        <v>0</v>
      </c>
      <c r="R1680" s="6">
        <v>0</v>
      </c>
      <c r="S1680" s="6">
        <v>200</v>
      </c>
    </row>
    <row r="1681" spans="1:19" ht="15" x14ac:dyDescent="0.25">
      <c r="A1681" s="7" t="s">
        <v>16</v>
      </c>
      <c r="B1681" s="7" t="s">
        <v>60</v>
      </c>
      <c r="C1681" s="7" t="s">
        <v>18</v>
      </c>
      <c r="D1681" s="3">
        <v>87317764001084</v>
      </c>
      <c r="E1681" s="8" t="s">
        <v>461</v>
      </c>
      <c r="F1681" s="8" t="s">
        <v>305</v>
      </c>
      <c r="G1681" s="8" t="s">
        <v>253</v>
      </c>
      <c r="H1681" s="8" t="s">
        <v>795</v>
      </c>
      <c r="I1681" s="3">
        <v>2</v>
      </c>
      <c r="J1681" s="8" t="s">
        <v>720</v>
      </c>
      <c r="K1681" s="8" t="s">
        <v>721</v>
      </c>
      <c r="L1681" s="8" t="s">
        <v>723</v>
      </c>
      <c r="M1681" s="1" t="s">
        <v>784</v>
      </c>
      <c r="N1681" s="8" t="s">
        <v>785</v>
      </c>
      <c r="O1681" s="6">
        <v>0</v>
      </c>
      <c r="P1681" s="6">
        <v>0</v>
      </c>
      <c r="Q1681" s="6">
        <v>0</v>
      </c>
      <c r="R1681" s="6">
        <v>0</v>
      </c>
      <c r="S1681" s="6">
        <v>200</v>
      </c>
    </row>
    <row r="1682" spans="1:19" ht="15" x14ac:dyDescent="0.25">
      <c r="A1682" s="7" t="s">
        <v>16</v>
      </c>
      <c r="B1682" s="7" t="s">
        <v>60</v>
      </c>
      <c r="C1682" s="7" t="s">
        <v>18</v>
      </c>
      <c r="D1682" s="3">
        <v>92741016000254</v>
      </c>
      <c r="E1682" s="8" t="s">
        <v>401</v>
      </c>
      <c r="F1682" s="8" t="s">
        <v>305</v>
      </c>
      <c r="G1682" s="8" t="s">
        <v>253</v>
      </c>
      <c r="H1682" s="8" t="s">
        <v>795</v>
      </c>
      <c r="I1682" s="3">
        <v>2</v>
      </c>
      <c r="J1682" s="8" t="s">
        <v>754</v>
      </c>
      <c r="K1682" s="8" t="s">
        <v>755</v>
      </c>
      <c r="L1682" s="8" t="s">
        <v>730</v>
      </c>
      <c r="M1682" s="1" t="s">
        <v>784</v>
      </c>
      <c r="N1682" s="8" t="s">
        <v>785</v>
      </c>
      <c r="O1682" s="6">
        <v>0</v>
      </c>
      <c r="P1682" s="6">
        <v>0</v>
      </c>
      <c r="Q1682" s="6">
        <v>0</v>
      </c>
      <c r="R1682" s="6">
        <v>0</v>
      </c>
      <c r="S1682" s="6">
        <v>0</v>
      </c>
    </row>
    <row r="1683" spans="1:19" ht="15" x14ac:dyDescent="0.25">
      <c r="A1683" s="7" t="s">
        <v>16</v>
      </c>
      <c r="B1683" s="7" t="s">
        <v>60</v>
      </c>
      <c r="C1683" s="7" t="s">
        <v>18</v>
      </c>
      <c r="D1683" s="3">
        <v>92741016000254</v>
      </c>
      <c r="E1683" s="8" t="s">
        <v>401</v>
      </c>
      <c r="F1683" s="8" t="s">
        <v>305</v>
      </c>
      <c r="G1683" s="8" t="s">
        <v>253</v>
      </c>
      <c r="H1683" s="8" t="s">
        <v>795</v>
      </c>
      <c r="I1683" s="3">
        <v>2</v>
      </c>
      <c r="J1683" s="8" t="s">
        <v>720</v>
      </c>
      <c r="K1683" s="8" t="s">
        <v>721</v>
      </c>
      <c r="L1683" s="8" t="s">
        <v>723</v>
      </c>
      <c r="M1683" s="1" t="s">
        <v>784</v>
      </c>
      <c r="N1683" s="8" t="s">
        <v>785</v>
      </c>
      <c r="O1683" s="6">
        <v>0</v>
      </c>
      <c r="P1683" s="6">
        <v>9</v>
      </c>
      <c r="Q1683" s="6">
        <v>2</v>
      </c>
      <c r="R1683" s="6">
        <v>0</v>
      </c>
      <c r="S1683" s="6">
        <v>0</v>
      </c>
    </row>
    <row r="1684" spans="1:19" ht="15" x14ac:dyDescent="0.25">
      <c r="A1684" s="7" t="s">
        <v>16</v>
      </c>
      <c r="B1684" s="7" t="s">
        <v>60</v>
      </c>
      <c r="C1684" s="7" t="s">
        <v>18</v>
      </c>
      <c r="D1684" s="3">
        <v>88625686002443</v>
      </c>
      <c r="E1684" s="8" t="s">
        <v>396</v>
      </c>
      <c r="F1684" s="8" t="s">
        <v>305</v>
      </c>
      <c r="G1684" s="8" t="s">
        <v>253</v>
      </c>
      <c r="H1684" s="8" t="s">
        <v>795</v>
      </c>
      <c r="I1684" s="3">
        <v>2</v>
      </c>
      <c r="J1684" s="8" t="s">
        <v>754</v>
      </c>
      <c r="K1684" s="8" t="s">
        <v>755</v>
      </c>
      <c r="L1684" s="8" t="s">
        <v>730</v>
      </c>
      <c r="M1684" s="1" t="s">
        <v>784</v>
      </c>
      <c r="N1684" s="8" t="s">
        <v>785</v>
      </c>
      <c r="O1684" s="6">
        <v>0</v>
      </c>
      <c r="P1684" s="6">
        <v>0</v>
      </c>
      <c r="Q1684" s="6">
        <v>0</v>
      </c>
      <c r="R1684" s="6">
        <v>0</v>
      </c>
      <c r="S1684" s="6">
        <v>0</v>
      </c>
    </row>
    <row r="1685" spans="1:19" ht="15" x14ac:dyDescent="0.25">
      <c r="A1685" s="7" t="s">
        <v>16</v>
      </c>
      <c r="B1685" s="7" t="s">
        <v>60</v>
      </c>
      <c r="C1685" s="7" t="s">
        <v>18</v>
      </c>
      <c r="D1685" s="3">
        <v>88625686002443</v>
      </c>
      <c r="E1685" s="8" t="s">
        <v>396</v>
      </c>
      <c r="F1685" s="8" t="s">
        <v>305</v>
      </c>
      <c r="G1685" s="8" t="s">
        <v>253</v>
      </c>
      <c r="H1685" s="8" t="s">
        <v>795</v>
      </c>
      <c r="I1685" s="3">
        <v>2</v>
      </c>
      <c r="J1685" s="8" t="s">
        <v>720</v>
      </c>
      <c r="K1685" s="8" t="s">
        <v>721</v>
      </c>
      <c r="L1685" s="8" t="s">
        <v>723</v>
      </c>
      <c r="M1685" s="1" t="s">
        <v>784</v>
      </c>
      <c r="N1685" s="8" t="s">
        <v>785</v>
      </c>
      <c r="O1685" s="6">
        <v>0</v>
      </c>
      <c r="P1685" s="6">
        <v>19</v>
      </c>
      <c r="Q1685" s="6">
        <v>2</v>
      </c>
      <c r="R1685" s="6">
        <v>0</v>
      </c>
      <c r="S1685" s="6">
        <v>0</v>
      </c>
    </row>
    <row r="1686" spans="1:19" ht="15" x14ac:dyDescent="0.25">
      <c r="A1686" s="7" t="s">
        <v>16</v>
      </c>
      <c r="B1686" s="7" t="s">
        <v>60</v>
      </c>
      <c r="C1686" s="7" t="s">
        <v>18</v>
      </c>
      <c r="D1686" s="3">
        <v>94831294000147</v>
      </c>
      <c r="E1686" s="8" t="s">
        <v>593</v>
      </c>
      <c r="F1686" s="8" t="s">
        <v>305</v>
      </c>
      <c r="G1686" s="8" t="s">
        <v>253</v>
      </c>
      <c r="H1686" s="8" t="s">
        <v>795</v>
      </c>
      <c r="I1686" s="3">
        <v>2</v>
      </c>
      <c r="J1686" s="8" t="s">
        <v>754</v>
      </c>
      <c r="K1686" s="8" t="s">
        <v>755</v>
      </c>
      <c r="L1686" s="8" t="s">
        <v>730</v>
      </c>
      <c r="M1686" s="1" t="s">
        <v>784</v>
      </c>
      <c r="N1686" s="8" t="s">
        <v>785</v>
      </c>
      <c r="O1686" s="6">
        <v>0</v>
      </c>
      <c r="P1686" s="6">
        <v>0</v>
      </c>
      <c r="Q1686" s="6">
        <v>0</v>
      </c>
      <c r="R1686" s="6">
        <v>0</v>
      </c>
      <c r="S1686" s="6">
        <v>30</v>
      </c>
    </row>
    <row r="1687" spans="1:19" ht="15" x14ac:dyDescent="0.25">
      <c r="A1687" s="7" t="s">
        <v>16</v>
      </c>
      <c r="B1687" s="7" t="s">
        <v>60</v>
      </c>
      <c r="C1687" s="7" t="s">
        <v>18</v>
      </c>
      <c r="D1687" s="3">
        <v>94831294000147</v>
      </c>
      <c r="E1687" s="8" t="s">
        <v>593</v>
      </c>
      <c r="F1687" s="8" t="s">
        <v>305</v>
      </c>
      <c r="G1687" s="8" t="s">
        <v>253</v>
      </c>
      <c r="H1687" s="8" t="s">
        <v>795</v>
      </c>
      <c r="I1687" s="3">
        <v>2</v>
      </c>
      <c r="J1687" s="8" t="s">
        <v>720</v>
      </c>
      <c r="K1687" s="8" t="s">
        <v>721</v>
      </c>
      <c r="L1687" s="8" t="s">
        <v>723</v>
      </c>
      <c r="M1687" s="1" t="s">
        <v>784</v>
      </c>
      <c r="N1687" s="8" t="s">
        <v>785</v>
      </c>
      <c r="O1687" s="6">
        <v>0</v>
      </c>
      <c r="P1687" s="6">
        <v>0</v>
      </c>
      <c r="Q1687" s="6">
        <v>0</v>
      </c>
      <c r="R1687" s="6">
        <v>0</v>
      </c>
      <c r="S1687" s="6">
        <v>30</v>
      </c>
    </row>
    <row r="1688" spans="1:19" ht="15" x14ac:dyDescent="0.25">
      <c r="A1688" s="7" t="s">
        <v>16</v>
      </c>
      <c r="B1688" s="7" t="s">
        <v>60</v>
      </c>
      <c r="C1688" s="7" t="s">
        <v>18</v>
      </c>
      <c r="D1688" s="3">
        <v>92815000000168</v>
      </c>
      <c r="E1688" s="8" t="s">
        <v>403</v>
      </c>
      <c r="F1688" s="8" t="s">
        <v>305</v>
      </c>
      <c r="G1688" s="8" t="s">
        <v>253</v>
      </c>
      <c r="H1688" s="8" t="s">
        <v>795</v>
      </c>
      <c r="I1688" s="3">
        <v>2</v>
      </c>
      <c r="J1688" s="8" t="s">
        <v>754</v>
      </c>
      <c r="K1688" s="8" t="s">
        <v>755</v>
      </c>
      <c r="L1688" s="8" t="s">
        <v>730</v>
      </c>
      <c r="M1688" s="1" t="s">
        <v>784</v>
      </c>
      <c r="N1688" s="8" t="s">
        <v>785</v>
      </c>
      <c r="O1688" s="6">
        <v>0</v>
      </c>
      <c r="P1688" s="6">
        <v>0</v>
      </c>
      <c r="Q1688" s="6">
        <v>0</v>
      </c>
      <c r="R1688" s="6">
        <v>28</v>
      </c>
      <c r="S1688" s="6">
        <v>90</v>
      </c>
    </row>
    <row r="1689" spans="1:19" ht="15" x14ac:dyDescent="0.25">
      <c r="A1689" s="7" t="s">
        <v>16</v>
      </c>
      <c r="B1689" s="7" t="s">
        <v>60</v>
      </c>
      <c r="C1689" s="7" t="s">
        <v>18</v>
      </c>
      <c r="D1689" s="3">
        <v>92815000000168</v>
      </c>
      <c r="E1689" s="8" t="s">
        <v>403</v>
      </c>
      <c r="F1689" s="8" t="s">
        <v>305</v>
      </c>
      <c r="G1689" s="8" t="s">
        <v>253</v>
      </c>
      <c r="H1689" s="8" t="s">
        <v>795</v>
      </c>
      <c r="I1689" s="3">
        <v>2</v>
      </c>
      <c r="J1689" s="8" t="s">
        <v>720</v>
      </c>
      <c r="K1689" s="8" t="s">
        <v>721</v>
      </c>
      <c r="L1689" s="8" t="s">
        <v>723</v>
      </c>
      <c r="M1689" s="1" t="s">
        <v>784</v>
      </c>
      <c r="N1689" s="8" t="s">
        <v>785</v>
      </c>
      <c r="O1689" s="6">
        <v>0</v>
      </c>
      <c r="P1689" s="6">
        <v>25</v>
      </c>
      <c r="Q1689" s="6">
        <v>61</v>
      </c>
      <c r="R1689" s="6">
        <v>0</v>
      </c>
      <c r="S1689" s="6">
        <v>90</v>
      </c>
    </row>
    <row r="1690" spans="1:19" ht="15" x14ac:dyDescent="0.25">
      <c r="A1690" s="7" t="s">
        <v>16</v>
      </c>
      <c r="B1690" s="7" t="s">
        <v>60</v>
      </c>
      <c r="C1690" s="7" t="s">
        <v>18</v>
      </c>
      <c r="D1690" s="3">
        <v>92963560000160</v>
      </c>
      <c r="E1690" s="8" t="s">
        <v>465</v>
      </c>
      <c r="F1690" s="8" t="s">
        <v>305</v>
      </c>
      <c r="G1690" s="8" t="s">
        <v>253</v>
      </c>
      <c r="H1690" s="8" t="s">
        <v>795</v>
      </c>
      <c r="I1690" s="3">
        <v>2</v>
      </c>
      <c r="J1690" s="8" t="s">
        <v>754</v>
      </c>
      <c r="K1690" s="8" t="s">
        <v>755</v>
      </c>
      <c r="L1690" s="8" t="s">
        <v>730</v>
      </c>
      <c r="M1690" s="1" t="s">
        <v>784</v>
      </c>
      <c r="N1690" s="8" t="s">
        <v>785</v>
      </c>
      <c r="O1690" s="6">
        <v>0</v>
      </c>
      <c r="P1690" s="6">
        <v>0</v>
      </c>
      <c r="Q1690" s="6">
        <v>0</v>
      </c>
      <c r="R1690" s="6">
        <v>0</v>
      </c>
      <c r="S1690" s="6">
        <v>0</v>
      </c>
    </row>
    <row r="1691" spans="1:19" ht="15" x14ac:dyDescent="0.25">
      <c r="A1691" s="7" t="s">
        <v>16</v>
      </c>
      <c r="B1691" s="7" t="s">
        <v>60</v>
      </c>
      <c r="C1691" s="7" t="s">
        <v>18</v>
      </c>
      <c r="D1691" s="3">
        <v>92963560000160</v>
      </c>
      <c r="E1691" s="8" t="s">
        <v>465</v>
      </c>
      <c r="F1691" s="8" t="s">
        <v>305</v>
      </c>
      <c r="G1691" s="8" t="s">
        <v>253</v>
      </c>
      <c r="H1691" s="8" t="s">
        <v>795</v>
      </c>
      <c r="I1691" s="3">
        <v>2</v>
      </c>
      <c r="J1691" s="8" t="s">
        <v>720</v>
      </c>
      <c r="K1691" s="8" t="s">
        <v>721</v>
      </c>
      <c r="L1691" s="8" t="s">
        <v>723</v>
      </c>
      <c r="M1691" s="1" t="s">
        <v>784</v>
      </c>
      <c r="N1691" s="8" t="s">
        <v>785</v>
      </c>
      <c r="O1691" s="6">
        <v>0</v>
      </c>
      <c r="P1691" s="6">
        <v>0</v>
      </c>
      <c r="Q1691" s="6">
        <v>15</v>
      </c>
      <c r="R1691" s="6">
        <v>0</v>
      </c>
      <c r="S1691" s="6">
        <v>0</v>
      </c>
    </row>
    <row r="1692" spans="1:19" ht="15" x14ac:dyDescent="0.25">
      <c r="A1692" s="7" t="s">
        <v>16</v>
      </c>
      <c r="B1692" s="7" t="s">
        <v>60</v>
      </c>
      <c r="C1692" s="7" t="s">
        <v>18</v>
      </c>
      <c r="D1692" s="3">
        <v>9087150000230</v>
      </c>
      <c r="E1692" s="8" t="s">
        <v>304</v>
      </c>
      <c r="F1692" s="8" t="s">
        <v>305</v>
      </c>
      <c r="G1692" s="8" t="s">
        <v>253</v>
      </c>
      <c r="H1692" s="8" t="s">
        <v>795</v>
      </c>
      <c r="I1692" s="3">
        <v>2</v>
      </c>
      <c r="J1692" s="8" t="s">
        <v>754</v>
      </c>
      <c r="K1692" s="8" t="s">
        <v>755</v>
      </c>
      <c r="L1692" s="8" t="s">
        <v>730</v>
      </c>
      <c r="M1692" s="1" t="s">
        <v>784</v>
      </c>
      <c r="N1692" s="8" t="s">
        <v>785</v>
      </c>
      <c r="O1692" s="6">
        <v>0</v>
      </c>
      <c r="P1692" s="6">
        <v>0</v>
      </c>
      <c r="Q1692" s="6">
        <v>0</v>
      </c>
      <c r="R1692" s="6">
        <v>8</v>
      </c>
      <c r="S1692" s="6">
        <v>0</v>
      </c>
    </row>
    <row r="1693" spans="1:19" ht="15" x14ac:dyDescent="0.25">
      <c r="A1693" s="7" t="s">
        <v>16</v>
      </c>
      <c r="B1693" s="7" t="s">
        <v>60</v>
      </c>
      <c r="C1693" s="7" t="s">
        <v>18</v>
      </c>
      <c r="D1693" s="3">
        <v>9087150000230</v>
      </c>
      <c r="E1693" s="8" t="s">
        <v>304</v>
      </c>
      <c r="F1693" s="8" t="s">
        <v>305</v>
      </c>
      <c r="G1693" s="8" t="s">
        <v>253</v>
      </c>
      <c r="H1693" s="8" t="s">
        <v>795</v>
      </c>
      <c r="I1693" s="3">
        <v>2</v>
      </c>
      <c r="J1693" s="8" t="s">
        <v>720</v>
      </c>
      <c r="K1693" s="8" t="s">
        <v>721</v>
      </c>
      <c r="L1693" s="8" t="s">
        <v>723</v>
      </c>
      <c r="M1693" s="1" t="s">
        <v>784</v>
      </c>
      <c r="N1693" s="8" t="s">
        <v>785</v>
      </c>
      <c r="O1693" s="6">
        <v>0</v>
      </c>
      <c r="P1693" s="6">
        <v>0</v>
      </c>
      <c r="Q1693" s="6">
        <v>0</v>
      </c>
      <c r="R1693" s="6">
        <v>0</v>
      </c>
      <c r="S1693" s="6">
        <v>0</v>
      </c>
    </row>
    <row r="1694" spans="1:19" ht="15" x14ac:dyDescent="0.25">
      <c r="A1694" s="7" t="s">
        <v>16</v>
      </c>
      <c r="B1694" s="7" t="s">
        <v>60</v>
      </c>
      <c r="C1694" s="7" t="s">
        <v>18</v>
      </c>
      <c r="D1694" s="3">
        <v>12508728000108</v>
      </c>
      <c r="E1694" s="8" t="s">
        <v>517</v>
      </c>
      <c r="F1694" s="8" t="s">
        <v>331</v>
      </c>
      <c r="G1694" s="8" t="s">
        <v>253</v>
      </c>
      <c r="H1694" s="8" t="s">
        <v>795</v>
      </c>
      <c r="I1694" s="3">
        <v>2</v>
      </c>
      <c r="J1694" s="8" t="s">
        <v>754</v>
      </c>
      <c r="K1694" s="8" t="s">
        <v>755</v>
      </c>
      <c r="L1694" s="8" t="s">
        <v>730</v>
      </c>
      <c r="M1694" s="1" t="s">
        <v>784</v>
      </c>
      <c r="N1694" s="8" t="s">
        <v>785</v>
      </c>
      <c r="O1694" s="6">
        <v>0</v>
      </c>
      <c r="P1694" s="6">
        <v>0</v>
      </c>
      <c r="Q1694" s="6">
        <v>0</v>
      </c>
      <c r="R1694" s="6">
        <v>0</v>
      </c>
      <c r="S1694" s="6">
        <v>20</v>
      </c>
    </row>
    <row r="1695" spans="1:19" ht="15" x14ac:dyDescent="0.25">
      <c r="A1695" s="7" t="s">
        <v>16</v>
      </c>
      <c r="B1695" s="7" t="s">
        <v>60</v>
      </c>
      <c r="C1695" s="7" t="s">
        <v>18</v>
      </c>
      <c r="D1695" s="3">
        <v>12508728000108</v>
      </c>
      <c r="E1695" s="8" t="s">
        <v>517</v>
      </c>
      <c r="F1695" s="8" t="s">
        <v>331</v>
      </c>
      <c r="G1695" s="8" t="s">
        <v>253</v>
      </c>
      <c r="H1695" s="8" t="s">
        <v>795</v>
      </c>
      <c r="I1695" s="3">
        <v>2</v>
      </c>
      <c r="J1695" s="8" t="s">
        <v>720</v>
      </c>
      <c r="K1695" s="8" t="s">
        <v>721</v>
      </c>
      <c r="L1695" s="8" t="s">
        <v>723</v>
      </c>
      <c r="M1695" s="1" t="s">
        <v>784</v>
      </c>
      <c r="N1695" s="8" t="s">
        <v>785</v>
      </c>
      <c r="O1695" s="6">
        <v>0</v>
      </c>
      <c r="P1695" s="6">
        <v>0</v>
      </c>
      <c r="Q1695" s="6">
        <v>0</v>
      </c>
      <c r="R1695" s="6">
        <v>0</v>
      </c>
      <c r="S1695" s="6">
        <v>20</v>
      </c>
    </row>
    <row r="1696" spans="1:19" ht="15" x14ac:dyDescent="0.25">
      <c r="A1696" s="7" t="s">
        <v>16</v>
      </c>
      <c r="B1696" s="7" t="s">
        <v>60</v>
      </c>
      <c r="C1696" s="7" t="s">
        <v>18</v>
      </c>
      <c r="D1696" s="3">
        <v>95610887000146</v>
      </c>
      <c r="E1696" s="8" t="s">
        <v>406</v>
      </c>
      <c r="F1696" s="8" t="s">
        <v>331</v>
      </c>
      <c r="G1696" s="8" t="s">
        <v>253</v>
      </c>
      <c r="H1696" s="8" t="s">
        <v>795</v>
      </c>
      <c r="I1696" s="3">
        <v>2</v>
      </c>
      <c r="J1696" s="8" t="s">
        <v>754</v>
      </c>
      <c r="K1696" s="8" t="s">
        <v>755</v>
      </c>
      <c r="L1696" s="8" t="s">
        <v>730</v>
      </c>
      <c r="M1696" s="1" t="s">
        <v>784</v>
      </c>
      <c r="N1696" s="8" t="s">
        <v>785</v>
      </c>
      <c r="O1696" s="6">
        <v>0</v>
      </c>
      <c r="P1696" s="6">
        <v>0</v>
      </c>
      <c r="Q1696" s="6">
        <v>0</v>
      </c>
      <c r="R1696" s="6">
        <v>0</v>
      </c>
      <c r="S1696" s="6">
        <v>450</v>
      </c>
    </row>
    <row r="1697" spans="1:19" ht="15" x14ac:dyDescent="0.25">
      <c r="A1697" s="7" t="s">
        <v>16</v>
      </c>
      <c r="B1697" s="7" t="s">
        <v>60</v>
      </c>
      <c r="C1697" s="7" t="s">
        <v>18</v>
      </c>
      <c r="D1697" s="3">
        <v>95610887000146</v>
      </c>
      <c r="E1697" s="8" t="s">
        <v>406</v>
      </c>
      <c r="F1697" s="8" t="s">
        <v>331</v>
      </c>
      <c r="G1697" s="8" t="s">
        <v>253</v>
      </c>
      <c r="H1697" s="8" t="s">
        <v>795</v>
      </c>
      <c r="I1697" s="3">
        <v>2</v>
      </c>
      <c r="J1697" s="8" t="s">
        <v>720</v>
      </c>
      <c r="K1697" s="8" t="s">
        <v>721</v>
      </c>
      <c r="L1697" s="8" t="s">
        <v>723</v>
      </c>
      <c r="M1697" s="1" t="s">
        <v>784</v>
      </c>
      <c r="N1697" s="8" t="s">
        <v>785</v>
      </c>
      <c r="O1697" s="6">
        <v>0</v>
      </c>
      <c r="P1697" s="6">
        <v>15</v>
      </c>
      <c r="Q1697" s="6">
        <v>3</v>
      </c>
      <c r="R1697" s="6">
        <v>0</v>
      </c>
      <c r="S1697" s="6">
        <v>450</v>
      </c>
    </row>
    <row r="1698" spans="1:19" ht="15" x14ac:dyDescent="0.25">
      <c r="A1698" s="7" t="s">
        <v>16</v>
      </c>
      <c r="B1698" s="7" t="s">
        <v>60</v>
      </c>
      <c r="C1698" s="7" t="s">
        <v>18</v>
      </c>
      <c r="D1698" s="3">
        <v>1517626000132</v>
      </c>
      <c r="E1698" s="8" t="s">
        <v>257</v>
      </c>
      <c r="F1698" s="8" t="s">
        <v>258</v>
      </c>
      <c r="G1698" s="8" t="s">
        <v>259</v>
      </c>
      <c r="H1698" s="8" t="s">
        <v>795</v>
      </c>
      <c r="I1698" s="3">
        <v>2</v>
      </c>
      <c r="J1698" s="8" t="s">
        <v>754</v>
      </c>
      <c r="K1698" s="8" t="s">
        <v>755</v>
      </c>
      <c r="L1698" s="8" t="s">
        <v>730</v>
      </c>
      <c r="M1698" s="1" t="s">
        <v>784</v>
      </c>
      <c r="N1698" s="8" t="s">
        <v>785</v>
      </c>
      <c r="O1698" s="6">
        <v>0</v>
      </c>
      <c r="P1698" s="6">
        <v>0</v>
      </c>
      <c r="Q1698" s="6">
        <v>0</v>
      </c>
      <c r="R1698" s="6">
        <v>12</v>
      </c>
      <c r="S1698" s="6">
        <v>0</v>
      </c>
    </row>
    <row r="1699" spans="1:19" ht="15" x14ac:dyDescent="0.25">
      <c r="A1699" s="7" t="s">
        <v>16</v>
      </c>
      <c r="B1699" s="7" t="s">
        <v>60</v>
      </c>
      <c r="C1699" s="7" t="s">
        <v>18</v>
      </c>
      <c r="D1699" s="3">
        <v>1517626000132</v>
      </c>
      <c r="E1699" s="8" t="s">
        <v>257</v>
      </c>
      <c r="F1699" s="8" t="s">
        <v>258</v>
      </c>
      <c r="G1699" s="8" t="s">
        <v>259</v>
      </c>
      <c r="H1699" s="8" t="s">
        <v>795</v>
      </c>
      <c r="I1699" s="3">
        <v>2</v>
      </c>
      <c r="J1699" s="8" t="s">
        <v>735</v>
      </c>
      <c r="K1699" s="8" t="s">
        <v>736</v>
      </c>
      <c r="L1699" s="8" t="s">
        <v>723</v>
      </c>
      <c r="M1699" s="1" t="s">
        <v>784</v>
      </c>
      <c r="N1699" s="8" t="s">
        <v>785</v>
      </c>
      <c r="O1699" s="6">
        <v>0</v>
      </c>
      <c r="P1699" s="6">
        <v>0</v>
      </c>
      <c r="Q1699" s="6">
        <v>0</v>
      </c>
      <c r="R1699" s="6">
        <v>0</v>
      </c>
      <c r="S1699" s="6">
        <v>0</v>
      </c>
    </row>
    <row r="1700" spans="1:19" ht="15" x14ac:dyDescent="0.25">
      <c r="A1700" s="7" t="s">
        <v>16</v>
      </c>
      <c r="B1700" s="7" t="s">
        <v>60</v>
      </c>
      <c r="C1700" s="7" t="s">
        <v>18</v>
      </c>
      <c r="D1700" s="3">
        <v>85377174000392</v>
      </c>
      <c r="E1700" s="8" t="s">
        <v>390</v>
      </c>
      <c r="F1700" s="8" t="s">
        <v>258</v>
      </c>
      <c r="G1700" s="8" t="s">
        <v>259</v>
      </c>
      <c r="H1700" s="8" t="s">
        <v>795</v>
      </c>
      <c r="I1700" s="3">
        <v>2</v>
      </c>
      <c r="J1700" s="8" t="s">
        <v>754</v>
      </c>
      <c r="K1700" s="8" t="s">
        <v>755</v>
      </c>
      <c r="L1700" s="8" t="s">
        <v>730</v>
      </c>
      <c r="M1700" s="1" t="s">
        <v>784</v>
      </c>
      <c r="N1700" s="8" t="s">
        <v>785</v>
      </c>
      <c r="O1700" s="6">
        <v>0</v>
      </c>
      <c r="P1700" s="6">
        <v>0</v>
      </c>
      <c r="Q1700" s="6">
        <v>0</v>
      </c>
      <c r="R1700" s="6">
        <v>18</v>
      </c>
      <c r="S1700" s="6">
        <v>0</v>
      </c>
    </row>
    <row r="1701" spans="1:19" ht="15" x14ac:dyDescent="0.25">
      <c r="A1701" s="7" t="s">
        <v>16</v>
      </c>
      <c r="B1701" s="7" t="s">
        <v>60</v>
      </c>
      <c r="C1701" s="7" t="s">
        <v>18</v>
      </c>
      <c r="D1701" s="3">
        <v>85377174000392</v>
      </c>
      <c r="E1701" s="8" t="s">
        <v>390</v>
      </c>
      <c r="F1701" s="8" t="s">
        <v>258</v>
      </c>
      <c r="G1701" s="8" t="s">
        <v>259</v>
      </c>
      <c r="H1701" s="8" t="s">
        <v>795</v>
      </c>
      <c r="I1701" s="3">
        <v>2</v>
      </c>
      <c r="J1701" s="8" t="s">
        <v>735</v>
      </c>
      <c r="K1701" s="8" t="s">
        <v>736</v>
      </c>
      <c r="L1701" s="8" t="s">
        <v>723</v>
      </c>
      <c r="M1701" s="1" t="s">
        <v>784</v>
      </c>
      <c r="N1701" s="8" t="s">
        <v>785</v>
      </c>
      <c r="O1701" s="6">
        <v>0</v>
      </c>
      <c r="P1701" s="6">
        <v>0</v>
      </c>
      <c r="Q1701" s="6">
        <v>0</v>
      </c>
      <c r="R1701" s="6">
        <v>0</v>
      </c>
      <c r="S1701" s="6">
        <v>0</v>
      </c>
    </row>
    <row r="1702" spans="1:19" ht="15" x14ac:dyDescent="0.25">
      <c r="A1702" s="7" t="s">
        <v>16</v>
      </c>
      <c r="B1702" s="7" t="s">
        <v>60</v>
      </c>
      <c r="C1702" s="7" t="s">
        <v>18</v>
      </c>
      <c r="D1702" s="3">
        <v>1880344000103</v>
      </c>
      <c r="E1702" s="8" t="s">
        <v>513</v>
      </c>
      <c r="F1702" s="8" t="s">
        <v>380</v>
      </c>
      <c r="G1702" s="8" t="s">
        <v>259</v>
      </c>
      <c r="H1702" s="8" t="s">
        <v>795</v>
      </c>
      <c r="I1702" s="3">
        <v>2</v>
      </c>
      <c r="J1702" s="8" t="s">
        <v>754</v>
      </c>
      <c r="K1702" s="8" t="s">
        <v>755</v>
      </c>
      <c r="L1702" s="8" t="s">
        <v>730</v>
      </c>
      <c r="M1702" s="1" t="s">
        <v>784</v>
      </c>
      <c r="N1702" s="8" t="s">
        <v>785</v>
      </c>
      <c r="O1702" s="6">
        <v>0</v>
      </c>
      <c r="P1702" s="6">
        <v>0</v>
      </c>
      <c r="Q1702" s="6">
        <v>0</v>
      </c>
      <c r="R1702" s="6">
        <v>0</v>
      </c>
      <c r="S1702" s="6">
        <v>125</v>
      </c>
    </row>
    <row r="1703" spans="1:19" ht="15" x14ac:dyDescent="0.25">
      <c r="A1703" s="7" t="s">
        <v>16</v>
      </c>
      <c r="B1703" s="7" t="s">
        <v>60</v>
      </c>
      <c r="C1703" s="7" t="s">
        <v>18</v>
      </c>
      <c r="D1703" s="3">
        <v>1880344000103</v>
      </c>
      <c r="E1703" s="8" t="s">
        <v>513</v>
      </c>
      <c r="F1703" s="8" t="s">
        <v>380</v>
      </c>
      <c r="G1703" s="8" t="s">
        <v>259</v>
      </c>
      <c r="H1703" s="8" t="s">
        <v>795</v>
      </c>
      <c r="I1703" s="3">
        <v>2</v>
      </c>
      <c r="J1703" s="8" t="s">
        <v>735</v>
      </c>
      <c r="K1703" s="8" t="s">
        <v>736</v>
      </c>
      <c r="L1703" s="8" t="s">
        <v>723</v>
      </c>
      <c r="M1703" s="1" t="s">
        <v>784</v>
      </c>
      <c r="N1703" s="8" t="s">
        <v>785</v>
      </c>
      <c r="O1703" s="6">
        <v>0</v>
      </c>
      <c r="P1703" s="6">
        <v>0</v>
      </c>
      <c r="Q1703" s="6">
        <v>0</v>
      </c>
      <c r="R1703" s="6">
        <v>0</v>
      </c>
      <c r="S1703" s="6">
        <v>125</v>
      </c>
    </row>
    <row r="1704" spans="1:19" ht="15" x14ac:dyDescent="0.25">
      <c r="A1704" s="7" t="s">
        <v>16</v>
      </c>
      <c r="B1704" s="7" t="s">
        <v>60</v>
      </c>
      <c r="C1704" s="7" t="s">
        <v>18</v>
      </c>
      <c r="D1704" s="3">
        <v>60922168005226</v>
      </c>
      <c r="E1704" s="8" t="s">
        <v>379</v>
      </c>
      <c r="F1704" s="8" t="s">
        <v>380</v>
      </c>
      <c r="G1704" s="8" t="s">
        <v>259</v>
      </c>
      <c r="H1704" s="8" t="s">
        <v>795</v>
      </c>
      <c r="I1704" s="3">
        <v>2</v>
      </c>
      <c r="J1704" s="8" t="s">
        <v>754</v>
      </c>
      <c r="K1704" s="8" t="s">
        <v>755</v>
      </c>
      <c r="L1704" s="8" t="s">
        <v>730</v>
      </c>
      <c r="M1704" s="1" t="s">
        <v>784</v>
      </c>
      <c r="N1704" s="8" t="s">
        <v>785</v>
      </c>
      <c r="O1704" s="6">
        <v>0</v>
      </c>
      <c r="P1704" s="6">
        <v>0</v>
      </c>
      <c r="Q1704" s="6">
        <v>0</v>
      </c>
      <c r="R1704" s="6">
        <v>0</v>
      </c>
      <c r="S1704" s="6">
        <v>0</v>
      </c>
    </row>
    <row r="1705" spans="1:19" ht="15" x14ac:dyDescent="0.25">
      <c r="A1705" s="7" t="s">
        <v>16</v>
      </c>
      <c r="B1705" s="7" t="s">
        <v>60</v>
      </c>
      <c r="C1705" s="7" t="s">
        <v>18</v>
      </c>
      <c r="D1705" s="3">
        <v>60922168005226</v>
      </c>
      <c r="E1705" s="8" t="s">
        <v>379</v>
      </c>
      <c r="F1705" s="8" t="s">
        <v>380</v>
      </c>
      <c r="G1705" s="8" t="s">
        <v>259</v>
      </c>
      <c r="H1705" s="8" t="s">
        <v>795</v>
      </c>
      <c r="I1705" s="3">
        <v>2</v>
      </c>
      <c r="J1705" s="8" t="s">
        <v>735</v>
      </c>
      <c r="K1705" s="8" t="s">
        <v>736</v>
      </c>
      <c r="L1705" s="8" t="s">
        <v>723</v>
      </c>
      <c r="M1705" s="1" t="s">
        <v>784</v>
      </c>
      <c r="N1705" s="8" t="s">
        <v>785</v>
      </c>
      <c r="O1705" s="6">
        <v>0</v>
      </c>
      <c r="P1705" s="6">
        <v>1</v>
      </c>
      <c r="Q1705" s="6">
        <v>0</v>
      </c>
      <c r="R1705" s="6">
        <v>0</v>
      </c>
      <c r="S1705" s="6">
        <v>0</v>
      </c>
    </row>
    <row r="1706" spans="1:19" ht="15" x14ac:dyDescent="0.25">
      <c r="A1706" s="7" t="s">
        <v>16</v>
      </c>
      <c r="B1706" s="7" t="s">
        <v>60</v>
      </c>
      <c r="C1706" s="7" t="s">
        <v>18</v>
      </c>
      <c r="D1706" s="3">
        <v>82654088000120</v>
      </c>
      <c r="E1706" s="8" t="s">
        <v>650</v>
      </c>
      <c r="F1706" s="8" t="s">
        <v>380</v>
      </c>
      <c r="G1706" s="8" t="s">
        <v>259</v>
      </c>
      <c r="H1706" s="8" t="s">
        <v>795</v>
      </c>
      <c r="I1706" s="3">
        <v>2</v>
      </c>
      <c r="J1706" s="8" t="s">
        <v>754</v>
      </c>
      <c r="K1706" s="8" t="s">
        <v>755</v>
      </c>
      <c r="L1706" s="8" t="s">
        <v>730</v>
      </c>
      <c r="M1706" s="1" t="s">
        <v>784</v>
      </c>
      <c r="N1706" s="8" t="s">
        <v>785</v>
      </c>
      <c r="O1706" s="6">
        <v>0</v>
      </c>
      <c r="P1706" s="6">
        <v>0</v>
      </c>
      <c r="Q1706" s="6">
        <v>0</v>
      </c>
      <c r="R1706" s="6">
        <v>0</v>
      </c>
      <c r="S1706" s="6">
        <v>20</v>
      </c>
    </row>
    <row r="1707" spans="1:19" ht="15" x14ac:dyDescent="0.25">
      <c r="A1707" s="7" t="s">
        <v>16</v>
      </c>
      <c r="B1707" s="7" t="s">
        <v>60</v>
      </c>
      <c r="C1707" s="7" t="s">
        <v>18</v>
      </c>
      <c r="D1707" s="3">
        <v>82654088000120</v>
      </c>
      <c r="E1707" s="8" t="s">
        <v>650</v>
      </c>
      <c r="F1707" s="8" t="s">
        <v>380</v>
      </c>
      <c r="G1707" s="8" t="s">
        <v>259</v>
      </c>
      <c r="H1707" s="8" t="s">
        <v>795</v>
      </c>
      <c r="I1707" s="3">
        <v>2</v>
      </c>
      <c r="J1707" s="8" t="s">
        <v>735</v>
      </c>
      <c r="K1707" s="8" t="s">
        <v>736</v>
      </c>
      <c r="L1707" s="8" t="s">
        <v>723</v>
      </c>
      <c r="M1707" s="1" t="s">
        <v>784</v>
      </c>
      <c r="N1707" s="8" t="s">
        <v>785</v>
      </c>
      <c r="O1707" s="6">
        <v>0</v>
      </c>
      <c r="P1707" s="6">
        <v>0</v>
      </c>
      <c r="Q1707" s="6">
        <v>0</v>
      </c>
      <c r="R1707" s="6">
        <v>0</v>
      </c>
      <c r="S1707" s="6">
        <v>20</v>
      </c>
    </row>
    <row r="1708" spans="1:19" ht="15" x14ac:dyDescent="0.25">
      <c r="A1708" s="7" t="s">
        <v>16</v>
      </c>
      <c r="B1708" s="7" t="s">
        <v>60</v>
      </c>
      <c r="C1708" s="7" t="s">
        <v>18</v>
      </c>
      <c r="D1708" s="3">
        <v>1554266000300</v>
      </c>
      <c r="E1708" s="8" t="s">
        <v>534</v>
      </c>
      <c r="F1708" s="8" t="s">
        <v>512</v>
      </c>
      <c r="G1708" s="8" t="s">
        <v>259</v>
      </c>
      <c r="H1708" s="8" t="s">
        <v>795</v>
      </c>
      <c r="I1708" s="3">
        <v>2</v>
      </c>
      <c r="J1708" s="8" t="s">
        <v>754</v>
      </c>
      <c r="K1708" s="8" t="s">
        <v>755</v>
      </c>
      <c r="L1708" s="8" t="s">
        <v>730</v>
      </c>
      <c r="M1708" s="1" t="s">
        <v>784</v>
      </c>
      <c r="N1708" s="8" t="s">
        <v>785</v>
      </c>
      <c r="O1708" s="6">
        <v>0</v>
      </c>
      <c r="P1708" s="6">
        <v>0</v>
      </c>
      <c r="Q1708" s="6">
        <v>0</v>
      </c>
      <c r="R1708" s="6">
        <v>0</v>
      </c>
      <c r="S1708" s="6">
        <v>35</v>
      </c>
    </row>
    <row r="1709" spans="1:19" ht="15" x14ac:dyDescent="0.25">
      <c r="A1709" s="7" t="s">
        <v>16</v>
      </c>
      <c r="B1709" s="7" t="s">
        <v>60</v>
      </c>
      <c r="C1709" s="7" t="s">
        <v>18</v>
      </c>
      <c r="D1709" s="3">
        <v>1554266000300</v>
      </c>
      <c r="E1709" s="8" t="s">
        <v>534</v>
      </c>
      <c r="F1709" s="8" t="s">
        <v>512</v>
      </c>
      <c r="G1709" s="8" t="s">
        <v>259</v>
      </c>
      <c r="H1709" s="8" t="s">
        <v>795</v>
      </c>
      <c r="I1709" s="3">
        <v>2</v>
      </c>
      <c r="J1709" s="8" t="s">
        <v>735</v>
      </c>
      <c r="K1709" s="8" t="s">
        <v>736</v>
      </c>
      <c r="L1709" s="8" t="s">
        <v>723</v>
      </c>
      <c r="M1709" s="1" t="s">
        <v>784</v>
      </c>
      <c r="N1709" s="8" t="s">
        <v>785</v>
      </c>
      <c r="O1709" s="6">
        <v>0</v>
      </c>
      <c r="P1709" s="6">
        <v>0</v>
      </c>
      <c r="Q1709" s="6">
        <v>0</v>
      </c>
      <c r="R1709" s="6">
        <v>0</v>
      </c>
      <c r="S1709" s="6">
        <v>35</v>
      </c>
    </row>
    <row r="1710" spans="1:19" ht="15" x14ac:dyDescent="0.25">
      <c r="A1710" s="7" t="s">
        <v>16</v>
      </c>
      <c r="B1710" s="7" t="s">
        <v>60</v>
      </c>
      <c r="C1710" s="7" t="s">
        <v>18</v>
      </c>
      <c r="D1710" s="3">
        <v>1554266000149</v>
      </c>
      <c r="E1710" s="8" t="s">
        <v>511</v>
      </c>
      <c r="F1710" s="8" t="s">
        <v>512</v>
      </c>
      <c r="G1710" s="8" t="s">
        <v>259</v>
      </c>
      <c r="H1710" s="8" t="s">
        <v>795</v>
      </c>
      <c r="I1710" s="3">
        <v>2</v>
      </c>
      <c r="J1710" s="8" t="s">
        <v>754</v>
      </c>
      <c r="K1710" s="8" t="s">
        <v>755</v>
      </c>
      <c r="L1710" s="8" t="s">
        <v>730</v>
      </c>
      <c r="M1710" s="1" t="s">
        <v>784</v>
      </c>
      <c r="N1710" s="8" t="s">
        <v>785</v>
      </c>
      <c r="O1710" s="6">
        <v>0</v>
      </c>
      <c r="P1710" s="6">
        <v>0</v>
      </c>
      <c r="Q1710" s="6">
        <v>0</v>
      </c>
      <c r="R1710" s="6">
        <v>0</v>
      </c>
      <c r="S1710" s="6">
        <v>70</v>
      </c>
    </row>
    <row r="1711" spans="1:19" ht="15" x14ac:dyDescent="0.25">
      <c r="A1711" s="7" t="s">
        <v>16</v>
      </c>
      <c r="B1711" s="7" t="s">
        <v>60</v>
      </c>
      <c r="C1711" s="7" t="s">
        <v>18</v>
      </c>
      <c r="D1711" s="3">
        <v>1554266000149</v>
      </c>
      <c r="E1711" s="8" t="s">
        <v>511</v>
      </c>
      <c r="F1711" s="8" t="s">
        <v>512</v>
      </c>
      <c r="G1711" s="8" t="s">
        <v>259</v>
      </c>
      <c r="H1711" s="8" t="s">
        <v>795</v>
      </c>
      <c r="I1711" s="3">
        <v>2</v>
      </c>
      <c r="J1711" s="8" t="s">
        <v>735</v>
      </c>
      <c r="K1711" s="8" t="s">
        <v>736</v>
      </c>
      <c r="L1711" s="8" t="s">
        <v>723</v>
      </c>
      <c r="M1711" s="1" t="s">
        <v>784</v>
      </c>
      <c r="N1711" s="8" t="s">
        <v>785</v>
      </c>
      <c r="O1711" s="6">
        <v>0</v>
      </c>
      <c r="P1711" s="6">
        <v>0</v>
      </c>
      <c r="Q1711" s="6">
        <v>0</v>
      </c>
      <c r="R1711" s="6">
        <v>0</v>
      </c>
      <c r="S1711" s="6">
        <v>70</v>
      </c>
    </row>
    <row r="1712" spans="1:19" ht="15" x14ac:dyDescent="0.25">
      <c r="A1712" s="7" t="s">
        <v>16</v>
      </c>
      <c r="B1712" s="7" t="s">
        <v>60</v>
      </c>
      <c r="C1712" s="7" t="s">
        <v>18</v>
      </c>
      <c r="D1712" s="3">
        <v>1125832000105</v>
      </c>
      <c r="E1712" s="8" t="s">
        <v>529</v>
      </c>
      <c r="F1712" s="8" t="s">
        <v>388</v>
      </c>
      <c r="G1712" s="8" t="s">
        <v>259</v>
      </c>
      <c r="H1712" s="8" t="s">
        <v>795</v>
      </c>
      <c r="I1712" s="3">
        <v>2</v>
      </c>
      <c r="J1712" s="8" t="s">
        <v>754</v>
      </c>
      <c r="K1712" s="8" t="s">
        <v>755</v>
      </c>
      <c r="L1712" s="8" t="s">
        <v>730</v>
      </c>
      <c r="M1712" s="1" t="s">
        <v>784</v>
      </c>
      <c r="N1712" s="8" t="s">
        <v>785</v>
      </c>
      <c r="O1712" s="6">
        <v>0</v>
      </c>
      <c r="P1712" s="6">
        <v>0</v>
      </c>
      <c r="Q1712" s="6">
        <v>0</v>
      </c>
      <c r="R1712" s="6">
        <v>0</v>
      </c>
      <c r="S1712" s="6">
        <v>60</v>
      </c>
    </row>
    <row r="1713" spans="1:19" ht="15" x14ac:dyDescent="0.25">
      <c r="A1713" s="7" t="s">
        <v>16</v>
      </c>
      <c r="B1713" s="7" t="s">
        <v>60</v>
      </c>
      <c r="C1713" s="7" t="s">
        <v>18</v>
      </c>
      <c r="D1713" s="3">
        <v>1125832000105</v>
      </c>
      <c r="E1713" s="8" t="s">
        <v>529</v>
      </c>
      <c r="F1713" s="8" t="s">
        <v>388</v>
      </c>
      <c r="G1713" s="8" t="s">
        <v>259</v>
      </c>
      <c r="H1713" s="8" t="s">
        <v>795</v>
      </c>
      <c r="I1713" s="3">
        <v>2</v>
      </c>
      <c r="J1713" s="8" t="s">
        <v>735</v>
      </c>
      <c r="K1713" s="8" t="s">
        <v>736</v>
      </c>
      <c r="L1713" s="8" t="s">
        <v>723</v>
      </c>
      <c r="M1713" s="1" t="s">
        <v>784</v>
      </c>
      <c r="N1713" s="8" t="s">
        <v>785</v>
      </c>
      <c r="O1713" s="6">
        <v>0</v>
      </c>
      <c r="P1713" s="6">
        <v>0</v>
      </c>
      <c r="Q1713" s="6">
        <v>0</v>
      </c>
      <c r="R1713" s="6">
        <v>0</v>
      </c>
      <c r="S1713" s="6">
        <v>60</v>
      </c>
    </row>
    <row r="1714" spans="1:19" ht="15" x14ac:dyDescent="0.25">
      <c r="A1714" s="7" t="s">
        <v>16</v>
      </c>
      <c r="B1714" s="7" t="s">
        <v>60</v>
      </c>
      <c r="C1714" s="7" t="s">
        <v>18</v>
      </c>
      <c r="D1714" s="3">
        <v>80673411000187</v>
      </c>
      <c r="E1714" s="8" t="s">
        <v>387</v>
      </c>
      <c r="F1714" s="8" t="s">
        <v>388</v>
      </c>
      <c r="G1714" s="8" t="s">
        <v>259</v>
      </c>
      <c r="H1714" s="8" t="s">
        <v>795</v>
      </c>
      <c r="I1714" s="3">
        <v>2</v>
      </c>
      <c r="J1714" s="8" t="s">
        <v>754</v>
      </c>
      <c r="K1714" s="8" t="s">
        <v>755</v>
      </c>
      <c r="L1714" s="8" t="s">
        <v>730</v>
      </c>
      <c r="M1714" s="1" t="s">
        <v>784</v>
      </c>
      <c r="N1714" s="8" t="s">
        <v>785</v>
      </c>
      <c r="O1714" s="6">
        <v>76</v>
      </c>
      <c r="P1714" s="6">
        <v>0</v>
      </c>
      <c r="Q1714" s="6">
        <v>0</v>
      </c>
      <c r="R1714" s="6">
        <v>0</v>
      </c>
      <c r="S1714" s="6">
        <v>240</v>
      </c>
    </row>
    <row r="1715" spans="1:19" ht="15" x14ac:dyDescent="0.25">
      <c r="A1715" s="7" t="s">
        <v>16</v>
      </c>
      <c r="B1715" s="7" t="s">
        <v>60</v>
      </c>
      <c r="C1715" s="7" t="s">
        <v>18</v>
      </c>
      <c r="D1715" s="3">
        <v>80673411000187</v>
      </c>
      <c r="E1715" s="8" t="s">
        <v>387</v>
      </c>
      <c r="F1715" s="8" t="s">
        <v>388</v>
      </c>
      <c r="G1715" s="8" t="s">
        <v>259</v>
      </c>
      <c r="H1715" s="8" t="s">
        <v>795</v>
      </c>
      <c r="I1715" s="3">
        <v>2</v>
      </c>
      <c r="J1715" s="8" t="s">
        <v>735</v>
      </c>
      <c r="K1715" s="8" t="s">
        <v>736</v>
      </c>
      <c r="L1715" s="8" t="s">
        <v>723</v>
      </c>
      <c r="M1715" s="1" t="s">
        <v>784</v>
      </c>
      <c r="N1715" s="8" t="s">
        <v>785</v>
      </c>
      <c r="O1715" s="6">
        <v>0</v>
      </c>
      <c r="P1715" s="6">
        <v>0</v>
      </c>
      <c r="Q1715" s="6">
        <v>0</v>
      </c>
      <c r="R1715" s="6">
        <v>0</v>
      </c>
      <c r="S1715" s="6">
        <v>240</v>
      </c>
    </row>
    <row r="1716" spans="1:19" ht="15" x14ac:dyDescent="0.25">
      <c r="A1716" s="7" t="s">
        <v>16</v>
      </c>
      <c r="B1716" s="7" t="s">
        <v>60</v>
      </c>
      <c r="C1716" s="7" t="s">
        <v>18</v>
      </c>
      <c r="D1716" s="3">
        <v>83899526000425</v>
      </c>
      <c r="E1716" s="8" t="s">
        <v>389</v>
      </c>
      <c r="F1716" s="8" t="s">
        <v>388</v>
      </c>
      <c r="G1716" s="8" t="s">
        <v>259</v>
      </c>
      <c r="H1716" s="8" t="s">
        <v>795</v>
      </c>
      <c r="I1716" s="3">
        <v>2</v>
      </c>
      <c r="J1716" s="8" t="s">
        <v>754</v>
      </c>
      <c r="K1716" s="8" t="s">
        <v>755</v>
      </c>
      <c r="L1716" s="8" t="s">
        <v>730</v>
      </c>
      <c r="M1716" s="1" t="s">
        <v>784</v>
      </c>
      <c r="N1716" s="8" t="s">
        <v>785</v>
      </c>
      <c r="O1716" s="6">
        <v>0</v>
      </c>
      <c r="P1716" s="6">
        <v>0</v>
      </c>
      <c r="Q1716" s="6">
        <v>0</v>
      </c>
      <c r="R1716" s="6">
        <v>0</v>
      </c>
      <c r="S1716" s="6">
        <v>0</v>
      </c>
    </row>
    <row r="1717" spans="1:19" ht="15" x14ac:dyDescent="0.25">
      <c r="A1717" s="7" t="s">
        <v>16</v>
      </c>
      <c r="B1717" s="7" t="s">
        <v>60</v>
      </c>
      <c r="C1717" s="7" t="s">
        <v>18</v>
      </c>
      <c r="D1717" s="3">
        <v>83899526000425</v>
      </c>
      <c r="E1717" s="8" t="s">
        <v>389</v>
      </c>
      <c r="F1717" s="8" t="s">
        <v>388</v>
      </c>
      <c r="G1717" s="8" t="s">
        <v>259</v>
      </c>
      <c r="H1717" s="8" t="s">
        <v>795</v>
      </c>
      <c r="I1717" s="3">
        <v>2</v>
      </c>
      <c r="J1717" s="8" t="s">
        <v>735</v>
      </c>
      <c r="K1717" s="8" t="s">
        <v>736</v>
      </c>
      <c r="L1717" s="8" t="s">
        <v>723</v>
      </c>
      <c r="M1717" s="1" t="s">
        <v>784</v>
      </c>
      <c r="N1717" s="8" t="s">
        <v>785</v>
      </c>
      <c r="O1717" s="6">
        <v>0</v>
      </c>
      <c r="P1717" s="6">
        <v>0</v>
      </c>
      <c r="Q1717" s="6">
        <v>6</v>
      </c>
      <c r="R1717" s="6">
        <v>0</v>
      </c>
      <c r="S1717" s="6">
        <v>0</v>
      </c>
    </row>
    <row r="1718" spans="1:19" ht="15" x14ac:dyDescent="0.25">
      <c r="A1718" s="7" t="s">
        <v>16</v>
      </c>
      <c r="B1718" s="7" t="s">
        <v>60</v>
      </c>
      <c r="C1718" s="7" t="s">
        <v>18</v>
      </c>
      <c r="D1718" s="3">
        <v>48063983904</v>
      </c>
      <c r="E1718" s="8" t="s">
        <v>469</v>
      </c>
      <c r="F1718" s="8" t="s">
        <v>388</v>
      </c>
      <c r="G1718" s="8" t="s">
        <v>259</v>
      </c>
      <c r="H1718" s="8" t="s">
        <v>795</v>
      </c>
      <c r="I1718" s="3">
        <v>2</v>
      </c>
      <c r="J1718" s="8" t="s">
        <v>754</v>
      </c>
      <c r="K1718" s="8" t="s">
        <v>755</v>
      </c>
      <c r="L1718" s="8" t="s">
        <v>730</v>
      </c>
      <c r="M1718" s="1" t="s">
        <v>784</v>
      </c>
      <c r="N1718" s="8" t="s">
        <v>785</v>
      </c>
      <c r="O1718" s="6">
        <v>59</v>
      </c>
      <c r="P1718" s="6">
        <v>0</v>
      </c>
      <c r="Q1718" s="6">
        <v>0</v>
      </c>
      <c r="R1718" s="6">
        <v>0</v>
      </c>
      <c r="S1718" s="6">
        <v>0</v>
      </c>
    </row>
    <row r="1719" spans="1:19" ht="15" x14ac:dyDescent="0.25">
      <c r="A1719" s="7" t="s">
        <v>16</v>
      </c>
      <c r="B1719" s="7" t="s">
        <v>60</v>
      </c>
      <c r="C1719" s="7" t="s">
        <v>18</v>
      </c>
      <c r="D1719" s="3">
        <v>48063983904</v>
      </c>
      <c r="E1719" s="8" t="s">
        <v>469</v>
      </c>
      <c r="F1719" s="8" t="s">
        <v>388</v>
      </c>
      <c r="G1719" s="8" t="s">
        <v>259</v>
      </c>
      <c r="H1719" s="8" t="s">
        <v>795</v>
      </c>
      <c r="I1719" s="3">
        <v>2</v>
      </c>
      <c r="J1719" s="8" t="s">
        <v>735</v>
      </c>
      <c r="K1719" s="8" t="s">
        <v>736</v>
      </c>
      <c r="L1719" s="8" t="s">
        <v>723</v>
      </c>
      <c r="M1719" s="1" t="s">
        <v>784</v>
      </c>
      <c r="N1719" s="8" t="s">
        <v>785</v>
      </c>
      <c r="O1719" s="6">
        <v>0</v>
      </c>
      <c r="P1719" s="6">
        <v>0</v>
      </c>
      <c r="Q1719" s="6">
        <v>0</v>
      </c>
      <c r="R1719" s="6">
        <v>0</v>
      </c>
      <c r="S1719" s="6">
        <v>0</v>
      </c>
    </row>
    <row r="1720" spans="1:19" ht="15" x14ac:dyDescent="0.25">
      <c r="A1720" s="7" t="s">
        <v>16</v>
      </c>
      <c r="B1720" s="7" t="s">
        <v>60</v>
      </c>
      <c r="C1720" s="7" t="s">
        <v>18</v>
      </c>
      <c r="D1720" s="3">
        <v>4670913000176</v>
      </c>
      <c r="E1720" s="8" t="s">
        <v>515</v>
      </c>
      <c r="F1720" s="8" t="s">
        <v>388</v>
      </c>
      <c r="G1720" s="8" t="s">
        <v>259</v>
      </c>
      <c r="H1720" s="8" t="s">
        <v>795</v>
      </c>
      <c r="I1720" s="3">
        <v>2</v>
      </c>
      <c r="J1720" s="8" t="s">
        <v>754</v>
      </c>
      <c r="K1720" s="8" t="s">
        <v>755</v>
      </c>
      <c r="L1720" s="8" t="s">
        <v>730</v>
      </c>
      <c r="M1720" s="1" t="s">
        <v>784</v>
      </c>
      <c r="N1720" s="8" t="s">
        <v>785</v>
      </c>
      <c r="O1720" s="6">
        <v>0</v>
      </c>
      <c r="P1720" s="6">
        <v>0</v>
      </c>
      <c r="Q1720" s="6">
        <v>0</v>
      </c>
      <c r="R1720" s="6">
        <v>0</v>
      </c>
      <c r="S1720" s="6">
        <v>375</v>
      </c>
    </row>
    <row r="1721" spans="1:19" ht="15" x14ac:dyDescent="0.25">
      <c r="A1721" s="7" t="s">
        <v>16</v>
      </c>
      <c r="B1721" s="7" t="s">
        <v>60</v>
      </c>
      <c r="C1721" s="7" t="s">
        <v>18</v>
      </c>
      <c r="D1721" s="3">
        <v>4670913000176</v>
      </c>
      <c r="E1721" s="8" t="s">
        <v>515</v>
      </c>
      <c r="F1721" s="8" t="s">
        <v>388</v>
      </c>
      <c r="G1721" s="8" t="s">
        <v>259</v>
      </c>
      <c r="H1721" s="8" t="s">
        <v>795</v>
      </c>
      <c r="I1721" s="3">
        <v>2</v>
      </c>
      <c r="J1721" s="8" t="s">
        <v>735</v>
      </c>
      <c r="K1721" s="8" t="s">
        <v>736</v>
      </c>
      <c r="L1721" s="8" t="s">
        <v>723</v>
      </c>
      <c r="M1721" s="1" t="s">
        <v>784</v>
      </c>
      <c r="N1721" s="8" t="s">
        <v>785</v>
      </c>
      <c r="O1721" s="6">
        <v>0</v>
      </c>
      <c r="P1721" s="6">
        <v>0</v>
      </c>
      <c r="Q1721" s="6">
        <v>0</v>
      </c>
      <c r="R1721" s="6">
        <v>0</v>
      </c>
      <c r="S1721" s="6">
        <v>375</v>
      </c>
    </row>
    <row r="1722" spans="1:19" ht="15" x14ac:dyDescent="0.25">
      <c r="A1722" s="7" t="s">
        <v>16</v>
      </c>
      <c r="B1722" s="7" t="s">
        <v>60</v>
      </c>
      <c r="C1722" s="7" t="s">
        <v>18</v>
      </c>
      <c r="D1722" s="3">
        <v>77858611001414</v>
      </c>
      <c r="E1722" s="8" t="s">
        <v>460</v>
      </c>
      <c r="F1722" s="8" t="s">
        <v>344</v>
      </c>
      <c r="G1722" s="8" t="s">
        <v>259</v>
      </c>
      <c r="H1722" s="8" t="s">
        <v>795</v>
      </c>
      <c r="I1722" s="3">
        <v>2</v>
      </c>
      <c r="J1722" s="8" t="s">
        <v>754</v>
      </c>
      <c r="K1722" s="8" t="s">
        <v>755</v>
      </c>
      <c r="L1722" s="8" t="s">
        <v>730</v>
      </c>
      <c r="M1722" s="1" t="s">
        <v>784</v>
      </c>
      <c r="N1722" s="8" t="s">
        <v>785</v>
      </c>
      <c r="O1722" s="6">
        <v>0</v>
      </c>
      <c r="P1722" s="6">
        <v>0</v>
      </c>
      <c r="Q1722" s="6">
        <v>0</v>
      </c>
      <c r="R1722" s="6">
        <v>0</v>
      </c>
      <c r="S1722" s="6">
        <v>250</v>
      </c>
    </row>
    <row r="1723" spans="1:19" ht="15" x14ac:dyDescent="0.25">
      <c r="A1723" s="7" t="s">
        <v>16</v>
      </c>
      <c r="B1723" s="7" t="s">
        <v>60</v>
      </c>
      <c r="C1723" s="7" t="s">
        <v>18</v>
      </c>
      <c r="D1723" s="3">
        <v>77858611001414</v>
      </c>
      <c r="E1723" s="8" t="s">
        <v>460</v>
      </c>
      <c r="F1723" s="8" t="s">
        <v>344</v>
      </c>
      <c r="G1723" s="8" t="s">
        <v>259</v>
      </c>
      <c r="H1723" s="8" t="s">
        <v>795</v>
      </c>
      <c r="I1723" s="3">
        <v>2</v>
      </c>
      <c r="J1723" s="8" t="s">
        <v>735</v>
      </c>
      <c r="K1723" s="8" t="s">
        <v>736</v>
      </c>
      <c r="L1723" s="8" t="s">
        <v>723</v>
      </c>
      <c r="M1723" s="1" t="s">
        <v>784</v>
      </c>
      <c r="N1723" s="8" t="s">
        <v>785</v>
      </c>
      <c r="O1723" s="6">
        <v>0</v>
      </c>
      <c r="P1723" s="6">
        <v>0</v>
      </c>
      <c r="Q1723" s="6">
        <v>0</v>
      </c>
      <c r="R1723" s="6">
        <v>0</v>
      </c>
      <c r="S1723" s="6">
        <v>250</v>
      </c>
    </row>
    <row r="1724" spans="1:19" ht="15" x14ac:dyDescent="0.25">
      <c r="A1724" s="7" t="s">
        <v>16</v>
      </c>
      <c r="B1724" s="7" t="s">
        <v>60</v>
      </c>
      <c r="C1724" s="7" t="s">
        <v>18</v>
      </c>
      <c r="D1724" s="3">
        <v>85241339000809</v>
      </c>
      <c r="E1724" s="8" t="s">
        <v>523</v>
      </c>
      <c r="F1724" s="8" t="s">
        <v>524</v>
      </c>
      <c r="G1724" s="8" t="s">
        <v>259</v>
      </c>
      <c r="H1724" s="8" t="s">
        <v>795</v>
      </c>
      <c r="I1724" s="3">
        <v>2</v>
      </c>
      <c r="J1724" s="8" t="s">
        <v>754</v>
      </c>
      <c r="K1724" s="8" t="s">
        <v>755</v>
      </c>
      <c r="L1724" s="8" t="s">
        <v>730</v>
      </c>
      <c r="M1724" s="1" t="s">
        <v>784</v>
      </c>
      <c r="N1724" s="8" t="s">
        <v>785</v>
      </c>
      <c r="O1724" s="6">
        <v>0</v>
      </c>
      <c r="P1724" s="6">
        <v>0</v>
      </c>
      <c r="Q1724" s="6">
        <v>0</v>
      </c>
      <c r="R1724" s="6">
        <v>0</v>
      </c>
      <c r="S1724" s="6">
        <v>310</v>
      </c>
    </row>
    <row r="1725" spans="1:19" ht="15" x14ac:dyDescent="0.25">
      <c r="A1725" s="7" t="s">
        <v>16</v>
      </c>
      <c r="B1725" s="7" t="s">
        <v>60</v>
      </c>
      <c r="C1725" s="7" t="s">
        <v>18</v>
      </c>
      <c r="D1725" s="3">
        <v>85241339000809</v>
      </c>
      <c r="E1725" s="8" t="s">
        <v>523</v>
      </c>
      <c r="F1725" s="8" t="s">
        <v>524</v>
      </c>
      <c r="G1725" s="8" t="s">
        <v>259</v>
      </c>
      <c r="H1725" s="8" t="s">
        <v>795</v>
      </c>
      <c r="I1725" s="3">
        <v>2</v>
      </c>
      <c r="J1725" s="8" t="s">
        <v>735</v>
      </c>
      <c r="K1725" s="8" t="s">
        <v>736</v>
      </c>
      <c r="L1725" s="8" t="s">
        <v>723</v>
      </c>
      <c r="M1725" s="1" t="s">
        <v>784</v>
      </c>
      <c r="N1725" s="8" t="s">
        <v>785</v>
      </c>
      <c r="O1725" s="6">
        <v>0</v>
      </c>
      <c r="P1725" s="6">
        <v>0</v>
      </c>
      <c r="Q1725" s="6">
        <v>0</v>
      </c>
      <c r="R1725" s="6">
        <v>0</v>
      </c>
      <c r="S1725" s="6">
        <v>310</v>
      </c>
    </row>
    <row r="1726" spans="1:19" ht="15" x14ac:dyDescent="0.25">
      <c r="A1726" s="7" t="s">
        <v>16</v>
      </c>
      <c r="B1726" s="7" t="s">
        <v>60</v>
      </c>
      <c r="C1726" s="7" t="s">
        <v>18</v>
      </c>
      <c r="D1726" s="3">
        <v>80490618000116</v>
      </c>
      <c r="E1726" s="8" t="s">
        <v>588</v>
      </c>
      <c r="F1726" s="8" t="s">
        <v>524</v>
      </c>
      <c r="G1726" s="8" t="s">
        <v>259</v>
      </c>
      <c r="H1726" s="8" t="s">
        <v>795</v>
      </c>
      <c r="I1726" s="3">
        <v>2</v>
      </c>
      <c r="J1726" s="8" t="s">
        <v>754</v>
      </c>
      <c r="K1726" s="8" t="s">
        <v>755</v>
      </c>
      <c r="L1726" s="8" t="s">
        <v>730</v>
      </c>
      <c r="M1726" s="1" t="s">
        <v>784</v>
      </c>
      <c r="N1726" s="8" t="s">
        <v>785</v>
      </c>
      <c r="O1726" s="6">
        <v>0</v>
      </c>
      <c r="P1726" s="6">
        <v>0</v>
      </c>
      <c r="Q1726" s="6">
        <v>0</v>
      </c>
      <c r="R1726" s="6">
        <v>0</v>
      </c>
      <c r="S1726" s="6">
        <v>60</v>
      </c>
    </row>
    <row r="1727" spans="1:19" ht="15" x14ac:dyDescent="0.25">
      <c r="A1727" s="7" t="s">
        <v>16</v>
      </c>
      <c r="B1727" s="7" t="s">
        <v>60</v>
      </c>
      <c r="C1727" s="7" t="s">
        <v>18</v>
      </c>
      <c r="D1727" s="3">
        <v>80490618000116</v>
      </c>
      <c r="E1727" s="8" t="s">
        <v>588</v>
      </c>
      <c r="F1727" s="8" t="s">
        <v>524</v>
      </c>
      <c r="G1727" s="8" t="s">
        <v>259</v>
      </c>
      <c r="H1727" s="8" t="s">
        <v>795</v>
      </c>
      <c r="I1727" s="3">
        <v>2</v>
      </c>
      <c r="J1727" s="8" t="s">
        <v>735</v>
      </c>
      <c r="K1727" s="8" t="s">
        <v>736</v>
      </c>
      <c r="L1727" s="8" t="s">
        <v>723</v>
      </c>
      <c r="M1727" s="1" t="s">
        <v>784</v>
      </c>
      <c r="N1727" s="8" t="s">
        <v>785</v>
      </c>
      <c r="O1727" s="6">
        <v>0</v>
      </c>
      <c r="P1727" s="6">
        <v>0</v>
      </c>
      <c r="Q1727" s="6">
        <v>0</v>
      </c>
      <c r="R1727" s="6">
        <v>0</v>
      </c>
      <c r="S1727" s="6">
        <v>60</v>
      </c>
    </row>
    <row r="1728" spans="1:19" ht="15" x14ac:dyDescent="0.25">
      <c r="A1728" s="7" t="s">
        <v>16</v>
      </c>
      <c r="B1728" s="7" t="s">
        <v>60</v>
      </c>
      <c r="C1728" s="7" t="s">
        <v>18</v>
      </c>
      <c r="D1728" s="3">
        <v>12361267000517</v>
      </c>
      <c r="E1728" s="8" t="s">
        <v>486</v>
      </c>
      <c r="F1728" s="8" t="s">
        <v>317</v>
      </c>
      <c r="G1728" s="8" t="s">
        <v>318</v>
      </c>
      <c r="H1728" s="8" t="s">
        <v>795</v>
      </c>
      <c r="I1728" s="3">
        <v>2</v>
      </c>
      <c r="J1728" s="8" t="s">
        <v>778</v>
      </c>
      <c r="K1728" s="8" t="s">
        <v>779</v>
      </c>
      <c r="L1728" s="8" t="s">
        <v>730</v>
      </c>
      <c r="M1728" s="1" t="s">
        <v>790</v>
      </c>
      <c r="N1728" s="8" t="s">
        <v>791</v>
      </c>
      <c r="O1728" s="6">
        <v>0</v>
      </c>
      <c r="P1728" s="6">
        <v>0</v>
      </c>
      <c r="Q1728" s="6">
        <v>0</v>
      </c>
      <c r="R1728" s="6">
        <v>0</v>
      </c>
      <c r="S1728" s="6">
        <v>0</v>
      </c>
    </row>
    <row r="1729" spans="1:19" ht="15" x14ac:dyDescent="0.25">
      <c r="A1729" s="7" t="s">
        <v>16</v>
      </c>
      <c r="B1729" s="7" t="s">
        <v>60</v>
      </c>
      <c r="C1729" s="7" t="s">
        <v>18</v>
      </c>
      <c r="D1729" s="3">
        <v>12361267000517</v>
      </c>
      <c r="E1729" s="8" t="s">
        <v>486</v>
      </c>
      <c r="F1729" s="8" t="s">
        <v>317</v>
      </c>
      <c r="G1729" s="8" t="s">
        <v>318</v>
      </c>
      <c r="H1729" s="8" t="s">
        <v>795</v>
      </c>
      <c r="I1729" s="3">
        <v>2</v>
      </c>
      <c r="J1729" s="8" t="s">
        <v>746</v>
      </c>
      <c r="K1729" s="8" t="s">
        <v>747</v>
      </c>
      <c r="L1729" s="8" t="s">
        <v>723</v>
      </c>
      <c r="M1729" s="1" t="s">
        <v>790</v>
      </c>
      <c r="N1729" s="8" t="s">
        <v>791</v>
      </c>
      <c r="O1729" s="6">
        <v>0</v>
      </c>
      <c r="P1729" s="6">
        <v>2</v>
      </c>
      <c r="Q1729" s="6">
        <v>0</v>
      </c>
      <c r="R1729" s="6">
        <v>0</v>
      </c>
      <c r="S1729" s="6">
        <v>0</v>
      </c>
    </row>
    <row r="1730" spans="1:19" ht="15" x14ac:dyDescent="0.25">
      <c r="A1730" s="7" t="s">
        <v>16</v>
      </c>
      <c r="B1730" s="7" t="s">
        <v>60</v>
      </c>
      <c r="C1730" s="7" t="s">
        <v>18</v>
      </c>
      <c r="D1730" s="3">
        <v>3222051000156</v>
      </c>
      <c r="E1730" s="8" t="s">
        <v>476</v>
      </c>
      <c r="F1730" s="8" t="s">
        <v>317</v>
      </c>
      <c r="G1730" s="8" t="s">
        <v>318</v>
      </c>
      <c r="H1730" s="8" t="s">
        <v>795</v>
      </c>
      <c r="I1730" s="3">
        <v>2</v>
      </c>
      <c r="J1730" s="8" t="s">
        <v>778</v>
      </c>
      <c r="K1730" s="8" t="s">
        <v>779</v>
      </c>
      <c r="L1730" s="8" t="s">
        <v>730</v>
      </c>
      <c r="M1730" s="1" t="s">
        <v>790</v>
      </c>
      <c r="N1730" s="8" t="s">
        <v>791</v>
      </c>
      <c r="O1730" s="6">
        <v>0</v>
      </c>
      <c r="P1730" s="6">
        <v>0</v>
      </c>
      <c r="Q1730" s="6">
        <v>0</v>
      </c>
      <c r="R1730" s="6">
        <v>0</v>
      </c>
      <c r="S1730" s="6">
        <v>0</v>
      </c>
    </row>
    <row r="1731" spans="1:19" ht="15" x14ac:dyDescent="0.25">
      <c r="A1731" s="7" t="s">
        <v>16</v>
      </c>
      <c r="B1731" s="7" t="s">
        <v>60</v>
      </c>
      <c r="C1731" s="7" t="s">
        <v>18</v>
      </c>
      <c r="D1731" s="3">
        <v>3222051000156</v>
      </c>
      <c r="E1731" s="8" t="s">
        <v>476</v>
      </c>
      <c r="F1731" s="8" t="s">
        <v>317</v>
      </c>
      <c r="G1731" s="8" t="s">
        <v>318</v>
      </c>
      <c r="H1731" s="8" t="s">
        <v>795</v>
      </c>
      <c r="I1731" s="3">
        <v>2</v>
      </c>
      <c r="J1731" s="8" t="s">
        <v>746</v>
      </c>
      <c r="K1731" s="8" t="s">
        <v>747</v>
      </c>
      <c r="L1731" s="8" t="s">
        <v>723</v>
      </c>
      <c r="M1731" s="1" t="s">
        <v>790</v>
      </c>
      <c r="N1731" s="8" t="s">
        <v>791</v>
      </c>
      <c r="O1731" s="6">
        <v>0</v>
      </c>
      <c r="P1731" s="6">
        <v>2</v>
      </c>
      <c r="Q1731" s="6">
        <v>2</v>
      </c>
      <c r="R1731" s="6">
        <v>0</v>
      </c>
      <c r="S1731" s="6">
        <v>0</v>
      </c>
    </row>
    <row r="1732" spans="1:19" ht="15" x14ac:dyDescent="0.25">
      <c r="A1732" s="7" t="s">
        <v>16</v>
      </c>
      <c r="B1732" s="7" t="s">
        <v>60</v>
      </c>
      <c r="C1732" s="7" t="s">
        <v>18</v>
      </c>
      <c r="D1732" s="3">
        <v>13131370000100</v>
      </c>
      <c r="E1732" s="8" t="s">
        <v>319</v>
      </c>
      <c r="F1732" s="8" t="s">
        <v>317</v>
      </c>
      <c r="G1732" s="8" t="s">
        <v>318</v>
      </c>
      <c r="H1732" s="8" t="s">
        <v>795</v>
      </c>
      <c r="I1732" s="3">
        <v>2</v>
      </c>
      <c r="J1732" s="8" t="s">
        <v>778</v>
      </c>
      <c r="K1732" s="8" t="s">
        <v>779</v>
      </c>
      <c r="L1732" s="8" t="s">
        <v>730</v>
      </c>
      <c r="M1732" s="1" t="s">
        <v>790</v>
      </c>
      <c r="N1732" s="8" t="s">
        <v>791</v>
      </c>
      <c r="O1732" s="6">
        <v>0</v>
      </c>
      <c r="P1732" s="6">
        <v>0</v>
      </c>
      <c r="Q1732" s="6">
        <v>0</v>
      </c>
      <c r="R1732" s="6">
        <v>38</v>
      </c>
      <c r="S1732" s="6">
        <v>300</v>
      </c>
    </row>
    <row r="1733" spans="1:19" ht="15" x14ac:dyDescent="0.25">
      <c r="A1733" s="7" t="s">
        <v>16</v>
      </c>
      <c r="B1733" s="7" t="s">
        <v>60</v>
      </c>
      <c r="C1733" s="7" t="s">
        <v>18</v>
      </c>
      <c r="D1733" s="3">
        <v>13131370000100</v>
      </c>
      <c r="E1733" s="8" t="s">
        <v>319</v>
      </c>
      <c r="F1733" s="8" t="s">
        <v>317</v>
      </c>
      <c r="G1733" s="8" t="s">
        <v>318</v>
      </c>
      <c r="H1733" s="8" t="s">
        <v>795</v>
      </c>
      <c r="I1733" s="3">
        <v>2</v>
      </c>
      <c r="J1733" s="8" t="s">
        <v>746</v>
      </c>
      <c r="K1733" s="8" t="s">
        <v>747</v>
      </c>
      <c r="L1733" s="8" t="s">
        <v>723</v>
      </c>
      <c r="M1733" s="1" t="s">
        <v>790</v>
      </c>
      <c r="N1733" s="8" t="s">
        <v>791</v>
      </c>
      <c r="O1733" s="6">
        <v>0</v>
      </c>
      <c r="P1733" s="6">
        <v>0</v>
      </c>
      <c r="Q1733" s="6">
        <v>0</v>
      </c>
      <c r="R1733" s="6">
        <v>0</v>
      </c>
      <c r="S1733" s="6">
        <v>300</v>
      </c>
    </row>
    <row r="1734" spans="1:19" ht="15" x14ac:dyDescent="0.25">
      <c r="A1734" s="7" t="s">
        <v>16</v>
      </c>
      <c r="B1734" s="7" t="s">
        <v>60</v>
      </c>
      <c r="C1734" s="7" t="s">
        <v>18</v>
      </c>
      <c r="D1734" s="3">
        <v>15592785000106</v>
      </c>
      <c r="E1734" s="8" t="s">
        <v>566</v>
      </c>
      <c r="F1734" s="8" t="s">
        <v>317</v>
      </c>
      <c r="G1734" s="8" t="s">
        <v>318</v>
      </c>
      <c r="H1734" s="8" t="s">
        <v>795</v>
      </c>
      <c r="I1734" s="3">
        <v>2</v>
      </c>
      <c r="J1734" s="8" t="s">
        <v>778</v>
      </c>
      <c r="K1734" s="8" t="s">
        <v>779</v>
      </c>
      <c r="L1734" s="8" t="s">
        <v>730</v>
      </c>
      <c r="M1734" s="1" t="s">
        <v>790</v>
      </c>
      <c r="N1734" s="8" t="s">
        <v>791</v>
      </c>
      <c r="O1734" s="6">
        <v>0</v>
      </c>
      <c r="P1734" s="6">
        <v>0</v>
      </c>
      <c r="Q1734" s="6">
        <v>0</v>
      </c>
      <c r="R1734" s="6">
        <v>0</v>
      </c>
      <c r="S1734" s="6">
        <v>30</v>
      </c>
    </row>
    <row r="1735" spans="1:19" ht="15" x14ac:dyDescent="0.25">
      <c r="A1735" s="7" t="s">
        <v>16</v>
      </c>
      <c r="B1735" s="7" t="s">
        <v>60</v>
      </c>
      <c r="C1735" s="7" t="s">
        <v>18</v>
      </c>
      <c r="D1735" s="3">
        <v>15592785000106</v>
      </c>
      <c r="E1735" s="8" t="s">
        <v>566</v>
      </c>
      <c r="F1735" s="8" t="s">
        <v>317</v>
      </c>
      <c r="G1735" s="8" t="s">
        <v>318</v>
      </c>
      <c r="H1735" s="8" t="s">
        <v>795</v>
      </c>
      <c r="I1735" s="3">
        <v>2</v>
      </c>
      <c r="J1735" s="8" t="s">
        <v>746</v>
      </c>
      <c r="K1735" s="8" t="s">
        <v>747</v>
      </c>
      <c r="L1735" s="8" t="s">
        <v>723</v>
      </c>
      <c r="M1735" s="1" t="s">
        <v>790</v>
      </c>
      <c r="N1735" s="8" t="s">
        <v>791</v>
      </c>
      <c r="O1735" s="6">
        <v>0</v>
      </c>
      <c r="P1735" s="6">
        <v>0</v>
      </c>
      <c r="Q1735" s="6">
        <v>0</v>
      </c>
      <c r="R1735" s="6">
        <v>0</v>
      </c>
      <c r="S1735" s="6">
        <v>30</v>
      </c>
    </row>
    <row r="1736" spans="1:19" ht="15" x14ac:dyDescent="0.25">
      <c r="A1736" s="7" t="s">
        <v>16</v>
      </c>
      <c r="B1736" s="7" t="s">
        <v>60</v>
      </c>
      <c r="C1736" s="7" t="s">
        <v>18</v>
      </c>
      <c r="D1736" s="3">
        <v>3091003000176</v>
      </c>
      <c r="E1736" s="8" t="s">
        <v>596</v>
      </c>
      <c r="F1736" s="8" t="s">
        <v>317</v>
      </c>
      <c r="G1736" s="8" t="s">
        <v>318</v>
      </c>
      <c r="H1736" s="8" t="s">
        <v>795</v>
      </c>
      <c r="I1736" s="3">
        <v>2</v>
      </c>
      <c r="J1736" s="8" t="s">
        <v>778</v>
      </c>
      <c r="K1736" s="8" t="s">
        <v>779</v>
      </c>
      <c r="L1736" s="8" t="s">
        <v>730</v>
      </c>
      <c r="M1736" s="1" t="s">
        <v>790</v>
      </c>
      <c r="N1736" s="8" t="s">
        <v>791</v>
      </c>
      <c r="O1736" s="6">
        <v>0</v>
      </c>
      <c r="P1736" s="6">
        <v>0</v>
      </c>
      <c r="Q1736" s="6">
        <v>0</v>
      </c>
      <c r="R1736" s="6">
        <v>0</v>
      </c>
      <c r="S1736" s="6">
        <v>175</v>
      </c>
    </row>
    <row r="1737" spans="1:19" ht="15" x14ac:dyDescent="0.25">
      <c r="A1737" s="7" t="s">
        <v>16</v>
      </c>
      <c r="B1737" s="7" t="s">
        <v>60</v>
      </c>
      <c r="C1737" s="7" t="s">
        <v>18</v>
      </c>
      <c r="D1737" s="3">
        <v>3091003000176</v>
      </c>
      <c r="E1737" s="8" t="s">
        <v>596</v>
      </c>
      <c r="F1737" s="8" t="s">
        <v>317</v>
      </c>
      <c r="G1737" s="8" t="s">
        <v>318</v>
      </c>
      <c r="H1737" s="8" t="s">
        <v>795</v>
      </c>
      <c r="I1737" s="3">
        <v>2</v>
      </c>
      <c r="J1737" s="8" t="s">
        <v>746</v>
      </c>
      <c r="K1737" s="8" t="s">
        <v>747</v>
      </c>
      <c r="L1737" s="8" t="s">
        <v>723</v>
      </c>
      <c r="M1737" s="1" t="s">
        <v>790</v>
      </c>
      <c r="N1737" s="8" t="s">
        <v>791</v>
      </c>
      <c r="O1737" s="6">
        <v>0</v>
      </c>
      <c r="P1737" s="6">
        <v>0</v>
      </c>
      <c r="Q1737" s="6">
        <v>0</v>
      </c>
      <c r="R1737" s="6">
        <v>0</v>
      </c>
      <c r="S1737" s="6">
        <v>175</v>
      </c>
    </row>
    <row r="1738" spans="1:19" ht="15" x14ac:dyDescent="0.25">
      <c r="A1738" s="7" t="s">
        <v>16</v>
      </c>
      <c r="B1738" s="7" t="s">
        <v>60</v>
      </c>
      <c r="C1738" s="7" t="s">
        <v>18</v>
      </c>
      <c r="D1738" s="3">
        <v>25026561000190</v>
      </c>
      <c r="E1738" s="8" t="s">
        <v>126</v>
      </c>
      <c r="F1738" s="8" t="s">
        <v>127</v>
      </c>
      <c r="G1738" s="8" t="s">
        <v>21</v>
      </c>
      <c r="H1738" s="8" t="s">
        <v>795</v>
      </c>
      <c r="I1738" s="3">
        <v>2</v>
      </c>
      <c r="J1738" s="8" t="s">
        <v>728</v>
      </c>
      <c r="K1738" s="8" t="s">
        <v>729</v>
      </c>
      <c r="L1738" s="8" t="s">
        <v>730</v>
      </c>
      <c r="M1738" s="1" t="s">
        <v>786</v>
      </c>
      <c r="N1738" s="8" t="s">
        <v>787</v>
      </c>
      <c r="O1738" s="6">
        <v>0</v>
      </c>
      <c r="P1738" s="6">
        <v>0</v>
      </c>
      <c r="Q1738" s="6">
        <v>0</v>
      </c>
      <c r="R1738" s="6">
        <v>0</v>
      </c>
      <c r="S1738" s="6">
        <v>20</v>
      </c>
    </row>
    <row r="1739" spans="1:19" ht="15" x14ac:dyDescent="0.25">
      <c r="A1739" s="7" t="s">
        <v>16</v>
      </c>
      <c r="B1739" s="7" t="s">
        <v>60</v>
      </c>
      <c r="C1739" s="7" t="s">
        <v>18</v>
      </c>
      <c r="D1739" s="3">
        <v>25026561000190</v>
      </c>
      <c r="E1739" s="8" t="s">
        <v>126</v>
      </c>
      <c r="F1739" s="8" t="s">
        <v>127</v>
      </c>
      <c r="G1739" s="8" t="s">
        <v>21</v>
      </c>
      <c r="H1739" s="8" t="s">
        <v>795</v>
      </c>
      <c r="I1739" s="3">
        <v>2</v>
      </c>
      <c r="J1739" s="8" t="s">
        <v>726</v>
      </c>
      <c r="K1739" s="8" t="s">
        <v>727</v>
      </c>
      <c r="L1739" s="8" t="s">
        <v>723</v>
      </c>
      <c r="M1739" s="1" t="s">
        <v>786</v>
      </c>
      <c r="N1739" s="8" t="s">
        <v>787</v>
      </c>
      <c r="O1739" s="6">
        <v>0</v>
      </c>
      <c r="P1739" s="6">
        <v>0</v>
      </c>
      <c r="Q1739" s="6">
        <v>0</v>
      </c>
      <c r="R1739" s="6">
        <v>0</v>
      </c>
      <c r="S1739" s="6">
        <v>20</v>
      </c>
    </row>
    <row r="1740" spans="1:19" ht="15" x14ac:dyDescent="0.25">
      <c r="A1740" s="7" t="s">
        <v>16</v>
      </c>
      <c r="B1740" s="7" t="s">
        <v>60</v>
      </c>
      <c r="C1740" s="7" t="s">
        <v>18</v>
      </c>
      <c r="D1740" s="3">
        <v>51093193000456</v>
      </c>
      <c r="E1740" s="8" t="s">
        <v>207</v>
      </c>
      <c r="F1740" s="8" t="s">
        <v>185</v>
      </c>
      <c r="G1740" s="8" t="s">
        <v>21</v>
      </c>
      <c r="H1740" s="8" t="s">
        <v>795</v>
      </c>
      <c r="I1740" s="3">
        <v>2</v>
      </c>
      <c r="J1740" s="8" t="s">
        <v>728</v>
      </c>
      <c r="K1740" s="8" t="s">
        <v>729</v>
      </c>
      <c r="L1740" s="8" t="s">
        <v>730</v>
      </c>
      <c r="M1740" s="1" t="s">
        <v>786</v>
      </c>
      <c r="N1740" s="8" t="s">
        <v>787</v>
      </c>
      <c r="O1740" s="6">
        <v>0</v>
      </c>
      <c r="P1740" s="6">
        <v>0</v>
      </c>
      <c r="Q1740" s="6">
        <v>0</v>
      </c>
      <c r="R1740" s="6">
        <v>0</v>
      </c>
      <c r="S1740" s="6">
        <v>20</v>
      </c>
    </row>
    <row r="1741" spans="1:19" ht="15" x14ac:dyDescent="0.25">
      <c r="A1741" s="7" t="s">
        <v>16</v>
      </c>
      <c r="B1741" s="7" t="s">
        <v>60</v>
      </c>
      <c r="C1741" s="7" t="s">
        <v>18</v>
      </c>
      <c r="D1741" s="3">
        <v>51093193000456</v>
      </c>
      <c r="E1741" s="8" t="s">
        <v>207</v>
      </c>
      <c r="F1741" s="8" t="s">
        <v>185</v>
      </c>
      <c r="G1741" s="8" t="s">
        <v>21</v>
      </c>
      <c r="H1741" s="8" t="s">
        <v>795</v>
      </c>
      <c r="I1741" s="3">
        <v>2</v>
      </c>
      <c r="J1741" s="8" t="s">
        <v>726</v>
      </c>
      <c r="K1741" s="8" t="s">
        <v>727</v>
      </c>
      <c r="L1741" s="8" t="s">
        <v>723</v>
      </c>
      <c r="M1741" s="1" t="s">
        <v>786</v>
      </c>
      <c r="N1741" s="8" t="s">
        <v>787</v>
      </c>
      <c r="O1741" s="6">
        <v>0</v>
      </c>
      <c r="P1741" s="6">
        <v>0</v>
      </c>
      <c r="Q1741" s="6">
        <v>0</v>
      </c>
      <c r="R1741" s="6">
        <v>0</v>
      </c>
      <c r="S1741" s="6">
        <v>20</v>
      </c>
    </row>
    <row r="1742" spans="1:19" ht="15" x14ac:dyDescent="0.25">
      <c r="A1742" s="7" t="s">
        <v>16</v>
      </c>
      <c r="B1742" s="7" t="s">
        <v>60</v>
      </c>
      <c r="C1742" s="7" t="s">
        <v>18</v>
      </c>
      <c r="D1742" s="3">
        <v>46374500009221</v>
      </c>
      <c r="E1742" s="8" t="s">
        <v>201</v>
      </c>
      <c r="F1742" s="8" t="s">
        <v>202</v>
      </c>
      <c r="G1742" s="8" t="s">
        <v>21</v>
      </c>
      <c r="H1742" s="8" t="s">
        <v>795</v>
      </c>
      <c r="I1742" s="3">
        <v>2</v>
      </c>
      <c r="J1742" s="8" t="s">
        <v>728</v>
      </c>
      <c r="K1742" s="8" t="s">
        <v>729</v>
      </c>
      <c r="L1742" s="8" t="s">
        <v>730</v>
      </c>
      <c r="M1742" s="1" t="s">
        <v>786</v>
      </c>
      <c r="N1742" s="8" t="s">
        <v>787</v>
      </c>
      <c r="O1742" s="6">
        <v>0</v>
      </c>
      <c r="P1742" s="6">
        <v>0</v>
      </c>
      <c r="Q1742" s="6">
        <v>0</v>
      </c>
      <c r="R1742" s="6">
        <v>0</v>
      </c>
      <c r="S1742" s="6">
        <v>900</v>
      </c>
    </row>
    <row r="1743" spans="1:19" ht="15" x14ac:dyDescent="0.25">
      <c r="A1743" s="7" t="s">
        <v>16</v>
      </c>
      <c r="B1743" s="7" t="s">
        <v>60</v>
      </c>
      <c r="C1743" s="7" t="s">
        <v>18</v>
      </c>
      <c r="D1743" s="3">
        <v>46374500009221</v>
      </c>
      <c r="E1743" s="8" t="s">
        <v>201</v>
      </c>
      <c r="F1743" s="8" t="s">
        <v>202</v>
      </c>
      <c r="G1743" s="8" t="s">
        <v>21</v>
      </c>
      <c r="H1743" s="8" t="s">
        <v>795</v>
      </c>
      <c r="I1743" s="3">
        <v>2</v>
      </c>
      <c r="J1743" s="8" t="s">
        <v>726</v>
      </c>
      <c r="K1743" s="8" t="s">
        <v>727</v>
      </c>
      <c r="L1743" s="8" t="s">
        <v>723</v>
      </c>
      <c r="M1743" s="1" t="s">
        <v>786</v>
      </c>
      <c r="N1743" s="8" t="s">
        <v>787</v>
      </c>
      <c r="O1743" s="6">
        <v>0</v>
      </c>
      <c r="P1743" s="6">
        <v>0</v>
      </c>
      <c r="Q1743" s="6">
        <v>0</v>
      </c>
      <c r="R1743" s="6">
        <v>0</v>
      </c>
      <c r="S1743" s="6">
        <v>900</v>
      </c>
    </row>
    <row r="1744" spans="1:19" ht="15" x14ac:dyDescent="0.25">
      <c r="A1744" s="7" t="s">
        <v>16</v>
      </c>
      <c r="B1744" s="7" t="s">
        <v>60</v>
      </c>
      <c r="C1744" s="7" t="s">
        <v>18</v>
      </c>
      <c r="D1744" s="3">
        <v>54012406000385</v>
      </c>
      <c r="E1744" s="8" t="s">
        <v>167</v>
      </c>
      <c r="F1744" s="8" t="s">
        <v>168</v>
      </c>
      <c r="G1744" s="8" t="s">
        <v>21</v>
      </c>
      <c r="H1744" s="8" t="s">
        <v>795</v>
      </c>
      <c r="I1744" s="3">
        <v>2</v>
      </c>
      <c r="J1744" s="8" t="s">
        <v>728</v>
      </c>
      <c r="K1744" s="8" t="s">
        <v>729</v>
      </c>
      <c r="L1744" s="8" t="s">
        <v>730</v>
      </c>
      <c r="M1744" s="1" t="s">
        <v>786</v>
      </c>
      <c r="N1744" s="8" t="s">
        <v>787</v>
      </c>
      <c r="O1744" s="6">
        <v>0</v>
      </c>
      <c r="P1744" s="6">
        <v>0</v>
      </c>
      <c r="Q1744" s="6">
        <v>0</v>
      </c>
      <c r="R1744" s="6">
        <v>0</v>
      </c>
      <c r="S1744" s="6">
        <v>70</v>
      </c>
    </row>
    <row r="1745" spans="1:19" ht="15" x14ac:dyDescent="0.25">
      <c r="A1745" s="7" t="s">
        <v>16</v>
      </c>
      <c r="B1745" s="7" t="s">
        <v>60</v>
      </c>
      <c r="C1745" s="7" t="s">
        <v>18</v>
      </c>
      <c r="D1745" s="3">
        <v>54012406000385</v>
      </c>
      <c r="E1745" s="8" t="s">
        <v>167</v>
      </c>
      <c r="F1745" s="8" t="s">
        <v>168</v>
      </c>
      <c r="G1745" s="8" t="s">
        <v>21</v>
      </c>
      <c r="H1745" s="8" t="s">
        <v>795</v>
      </c>
      <c r="I1745" s="3">
        <v>2</v>
      </c>
      <c r="J1745" s="8" t="s">
        <v>726</v>
      </c>
      <c r="K1745" s="8" t="s">
        <v>727</v>
      </c>
      <c r="L1745" s="8" t="s">
        <v>723</v>
      </c>
      <c r="M1745" s="1" t="s">
        <v>786</v>
      </c>
      <c r="N1745" s="8" t="s">
        <v>787</v>
      </c>
      <c r="O1745" s="6">
        <v>0</v>
      </c>
      <c r="P1745" s="6">
        <v>0</v>
      </c>
      <c r="Q1745" s="6">
        <v>0</v>
      </c>
      <c r="R1745" s="6">
        <v>0</v>
      </c>
      <c r="S1745" s="6">
        <v>70</v>
      </c>
    </row>
    <row r="1746" spans="1:19" ht="15" x14ac:dyDescent="0.25">
      <c r="A1746" s="7" t="s">
        <v>16</v>
      </c>
      <c r="B1746" s="7" t="s">
        <v>60</v>
      </c>
      <c r="C1746" s="7" t="s">
        <v>18</v>
      </c>
      <c r="D1746" s="3">
        <v>29435005008103</v>
      </c>
      <c r="E1746" s="8" t="s">
        <v>198</v>
      </c>
      <c r="F1746" s="8" t="s">
        <v>199</v>
      </c>
      <c r="G1746" s="8" t="s">
        <v>21</v>
      </c>
      <c r="H1746" s="8" t="s">
        <v>795</v>
      </c>
      <c r="I1746" s="3">
        <v>2</v>
      </c>
      <c r="J1746" s="8" t="s">
        <v>728</v>
      </c>
      <c r="K1746" s="8" t="s">
        <v>729</v>
      </c>
      <c r="L1746" s="8" t="s">
        <v>730</v>
      </c>
      <c r="M1746" s="1" t="s">
        <v>786</v>
      </c>
      <c r="N1746" s="8" t="s">
        <v>787</v>
      </c>
      <c r="O1746" s="6">
        <v>0</v>
      </c>
      <c r="P1746" s="6">
        <v>0</v>
      </c>
      <c r="Q1746" s="6">
        <v>0</v>
      </c>
      <c r="R1746" s="6">
        <v>0</v>
      </c>
      <c r="S1746" s="6">
        <v>5</v>
      </c>
    </row>
    <row r="1747" spans="1:19" ht="15" x14ac:dyDescent="0.25">
      <c r="A1747" s="7" t="s">
        <v>16</v>
      </c>
      <c r="B1747" s="7" t="s">
        <v>60</v>
      </c>
      <c r="C1747" s="7" t="s">
        <v>18</v>
      </c>
      <c r="D1747" s="3">
        <v>29435005008103</v>
      </c>
      <c r="E1747" s="8" t="s">
        <v>198</v>
      </c>
      <c r="F1747" s="8" t="s">
        <v>199</v>
      </c>
      <c r="G1747" s="8" t="s">
        <v>21</v>
      </c>
      <c r="H1747" s="8" t="s">
        <v>795</v>
      </c>
      <c r="I1747" s="3">
        <v>2</v>
      </c>
      <c r="J1747" s="8" t="s">
        <v>726</v>
      </c>
      <c r="K1747" s="8" t="s">
        <v>727</v>
      </c>
      <c r="L1747" s="8" t="s">
        <v>723</v>
      </c>
      <c r="M1747" s="1" t="s">
        <v>786</v>
      </c>
      <c r="N1747" s="8" t="s">
        <v>787</v>
      </c>
      <c r="O1747" s="6">
        <v>0</v>
      </c>
      <c r="P1747" s="6">
        <v>0</v>
      </c>
      <c r="Q1747" s="6">
        <v>0</v>
      </c>
      <c r="R1747" s="6">
        <v>0</v>
      </c>
      <c r="S1747" s="6">
        <v>5</v>
      </c>
    </row>
    <row r="1748" spans="1:19" ht="15" x14ac:dyDescent="0.25">
      <c r="A1748" s="7" t="s">
        <v>16</v>
      </c>
      <c r="B1748" s="7" t="s">
        <v>60</v>
      </c>
      <c r="C1748" s="7" t="s">
        <v>18</v>
      </c>
      <c r="D1748" s="3">
        <v>4275687000129</v>
      </c>
      <c r="E1748" s="8" t="s">
        <v>112</v>
      </c>
      <c r="F1748" s="8" t="s">
        <v>113</v>
      </c>
      <c r="G1748" s="8" t="s">
        <v>21</v>
      </c>
      <c r="H1748" s="8" t="s">
        <v>795</v>
      </c>
      <c r="I1748" s="3">
        <v>2</v>
      </c>
      <c r="J1748" s="8" t="s">
        <v>728</v>
      </c>
      <c r="K1748" s="8" t="s">
        <v>729</v>
      </c>
      <c r="L1748" s="8" t="s">
        <v>730</v>
      </c>
      <c r="M1748" s="1" t="s">
        <v>786</v>
      </c>
      <c r="N1748" s="8" t="s">
        <v>787</v>
      </c>
      <c r="O1748" s="6">
        <v>0</v>
      </c>
      <c r="P1748" s="6">
        <v>0</v>
      </c>
      <c r="Q1748" s="6">
        <v>0</v>
      </c>
      <c r="R1748" s="6">
        <v>52</v>
      </c>
      <c r="S1748" s="6">
        <v>0</v>
      </c>
    </row>
    <row r="1749" spans="1:19" ht="15" x14ac:dyDescent="0.25">
      <c r="A1749" s="7" t="s">
        <v>16</v>
      </c>
      <c r="B1749" s="7" t="s">
        <v>60</v>
      </c>
      <c r="C1749" s="7" t="s">
        <v>18</v>
      </c>
      <c r="D1749" s="3">
        <v>4275687000129</v>
      </c>
      <c r="E1749" s="8" t="s">
        <v>112</v>
      </c>
      <c r="F1749" s="8" t="s">
        <v>113</v>
      </c>
      <c r="G1749" s="8" t="s">
        <v>21</v>
      </c>
      <c r="H1749" s="8" t="s">
        <v>795</v>
      </c>
      <c r="I1749" s="3">
        <v>2</v>
      </c>
      <c r="J1749" s="8" t="s">
        <v>726</v>
      </c>
      <c r="K1749" s="8" t="s">
        <v>727</v>
      </c>
      <c r="L1749" s="8" t="s">
        <v>723</v>
      </c>
      <c r="M1749" s="1" t="s">
        <v>786</v>
      </c>
      <c r="N1749" s="8" t="s">
        <v>787</v>
      </c>
      <c r="O1749" s="6">
        <v>0</v>
      </c>
      <c r="P1749" s="6">
        <v>0</v>
      </c>
      <c r="Q1749" s="6">
        <v>0</v>
      </c>
      <c r="R1749" s="6">
        <v>0</v>
      </c>
      <c r="S1749" s="6">
        <v>0</v>
      </c>
    </row>
    <row r="1750" spans="1:19" ht="15" x14ac:dyDescent="0.25">
      <c r="A1750" s="7" t="s">
        <v>16</v>
      </c>
      <c r="B1750" s="7" t="s">
        <v>60</v>
      </c>
      <c r="C1750" s="7" t="s">
        <v>18</v>
      </c>
      <c r="D1750" s="3">
        <v>44456036000311</v>
      </c>
      <c r="E1750" s="8" t="s">
        <v>135</v>
      </c>
      <c r="F1750" s="8" t="s">
        <v>136</v>
      </c>
      <c r="G1750" s="8" t="s">
        <v>21</v>
      </c>
      <c r="H1750" s="8" t="s">
        <v>795</v>
      </c>
      <c r="I1750" s="3">
        <v>2</v>
      </c>
      <c r="J1750" s="8" t="s">
        <v>728</v>
      </c>
      <c r="K1750" s="8" t="s">
        <v>729</v>
      </c>
      <c r="L1750" s="8" t="s">
        <v>730</v>
      </c>
      <c r="M1750" s="1" t="s">
        <v>786</v>
      </c>
      <c r="N1750" s="8" t="s">
        <v>787</v>
      </c>
      <c r="O1750" s="6">
        <v>0</v>
      </c>
      <c r="P1750" s="6">
        <v>0</v>
      </c>
      <c r="Q1750" s="6">
        <v>0</v>
      </c>
      <c r="R1750" s="6">
        <v>0</v>
      </c>
      <c r="S1750" s="6">
        <v>0</v>
      </c>
    </row>
    <row r="1751" spans="1:19" ht="15" x14ac:dyDescent="0.25">
      <c r="A1751" s="7" t="s">
        <v>16</v>
      </c>
      <c r="B1751" s="7" t="s">
        <v>60</v>
      </c>
      <c r="C1751" s="7" t="s">
        <v>18</v>
      </c>
      <c r="D1751" s="3">
        <v>44456036000311</v>
      </c>
      <c r="E1751" s="8" t="s">
        <v>135</v>
      </c>
      <c r="F1751" s="8" t="s">
        <v>136</v>
      </c>
      <c r="G1751" s="8" t="s">
        <v>21</v>
      </c>
      <c r="H1751" s="8" t="s">
        <v>795</v>
      </c>
      <c r="I1751" s="3">
        <v>2</v>
      </c>
      <c r="J1751" s="8" t="s">
        <v>726</v>
      </c>
      <c r="K1751" s="8" t="s">
        <v>727</v>
      </c>
      <c r="L1751" s="8" t="s">
        <v>723</v>
      </c>
      <c r="M1751" s="1" t="s">
        <v>786</v>
      </c>
      <c r="N1751" s="8" t="s">
        <v>787</v>
      </c>
      <c r="O1751" s="6">
        <v>0</v>
      </c>
      <c r="P1751" s="6">
        <v>7</v>
      </c>
      <c r="Q1751" s="6">
        <v>0</v>
      </c>
      <c r="R1751" s="6">
        <v>0</v>
      </c>
      <c r="S1751" s="6">
        <v>0</v>
      </c>
    </row>
    <row r="1752" spans="1:19" ht="15" x14ac:dyDescent="0.25">
      <c r="A1752" s="7" t="s">
        <v>16</v>
      </c>
      <c r="B1752" s="7" t="s">
        <v>60</v>
      </c>
      <c r="C1752" s="7" t="s">
        <v>18</v>
      </c>
      <c r="D1752" s="3">
        <v>12474705000120</v>
      </c>
      <c r="E1752" s="8" t="s">
        <v>196</v>
      </c>
      <c r="F1752" s="8" t="s">
        <v>197</v>
      </c>
      <c r="G1752" s="8" t="s">
        <v>21</v>
      </c>
      <c r="H1752" s="8" t="s">
        <v>795</v>
      </c>
      <c r="I1752" s="3">
        <v>2</v>
      </c>
      <c r="J1752" s="8" t="s">
        <v>728</v>
      </c>
      <c r="K1752" s="8" t="s">
        <v>729</v>
      </c>
      <c r="L1752" s="8" t="s">
        <v>730</v>
      </c>
      <c r="M1752" s="1" t="s">
        <v>786</v>
      </c>
      <c r="N1752" s="8" t="s">
        <v>787</v>
      </c>
      <c r="O1752" s="6">
        <v>0</v>
      </c>
      <c r="P1752" s="6">
        <v>0</v>
      </c>
      <c r="Q1752" s="6">
        <v>0</v>
      </c>
      <c r="R1752" s="6">
        <v>0</v>
      </c>
      <c r="S1752" s="6">
        <v>125</v>
      </c>
    </row>
    <row r="1753" spans="1:19" ht="15" x14ac:dyDescent="0.25">
      <c r="A1753" s="7" t="s">
        <v>16</v>
      </c>
      <c r="B1753" s="7" t="s">
        <v>60</v>
      </c>
      <c r="C1753" s="7" t="s">
        <v>18</v>
      </c>
      <c r="D1753" s="3">
        <v>12474705000120</v>
      </c>
      <c r="E1753" s="8" t="s">
        <v>196</v>
      </c>
      <c r="F1753" s="8" t="s">
        <v>197</v>
      </c>
      <c r="G1753" s="8" t="s">
        <v>21</v>
      </c>
      <c r="H1753" s="8" t="s">
        <v>795</v>
      </c>
      <c r="I1753" s="3">
        <v>2</v>
      </c>
      <c r="J1753" s="8" t="s">
        <v>726</v>
      </c>
      <c r="K1753" s="8" t="s">
        <v>727</v>
      </c>
      <c r="L1753" s="8" t="s">
        <v>723</v>
      </c>
      <c r="M1753" s="1" t="s">
        <v>786</v>
      </c>
      <c r="N1753" s="8" t="s">
        <v>787</v>
      </c>
      <c r="O1753" s="6">
        <v>0</v>
      </c>
      <c r="P1753" s="6">
        <v>0</v>
      </c>
      <c r="Q1753" s="6">
        <v>0</v>
      </c>
      <c r="R1753" s="6">
        <v>0</v>
      </c>
      <c r="S1753" s="6">
        <v>125</v>
      </c>
    </row>
    <row r="1754" spans="1:19" ht="15" x14ac:dyDescent="0.25">
      <c r="A1754" s="7" t="s">
        <v>16</v>
      </c>
      <c r="B1754" s="7" t="s">
        <v>60</v>
      </c>
      <c r="C1754" s="7" t="s">
        <v>18</v>
      </c>
      <c r="D1754" s="3">
        <v>46020301000269</v>
      </c>
      <c r="E1754" s="8" t="s">
        <v>155</v>
      </c>
      <c r="F1754" s="8" t="s">
        <v>123</v>
      </c>
      <c r="G1754" s="8" t="s">
        <v>21</v>
      </c>
      <c r="H1754" s="8" t="s">
        <v>795</v>
      </c>
      <c r="I1754" s="3">
        <v>2</v>
      </c>
      <c r="J1754" s="8" t="s">
        <v>728</v>
      </c>
      <c r="K1754" s="8" t="s">
        <v>729</v>
      </c>
      <c r="L1754" s="8" t="s">
        <v>730</v>
      </c>
      <c r="M1754" s="1" t="s">
        <v>786</v>
      </c>
      <c r="N1754" s="8" t="s">
        <v>787</v>
      </c>
      <c r="O1754" s="6">
        <v>0</v>
      </c>
      <c r="P1754" s="6">
        <v>0</v>
      </c>
      <c r="Q1754" s="6">
        <v>0</v>
      </c>
      <c r="R1754" s="6">
        <v>55</v>
      </c>
      <c r="S1754" s="6">
        <v>0</v>
      </c>
    </row>
    <row r="1755" spans="1:19" ht="15" x14ac:dyDescent="0.25">
      <c r="A1755" s="7" t="s">
        <v>16</v>
      </c>
      <c r="B1755" s="7" t="s">
        <v>60</v>
      </c>
      <c r="C1755" s="7" t="s">
        <v>18</v>
      </c>
      <c r="D1755" s="3">
        <v>46020301000269</v>
      </c>
      <c r="E1755" s="8" t="s">
        <v>155</v>
      </c>
      <c r="F1755" s="8" t="s">
        <v>123</v>
      </c>
      <c r="G1755" s="8" t="s">
        <v>21</v>
      </c>
      <c r="H1755" s="8" t="s">
        <v>795</v>
      </c>
      <c r="I1755" s="3">
        <v>2</v>
      </c>
      <c r="J1755" s="8" t="s">
        <v>726</v>
      </c>
      <c r="K1755" s="8" t="s">
        <v>727</v>
      </c>
      <c r="L1755" s="8" t="s">
        <v>723</v>
      </c>
      <c r="M1755" s="1" t="s">
        <v>786</v>
      </c>
      <c r="N1755" s="8" t="s">
        <v>787</v>
      </c>
      <c r="O1755" s="6">
        <v>0</v>
      </c>
      <c r="P1755" s="6">
        <v>1</v>
      </c>
      <c r="Q1755" s="6">
        <v>0</v>
      </c>
      <c r="R1755" s="6">
        <v>0</v>
      </c>
      <c r="S1755" s="6">
        <v>0</v>
      </c>
    </row>
    <row r="1756" spans="1:19" ht="15" x14ac:dyDescent="0.25">
      <c r="A1756" s="7" t="s">
        <v>16</v>
      </c>
      <c r="B1756" s="7" t="s">
        <v>60</v>
      </c>
      <c r="C1756" s="7" t="s">
        <v>18</v>
      </c>
      <c r="D1756" s="3">
        <v>46009718000140</v>
      </c>
      <c r="E1756" s="8" t="s">
        <v>154</v>
      </c>
      <c r="F1756" s="8" t="s">
        <v>123</v>
      </c>
      <c r="G1756" s="8" t="s">
        <v>21</v>
      </c>
      <c r="H1756" s="8" t="s">
        <v>795</v>
      </c>
      <c r="I1756" s="3">
        <v>2</v>
      </c>
      <c r="J1756" s="8" t="s">
        <v>728</v>
      </c>
      <c r="K1756" s="8" t="s">
        <v>729</v>
      </c>
      <c r="L1756" s="8" t="s">
        <v>730</v>
      </c>
      <c r="M1756" s="1" t="s">
        <v>786</v>
      </c>
      <c r="N1756" s="8" t="s">
        <v>787</v>
      </c>
      <c r="O1756" s="6">
        <v>3</v>
      </c>
      <c r="P1756" s="6">
        <v>0</v>
      </c>
      <c r="Q1756" s="6">
        <v>0</v>
      </c>
      <c r="R1756" s="6">
        <v>42</v>
      </c>
      <c r="S1756" s="6">
        <v>850</v>
      </c>
    </row>
    <row r="1757" spans="1:19" ht="15" x14ac:dyDescent="0.25">
      <c r="A1757" s="7" t="s">
        <v>16</v>
      </c>
      <c r="B1757" s="7" t="s">
        <v>60</v>
      </c>
      <c r="C1757" s="7" t="s">
        <v>18</v>
      </c>
      <c r="D1757" s="3">
        <v>46009718000140</v>
      </c>
      <c r="E1757" s="8" t="s">
        <v>154</v>
      </c>
      <c r="F1757" s="8" t="s">
        <v>123</v>
      </c>
      <c r="G1757" s="8" t="s">
        <v>21</v>
      </c>
      <c r="H1757" s="8" t="s">
        <v>795</v>
      </c>
      <c r="I1757" s="3">
        <v>2</v>
      </c>
      <c r="J1757" s="8" t="s">
        <v>726</v>
      </c>
      <c r="K1757" s="8" t="s">
        <v>727</v>
      </c>
      <c r="L1757" s="8" t="s">
        <v>723</v>
      </c>
      <c r="M1757" s="1" t="s">
        <v>786</v>
      </c>
      <c r="N1757" s="8" t="s">
        <v>787</v>
      </c>
      <c r="O1757" s="6">
        <v>0</v>
      </c>
      <c r="P1757" s="6">
        <v>0</v>
      </c>
      <c r="Q1757" s="6">
        <v>0</v>
      </c>
      <c r="R1757" s="6">
        <v>0</v>
      </c>
      <c r="S1757" s="6">
        <v>850</v>
      </c>
    </row>
    <row r="1758" spans="1:19" ht="15" x14ac:dyDescent="0.25">
      <c r="A1758" s="7" t="s">
        <v>16</v>
      </c>
      <c r="B1758" s="7" t="s">
        <v>60</v>
      </c>
      <c r="C1758" s="7" t="s">
        <v>18</v>
      </c>
      <c r="D1758" s="3">
        <v>44649812019238</v>
      </c>
      <c r="E1758" s="8" t="s">
        <v>139</v>
      </c>
      <c r="F1758" s="8" t="s">
        <v>123</v>
      </c>
      <c r="G1758" s="8" t="s">
        <v>21</v>
      </c>
      <c r="H1758" s="8" t="s">
        <v>795</v>
      </c>
      <c r="I1758" s="3">
        <v>2</v>
      </c>
      <c r="J1758" s="8" t="s">
        <v>728</v>
      </c>
      <c r="K1758" s="8" t="s">
        <v>729</v>
      </c>
      <c r="L1758" s="8" t="s">
        <v>730</v>
      </c>
      <c r="M1758" s="1" t="s">
        <v>786</v>
      </c>
      <c r="N1758" s="8" t="s">
        <v>787</v>
      </c>
      <c r="O1758" s="6">
        <v>0</v>
      </c>
      <c r="P1758" s="6">
        <v>0</v>
      </c>
      <c r="Q1758" s="6">
        <v>0</v>
      </c>
      <c r="R1758" s="6">
        <v>8</v>
      </c>
      <c r="S1758" s="6">
        <v>0</v>
      </c>
    </row>
    <row r="1759" spans="1:19" ht="15" x14ac:dyDescent="0.25">
      <c r="A1759" s="7" t="s">
        <v>16</v>
      </c>
      <c r="B1759" s="7" t="s">
        <v>60</v>
      </c>
      <c r="C1759" s="7" t="s">
        <v>18</v>
      </c>
      <c r="D1759" s="3">
        <v>44649812019238</v>
      </c>
      <c r="E1759" s="8" t="s">
        <v>139</v>
      </c>
      <c r="F1759" s="8" t="s">
        <v>123</v>
      </c>
      <c r="G1759" s="8" t="s">
        <v>21</v>
      </c>
      <c r="H1759" s="8" t="s">
        <v>795</v>
      </c>
      <c r="I1759" s="3">
        <v>2</v>
      </c>
      <c r="J1759" s="8" t="s">
        <v>726</v>
      </c>
      <c r="K1759" s="8" t="s">
        <v>727</v>
      </c>
      <c r="L1759" s="8" t="s">
        <v>723</v>
      </c>
      <c r="M1759" s="1" t="s">
        <v>786</v>
      </c>
      <c r="N1759" s="8" t="s">
        <v>787</v>
      </c>
      <c r="O1759" s="6">
        <v>0</v>
      </c>
      <c r="P1759" s="6">
        <v>0</v>
      </c>
      <c r="Q1759" s="6">
        <v>0</v>
      </c>
      <c r="R1759" s="6">
        <v>0</v>
      </c>
      <c r="S1759" s="6">
        <v>0</v>
      </c>
    </row>
    <row r="1760" spans="1:19" ht="15" x14ac:dyDescent="0.25">
      <c r="A1760" s="7" t="s">
        <v>16</v>
      </c>
      <c r="B1760" s="7" t="s">
        <v>60</v>
      </c>
      <c r="C1760" s="7" t="s">
        <v>18</v>
      </c>
      <c r="D1760" s="3">
        <v>51885242000140</v>
      </c>
      <c r="E1760" s="8" t="s">
        <v>166</v>
      </c>
      <c r="F1760" s="8" t="s">
        <v>123</v>
      </c>
      <c r="G1760" s="8" t="s">
        <v>21</v>
      </c>
      <c r="H1760" s="8" t="s">
        <v>795</v>
      </c>
      <c r="I1760" s="3">
        <v>2</v>
      </c>
      <c r="J1760" s="8" t="s">
        <v>728</v>
      </c>
      <c r="K1760" s="8" t="s">
        <v>729</v>
      </c>
      <c r="L1760" s="8" t="s">
        <v>730</v>
      </c>
      <c r="M1760" s="1" t="s">
        <v>786</v>
      </c>
      <c r="N1760" s="8" t="s">
        <v>787</v>
      </c>
      <c r="O1760" s="6">
        <v>0</v>
      </c>
      <c r="P1760" s="6">
        <v>0</v>
      </c>
      <c r="Q1760" s="6">
        <v>0</v>
      </c>
      <c r="R1760" s="6">
        <v>160</v>
      </c>
      <c r="S1760" s="6">
        <v>0</v>
      </c>
    </row>
    <row r="1761" spans="1:19" ht="15" x14ac:dyDescent="0.25">
      <c r="A1761" s="7" t="s">
        <v>16</v>
      </c>
      <c r="B1761" s="7" t="s">
        <v>60</v>
      </c>
      <c r="C1761" s="7" t="s">
        <v>18</v>
      </c>
      <c r="D1761" s="3">
        <v>51885242000140</v>
      </c>
      <c r="E1761" s="8" t="s">
        <v>166</v>
      </c>
      <c r="F1761" s="8" t="s">
        <v>123</v>
      </c>
      <c r="G1761" s="8" t="s">
        <v>21</v>
      </c>
      <c r="H1761" s="8" t="s">
        <v>795</v>
      </c>
      <c r="I1761" s="3">
        <v>2</v>
      </c>
      <c r="J1761" s="8" t="s">
        <v>726</v>
      </c>
      <c r="K1761" s="8" t="s">
        <v>727</v>
      </c>
      <c r="L1761" s="8" t="s">
        <v>723</v>
      </c>
      <c r="M1761" s="1" t="s">
        <v>786</v>
      </c>
      <c r="N1761" s="8" t="s">
        <v>787</v>
      </c>
      <c r="O1761" s="6">
        <v>0</v>
      </c>
      <c r="P1761" s="6">
        <v>0</v>
      </c>
      <c r="Q1761" s="6">
        <v>0</v>
      </c>
      <c r="R1761" s="6">
        <v>0</v>
      </c>
      <c r="S1761" s="6">
        <v>0</v>
      </c>
    </row>
    <row r="1762" spans="1:19" ht="15" x14ac:dyDescent="0.25">
      <c r="A1762" s="7" t="s">
        <v>16</v>
      </c>
      <c r="B1762" s="7" t="s">
        <v>60</v>
      </c>
      <c r="C1762" s="7" t="s">
        <v>18</v>
      </c>
      <c r="D1762" s="3">
        <v>29435005008456</v>
      </c>
      <c r="E1762" s="8" t="s">
        <v>132</v>
      </c>
      <c r="F1762" s="8" t="s">
        <v>123</v>
      </c>
      <c r="G1762" s="8" t="s">
        <v>21</v>
      </c>
      <c r="H1762" s="8" t="s">
        <v>795</v>
      </c>
      <c r="I1762" s="3">
        <v>2</v>
      </c>
      <c r="J1762" s="8" t="s">
        <v>728</v>
      </c>
      <c r="K1762" s="8" t="s">
        <v>729</v>
      </c>
      <c r="L1762" s="8" t="s">
        <v>730</v>
      </c>
      <c r="M1762" s="1" t="s">
        <v>786</v>
      </c>
      <c r="N1762" s="8" t="s">
        <v>787</v>
      </c>
      <c r="O1762" s="6">
        <v>0</v>
      </c>
      <c r="P1762" s="6">
        <v>0</v>
      </c>
      <c r="Q1762" s="6">
        <v>0</v>
      </c>
      <c r="R1762" s="6">
        <v>0</v>
      </c>
      <c r="S1762" s="6">
        <v>200</v>
      </c>
    </row>
    <row r="1763" spans="1:19" ht="15" x14ac:dyDescent="0.25">
      <c r="A1763" s="7" t="s">
        <v>16</v>
      </c>
      <c r="B1763" s="7" t="s">
        <v>60</v>
      </c>
      <c r="C1763" s="7" t="s">
        <v>18</v>
      </c>
      <c r="D1763" s="3">
        <v>29435005008456</v>
      </c>
      <c r="E1763" s="8" t="s">
        <v>132</v>
      </c>
      <c r="F1763" s="8" t="s">
        <v>123</v>
      </c>
      <c r="G1763" s="8" t="s">
        <v>21</v>
      </c>
      <c r="H1763" s="8" t="s">
        <v>795</v>
      </c>
      <c r="I1763" s="3">
        <v>2</v>
      </c>
      <c r="J1763" s="8" t="s">
        <v>726</v>
      </c>
      <c r="K1763" s="8" t="s">
        <v>727</v>
      </c>
      <c r="L1763" s="8" t="s">
        <v>723</v>
      </c>
      <c r="M1763" s="1" t="s">
        <v>786</v>
      </c>
      <c r="N1763" s="8" t="s">
        <v>787</v>
      </c>
      <c r="O1763" s="6">
        <v>0</v>
      </c>
      <c r="P1763" s="6">
        <v>0</v>
      </c>
      <c r="Q1763" s="6">
        <v>0</v>
      </c>
      <c r="R1763" s="6">
        <v>0</v>
      </c>
      <c r="S1763" s="6">
        <v>200</v>
      </c>
    </row>
    <row r="1764" spans="1:19" ht="15" x14ac:dyDescent="0.25">
      <c r="A1764" s="7" t="s">
        <v>16</v>
      </c>
      <c r="B1764" s="7" t="s">
        <v>60</v>
      </c>
      <c r="C1764" s="7" t="s">
        <v>18</v>
      </c>
      <c r="D1764" s="3">
        <v>46124624000111</v>
      </c>
      <c r="E1764" s="8" t="s">
        <v>156</v>
      </c>
      <c r="F1764" s="8" t="s">
        <v>123</v>
      </c>
      <c r="G1764" s="8" t="s">
        <v>21</v>
      </c>
      <c r="H1764" s="8" t="s">
        <v>795</v>
      </c>
      <c r="I1764" s="3">
        <v>2</v>
      </c>
      <c r="J1764" s="8" t="s">
        <v>728</v>
      </c>
      <c r="K1764" s="8" t="s">
        <v>729</v>
      </c>
      <c r="L1764" s="8" t="s">
        <v>730</v>
      </c>
      <c r="M1764" s="1" t="s">
        <v>786</v>
      </c>
      <c r="N1764" s="8" t="s">
        <v>787</v>
      </c>
      <c r="O1764" s="6">
        <v>0</v>
      </c>
      <c r="P1764" s="6">
        <v>0</v>
      </c>
      <c r="Q1764" s="6">
        <v>0</v>
      </c>
      <c r="R1764" s="6">
        <v>120</v>
      </c>
      <c r="S1764" s="6">
        <v>265</v>
      </c>
    </row>
    <row r="1765" spans="1:19" ht="15" x14ac:dyDescent="0.25">
      <c r="A1765" s="7" t="s">
        <v>16</v>
      </c>
      <c r="B1765" s="7" t="s">
        <v>60</v>
      </c>
      <c r="C1765" s="7" t="s">
        <v>18</v>
      </c>
      <c r="D1765" s="3">
        <v>46124624000111</v>
      </c>
      <c r="E1765" s="8" t="s">
        <v>156</v>
      </c>
      <c r="F1765" s="8" t="s">
        <v>123</v>
      </c>
      <c r="G1765" s="8" t="s">
        <v>21</v>
      </c>
      <c r="H1765" s="8" t="s">
        <v>795</v>
      </c>
      <c r="I1765" s="3">
        <v>2</v>
      </c>
      <c r="J1765" s="8" t="s">
        <v>726</v>
      </c>
      <c r="K1765" s="8" t="s">
        <v>727</v>
      </c>
      <c r="L1765" s="8" t="s">
        <v>723</v>
      </c>
      <c r="M1765" s="1" t="s">
        <v>786</v>
      </c>
      <c r="N1765" s="8" t="s">
        <v>787</v>
      </c>
      <c r="O1765" s="6">
        <v>0</v>
      </c>
      <c r="P1765" s="6">
        <v>0</v>
      </c>
      <c r="Q1765" s="6">
        <v>0</v>
      </c>
      <c r="R1765" s="6">
        <v>0</v>
      </c>
      <c r="S1765" s="6">
        <v>265</v>
      </c>
    </row>
    <row r="1766" spans="1:19" ht="15" x14ac:dyDescent="0.25">
      <c r="A1766" s="7" t="s">
        <v>16</v>
      </c>
      <c r="B1766" s="7" t="s">
        <v>60</v>
      </c>
      <c r="C1766" s="7" t="s">
        <v>18</v>
      </c>
      <c r="D1766" s="3">
        <v>10447300000177</v>
      </c>
      <c r="E1766" s="8" t="s">
        <v>122</v>
      </c>
      <c r="F1766" s="8" t="s">
        <v>804</v>
      </c>
      <c r="G1766" s="8" t="s">
        <v>21</v>
      </c>
      <c r="H1766" s="8" t="s">
        <v>795</v>
      </c>
      <c r="I1766" s="3">
        <v>2</v>
      </c>
      <c r="J1766" s="8" t="s">
        <v>728</v>
      </c>
      <c r="K1766" s="8" t="s">
        <v>729</v>
      </c>
      <c r="L1766" s="8" t="s">
        <v>730</v>
      </c>
      <c r="M1766" s="1" t="s">
        <v>786</v>
      </c>
      <c r="N1766" s="8" t="s">
        <v>787</v>
      </c>
      <c r="O1766" s="6">
        <v>0</v>
      </c>
      <c r="P1766" s="6">
        <v>0</v>
      </c>
      <c r="Q1766" s="6">
        <v>0</v>
      </c>
      <c r="R1766" s="6">
        <v>4</v>
      </c>
      <c r="S1766" s="6">
        <v>0</v>
      </c>
    </row>
    <row r="1767" spans="1:19" ht="15" x14ac:dyDescent="0.25">
      <c r="A1767" s="7" t="s">
        <v>16</v>
      </c>
      <c r="B1767" s="7" t="s">
        <v>60</v>
      </c>
      <c r="C1767" s="7" t="s">
        <v>18</v>
      </c>
      <c r="D1767" s="3">
        <v>10447300000177</v>
      </c>
      <c r="E1767" s="8" t="s">
        <v>122</v>
      </c>
      <c r="F1767" s="8" t="s">
        <v>804</v>
      </c>
      <c r="G1767" s="8" t="s">
        <v>21</v>
      </c>
      <c r="H1767" s="8" t="s">
        <v>795</v>
      </c>
      <c r="I1767" s="3">
        <v>2</v>
      </c>
      <c r="J1767" s="8" t="s">
        <v>726</v>
      </c>
      <c r="K1767" s="8" t="s">
        <v>727</v>
      </c>
      <c r="L1767" s="8" t="s">
        <v>723</v>
      </c>
      <c r="M1767" s="1" t="s">
        <v>786</v>
      </c>
      <c r="N1767" s="8" t="s">
        <v>787</v>
      </c>
      <c r="O1767" s="6">
        <v>0</v>
      </c>
      <c r="P1767" s="6">
        <v>0</v>
      </c>
      <c r="Q1767" s="6">
        <v>0</v>
      </c>
      <c r="R1767" s="6">
        <v>0</v>
      </c>
      <c r="S1767" s="6">
        <v>0</v>
      </c>
    </row>
    <row r="1768" spans="1:19" ht="15" x14ac:dyDescent="0.25">
      <c r="A1768" s="7" t="s">
        <v>16</v>
      </c>
      <c r="B1768" s="7" t="s">
        <v>60</v>
      </c>
      <c r="C1768" s="7" t="s">
        <v>18</v>
      </c>
      <c r="D1768" s="3">
        <v>45118429001279</v>
      </c>
      <c r="E1768" s="8" t="s">
        <v>144</v>
      </c>
      <c r="F1768" s="8" t="s">
        <v>145</v>
      </c>
      <c r="G1768" s="8" t="s">
        <v>21</v>
      </c>
      <c r="H1768" s="8" t="s">
        <v>795</v>
      </c>
      <c r="I1768" s="3">
        <v>2</v>
      </c>
      <c r="J1768" s="8" t="s">
        <v>728</v>
      </c>
      <c r="K1768" s="8" t="s">
        <v>729</v>
      </c>
      <c r="L1768" s="8" t="s">
        <v>730</v>
      </c>
      <c r="M1768" s="1" t="s">
        <v>786</v>
      </c>
      <c r="N1768" s="8" t="s">
        <v>787</v>
      </c>
      <c r="O1768" s="6">
        <v>0</v>
      </c>
      <c r="P1768" s="6">
        <v>0</v>
      </c>
      <c r="Q1768" s="6">
        <v>0</v>
      </c>
      <c r="R1768" s="6">
        <v>6</v>
      </c>
      <c r="S1768" s="6">
        <v>100</v>
      </c>
    </row>
    <row r="1769" spans="1:19" ht="15" x14ac:dyDescent="0.25">
      <c r="A1769" s="7" t="s">
        <v>16</v>
      </c>
      <c r="B1769" s="7" t="s">
        <v>60</v>
      </c>
      <c r="C1769" s="7" t="s">
        <v>18</v>
      </c>
      <c r="D1769" s="3">
        <v>45118429001279</v>
      </c>
      <c r="E1769" s="8" t="s">
        <v>144</v>
      </c>
      <c r="F1769" s="8" t="s">
        <v>145</v>
      </c>
      <c r="G1769" s="8" t="s">
        <v>21</v>
      </c>
      <c r="H1769" s="8" t="s">
        <v>795</v>
      </c>
      <c r="I1769" s="3">
        <v>2</v>
      </c>
      <c r="J1769" s="8" t="s">
        <v>726</v>
      </c>
      <c r="K1769" s="8" t="s">
        <v>727</v>
      </c>
      <c r="L1769" s="8" t="s">
        <v>723</v>
      </c>
      <c r="M1769" s="1" t="s">
        <v>786</v>
      </c>
      <c r="N1769" s="8" t="s">
        <v>787</v>
      </c>
      <c r="O1769" s="6">
        <v>0</v>
      </c>
      <c r="P1769" s="6">
        <v>7</v>
      </c>
      <c r="Q1769" s="6">
        <v>0</v>
      </c>
      <c r="R1769" s="6">
        <v>0</v>
      </c>
      <c r="S1769" s="6">
        <v>100</v>
      </c>
    </row>
    <row r="1770" spans="1:19" ht="15" x14ac:dyDescent="0.25">
      <c r="A1770" s="7" t="s">
        <v>16</v>
      </c>
      <c r="B1770" s="7" t="s">
        <v>60</v>
      </c>
      <c r="C1770" s="7" t="s">
        <v>18</v>
      </c>
      <c r="D1770" s="3">
        <v>68204486000113</v>
      </c>
      <c r="E1770" s="8" t="s">
        <v>190</v>
      </c>
      <c r="F1770" s="8" t="s">
        <v>191</v>
      </c>
      <c r="G1770" s="8" t="s">
        <v>21</v>
      </c>
      <c r="H1770" s="8" t="s">
        <v>795</v>
      </c>
      <c r="I1770" s="3">
        <v>2</v>
      </c>
      <c r="J1770" s="8" t="s">
        <v>728</v>
      </c>
      <c r="K1770" s="8" t="s">
        <v>729</v>
      </c>
      <c r="L1770" s="8" t="s">
        <v>730</v>
      </c>
      <c r="M1770" s="1" t="s">
        <v>786</v>
      </c>
      <c r="N1770" s="8" t="s">
        <v>787</v>
      </c>
      <c r="O1770" s="6">
        <v>0</v>
      </c>
      <c r="P1770" s="6">
        <v>0</v>
      </c>
      <c r="Q1770" s="6">
        <v>0</v>
      </c>
      <c r="R1770" s="6">
        <v>0</v>
      </c>
      <c r="S1770" s="6">
        <v>150</v>
      </c>
    </row>
    <row r="1771" spans="1:19" ht="15" x14ac:dyDescent="0.25">
      <c r="A1771" s="7" t="s">
        <v>16</v>
      </c>
      <c r="B1771" s="7" t="s">
        <v>60</v>
      </c>
      <c r="C1771" s="7" t="s">
        <v>18</v>
      </c>
      <c r="D1771" s="3">
        <v>68204486000113</v>
      </c>
      <c r="E1771" s="8" t="s">
        <v>190</v>
      </c>
      <c r="F1771" s="8" t="s">
        <v>191</v>
      </c>
      <c r="G1771" s="8" t="s">
        <v>21</v>
      </c>
      <c r="H1771" s="8" t="s">
        <v>795</v>
      </c>
      <c r="I1771" s="3">
        <v>2</v>
      </c>
      <c r="J1771" s="8" t="s">
        <v>726</v>
      </c>
      <c r="K1771" s="8" t="s">
        <v>727</v>
      </c>
      <c r="L1771" s="8" t="s">
        <v>723</v>
      </c>
      <c r="M1771" s="1" t="s">
        <v>786</v>
      </c>
      <c r="N1771" s="8" t="s">
        <v>787</v>
      </c>
      <c r="O1771" s="6">
        <v>0</v>
      </c>
      <c r="P1771" s="6">
        <v>0</v>
      </c>
      <c r="Q1771" s="6">
        <v>0</v>
      </c>
      <c r="R1771" s="6">
        <v>0</v>
      </c>
      <c r="S1771" s="6">
        <v>150</v>
      </c>
    </row>
    <row r="1772" spans="1:19" ht="15" x14ac:dyDescent="0.25">
      <c r="A1772" s="7" t="s">
        <v>16</v>
      </c>
      <c r="B1772" s="7" t="s">
        <v>60</v>
      </c>
      <c r="C1772" s="7" t="s">
        <v>18</v>
      </c>
      <c r="D1772" s="3">
        <v>50486026000160</v>
      </c>
      <c r="E1772" s="8" t="s">
        <v>163</v>
      </c>
      <c r="F1772" s="8" t="s">
        <v>164</v>
      </c>
      <c r="G1772" s="8" t="s">
        <v>21</v>
      </c>
      <c r="H1772" s="8" t="s">
        <v>795</v>
      </c>
      <c r="I1772" s="3">
        <v>2</v>
      </c>
      <c r="J1772" s="8" t="s">
        <v>728</v>
      </c>
      <c r="K1772" s="8" t="s">
        <v>729</v>
      </c>
      <c r="L1772" s="8" t="s">
        <v>730</v>
      </c>
      <c r="M1772" s="1" t="s">
        <v>786</v>
      </c>
      <c r="N1772" s="8" t="s">
        <v>787</v>
      </c>
      <c r="O1772" s="6">
        <v>0</v>
      </c>
      <c r="P1772" s="6">
        <v>0</v>
      </c>
      <c r="Q1772" s="6">
        <v>0</v>
      </c>
      <c r="R1772" s="6">
        <v>0</v>
      </c>
      <c r="S1772" s="6">
        <v>110</v>
      </c>
    </row>
    <row r="1773" spans="1:19" ht="15" x14ac:dyDescent="0.25">
      <c r="A1773" s="7" t="s">
        <v>16</v>
      </c>
      <c r="B1773" s="7" t="s">
        <v>60</v>
      </c>
      <c r="C1773" s="7" t="s">
        <v>18</v>
      </c>
      <c r="D1773" s="3">
        <v>50486026000160</v>
      </c>
      <c r="E1773" s="8" t="s">
        <v>163</v>
      </c>
      <c r="F1773" s="8" t="s">
        <v>164</v>
      </c>
      <c r="G1773" s="8" t="s">
        <v>21</v>
      </c>
      <c r="H1773" s="8" t="s">
        <v>795</v>
      </c>
      <c r="I1773" s="3">
        <v>2</v>
      </c>
      <c r="J1773" s="8" t="s">
        <v>726</v>
      </c>
      <c r="K1773" s="8" t="s">
        <v>727</v>
      </c>
      <c r="L1773" s="8" t="s">
        <v>723</v>
      </c>
      <c r="M1773" s="1" t="s">
        <v>786</v>
      </c>
      <c r="N1773" s="8" t="s">
        <v>787</v>
      </c>
      <c r="O1773" s="6">
        <v>0</v>
      </c>
      <c r="P1773" s="6">
        <v>0</v>
      </c>
      <c r="Q1773" s="6">
        <v>0</v>
      </c>
      <c r="R1773" s="6">
        <v>0</v>
      </c>
      <c r="S1773" s="6">
        <v>110</v>
      </c>
    </row>
    <row r="1774" spans="1:19" ht="15" x14ac:dyDescent="0.25">
      <c r="A1774" s="7" t="s">
        <v>16</v>
      </c>
      <c r="B1774" s="7" t="s">
        <v>60</v>
      </c>
      <c r="C1774" s="7" t="s">
        <v>18</v>
      </c>
      <c r="D1774" s="3">
        <v>48468284000171</v>
      </c>
      <c r="E1774" s="8" t="s">
        <v>161</v>
      </c>
      <c r="F1774" s="8" t="s">
        <v>162</v>
      </c>
      <c r="G1774" s="8" t="s">
        <v>21</v>
      </c>
      <c r="H1774" s="8" t="s">
        <v>795</v>
      </c>
      <c r="I1774" s="3">
        <v>2</v>
      </c>
      <c r="J1774" s="8" t="s">
        <v>728</v>
      </c>
      <c r="K1774" s="8" t="s">
        <v>729</v>
      </c>
      <c r="L1774" s="8" t="s">
        <v>730</v>
      </c>
      <c r="M1774" s="1" t="s">
        <v>786</v>
      </c>
      <c r="N1774" s="8" t="s">
        <v>787</v>
      </c>
      <c r="O1774" s="6">
        <v>0</v>
      </c>
      <c r="P1774" s="6">
        <v>0</v>
      </c>
      <c r="Q1774" s="6">
        <v>0</v>
      </c>
      <c r="R1774" s="6">
        <v>0</v>
      </c>
      <c r="S1774" s="6">
        <v>200</v>
      </c>
    </row>
    <row r="1775" spans="1:19" ht="15" x14ac:dyDescent="0.25">
      <c r="A1775" s="7" t="s">
        <v>16</v>
      </c>
      <c r="B1775" s="7" t="s">
        <v>60</v>
      </c>
      <c r="C1775" s="7" t="s">
        <v>18</v>
      </c>
      <c r="D1775" s="3">
        <v>48468284000171</v>
      </c>
      <c r="E1775" s="8" t="s">
        <v>161</v>
      </c>
      <c r="F1775" s="8" t="s">
        <v>162</v>
      </c>
      <c r="G1775" s="8" t="s">
        <v>21</v>
      </c>
      <c r="H1775" s="8" t="s">
        <v>795</v>
      </c>
      <c r="I1775" s="3">
        <v>2</v>
      </c>
      <c r="J1775" s="8" t="s">
        <v>726</v>
      </c>
      <c r="K1775" s="8" t="s">
        <v>727</v>
      </c>
      <c r="L1775" s="8" t="s">
        <v>723</v>
      </c>
      <c r="M1775" s="1" t="s">
        <v>786</v>
      </c>
      <c r="N1775" s="8" t="s">
        <v>787</v>
      </c>
      <c r="O1775" s="6">
        <v>0</v>
      </c>
      <c r="P1775" s="6">
        <v>0</v>
      </c>
      <c r="Q1775" s="6">
        <v>0</v>
      </c>
      <c r="R1775" s="6">
        <v>0</v>
      </c>
      <c r="S1775" s="6">
        <v>200</v>
      </c>
    </row>
    <row r="1776" spans="1:19" ht="15" x14ac:dyDescent="0.25">
      <c r="A1776" s="7" t="s">
        <v>16</v>
      </c>
      <c r="B1776" s="7" t="s">
        <v>60</v>
      </c>
      <c r="C1776" s="7" t="s">
        <v>18</v>
      </c>
      <c r="D1776" s="3">
        <v>29435005008294</v>
      </c>
      <c r="E1776" s="8" t="s">
        <v>130</v>
      </c>
      <c r="F1776" s="8" t="s">
        <v>131</v>
      </c>
      <c r="G1776" s="8" t="s">
        <v>21</v>
      </c>
      <c r="H1776" s="8" t="s">
        <v>795</v>
      </c>
      <c r="I1776" s="3">
        <v>2</v>
      </c>
      <c r="J1776" s="8" t="s">
        <v>740</v>
      </c>
      <c r="K1776" s="8" t="s">
        <v>741</v>
      </c>
      <c r="L1776" s="8" t="s">
        <v>730</v>
      </c>
      <c r="M1776" s="1" t="s">
        <v>786</v>
      </c>
      <c r="N1776" s="8" t="s">
        <v>787</v>
      </c>
      <c r="O1776" s="6">
        <v>0</v>
      </c>
      <c r="P1776" s="6">
        <v>0</v>
      </c>
      <c r="Q1776" s="6">
        <v>0</v>
      </c>
      <c r="R1776" s="6">
        <v>0</v>
      </c>
      <c r="S1776" s="6">
        <v>300</v>
      </c>
    </row>
    <row r="1777" spans="1:19" ht="15" x14ac:dyDescent="0.25">
      <c r="A1777" s="7" t="s">
        <v>16</v>
      </c>
      <c r="B1777" s="7" t="s">
        <v>60</v>
      </c>
      <c r="C1777" s="7" t="s">
        <v>18</v>
      </c>
      <c r="D1777" s="3">
        <v>29435005008294</v>
      </c>
      <c r="E1777" s="8" t="s">
        <v>130</v>
      </c>
      <c r="F1777" s="8" t="s">
        <v>131</v>
      </c>
      <c r="G1777" s="8" t="s">
        <v>21</v>
      </c>
      <c r="H1777" s="8" t="s">
        <v>795</v>
      </c>
      <c r="I1777" s="3">
        <v>2</v>
      </c>
      <c r="J1777" s="8" t="s">
        <v>724</v>
      </c>
      <c r="K1777" s="8" t="s">
        <v>725</v>
      </c>
      <c r="L1777" s="8" t="s">
        <v>723</v>
      </c>
      <c r="M1777" s="1" t="s">
        <v>786</v>
      </c>
      <c r="N1777" s="8" t="s">
        <v>787</v>
      </c>
      <c r="O1777" s="6">
        <v>0</v>
      </c>
      <c r="P1777" s="6">
        <v>0</v>
      </c>
      <c r="Q1777" s="6">
        <v>0</v>
      </c>
      <c r="R1777" s="6">
        <v>0</v>
      </c>
      <c r="S1777" s="6">
        <v>300</v>
      </c>
    </row>
    <row r="1778" spans="1:19" ht="15" x14ac:dyDescent="0.25">
      <c r="A1778" s="7" t="s">
        <v>16</v>
      </c>
      <c r="B1778" s="7" t="s">
        <v>60</v>
      </c>
      <c r="C1778" s="7" t="s">
        <v>18</v>
      </c>
      <c r="D1778" s="3">
        <v>60214517001187</v>
      </c>
      <c r="E1778" s="8" t="s">
        <v>212</v>
      </c>
      <c r="F1778" s="8" t="s">
        <v>213</v>
      </c>
      <c r="G1778" s="8" t="s">
        <v>21</v>
      </c>
      <c r="H1778" s="8" t="s">
        <v>795</v>
      </c>
      <c r="I1778" s="3">
        <v>2</v>
      </c>
      <c r="J1778" s="8" t="s">
        <v>740</v>
      </c>
      <c r="K1778" s="8" t="s">
        <v>741</v>
      </c>
      <c r="L1778" s="8" t="s">
        <v>730</v>
      </c>
      <c r="M1778" s="1" t="s">
        <v>786</v>
      </c>
      <c r="N1778" s="8" t="s">
        <v>787</v>
      </c>
      <c r="O1778" s="6">
        <v>0</v>
      </c>
      <c r="P1778" s="6">
        <v>0</v>
      </c>
      <c r="Q1778" s="6">
        <v>0</v>
      </c>
      <c r="R1778" s="6">
        <v>0</v>
      </c>
      <c r="S1778" s="6">
        <v>20</v>
      </c>
    </row>
    <row r="1779" spans="1:19" ht="15" x14ac:dyDescent="0.25">
      <c r="A1779" s="7" t="s">
        <v>16</v>
      </c>
      <c r="B1779" s="7" t="s">
        <v>60</v>
      </c>
      <c r="C1779" s="7" t="s">
        <v>18</v>
      </c>
      <c r="D1779" s="3">
        <v>60214517001187</v>
      </c>
      <c r="E1779" s="8" t="s">
        <v>212</v>
      </c>
      <c r="F1779" s="8" t="s">
        <v>213</v>
      </c>
      <c r="G1779" s="8" t="s">
        <v>21</v>
      </c>
      <c r="H1779" s="8" t="s">
        <v>795</v>
      </c>
      <c r="I1779" s="3">
        <v>2</v>
      </c>
      <c r="J1779" s="8" t="s">
        <v>762</v>
      </c>
      <c r="K1779" s="8" t="s">
        <v>763</v>
      </c>
      <c r="L1779" s="8" t="s">
        <v>723</v>
      </c>
      <c r="M1779" s="1" t="s">
        <v>786</v>
      </c>
      <c r="N1779" s="8" t="s">
        <v>787</v>
      </c>
      <c r="O1779" s="6">
        <v>0</v>
      </c>
      <c r="P1779" s="6">
        <v>0</v>
      </c>
      <c r="Q1779" s="6">
        <v>0</v>
      </c>
      <c r="R1779" s="6">
        <v>0</v>
      </c>
      <c r="S1779" s="6">
        <v>20</v>
      </c>
    </row>
    <row r="1780" spans="1:19" ht="15" x14ac:dyDescent="0.25">
      <c r="A1780" s="7" t="s">
        <v>16</v>
      </c>
      <c r="B1780" s="7" t="s">
        <v>60</v>
      </c>
      <c r="C1780" s="7" t="s">
        <v>18</v>
      </c>
      <c r="D1780" s="3">
        <v>50944198000130</v>
      </c>
      <c r="E1780" s="8" t="s">
        <v>206</v>
      </c>
      <c r="F1780" s="8" t="s">
        <v>153</v>
      </c>
      <c r="G1780" s="8" t="s">
        <v>21</v>
      </c>
      <c r="H1780" s="8" t="s">
        <v>795</v>
      </c>
      <c r="I1780" s="3">
        <v>2</v>
      </c>
      <c r="J1780" s="8" t="s">
        <v>728</v>
      </c>
      <c r="K1780" s="8" t="s">
        <v>729</v>
      </c>
      <c r="L1780" s="8" t="s">
        <v>730</v>
      </c>
      <c r="M1780" s="1" t="s">
        <v>786</v>
      </c>
      <c r="N1780" s="8" t="s">
        <v>787</v>
      </c>
      <c r="O1780" s="6">
        <v>0</v>
      </c>
      <c r="P1780" s="6">
        <v>0</v>
      </c>
      <c r="Q1780" s="6">
        <v>0</v>
      </c>
      <c r="R1780" s="6">
        <v>0</v>
      </c>
      <c r="S1780" s="6">
        <v>0</v>
      </c>
    </row>
    <row r="1781" spans="1:19" ht="15" x14ac:dyDescent="0.25">
      <c r="A1781" s="7" t="s">
        <v>16</v>
      </c>
      <c r="B1781" s="7" t="s">
        <v>60</v>
      </c>
      <c r="C1781" s="7" t="s">
        <v>18</v>
      </c>
      <c r="D1781" s="3">
        <v>50944198000130</v>
      </c>
      <c r="E1781" s="8" t="s">
        <v>206</v>
      </c>
      <c r="F1781" s="8" t="s">
        <v>153</v>
      </c>
      <c r="G1781" s="8" t="s">
        <v>21</v>
      </c>
      <c r="H1781" s="8" t="s">
        <v>795</v>
      </c>
      <c r="I1781" s="3">
        <v>2</v>
      </c>
      <c r="J1781" s="8" t="s">
        <v>726</v>
      </c>
      <c r="K1781" s="8" t="s">
        <v>727</v>
      </c>
      <c r="L1781" s="8" t="s">
        <v>723</v>
      </c>
      <c r="M1781" s="1" t="s">
        <v>786</v>
      </c>
      <c r="N1781" s="8" t="s">
        <v>787</v>
      </c>
      <c r="O1781" s="6">
        <v>0</v>
      </c>
      <c r="P1781" s="6">
        <v>8</v>
      </c>
      <c r="Q1781" s="6">
        <v>0</v>
      </c>
      <c r="R1781" s="6">
        <v>0</v>
      </c>
      <c r="S1781" s="6">
        <v>0</v>
      </c>
    </row>
    <row r="1782" spans="1:19" ht="15" x14ac:dyDescent="0.25">
      <c r="A1782" s="7" t="s">
        <v>16</v>
      </c>
      <c r="B1782" s="7" t="s">
        <v>60</v>
      </c>
      <c r="C1782" s="7" t="s">
        <v>18</v>
      </c>
      <c r="D1782" s="3">
        <v>44649812001614</v>
      </c>
      <c r="E1782" s="8" t="s">
        <v>200</v>
      </c>
      <c r="F1782" s="8" t="s">
        <v>153</v>
      </c>
      <c r="G1782" s="8" t="s">
        <v>21</v>
      </c>
      <c r="H1782" s="8" t="s">
        <v>795</v>
      </c>
      <c r="I1782" s="3">
        <v>2</v>
      </c>
      <c r="J1782" s="8" t="s">
        <v>728</v>
      </c>
      <c r="K1782" s="8" t="s">
        <v>729</v>
      </c>
      <c r="L1782" s="8" t="s">
        <v>730</v>
      </c>
      <c r="M1782" s="1" t="s">
        <v>786</v>
      </c>
      <c r="N1782" s="8" t="s">
        <v>787</v>
      </c>
      <c r="O1782" s="6">
        <v>0</v>
      </c>
      <c r="P1782" s="6">
        <v>0</v>
      </c>
      <c r="Q1782" s="6">
        <v>0</v>
      </c>
      <c r="R1782" s="6">
        <v>0</v>
      </c>
      <c r="S1782" s="6">
        <v>0</v>
      </c>
    </row>
    <row r="1783" spans="1:19" ht="15" x14ac:dyDescent="0.25">
      <c r="A1783" s="7" t="s">
        <v>16</v>
      </c>
      <c r="B1783" s="7" t="s">
        <v>60</v>
      </c>
      <c r="C1783" s="7" t="s">
        <v>18</v>
      </c>
      <c r="D1783" s="3">
        <v>44649812001614</v>
      </c>
      <c r="E1783" s="8" t="s">
        <v>200</v>
      </c>
      <c r="F1783" s="8" t="s">
        <v>153</v>
      </c>
      <c r="G1783" s="8" t="s">
        <v>21</v>
      </c>
      <c r="H1783" s="8" t="s">
        <v>795</v>
      </c>
      <c r="I1783" s="3">
        <v>2</v>
      </c>
      <c r="J1783" s="8" t="s">
        <v>726</v>
      </c>
      <c r="K1783" s="8" t="s">
        <v>727</v>
      </c>
      <c r="L1783" s="8" t="s">
        <v>723</v>
      </c>
      <c r="M1783" s="1" t="s">
        <v>786</v>
      </c>
      <c r="N1783" s="8" t="s">
        <v>787</v>
      </c>
      <c r="O1783" s="6">
        <v>0</v>
      </c>
      <c r="P1783" s="6">
        <v>4</v>
      </c>
      <c r="Q1783" s="6">
        <v>0</v>
      </c>
      <c r="R1783" s="6">
        <v>0</v>
      </c>
      <c r="S1783" s="6">
        <v>0</v>
      </c>
    </row>
    <row r="1784" spans="1:19" ht="15" x14ac:dyDescent="0.25">
      <c r="A1784" s="7" t="s">
        <v>16</v>
      </c>
      <c r="B1784" s="7" t="s">
        <v>60</v>
      </c>
      <c r="C1784" s="7" t="s">
        <v>18</v>
      </c>
      <c r="D1784" s="3">
        <v>45780103000150</v>
      </c>
      <c r="E1784" s="8" t="s">
        <v>152</v>
      </c>
      <c r="F1784" s="8" t="s">
        <v>153</v>
      </c>
      <c r="G1784" s="8" t="s">
        <v>21</v>
      </c>
      <c r="H1784" s="8" t="s">
        <v>795</v>
      </c>
      <c r="I1784" s="3">
        <v>2</v>
      </c>
      <c r="J1784" s="8" t="s">
        <v>728</v>
      </c>
      <c r="K1784" s="8" t="s">
        <v>729</v>
      </c>
      <c r="L1784" s="8" t="s">
        <v>730</v>
      </c>
      <c r="M1784" s="1" t="s">
        <v>786</v>
      </c>
      <c r="N1784" s="8" t="s">
        <v>787</v>
      </c>
      <c r="O1784" s="6">
        <v>0</v>
      </c>
      <c r="P1784" s="6">
        <v>0</v>
      </c>
      <c r="Q1784" s="6">
        <v>0</v>
      </c>
      <c r="R1784" s="6">
        <v>0</v>
      </c>
      <c r="S1784" s="6">
        <v>615</v>
      </c>
    </row>
    <row r="1785" spans="1:19" ht="15" x14ac:dyDescent="0.25">
      <c r="A1785" s="7" t="s">
        <v>16</v>
      </c>
      <c r="B1785" s="7" t="s">
        <v>60</v>
      </c>
      <c r="C1785" s="7" t="s">
        <v>18</v>
      </c>
      <c r="D1785" s="3">
        <v>45780103000150</v>
      </c>
      <c r="E1785" s="8" t="s">
        <v>152</v>
      </c>
      <c r="F1785" s="8" t="s">
        <v>153</v>
      </c>
      <c r="G1785" s="8" t="s">
        <v>21</v>
      </c>
      <c r="H1785" s="8" t="s">
        <v>795</v>
      </c>
      <c r="I1785" s="3">
        <v>2</v>
      </c>
      <c r="J1785" s="8" t="s">
        <v>726</v>
      </c>
      <c r="K1785" s="8" t="s">
        <v>727</v>
      </c>
      <c r="L1785" s="8" t="s">
        <v>723</v>
      </c>
      <c r="M1785" s="1" t="s">
        <v>786</v>
      </c>
      <c r="N1785" s="8" t="s">
        <v>787</v>
      </c>
      <c r="O1785" s="6">
        <v>0</v>
      </c>
      <c r="P1785" s="6">
        <v>0</v>
      </c>
      <c r="Q1785" s="6">
        <v>0</v>
      </c>
      <c r="R1785" s="6">
        <v>0</v>
      </c>
      <c r="S1785" s="6">
        <v>615</v>
      </c>
    </row>
    <row r="1786" spans="1:19" ht="15" x14ac:dyDescent="0.25">
      <c r="A1786" s="7" t="s">
        <v>16</v>
      </c>
      <c r="B1786" s="7" t="s">
        <v>60</v>
      </c>
      <c r="C1786" s="7" t="s">
        <v>18</v>
      </c>
      <c r="D1786" s="3">
        <v>9528436000122</v>
      </c>
      <c r="E1786" s="8" t="s">
        <v>195</v>
      </c>
      <c r="F1786" s="8" t="s">
        <v>182</v>
      </c>
      <c r="G1786" s="8" t="s">
        <v>21</v>
      </c>
      <c r="H1786" s="8" t="s">
        <v>795</v>
      </c>
      <c r="I1786" s="3">
        <v>2</v>
      </c>
      <c r="J1786" s="8" t="s">
        <v>728</v>
      </c>
      <c r="K1786" s="8" t="s">
        <v>729</v>
      </c>
      <c r="L1786" s="8" t="s">
        <v>730</v>
      </c>
      <c r="M1786" s="1" t="s">
        <v>786</v>
      </c>
      <c r="N1786" s="8" t="s">
        <v>787</v>
      </c>
      <c r="O1786" s="6">
        <v>0</v>
      </c>
      <c r="P1786" s="6">
        <v>0</v>
      </c>
      <c r="Q1786" s="6">
        <v>0</v>
      </c>
      <c r="R1786" s="6">
        <v>0</v>
      </c>
      <c r="S1786" s="6">
        <v>150</v>
      </c>
    </row>
    <row r="1787" spans="1:19" ht="15" x14ac:dyDescent="0.25">
      <c r="A1787" s="7" t="s">
        <v>16</v>
      </c>
      <c r="B1787" s="7" t="s">
        <v>60</v>
      </c>
      <c r="C1787" s="7" t="s">
        <v>18</v>
      </c>
      <c r="D1787" s="3">
        <v>9528436000122</v>
      </c>
      <c r="E1787" s="8" t="s">
        <v>195</v>
      </c>
      <c r="F1787" s="8" t="s">
        <v>182</v>
      </c>
      <c r="G1787" s="8" t="s">
        <v>21</v>
      </c>
      <c r="H1787" s="8" t="s">
        <v>795</v>
      </c>
      <c r="I1787" s="3">
        <v>2</v>
      </c>
      <c r="J1787" s="8" t="s">
        <v>726</v>
      </c>
      <c r="K1787" s="8" t="s">
        <v>727</v>
      </c>
      <c r="L1787" s="8" t="s">
        <v>723</v>
      </c>
      <c r="M1787" s="1" t="s">
        <v>786</v>
      </c>
      <c r="N1787" s="8" t="s">
        <v>787</v>
      </c>
      <c r="O1787" s="6">
        <v>0</v>
      </c>
      <c r="P1787" s="6">
        <v>0</v>
      </c>
      <c r="Q1787" s="6">
        <v>0</v>
      </c>
      <c r="R1787" s="6">
        <v>0</v>
      </c>
      <c r="S1787" s="6">
        <v>150</v>
      </c>
    </row>
    <row r="1788" spans="1:19" ht="15" x14ac:dyDescent="0.25">
      <c r="A1788" s="7" t="s">
        <v>16</v>
      </c>
      <c r="B1788" s="7" t="s">
        <v>60</v>
      </c>
      <c r="C1788" s="7" t="s">
        <v>18</v>
      </c>
      <c r="D1788" s="3">
        <v>52852100000140</v>
      </c>
      <c r="E1788" s="8" t="s">
        <v>208</v>
      </c>
      <c r="F1788" s="8" t="s">
        <v>209</v>
      </c>
      <c r="G1788" s="8" t="s">
        <v>21</v>
      </c>
      <c r="H1788" s="8" t="s">
        <v>795</v>
      </c>
      <c r="I1788" s="3">
        <v>2</v>
      </c>
      <c r="J1788" s="8" t="s">
        <v>728</v>
      </c>
      <c r="K1788" s="8" t="s">
        <v>729</v>
      </c>
      <c r="L1788" s="8" t="s">
        <v>730</v>
      </c>
      <c r="M1788" s="1" t="s">
        <v>786</v>
      </c>
      <c r="N1788" s="8" t="s">
        <v>787</v>
      </c>
      <c r="O1788" s="6">
        <v>0</v>
      </c>
      <c r="P1788" s="6">
        <v>0</v>
      </c>
      <c r="Q1788" s="6">
        <v>0</v>
      </c>
      <c r="R1788" s="6">
        <v>0</v>
      </c>
      <c r="S1788" s="6">
        <v>300</v>
      </c>
    </row>
    <row r="1789" spans="1:19" ht="15" x14ac:dyDescent="0.25">
      <c r="A1789" s="7" t="s">
        <v>16</v>
      </c>
      <c r="B1789" s="7" t="s">
        <v>60</v>
      </c>
      <c r="C1789" s="7" t="s">
        <v>18</v>
      </c>
      <c r="D1789" s="3">
        <v>52852100000140</v>
      </c>
      <c r="E1789" s="8" t="s">
        <v>208</v>
      </c>
      <c r="F1789" s="8" t="s">
        <v>209</v>
      </c>
      <c r="G1789" s="8" t="s">
        <v>21</v>
      </c>
      <c r="H1789" s="8" t="s">
        <v>795</v>
      </c>
      <c r="I1789" s="3">
        <v>2</v>
      </c>
      <c r="J1789" s="8" t="s">
        <v>726</v>
      </c>
      <c r="K1789" s="8" t="s">
        <v>727</v>
      </c>
      <c r="L1789" s="8" t="s">
        <v>723</v>
      </c>
      <c r="M1789" s="1" t="s">
        <v>786</v>
      </c>
      <c r="N1789" s="8" t="s">
        <v>787</v>
      </c>
      <c r="O1789" s="6">
        <v>0</v>
      </c>
      <c r="P1789" s="6">
        <v>0</v>
      </c>
      <c r="Q1789" s="6">
        <v>0</v>
      </c>
      <c r="R1789" s="6">
        <v>0</v>
      </c>
      <c r="S1789" s="6">
        <v>300</v>
      </c>
    </row>
    <row r="1790" spans="1:19" ht="15" x14ac:dyDescent="0.25">
      <c r="A1790" s="7" t="s">
        <v>16</v>
      </c>
      <c r="B1790" s="7" t="s">
        <v>60</v>
      </c>
      <c r="C1790" s="7" t="s">
        <v>18</v>
      </c>
      <c r="D1790" s="3">
        <v>53311999000156</v>
      </c>
      <c r="E1790" s="8" t="s">
        <v>210</v>
      </c>
      <c r="F1790" s="8" t="s">
        <v>211</v>
      </c>
      <c r="G1790" s="8" t="s">
        <v>21</v>
      </c>
      <c r="H1790" s="8" t="s">
        <v>795</v>
      </c>
      <c r="I1790" s="3">
        <v>2</v>
      </c>
      <c r="J1790" s="8" t="s">
        <v>728</v>
      </c>
      <c r="K1790" s="8" t="s">
        <v>729</v>
      </c>
      <c r="L1790" s="8" t="s">
        <v>730</v>
      </c>
      <c r="M1790" s="1" t="s">
        <v>786</v>
      </c>
      <c r="N1790" s="8" t="s">
        <v>787</v>
      </c>
      <c r="O1790" s="6">
        <v>0</v>
      </c>
      <c r="P1790" s="6">
        <v>0</v>
      </c>
      <c r="Q1790" s="6">
        <v>0</v>
      </c>
      <c r="R1790" s="6">
        <v>0</v>
      </c>
      <c r="S1790" s="6">
        <v>0</v>
      </c>
    </row>
    <row r="1791" spans="1:19" ht="15" x14ac:dyDescent="0.25">
      <c r="A1791" s="7" t="s">
        <v>16</v>
      </c>
      <c r="B1791" s="7" t="s">
        <v>60</v>
      </c>
      <c r="C1791" s="7" t="s">
        <v>18</v>
      </c>
      <c r="D1791" s="3">
        <v>53311999000156</v>
      </c>
      <c r="E1791" s="8" t="s">
        <v>210</v>
      </c>
      <c r="F1791" s="8" t="s">
        <v>211</v>
      </c>
      <c r="G1791" s="8" t="s">
        <v>21</v>
      </c>
      <c r="H1791" s="8" t="s">
        <v>795</v>
      </c>
      <c r="I1791" s="3">
        <v>2</v>
      </c>
      <c r="J1791" s="8" t="s">
        <v>726</v>
      </c>
      <c r="K1791" s="8" t="s">
        <v>727</v>
      </c>
      <c r="L1791" s="8" t="s">
        <v>723</v>
      </c>
      <c r="M1791" s="1" t="s">
        <v>786</v>
      </c>
      <c r="N1791" s="8" t="s">
        <v>787</v>
      </c>
      <c r="O1791" s="6">
        <v>0</v>
      </c>
      <c r="P1791" s="6">
        <v>2</v>
      </c>
      <c r="Q1791" s="6">
        <v>0</v>
      </c>
      <c r="R1791" s="6">
        <v>0</v>
      </c>
      <c r="S1791" s="6">
        <v>0</v>
      </c>
    </row>
    <row r="1792" spans="1:19" ht="15" x14ac:dyDescent="0.25">
      <c r="A1792" s="7" t="s">
        <v>16</v>
      </c>
      <c r="B1792" s="7" t="s">
        <v>60</v>
      </c>
      <c r="C1792" s="7" t="s">
        <v>18</v>
      </c>
      <c r="D1792" s="3">
        <v>6047087007656</v>
      </c>
      <c r="E1792" s="8" t="s">
        <v>118</v>
      </c>
      <c r="F1792" s="8" t="s">
        <v>119</v>
      </c>
      <c r="G1792" s="8" t="s">
        <v>21</v>
      </c>
      <c r="H1792" s="8" t="s">
        <v>795</v>
      </c>
      <c r="I1792" s="3">
        <v>2</v>
      </c>
      <c r="J1792" s="8" t="s">
        <v>770</v>
      </c>
      <c r="K1792" s="8" t="s">
        <v>771</v>
      </c>
      <c r="L1792" s="8" t="s">
        <v>730</v>
      </c>
      <c r="M1792" s="1" t="s">
        <v>786</v>
      </c>
      <c r="N1792" s="8" t="s">
        <v>787</v>
      </c>
      <c r="O1792" s="6">
        <v>0</v>
      </c>
      <c r="P1792" s="6">
        <v>0</v>
      </c>
      <c r="Q1792" s="6">
        <v>0</v>
      </c>
      <c r="R1792" s="6">
        <v>0</v>
      </c>
      <c r="S1792" s="6">
        <v>0</v>
      </c>
    </row>
    <row r="1793" spans="1:19" ht="15" x14ac:dyDescent="0.25">
      <c r="A1793" s="7" t="s">
        <v>16</v>
      </c>
      <c r="B1793" s="7" t="s">
        <v>60</v>
      </c>
      <c r="C1793" s="7" t="s">
        <v>18</v>
      </c>
      <c r="D1793" s="3">
        <v>6047087007656</v>
      </c>
      <c r="E1793" s="8" t="s">
        <v>118</v>
      </c>
      <c r="F1793" s="8" t="s">
        <v>119</v>
      </c>
      <c r="G1793" s="8" t="s">
        <v>21</v>
      </c>
      <c r="H1793" s="8" t="s">
        <v>795</v>
      </c>
      <c r="I1793" s="3">
        <v>2</v>
      </c>
      <c r="J1793" s="8" t="s">
        <v>724</v>
      </c>
      <c r="K1793" s="8" t="s">
        <v>725</v>
      </c>
      <c r="L1793" s="8" t="s">
        <v>723</v>
      </c>
      <c r="M1793" s="1" t="s">
        <v>786</v>
      </c>
      <c r="N1793" s="8" t="s">
        <v>787</v>
      </c>
      <c r="O1793" s="6">
        <v>0</v>
      </c>
      <c r="P1793" s="6">
        <v>0</v>
      </c>
      <c r="Q1793" s="6">
        <v>3</v>
      </c>
      <c r="R1793" s="6">
        <v>0</v>
      </c>
      <c r="S1793" s="6">
        <v>0</v>
      </c>
    </row>
    <row r="1794" spans="1:19" ht="15" x14ac:dyDescent="0.25">
      <c r="A1794" s="7" t="s">
        <v>16</v>
      </c>
      <c r="B1794" s="7" t="s">
        <v>60</v>
      </c>
      <c r="C1794" s="7" t="s">
        <v>18</v>
      </c>
      <c r="D1794" s="3">
        <v>47565155000996</v>
      </c>
      <c r="E1794" s="8" t="s">
        <v>204</v>
      </c>
      <c r="F1794" s="8" t="s">
        <v>205</v>
      </c>
      <c r="G1794" s="8" t="s">
        <v>21</v>
      </c>
      <c r="H1794" s="8" t="s">
        <v>795</v>
      </c>
      <c r="I1794" s="3">
        <v>2</v>
      </c>
      <c r="J1794" s="8" t="s">
        <v>728</v>
      </c>
      <c r="K1794" s="8" t="s">
        <v>729</v>
      </c>
      <c r="L1794" s="8" t="s">
        <v>730</v>
      </c>
      <c r="M1794" s="1" t="s">
        <v>786</v>
      </c>
      <c r="N1794" s="8" t="s">
        <v>787</v>
      </c>
      <c r="O1794" s="6">
        <v>0</v>
      </c>
      <c r="P1794" s="6">
        <v>0</v>
      </c>
      <c r="Q1794" s="6">
        <v>0</v>
      </c>
      <c r="R1794" s="6">
        <v>0</v>
      </c>
      <c r="S1794" s="6">
        <v>0</v>
      </c>
    </row>
    <row r="1795" spans="1:19" ht="15" x14ac:dyDescent="0.25">
      <c r="A1795" s="7" t="s">
        <v>16</v>
      </c>
      <c r="B1795" s="7" t="s">
        <v>60</v>
      </c>
      <c r="C1795" s="7" t="s">
        <v>18</v>
      </c>
      <c r="D1795" s="3">
        <v>47565155000996</v>
      </c>
      <c r="E1795" s="8" t="s">
        <v>204</v>
      </c>
      <c r="F1795" s="8" t="s">
        <v>205</v>
      </c>
      <c r="G1795" s="8" t="s">
        <v>21</v>
      </c>
      <c r="H1795" s="8" t="s">
        <v>795</v>
      </c>
      <c r="I1795" s="3">
        <v>2</v>
      </c>
      <c r="J1795" s="8" t="s">
        <v>726</v>
      </c>
      <c r="K1795" s="8" t="s">
        <v>727</v>
      </c>
      <c r="L1795" s="8" t="s">
        <v>723</v>
      </c>
      <c r="M1795" s="1" t="s">
        <v>786</v>
      </c>
      <c r="N1795" s="8" t="s">
        <v>787</v>
      </c>
      <c r="O1795" s="6">
        <v>0</v>
      </c>
      <c r="P1795" s="6">
        <v>4</v>
      </c>
      <c r="Q1795" s="6">
        <v>3</v>
      </c>
      <c r="R1795" s="6">
        <v>0</v>
      </c>
      <c r="S1795" s="6">
        <v>0</v>
      </c>
    </row>
    <row r="1796" spans="1:19" ht="15" x14ac:dyDescent="0.25">
      <c r="A1796" s="7" t="s">
        <v>16</v>
      </c>
      <c r="B1796" s="7" t="s">
        <v>60</v>
      </c>
      <c r="C1796" s="7" t="s">
        <v>18</v>
      </c>
      <c r="D1796" s="3">
        <v>44803922000293</v>
      </c>
      <c r="E1796" s="8" t="s">
        <v>142</v>
      </c>
      <c r="F1796" s="8" t="s">
        <v>143</v>
      </c>
      <c r="G1796" s="8" t="s">
        <v>21</v>
      </c>
      <c r="H1796" s="8" t="s">
        <v>795</v>
      </c>
      <c r="I1796" s="3">
        <v>2</v>
      </c>
      <c r="J1796" s="8" t="s">
        <v>728</v>
      </c>
      <c r="K1796" s="8" t="s">
        <v>729</v>
      </c>
      <c r="L1796" s="8" t="s">
        <v>730</v>
      </c>
      <c r="M1796" s="1" t="s">
        <v>786</v>
      </c>
      <c r="N1796" s="8" t="s">
        <v>787</v>
      </c>
      <c r="O1796" s="6">
        <v>0</v>
      </c>
      <c r="P1796" s="6">
        <v>0</v>
      </c>
      <c r="Q1796" s="6">
        <v>0</v>
      </c>
      <c r="R1796" s="6">
        <v>8</v>
      </c>
      <c r="S1796" s="6">
        <v>0</v>
      </c>
    </row>
    <row r="1797" spans="1:19" ht="15" x14ac:dyDescent="0.25">
      <c r="A1797" s="7" t="s">
        <v>16</v>
      </c>
      <c r="B1797" s="7" t="s">
        <v>60</v>
      </c>
      <c r="C1797" s="7" t="s">
        <v>18</v>
      </c>
      <c r="D1797" s="3">
        <v>44803922000293</v>
      </c>
      <c r="E1797" s="8" t="s">
        <v>142</v>
      </c>
      <c r="F1797" s="8" t="s">
        <v>143</v>
      </c>
      <c r="G1797" s="8" t="s">
        <v>21</v>
      </c>
      <c r="H1797" s="8" t="s">
        <v>795</v>
      </c>
      <c r="I1797" s="3">
        <v>2</v>
      </c>
      <c r="J1797" s="8" t="s">
        <v>726</v>
      </c>
      <c r="K1797" s="8" t="s">
        <v>727</v>
      </c>
      <c r="L1797" s="8" t="s">
        <v>723</v>
      </c>
      <c r="M1797" s="1" t="s">
        <v>786</v>
      </c>
      <c r="N1797" s="8" t="s">
        <v>787</v>
      </c>
      <c r="O1797" s="6">
        <v>0</v>
      </c>
      <c r="P1797" s="6">
        <v>0</v>
      </c>
      <c r="Q1797" s="6">
        <v>0</v>
      </c>
      <c r="R1797" s="6">
        <v>0</v>
      </c>
      <c r="S1797" s="6">
        <v>0</v>
      </c>
    </row>
    <row r="1798" spans="1:19" ht="15" x14ac:dyDescent="0.25">
      <c r="A1798" s="7" t="s">
        <v>16</v>
      </c>
      <c r="B1798" s="7" t="s">
        <v>60</v>
      </c>
      <c r="C1798" s="7" t="s">
        <v>18</v>
      </c>
      <c r="D1798" s="3">
        <v>840048000450</v>
      </c>
      <c r="E1798" s="8" t="s">
        <v>106</v>
      </c>
      <c r="F1798" s="8" t="s">
        <v>107</v>
      </c>
      <c r="G1798" s="8" t="s">
        <v>21</v>
      </c>
      <c r="H1798" s="8" t="s">
        <v>795</v>
      </c>
      <c r="I1798" s="3">
        <v>2</v>
      </c>
      <c r="J1798" s="8" t="s">
        <v>728</v>
      </c>
      <c r="K1798" s="8" t="s">
        <v>729</v>
      </c>
      <c r="L1798" s="8" t="s">
        <v>730</v>
      </c>
      <c r="M1798" s="1" t="s">
        <v>786</v>
      </c>
      <c r="N1798" s="8" t="s">
        <v>787</v>
      </c>
      <c r="O1798" s="6">
        <v>0</v>
      </c>
      <c r="P1798" s="6">
        <v>0</v>
      </c>
      <c r="Q1798" s="6">
        <v>0</v>
      </c>
      <c r="R1798" s="6">
        <v>0</v>
      </c>
      <c r="S1798" s="6">
        <v>240</v>
      </c>
    </row>
    <row r="1799" spans="1:19" ht="15" x14ac:dyDescent="0.25">
      <c r="A1799" s="7" t="s">
        <v>16</v>
      </c>
      <c r="B1799" s="7" t="s">
        <v>60</v>
      </c>
      <c r="C1799" s="7" t="s">
        <v>18</v>
      </c>
      <c r="D1799" s="3">
        <v>840048000450</v>
      </c>
      <c r="E1799" s="8" t="s">
        <v>106</v>
      </c>
      <c r="F1799" s="8" t="s">
        <v>107</v>
      </c>
      <c r="G1799" s="8" t="s">
        <v>21</v>
      </c>
      <c r="H1799" s="8" t="s">
        <v>795</v>
      </c>
      <c r="I1799" s="3">
        <v>2</v>
      </c>
      <c r="J1799" s="8" t="s">
        <v>726</v>
      </c>
      <c r="K1799" s="8" t="s">
        <v>727</v>
      </c>
      <c r="L1799" s="8" t="s">
        <v>723</v>
      </c>
      <c r="M1799" s="1" t="s">
        <v>786</v>
      </c>
      <c r="N1799" s="8" t="s">
        <v>787</v>
      </c>
      <c r="O1799" s="6">
        <v>0</v>
      </c>
      <c r="P1799" s="6">
        <v>0</v>
      </c>
      <c r="Q1799" s="6">
        <v>0</v>
      </c>
      <c r="R1799" s="6">
        <v>0</v>
      </c>
      <c r="S1799" s="6">
        <v>240</v>
      </c>
    </row>
    <row r="1800" spans="1:19" ht="15" x14ac:dyDescent="0.25">
      <c r="A1800" s="7" t="s">
        <v>16</v>
      </c>
      <c r="B1800" s="7" t="s">
        <v>60</v>
      </c>
      <c r="C1800" s="7" t="s">
        <v>18</v>
      </c>
      <c r="D1800" s="3">
        <v>46374500003533</v>
      </c>
      <c r="E1800" s="8" t="s">
        <v>159</v>
      </c>
      <c r="F1800" s="8" t="s">
        <v>109</v>
      </c>
      <c r="G1800" s="8" t="s">
        <v>21</v>
      </c>
      <c r="H1800" s="8" t="s">
        <v>795</v>
      </c>
      <c r="I1800" s="3">
        <v>2</v>
      </c>
      <c r="J1800" s="8" t="s">
        <v>728</v>
      </c>
      <c r="K1800" s="8" t="s">
        <v>729</v>
      </c>
      <c r="L1800" s="8" t="s">
        <v>730</v>
      </c>
      <c r="M1800" s="1" t="s">
        <v>786</v>
      </c>
      <c r="N1800" s="8" t="s">
        <v>787</v>
      </c>
      <c r="O1800" s="6">
        <v>0</v>
      </c>
      <c r="P1800" s="6">
        <v>0</v>
      </c>
      <c r="Q1800" s="6">
        <v>0</v>
      </c>
      <c r="R1800" s="6">
        <v>0</v>
      </c>
      <c r="S1800" s="6">
        <v>1000</v>
      </c>
    </row>
    <row r="1801" spans="1:19" ht="15" x14ac:dyDescent="0.25">
      <c r="A1801" s="7" t="s">
        <v>16</v>
      </c>
      <c r="B1801" s="7" t="s">
        <v>60</v>
      </c>
      <c r="C1801" s="7" t="s">
        <v>18</v>
      </c>
      <c r="D1801" s="3">
        <v>46374500003533</v>
      </c>
      <c r="E1801" s="8" t="s">
        <v>159</v>
      </c>
      <c r="F1801" s="8" t="s">
        <v>109</v>
      </c>
      <c r="G1801" s="8" t="s">
        <v>21</v>
      </c>
      <c r="H1801" s="8" t="s">
        <v>795</v>
      </c>
      <c r="I1801" s="3">
        <v>2</v>
      </c>
      <c r="J1801" s="8" t="s">
        <v>726</v>
      </c>
      <c r="K1801" s="8" t="s">
        <v>727</v>
      </c>
      <c r="L1801" s="8" t="s">
        <v>723</v>
      </c>
      <c r="M1801" s="1" t="s">
        <v>786</v>
      </c>
      <c r="N1801" s="8" t="s">
        <v>787</v>
      </c>
      <c r="O1801" s="6">
        <v>0</v>
      </c>
      <c r="P1801" s="6">
        <v>0</v>
      </c>
      <c r="Q1801" s="6">
        <v>0</v>
      </c>
      <c r="R1801" s="6">
        <v>0</v>
      </c>
      <c r="S1801" s="6">
        <v>1000</v>
      </c>
    </row>
    <row r="1802" spans="1:19" ht="15" x14ac:dyDescent="0.25">
      <c r="A1802" s="7" t="s">
        <v>16</v>
      </c>
      <c r="B1802" s="7" t="s">
        <v>60</v>
      </c>
      <c r="C1802" s="7" t="s">
        <v>18</v>
      </c>
      <c r="D1802" s="3">
        <v>57722118000140</v>
      </c>
      <c r="E1802" s="8" t="s">
        <v>188</v>
      </c>
      <c r="F1802" s="8" t="s">
        <v>109</v>
      </c>
      <c r="G1802" s="8" t="s">
        <v>21</v>
      </c>
      <c r="H1802" s="8" t="s">
        <v>795</v>
      </c>
      <c r="I1802" s="3">
        <v>2</v>
      </c>
      <c r="J1802" s="8" t="s">
        <v>728</v>
      </c>
      <c r="K1802" s="8" t="s">
        <v>729</v>
      </c>
      <c r="L1802" s="8" t="s">
        <v>730</v>
      </c>
      <c r="M1802" s="1" t="s">
        <v>786</v>
      </c>
      <c r="N1802" s="8" t="s">
        <v>787</v>
      </c>
      <c r="O1802" s="6">
        <v>0</v>
      </c>
      <c r="P1802" s="6">
        <v>0</v>
      </c>
      <c r="Q1802" s="6">
        <v>0</v>
      </c>
      <c r="R1802" s="6">
        <v>0</v>
      </c>
      <c r="S1802" s="6">
        <v>150</v>
      </c>
    </row>
    <row r="1803" spans="1:19" ht="15" x14ac:dyDescent="0.25">
      <c r="A1803" s="7" t="s">
        <v>16</v>
      </c>
      <c r="B1803" s="7" t="s">
        <v>60</v>
      </c>
      <c r="C1803" s="7" t="s">
        <v>18</v>
      </c>
      <c r="D1803" s="3">
        <v>57722118000140</v>
      </c>
      <c r="E1803" s="8" t="s">
        <v>188</v>
      </c>
      <c r="F1803" s="8" t="s">
        <v>109</v>
      </c>
      <c r="G1803" s="8" t="s">
        <v>21</v>
      </c>
      <c r="H1803" s="8" t="s">
        <v>795</v>
      </c>
      <c r="I1803" s="3">
        <v>2</v>
      </c>
      <c r="J1803" s="8" t="s">
        <v>726</v>
      </c>
      <c r="K1803" s="8" t="s">
        <v>727</v>
      </c>
      <c r="L1803" s="8" t="s">
        <v>723</v>
      </c>
      <c r="M1803" s="1" t="s">
        <v>786</v>
      </c>
      <c r="N1803" s="8" t="s">
        <v>787</v>
      </c>
      <c r="O1803" s="6">
        <v>0</v>
      </c>
      <c r="P1803" s="6">
        <v>0</v>
      </c>
      <c r="Q1803" s="6">
        <v>0</v>
      </c>
      <c r="R1803" s="6">
        <v>0</v>
      </c>
      <c r="S1803" s="6">
        <v>150</v>
      </c>
    </row>
    <row r="1804" spans="1:19" ht="15" x14ac:dyDescent="0.25">
      <c r="A1804" s="7" t="s">
        <v>16</v>
      </c>
      <c r="B1804" s="7" t="s">
        <v>60</v>
      </c>
      <c r="C1804" s="7" t="s">
        <v>18</v>
      </c>
      <c r="D1804" s="3">
        <v>1613433006892</v>
      </c>
      <c r="E1804" s="8" t="s">
        <v>108</v>
      </c>
      <c r="F1804" s="8" t="s">
        <v>109</v>
      </c>
      <c r="G1804" s="8" t="s">
        <v>21</v>
      </c>
      <c r="H1804" s="8" t="s">
        <v>795</v>
      </c>
      <c r="I1804" s="3">
        <v>2</v>
      </c>
      <c r="J1804" s="8" t="s">
        <v>728</v>
      </c>
      <c r="K1804" s="8" t="s">
        <v>729</v>
      </c>
      <c r="L1804" s="8" t="s">
        <v>730</v>
      </c>
      <c r="M1804" s="1" t="s">
        <v>786</v>
      </c>
      <c r="N1804" s="8" t="s">
        <v>787</v>
      </c>
      <c r="O1804" s="6">
        <v>0</v>
      </c>
      <c r="P1804" s="6">
        <v>0</v>
      </c>
      <c r="Q1804" s="6">
        <v>0</v>
      </c>
      <c r="R1804" s="6">
        <v>0</v>
      </c>
      <c r="S1804" s="6">
        <v>1220</v>
      </c>
    </row>
    <row r="1805" spans="1:19" ht="15" x14ac:dyDescent="0.25">
      <c r="A1805" s="7" t="s">
        <v>16</v>
      </c>
      <c r="B1805" s="7" t="s">
        <v>60</v>
      </c>
      <c r="C1805" s="7" t="s">
        <v>18</v>
      </c>
      <c r="D1805" s="3">
        <v>1613433006892</v>
      </c>
      <c r="E1805" s="8" t="s">
        <v>108</v>
      </c>
      <c r="F1805" s="8" t="s">
        <v>109</v>
      </c>
      <c r="G1805" s="8" t="s">
        <v>21</v>
      </c>
      <c r="H1805" s="8" t="s">
        <v>795</v>
      </c>
      <c r="I1805" s="3">
        <v>2</v>
      </c>
      <c r="J1805" s="8" t="s">
        <v>726</v>
      </c>
      <c r="K1805" s="8" t="s">
        <v>727</v>
      </c>
      <c r="L1805" s="8" t="s">
        <v>723</v>
      </c>
      <c r="M1805" s="1" t="s">
        <v>786</v>
      </c>
      <c r="N1805" s="8" t="s">
        <v>787</v>
      </c>
      <c r="O1805" s="6">
        <v>0</v>
      </c>
      <c r="P1805" s="6">
        <v>0</v>
      </c>
      <c r="Q1805" s="6">
        <v>0</v>
      </c>
      <c r="R1805" s="6">
        <v>0</v>
      </c>
      <c r="S1805" s="6">
        <v>1220</v>
      </c>
    </row>
    <row r="1806" spans="1:19" ht="15" x14ac:dyDescent="0.25">
      <c r="A1806" s="7" t="s">
        <v>16</v>
      </c>
      <c r="B1806" s="7" t="s">
        <v>60</v>
      </c>
      <c r="C1806" s="7" t="s">
        <v>18</v>
      </c>
      <c r="D1806" s="3">
        <v>45232246000550</v>
      </c>
      <c r="E1806" s="8" t="s">
        <v>147</v>
      </c>
      <c r="F1806" s="8" t="s">
        <v>109</v>
      </c>
      <c r="G1806" s="8" t="s">
        <v>21</v>
      </c>
      <c r="H1806" s="8" t="s">
        <v>795</v>
      </c>
      <c r="I1806" s="3">
        <v>2</v>
      </c>
      <c r="J1806" s="8" t="s">
        <v>728</v>
      </c>
      <c r="K1806" s="8" t="s">
        <v>729</v>
      </c>
      <c r="L1806" s="8" t="s">
        <v>730</v>
      </c>
      <c r="M1806" s="1" t="s">
        <v>786</v>
      </c>
      <c r="N1806" s="8" t="s">
        <v>787</v>
      </c>
      <c r="O1806" s="6">
        <v>0</v>
      </c>
      <c r="P1806" s="6">
        <v>0</v>
      </c>
      <c r="Q1806" s="6">
        <v>0</v>
      </c>
      <c r="R1806" s="6">
        <v>62</v>
      </c>
      <c r="S1806" s="6">
        <v>360</v>
      </c>
    </row>
    <row r="1807" spans="1:19" ht="15" x14ac:dyDescent="0.25">
      <c r="A1807" s="7" t="s">
        <v>16</v>
      </c>
      <c r="B1807" s="7" t="s">
        <v>60</v>
      </c>
      <c r="C1807" s="7" t="s">
        <v>18</v>
      </c>
      <c r="D1807" s="3">
        <v>45232246000550</v>
      </c>
      <c r="E1807" s="8" t="s">
        <v>147</v>
      </c>
      <c r="F1807" s="8" t="s">
        <v>109</v>
      </c>
      <c r="G1807" s="8" t="s">
        <v>21</v>
      </c>
      <c r="H1807" s="8" t="s">
        <v>795</v>
      </c>
      <c r="I1807" s="3">
        <v>2</v>
      </c>
      <c r="J1807" s="8" t="s">
        <v>726</v>
      </c>
      <c r="K1807" s="8" t="s">
        <v>727</v>
      </c>
      <c r="L1807" s="8" t="s">
        <v>723</v>
      </c>
      <c r="M1807" s="1" t="s">
        <v>786</v>
      </c>
      <c r="N1807" s="8" t="s">
        <v>787</v>
      </c>
      <c r="O1807" s="6">
        <v>0</v>
      </c>
      <c r="P1807" s="6">
        <v>0</v>
      </c>
      <c r="Q1807" s="6">
        <v>0</v>
      </c>
      <c r="R1807" s="6">
        <v>0</v>
      </c>
      <c r="S1807" s="6">
        <v>360</v>
      </c>
    </row>
    <row r="1808" spans="1:19" ht="15" x14ac:dyDescent="0.25">
      <c r="A1808" s="7" t="s">
        <v>16</v>
      </c>
      <c r="B1808" s="7" t="s">
        <v>60</v>
      </c>
      <c r="C1808" s="7" t="s">
        <v>18</v>
      </c>
      <c r="D1808" s="3">
        <v>44663631000590</v>
      </c>
      <c r="E1808" s="8" t="s">
        <v>140</v>
      </c>
      <c r="F1808" s="8" t="s">
        <v>141</v>
      </c>
      <c r="G1808" s="8" t="s">
        <v>21</v>
      </c>
      <c r="H1808" s="8" t="s">
        <v>795</v>
      </c>
      <c r="I1808" s="3">
        <v>2</v>
      </c>
      <c r="J1808" s="8" t="s">
        <v>728</v>
      </c>
      <c r="K1808" s="8" t="s">
        <v>729</v>
      </c>
      <c r="L1808" s="8" t="s">
        <v>730</v>
      </c>
      <c r="M1808" s="1" t="s">
        <v>786</v>
      </c>
      <c r="N1808" s="8" t="s">
        <v>787</v>
      </c>
      <c r="O1808" s="6">
        <v>0</v>
      </c>
      <c r="P1808" s="6">
        <v>0</v>
      </c>
      <c r="Q1808" s="6">
        <v>0</v>
      </c>
      <c r="R1808" s="6">
        <v>32</v>
      </c>
      <c r="S1808" s="6">
        <v>195</v>
      </c>
    </row>
    <row r="1809" spans="1:19" ht="15" x14ac:dyDescent="0.25">
      <c r="A1809" s="7" t="s">
        <v>16</v>
      </c>
      <c r="B1809" s="7" t="s">
        <v>60</v>
      </c>
      <c r="C1809" s="7" t="s">
        <v>18</v>
      </c>
      <c r="D1809" s="3">
        <v>44663631000590</v>
      </c>
      <c r="E1809" s="8" t="s">
        <v>140</v>
      </c>
      <c r="F1809" s="8" t="s">
        <v>141</v>
      </c>
      <c r="G1809" s="8" t="s">
        <v>21</v>
      </c>
      <c r="H1809" s="8" t="s">
        <v>795</v>
      </c>
      <c r="I1809" s="3">
        <v>2</v>
      </c>
      <c r="J1809" s="8" t="s">
        <v>726</v>
      </c>
      <c r="K1809" s="8" t="s">
        <v>727</v>
      </c>
      <c r="L1809" s="8" t="s">
        <v>723</v>
      </c>
      <c r="M1809" s="1" t="s">
        <v>786</v>
      </c>
      <c r="N1809" s="8" t="s">
        <v>787</v>
      </c>
      <c r="O1809" s="6">
        <v>0</v>
      </c>
      <c r="P1809" s="6">
        <v>0</v>
      </c>
      <c r="Q1809" s="6">
        <v>0</v>
      </c>
      <c r="R1809" s="6">
        <v>0</v>
      </c>
      <c r="S1809" s="6">
        <v>195</v>
      </c>
    </row>
    <row r="1810" spans="1:19" ht="15" x14ac:dyDescent="0.25">
      <c r="A1810" s="7" t="s">
        <v>16</v>
      </c>
      <c r="B1810" s="7" t="s">
        <v>60</v>
      </c>
      <c r="C1810" s="7" t="s">
        <v>18</v>
      </c>
      <c r="D1810" s="3">
        <v>13718999001041</v>
      </c>
      <c r="E1810" s="8" t="s">
        <v>124</v>
      </c>
      <c r="F1810" s="8" t="s">
        <v>115</v>
      </c>
      <c r="G1810" s="8" t="s">
        <v>21</v>
      </c>
      <c r="H1810" s="8" t="s">
        <v>795</v>
      </c>
      <c r="I1810" s="3">
        <v>2</v>
      </c>
      <c r="J1810" s="8" t="s">
        <v>770</v>
      </c>
      <c r="K1810" s="8" t="s">
        <v>771</v>
      </c>
      <c r="L1810" s="8" t="s">
        <v>730</v>
      </c>
      <c r="M1810" s="1" t="s">
        <v>786</v>
      </c>
      <c r="N1810" s="8" t="s">
        <v>787</v>
      </c>
      <c r="O1810" s="6">
        <v>0</v>
      </c>
      <c r="P1810" s="6">
        <v>0</v>
      </c>
      <c r="Q1810" s="6">
        <v>0</v>
      </c>
      <c r="R1810" s="6">
        <v>8</v>
      </c>
      <c r="S1810" s="6">
        <v>0</v>
      </c>
    </row>
    <row r="1811" spans="1:19" ht="15" x14ac:dyDescent="0.25">
      <c r="A1811" s="7" t="s">
        <v>16</v>
      </c>
      <c r="B1811" s="7" t="s">
        <v>60</v>
      </c>
      <c r="C1811" s="7" t="s">
        <v>18</v>
      </c>
      <c r="D1811" s="3">
        <v>13718999001041</v>
      </c>
      <c r="E1811" s="8" t="s">
        <v>124</v>
      </c>
      <c r="F1811" s="8" t="s">
        <v>115</v>
      </c>
      <c r="G1811" s="8" t="s">
        <v>21</v>
      </c>
      <c r="H1811" s="8" t="s">
        <v>795</v>
      </c>
      <c r="I1811" s="3">
        <v>2</v>
      </c>
      <c r="J1811" s="8" t="s">
        <v>724</v>
      </c>
      <c r="K1811" s="8" t="s">
        <v>725</v>
      </c>
      <c r="L1811" s="8" t="s">
        <v>723</v>
      </c>
      <c r="M1811" s="1" t="s">
        <v>786</v>
      </c>
      <c r="N1811" s="8" t="s">
        <v>787</v>
      </c>
      <c r="O1811" s="6">
        <v>0</v>
      </c>
      <c r="P1811" s="6">
        <v>0</v>
      </c>
      <c r="Q1811" s="6">
        <v>0</v>
      </c>
      <c r="R1811" s="6">
        <v>0</v>
      </c>
      <c r="S1811" s="6">
        <v>0</v>
      </c>
    </row>
    <row r="1812" spans="1:19" ht="15" x14ac:dyDescent="0.25">
      <c r="A1812" s="7" t="s">
        <v>16</v>
      </c>
      <c r="B1812" s="7" t="s">
        <v>60</v>
      </c>
      <c r="C1812" s="7" t="s">
        <v>18</v>
      </c>
      <c r="D1812" s="3">
        <v>6047087000724</v>
      </c>
      <c r="E1812" s="8" t="s">
        <v>194</v>
      </c>
      <c r="F1812" s="8" t="s">
        <v>115</v>
      </c>
      <c r="G1812" s="8" t="s">
        <v>21</v>
      </c>
      <c r="H1812" s="8" t="s">
        <v>795</v>
      </c>
      <c r="I1812" s="3">
        <v>2</v>
      </c>
      <c r="J1812" s="8" t="s">
        <v>770</v>
      </c>
      <c r="K1812" s="8" t="s">
        <v>771</v>
      </c>
      <c r="L1812" s="8" t="s">
        <v>730</v>
      </c>
      <c r="M1812" s="1" t="s">
        <v>786</v>
      </c>
      <c r="N1812" s="8" t="s">
        <v>787</v>
      </c>
      <c r="O1812" s="6">
        <v>0</v>
      </c>
      <c r="P1812" s="6">
        <v>0</v>
      </c>
      <c r="Q1812" s="6">
        <v>0</v>
      </c>
      <c r="R1812" s="6">
        <v>0</v>
      </c>
      <c r="S1812" s="6">
        <v>0</v>
      </c>
    </row>
    <row r="1813" spans="1:19" ht="15" x14ac:dyDescent="0.25">
      <c r="A1813" s="7" t="s">
        <v>16</v>
      </c>
      <c r="B1813" s="7" t="s">
        <v>60</v>
      </c>
      <c r="C1813" s="7" t="s">
        <v>18</v>
      </c>
      <c r="D1813" s="3">
        <v>6047087000724</v>
      </c>
      <c r="E1813" s="8" t="s">
        <v>194</v>
      </c>
      <c r="F1813" s="8" t="s">
        <v>115</v>
      </c>
      <c r="G1813" s="8" t="s">
        <v>21</v>
      </c>
      <c r="H1813" s="8" t="s">
        <v>795</v>
      </c>
      <c r="I1813" s="3">
        <v>2</v>
      </c>
      <c r="J1813" s="8" t="s">
        <v>724</v>
      </c>
      <c r="K1813" s="8" t="s">
        <v>725</v>
      </c>
      <c r="L1813" s="8" t="s">
        <v>723</v>
      </c>
      <c r="M1813" s="1" t="s">
        <v>786</v>
      </c>
      <c r="N1813" s="8" t="s">
        <v>787</v>
      </c>
      <c r="O1813" s="6">
        <v>0</v>
      </c>
      <c r="P1813" s="6">
        <v>12</v>
      </c>
      <c r="Q1813" s="6">
        <v>10</v>
      </c>
      <c r="R1813" s="6">
        <v>0</v>
      </c>
      <c r="S1813" s="6">
        <v>0</v>
      </c>
    </row>
    <row r="1814" spans="1:19" ht="15" x14ac:dyDescent="0.25">
      <c r="A1814" s="7" t="s">
        <v>16</v>
      </c>
      <c r="B1814" s="7" t="s">
        <v>60</v>
      </c>
      <c r="C1814" s="7" t="s">
        <v>18</v>
      </c>
      <c r="D1814" s="3">
        <v>6033403000113</v>
      </c>
      <c r="E1814" s="8" t="s">
        <v>114</v>
      </c>
      <c r="F1814" s="8" t="s">
        <v>115</v>
      </c>
      <c r="G1814" s="8" t="s">
        <v>21</v>
      </c>
      <c r="H1814" s="8" t="s">
        <v>795</v>
      </c>
      <c r="I1814" s="3">
        <v>2</v>
      </c>
      <c r="J1814" s="8" t="s">
        <v>740</v>
      </c>
      <c r="K1814" s="8" t="s">
        <v>741</v>
      </c>
      <c r="L1814" s="8" t="s">
        <v>730</v>
      </c>
      <c r="M1814" s="1" t="s">
        <v>786</v>
      </c>
      <c r="N1814" s="8" t="s">
        <v>787</v>
      </c>
      <c r="O1814" s="6">
        <v>0</v>
      </c>
      <c r="P1814" s="6">
        <v>0</v>
      </c>
      <c r="Q1814" s="6">
        <v>0</v>
      </c>
      <c r="R1814" s="6">
        <v>0</v>
      </c>
      <c r="S1814" s="6">
        <v>0</v>
      </c>
    </row>
    <row r="1815" spans="1:19" ht="15" x14ac:dyDescent="0.25">
      <c r="A1815" s="7" t="s">
        <v>16</v>
      </c>
      <c r="B1815" s="7" t="s">
        <v>60</v>
      </c>
      <c r="C1815" s="7" t="s">
        <v>18</v>
      </c>
      <c r="D1815" s="3">
        <v>6033403000113</v>
      </c>
      <c r="E1815" s="8" t="s">
        <v>114</v>
      </c>
      <c r="F1815" s="8" t="s">
        <v>115</v>
      </c>
      <c r="G1815" s="8" t="s">
        <v>21</v>
      </c>
      <c r="H1815" s="8" t="s">
        <v>795</v>
      </c>
      <c r="I1815" s="3">
        <v>2</v>
      </c>
      <c r="J1815" s="8" t="s">
        <v>724</v>
      </c>
      <c r="K1815" s="8" t="s">
        <v>725</v>
      </c>
      <c r="L1815" s="8" t="s">
        <v>723</v>
      </c>
      <c r="M1815" s="1" t="s">
        <v>786</v>
      </c>
      <c r="N1815" s="8" t="s">
        <v>787</v>
      </c>
      <c r="O1815" s="6">
        <v>0</v>
      </c>
      <c r="P1815" s="6">
        <v>14</v>
      </c>
      <c r="Q1815" s="6">
        <v>0</v>
      </c>
      <c r="R1815" s="6">
        <v>0</v>
      </c>
      <c r="S1815" s="6">
        <v>0</v>
      </c>
    </row>
    <row r="1816" spans="1:19" ht="15" x14ac:dyDescent="0.25">
      <c r="A1816" s="7" t="s">
        <v>16</v>
      </c>
      <c r="B1816" s="7" t="s">
        <v>60</v>
      </c>
      <c r="C1816" s="7" t="s">
        <v>18</v>
      </c>
      <c r="D1816" s="3">
        <v>10868295000176</v>
      </c>
      <c r="E1816" s="8" t="s">
        <v>179</v>
      </c>
      <c r="F1816" s="8" t="s">
        <v>129</v>
      </c>
      <c r="G1816" s="8" t="s">
        <v>21</v>
      </c>
      <c r="H1816" s="8" t="s">
        <v>795</v>
      </c>
      <c r="I1816" s="3">
        <v>2</v>
      </c>
      <c r="J1816" s="8" t="s">
        <v>770</v>
      </c>
      <c r="K1816" s="8" t="s">
        <v>771</v>
      </c>
      <c r="L1816" s="8" t="s">
        <v>730</v>
      </c>
      <c r="M1816" s="1" t="s">
        <v>786</v>
      </c>
      <c r="N1816" s="8" t="s">
        <v>787</v>
      </c>
      <c r="O1816" s="6">
        <v>0</v>
      </c>
      <c r="P1816" s="6">
        <v>0</v>
      </c>
      <c r="Q1816" s="6">
        <v>0</v>
      </c>
      <c r="R1816" s="6">
        <v>0</v>
      </c>
      <c r="S1816" s="6">
        <v>120</v>
      </c>
    </row>
    <row r="1817" spans="1:19" ht="15" x14ac:dyDescent="0.25">
      <c r="A1817" s="7" t="s">
        <v>16</v>
      </c>
      <c r="B1817" s="7" t="s">
        <v>60</v>
      </c>
      <c r="C1817" s="7" t="s">
        <v>18</v>
      </c>
      <c r="D1817" s="3">
        <v>10868295000176</v>
      </c>
      <c r="E1817" s="8" t="s">
        <v>179</v>
      </c>
      <c r="F1817" s="8" t="s">
        <v>129</v>
      </c>
      <c r="G1817" s="8" t="s">
        <v>21</v>
      </c>
      <c r="H1817" s="8" t="s">
        <v>795</v>
      </c>
      <c r="I1817" s="3">
        <v>2</v>
      </c>
      <c r="J1817" s="8" t="s">
        <v>724</v>
      </c>
      <c r="K1817" s="8" t="s">
        <v>725</v>
      </c>
      <c r="L1817" s="8" t="s">
        <v>723</v>
      </c>
      <c r="M1817" s="1" t="s">
        <v>786</v>
      </c>
      <c r="N1817" s="8" t="s">
        <v>787</v>
      </c>
      <c r="O1817" s="6">
        <v>0</v>
      </c>
      <c r="P1817" s="6">
        <v>0</v>
      </c>
      <c r="Q1817" s="6">
        <v>0</v>
      </c>
      <c r="R1817" s="6">
        <v>0</v>
      </c>
      <c r="S1817" s="6">
        <v>120</v>
      </c>
    </row>
    <row r="1818" spans="1:19" ht="15" x14ac:dyDescent="0.25">
      <c r="A1818" s="7" t="s">
        <v>16</v>
      </c>
      <c r="B1818" s="7" t="s">
        <v>60</v>
      </c>
      <c r="C1818" s="7" t="s">
        <v>18</v>
      </c>
      <c r="D1818" s="3">
        <v>58229691001070</v>
      </c>
      <c r="E1818" s="8" t="s">
        <v>171</v>
      </c>
      <c r="F1818" s="8" t="s">
        <v>129</v>
      </c>
      <c r="G1818" s="8" t="s">
        <v>21</v>
      </c>
      <c r="H1818" s="8" t="s">
        <v>795</v>
      </c>
      <c r="I1818" s="3">
        <v>2</v>
      </c>
      <c r="J1818" s="8" t="s">
        <v>770</v>
      </c>
      <c r="K1818" s="8" t="s">
        <v>771</v>
      </c>
      <c r="L1818" s="8" t="s">
        <v>730</v>
      </c>
      <c r="M1818" s="1" t="s">
        <v>786</v>
      </c>
      <c r="N1818" s="8" t="s">
        <v>787</v>
      </c>
      <c r="O1818" s="6">
        <v>0</v>
      </c>
      <c r="P1818" s="6">
        <v>0</v>
      </c>
      <c r="Q1818" s="6">
        <v>0</v>
      </c>
      <c r="R1818" s="6">
        <v>32</v>
      </c>
      <c r="S1818" s="6">
        <v>0</v>
      </c>
    </row>
    <row r="1819" spans="1:19" ht="15" x14ac:dyDescent="0.25">
      <c r="A1819" s="7" t="s">
        <v>16</v>
      </c>
      <c r="B1819" s="7" t="s">
        <v>60</v>
      </c>
      <c r="C1819" s="7" t="s">
        <v>18</v>
      </c>
      <c r="D1819" s="3">
        <v>58229691001070</v>
      </c>
      <c r="E1819" s="8" t="s">
        <v>171</v>
      </c>
      <c r="F1819" s="8" t="s">
        <v>129</v>
      </c>
      <c r="G1819" s="8" t="s">
        <v>21</v>
      </c>
      <c r="H1819" s="8" t="s">
        <v>795</v>
      </c>
      <c r="I1819" s="3">
        <v>2</v>
      </c>
      <c r="J1819" s="8" t="s">
        <v>724</v>
      </c>
      <c r="K1819" s="8" t="s">
        <v>725</v>
      </c>
      <c r="L1819" s="8" t="s">
        <v>723</v>
      </c>
      <c r="M1819" s="1" t="s">
        <v>786</v>
      </c>
      <c r="N1819" s="8" t="s">
        <v>787</v>
      </c>
      <c r="O1819" s="6">
        <v>0</v>
      </c>
      <c r="P1819" s="6">
        <v>0</v>
      </c>
      <c r="Q1819" s="6">
        <v>0</v>
      </c>
      <c r="R1819" s="6">
        <v>0</v>
      </c>
      <c r="S1819" s="6">
        <v>0</v>
      </c>
    </row>
    <row r="1820" spans="1:19" ht="15" x14ac:dyDescent="0.25">
      <c r="A1820" s="7" t="s">
        <v>16</v>
      </c>
      <c r="B1820" s="7" t="s">
        <v>60</v>
      </c>
      <c r="C1820" s="7" t="s">
        <v>18</v>
      </c>
      <c r="D1820" s="3">
        <v>43293604002120</v>
      </c>
      <c r="E1820" s="8" t="s">
        <v>133</v>
      </c>
      <c r="F1820" s="8" t="s">
        <v>134</v>
      </c>
      <c r="G1820" s="8" t="s">
        <v>21</v>
      </c>
      <c r="H1820" s="8" t="s">
        <v>795</v>
      </c>
      <c r="I1820" s="3">
        <v>2</v>
      </c>
      <c r="J1820" s="8" t="s">
        <v>770</v>
      </c>
      <c r="K1820" s="8" t="s">
        <v>771</v>
      </c>
      <c r="L1820" s="8" t="s">
        <v>730</v>
      </c>
      <c r="M1820" s="1" t="s">
        <v>786</v>
      </c>
      <c r="N1820" s="8" t="s">
        <v>787</v>
      </c>
      <c r="O1820" s="6">
        <v>0</v>
      </c>
      <c r="P1820" s="6">
        <v>0</v>
      </c>
      <c r="Q1820" s="6">
        <v>0</v>
      </c>
      <c r="R1820" s="6">
        <v>0</v>
      </c>
      <c r="S1820" s="6">
        <v>65</v>
      </c>
    </row>
    <row r="1821" spans="1:19" ht="15" x14ac:dyDescent="0.25">
      <c r="A1821" s="7" t="s">
        <v>16</v>
      </c>
      <c r="B1821" s="7" t="s">
        <v>60</v>
      </c>
      <c r="C1821" s="7" t="s">
        <v>18</v>
      </c>
      <c r="D1821" s="3">
        <v>43293604002120</v>
      </c>
      <c r="E1821" s="8" t="s">
        <v>133</v>
      </c>
      <c r="F1821" s="8" t="s">
        <v>134</v>
      </c>
      <c r="G1821" s="8" t="s">
        <v>21</v>
      </c>
      <c r="H1821" s="8" t="s">
        <v>795</v>
      </c>
      <c r="I1821" s="3">
        <v>2</v>
      </c>
      <c r="J1821" s="8" t="s">
        <v>724</v>
      </c>
      <c r="K1821" s="8" t="s">
        <v>725</v>
      </c>
      <c r="L1821" s="8" t="s">
        <v>723</v>
      </c>
      <c r="M1821" s="1" t="s">
        <v>786</v>
      </c>
      <c r="N1821" s="8" t="s">
        <v>787</v>
      </c>
      <c r="O1821" s="6">
        <v>0</v>
      </c>
      <c r="P1821" s="6">
        <v>0</v>
      </c>
      <c r="Q1821" s="6">
        <v>0</v>
      </c>
      <c r="R1821" s="6">
        <v>0</v>
      </c>
      <c r="S1821" s="6">
        <v>65</v>
      </c>
    </row>
    <row r="1822" spans="1:19" ht="15" x14ac:dyDescent="0.25">
      <c r="A1822" s="7" t="s">
        <v>16</v>
      </c>
      <c r="B1822" s="7" t="s">
        <v>60</v>
      </c>
      <c r="C1822" s="7" t="s">
        <v>18</v>
      </c>
      <c r="D1822" s="3">
        <v>45359213000576</v>
      </c>
      <c r="E1822" s="8" t="s">
        <v>148</v>
      </c>
      <c r="F1822" s="8" t="s">
        <v>149</v>
      </c>
      <c r="G1822" s="8" t="s">
        <v>21</v>
      </c>
      <c r="H1822" s="8" t="s">
        <v>795</v>
      </c>
      <c r="I1822" s="3">
        <v>2</v>
      </c>
      <c r="J1822" s="8" t="s">
        <v>728</v>
      </c>
      <c r="K1822" s="8" t="s">
        <v>729</v>
      </c>
      <c r="L1822" s="8" t="s">
        <v>730</v>
      </c>
      <c r="M1822" s="1" t="s">
        <v>786</v>
      </c>
      <c r="N1822" s="8" t="s">
        <v>787</v>
      </c>
      <c r="O1822" s="6">
        <v>0</v>
      </c>
      <c r="P1822" s="6">
        <v>0</v>
      </c>
      <c r="Q1822" s="6">
        <v>0</v>
      </c>
      <c r="R1822" s="6">
        <v>8</v>
      </c>
      <c r="S1822" s="6">
        <v>0</v>
      </c>
    </row>
    <row r="1823" spans="1:19" ht="15" x14ac:dyDescent="0.25">
      <c r="A1823" s="7" t="s">
        <v>16</v>
      </c>
      <c r="B1823" s="7" t="s">
        <v>60</v>
      </c>
      <c r="C1823" s="7" t="s">
        <v>18</v>
      </c>
      <c r="D1823" s="3">
        <v>45359213000576</v>
      </c>
      <c r="E1823" s="8" t="s">
        <v>148</v>
      </c>
      <c r="F1823" s="8" t="s">
        <v>149</v>
      </c>
      <c r="G1823" s="8" t="s">
        <v>21</v>
      </c>
      <c r="H1823" s="8" t="s">
        <v>795</v>
      </c>
      <c r="I1823" s="3">
        <v>2</v>
      </c>
      <c r="J1823" s="8" t="s">
        <v>726</v>
      </c>
      <c r="K1823" s="8" t="s">
        <v>727</v>
      </c>
      <c r="L1823" s="8" t="s">
        <v>723</v>
      </c>
      <c r="M1823" s="1" t="s">
        <v>786</v>
      </c>
      <c r="N1823" s="8" t="s">
        <v>787</v>
      </c>
      <c r="O1823" s="6">
        <v>0</v>
      </c>
      <c r="P1823" s="6">
        <v>0</v>
      </c>
      <c r="Q1823" s="6">
        <v>0</v>
      </c>
      <c r="R1823" s="6">
        <v>0</v>
      </c>
      <c r="S1823" s="6">
        <v>0</v>
      </c>
    </row>
    <row r="1824" spans="1:19" ht="15" x14ac:dyDescent="0.25">
      <c r="A1824" s="7" t="s">
        <v>16</v>
      </c>
      <c r="B1824" s="7" t="s">
        <v>60</v>
      </c>
      <c r="C1824" s="7" t="s">
        <v>18</v>
      </c>
      <c r="D1824" s="3">
        <v>10576443000189</v>
      </c>
      <c r="E1824" s="8" t="s">
        <v>178</v>
      </c>
      <c r="F1824" s="8" t="s">
        <v>111</v>
      </c>
      <c r="G1824" s="8" t="s">
        <v>21</v>
      </c>
      <c r="H1824" s="8" t="s">
        <v>795</v>
      </c>
      <c r="I1824" s="3">
        <v>2</v>
      </c>
      <c r="J1824" s="8" t="s">
        <v>728</v>
      </c>
      <c r="K1824" s="8" t="s">
        <v>729</v>
      </c>
      <c r="L1824" s="8" t="s">
        <v>730</v>
      </c>
      <c r="M1824" s="1" t="s">
        <v>786</v>
      </c>
      <c r="N1824" s="8" t="s">
        <v>787</v>
      </c>
      <c r="O1824" s="6">
        <v>0</v>
      </c>
      <c r="P1824" s="6">
        <v>0</v>
      </c>
      <c r="Q1824" s="6">
        <v>0</v>
      </c>
      <c r="R1824" s="6">
        <v>0</v>
      </c>
      <c r="S1824" s="6">
        <v>160</v>
      </c>
    </row>
    <row r="1825" spans="1:19" ht="15" x14ac:dyDescent="0.25">
      <c r="A1825" s="7" t="s">
        <v>16</v>
      </c>
      <c r="B1825" s="7" t="s">
        <v>60</v>
      </c>
      <c r="C1825" s="7" t="s">
        <v>18</v>
      </c>
      <c r="D1825" s="3">
        <v>10576443000189</v>
      </c>
      <c r="E1825" s="8" t="s">
        <v>178</v>
      </c>
      <c r="F1825" s="8" t="s">
        <v>111</v>
      </c>
      <c r="G1825" s="8" t="s">
        <v>21</v>
      </c>
      <c r="H1825" s="8" t="s">
        <v>795</v>
      </c>
      <c r="I1825" s="3">
        <v>2</v>
      </c>
      <c r="J1825" s="8" t="s">
        <v>726</v>
      </c>
      <c r="K1825" s="8" t="s">
        <v>727</v>
      </c>
      <c r="L1825" s="8" t="s">
        <v>723</v>
      </c>
      <c r="M1825" s="1" t="s">
        <v>786</v>
      </c>
      <c r="N1825" s="8" t="s">
        <v>787</v>
      </c>
      <c r="O1825" s="6">
        <v>0</v>
      </c>
      <c r="P1825" s="6">
        <v>0</v>
      </c>
      <c r="Q1825" s="6">
        <v>0</v>
      </c>
      <c r="R1825" s="6">
        <v>0</v>
      </c>
      <c r="S1825" s="6">
        <v>160</v>
      </c>
    </row>
    <row r="1826" spans="1:19" ht="15" x14ac:dyDescent="0.25">
      <c r="A1826" s="7" t="s">
        <v>16</v>
      </c>
      <c r="B1826" s="7" t="s">
        <v>60</v>
      </c>
      <c r="C1826" s="7" t="s">
        <v>18</v>
      </c>
      <c r="D1826" s="3">
        <v>2643405000173</v>
      </c>
      <c r="E1826" s="8" t="s">
        <v>110</v>
      </c>
      <c r="F1826" s="8" t="s">
        <v>111</v>
      </c>
      <c r="G1826" s="8" t="s">
        <v>21</v>
      </c>
      <c r="H1826" s="8" t="s">
        <v>795</v>
      </c>
      <c r="I1826" s="3">
        <v>2</v>
      </c>
      <c r="J1826" s="8" t="s">
        <v>728</v>
      </c>
      <c r="K1826" s="8" t="s">
        <v>729</v>
      </c>
      <c r="L1826" s="8" t="s">
        <v>730</v>
      </c>
      <c r="M1826" s="1" t="s">
        <v>786</v>
      </c>
      <c r="N1826" s="8" t="s">
        <v>787</v>
      </c>
      <c r="O1826" s="6">
        <v>0</v>
      </c>
      <c r="P1826" s="6">
        <v>0</v>
      </c>
      <c r="Q1826" s="6">
        <v>0</v>
      </c>
      <c r="R1826" s="6">
        <v>36</v>
      </c>
      <c r="S1826" s="6">
        <v>0</v>
      </c>
    </row>
    <row r="1827" spans="1:19" ht="15" x14ac:dyDescent="0.25">
      <c r="A1827" s="7" t="s">
        <v>16</v>
      </c>
      <c r="B1827" s="7" t="s">
        <v>60</v>
      </c>
      <c r="C1827" s="7" t="s">
        <v>18</v>
      </c>
      <c r="D1827" s="3">
        <v>2643405000173</v>
      </c>
      <c r="E1827" s="8" t="s">
        <v>110</v>
      </c>
      <c r="F1827" s="8" t="s">
        <v>111</v>
      </c>
      <c r="G1827" s="8" t="s">
        <v>21</v>
      </c>
      <c r="H1827" s="8" t="s">
        <v>795</v>
      </c>
      <c r="I1827" s="3">
        <v>2</v>
      </c>
      <c r="J1827" s="8" t="s">
        <v>726</v>
      </c>
      <c r="K1827" s="8" t="s">
        <v>727</v>
      </c>
      <c r="L1827" s="8" t="s">
        <v>723</v>
      </c>
      <c r="M1827" s="1" t="s">
        <v>786</v>
      </c>
      <c r="N1827" s="8" t="s">
        <v>787</v>
      </c>
      <c r="O1827" s="6">
        <v>0</v>
      </c>
      <c r="P1827" s="6">
        <v>0</v>
      </c>
      <c r="Q1827" s="6">
        <v>0</v>
      </c>
      <c r="R1827" s="6">
        <v>0</v>
      </c>
      <c r="S1827" s="6">
        <v>0</v>
      </c>
    </row>
    <row r="1828" spans="1:19" ht="15" x14ac:dyDescent="0.25">
      <c r="A1828" s="7" t="s">
        <v>16</v>
      </c>
      <c r="B1828" s="7" t="s">
        <v>60</v>
      </c>
      <c r="C1828" s="7" t="s">
        <v>18</v>
      </c>
      <c r="D1828" s="3">
        <v>60003761000129</v>
      </c>
      <c r="E1828" s="8" t="s">
        <v>174</v>
      </c>
      <c r="F1828" s="8" t="s">
        <v>111</v>
      </c>
      <c r="G1828" s="8" t="s">
        <v>21</v>
      </c>
      <c r="H1828" s="8" t="s">
        <v>795</v>
      </c>
      <c r="I1828" s="3">
        <v>2</v>
      </c>
      <c r="J1828" s="8" t="s">
        <v>728</v>
      </c>
      <c r="K1828" s="8" t="s">
        <v>729</v>
      </c>
      <c r="L1828" s="8" t="s">
        <v>730</v>
      </c>
      <c r="M1828" s="1" t="s">
        <v>786</v>
      </c>
      <c r="N1828" s="8" t="s">
        <v>787</v>
      </c>
      <c r="O1828" s="6">
        <v>0</v>
      </c>
      <c r="P1828" s="6">
        <v>0</v>
      </c>
      <c r="Q1828" s="6">
        <v>0</v>
      </c>
      <c r="R1828" s="6">
        <v>0</v>
      </c>
      <c r="S1828" s="6">
        <v>0</v>
      </c>
    </row>
    <row r="1829" spans="1:19" ht="15" x14ac:dyDescent="0.25">
      <c r="A1829" s="7" t="s">
        <v>16</v>
      </c>
      <c r="B1829" s="7" t="s">
        <v>60</v>
      </c>
      <c r="C1829" s="7" t="s">
        <v>18</v>
      </c>
      <c r="D1829" s="3">
        <v>60003761000129</v>
      </c>
      <c r="E1829" s="8" t="s">
        <v>174</v>
      </c>
      <c r="F1829" s="8" t="s">
        <v>111</v>
      </c>
      <c r="G1829" s="8" t="s">
        <v>21</v>
      </c>
      <c r="H1829" s="8" t="s">
        <v>795</v>
      </c>
      <c r="I1829" s="3">
        <v>2</v>
      </c>
      <c r="J1829" s="8" t="s">
        <v>726</v>
      </c>
      <c r="K1829" s="8" t="s">
        <v>727</v>
      </c>
      <c r="L1829" s="8" t="s">
        <v>723</v>
      </c>
      <c r="M1829" s="1" t="s">
        <v>786</v>
      </c>
      <c r="N1829" s="8" t="s">
        <v>787</v>
      </c>
      <c r="O1829" s="6">
        <v>0</v>
      </c>
      <c r="P1829" s="6">
        <v>15</v>
      </c>
      <c r="Q1829" s="6">
        <v>10</v>
      </c>
      <c r="R1829" s="6">
        <v>0</v>
      </c>
      <c r="S1829" s="6">
        <v>0</v>
      </c>
    </row>
    <row r="1830" spans="1:19" ht="15" x14ac:dyDescent="0.25">
      <c r="A1830" s="7" t="s">
        <v>16</v>
      </c>
      <c r="B1830" s="7" t="s">
        <v>60</v>
      </c>
      <c r="C1830" s="7" t="s">
        <v>18</v>
      </c>
      <c r="D1830" s="3">
        <v>45184066000117</v>
      </c>
      <c r="E1830" s="8" t="s">
        <v>146</v>
      </c>
      <c r="F1830" s="8" t="s">
        <v>117</v>
      </c>
      <c r="G1830" s="8" t="s">
        <v>21</v>
      </c>
      <c r="H1830" s="8" t="s">
        <v>795</v>
      </c>
      <c r="I1830" s="3">
        <v>2</v>
      </c>
      <c r="J1830" s="8" t="s">
        <v>740</v>
      </c>
      <c r="K1830" s="8" t="s">
        <v>741</v>
      </c>
      <c r="L1830" s="8" t="s">
        <v>730</v>
      </c>
      <c r="M1830" s="1" t="s">
        <v>786</v>
      </c>
      <c r="N1830" s="8" t="s">
        <v>787</v>
      </c>
      <c r="O1830" s="6">
        <v>0</v>
      </c>
      <c r="P1830" s="6">
        <v>0</v>
      </c>
      <c r="Q1830" s="6">
        <v>0</v>
      </c>
      <c r="R1830" s="6">
        <v>15</v>
      </c>
      <c r="S1830" s="6">
        <v>100</v>
      </c>
    </row>
    <row r="1831" spans="1:19" ht="15" x14ac:dyDescent="0.25">
      <c r="A1831" s="7" t="s">
        <v>16</v>
      </c>
      <c r="B1831" s="7" t="s">
        <v>60</v>
      </c>
      <c r="C1831" s="7" t="s">
        <v>18</v>
      </c>
      <c r="D1831" s="3">
        <v>45184066000117</v>
      </c>
      <c r="E1831" s="8" t="s">
        <v>146</v>
      </c>
      <c r="F1831" s="8" t="s">
        <v>117</v>
      </c>
      <c r="G1831" s="8" t="s">
        <v>21</v>
      </c>
      <c r="H1831" s="8" t="s">
        <v>795</v>
      </c>
      <c r="I1831" s="3">
        <v>2</v>
      </c>
      <c r="J1831" s="8" t="s">
        <v>762</v>
      </c>
      <c r="K1831" s="8" t="s">
        <v>763</v>
      </c>
      <c r="L1831" s="8" t="s">
        <v>723</v>
      </c>
      <c r="M1831" s="1" t="s">
        <v>786</v>
      </c>
      <c r="N1831" s="8" t="s">
        <v>787</v>
      </c>
      <c r="O1831" s="6">
        <v>0</v>
      </c>
      <c r="P1831" s="6">
        <v>0</v>
      </c>
      <c r="Q1831" s="6">
        <v>0</v>
      </c>
      <c r="R1831" s="6">
        <v>0</v>
      </c>
      <c r="S1831" s="6">
        <v>100</v>
      </c>
    </row>
    <row r="1832" spans="1:19" ht="15" x14ac:dyDescent="0.25">
      <c r="A1832" s="7" t="s">
        <v>16</v>
      </c>
      <c r="B1832" s="7" t="s">
        <v>60</v>
      </c>
      <c r="C1832" s="7" t="s">
        <v>18</v>
      </c>
      <c r="D1832" s="3">
        <v>60214517001691</v>
      </c>
      <c r="E1832" s="8" t="s">
        <v>176</v>
      </c>
      <c r="F1832" s="8" t="s">
        <v>117</v>
      </c>
      <c r="G1832" s="8" t="s">
        <v>21</v>
      </c>
      <c r="H1832" s="8" t="s">
        <v>795</v>
      </c>
      <c r="I1832" s="3">
        <v>2</v>
      </c>
      <c r="J1832" s="8" t="s">
        <v>740</v>
      </c>
      <c r="K1832" s="8" t="s">
        <v>741</v>
      </c>
      <c r="L1832" s="8" t="s">
        <v>730</v>
      </c>
      <c r="M1832" s="1" t="s">
        <v>786</v>
      </c>
      <c r="N1832" s="8" t="s">
        <v>787</v>
      </c>
      <c r="O1832" s="6">
        <v>0</v>
      </c>
      <c r="P1832" s="6">
        <v>0</v>
      </c>
      <c r="Q1832" s="6">
        <v>0</v>
      </c>
      <c r="R1832" s="6">
        <v>0</v>
      </c>
      <c r="S1832" s="6">
        <v>605</v>
      </c>
    </row>
    <row r="1833" spans="1:19" ht="15" x14ac:dyDescent="0.25">
      <c r="A1833" s="7" t="s">
        <v>16</v>
      </c>
      <c r="B1833" s="7" t="s">
        <v>60</v>
      </c>
      <c r="C1833" s="7" t="s">
        <v>18</v>
      </c>
      <c r="D1833" s="3">
        <v>60214517001691</v>
      </c>
      <c r="E1833" s="8" t="s">
        <v>176</v>
      </c>
      <c r="F1833" s="8" t="s">
        <v>117</v>
      </c>
      <c r="G1833" s="8" t="s">
        <v>21</v>
      </c>
      <c r="H1833" s="8" t="s">
        <v>795</v>
      </c>
      <c r="I1833" s="3">
        <v>2</v>
      </c>
      <c r="J1833" s="8" t="s">
        <v>762</v>
      </c>
      <c r="K1833" s="8" t="s">
        <v>763</v>
      </c>
      <c r="L1833" s="8" t="s">
        <v>723</v>
      </c>
      <c r="M1833" s="1" t="s">
        <v>786</v>
      </c>
      <c r="N1833" s="8" t="s">
        <v>787</v>
      </c>
      <c r="O1833" s="6">
        <v>0</v>
      </c>
      <c r="P1833" s="6">
        <v>0</v>
      </c>
      <c r="Q1833" s="6">
        <v>0</v>
      </c>
      <c r="R1833" s="6">
        <v>0</v>
      </c>
      <c r="S1833" s="6">
        <v>605</v>
      </c>
    </row>
    <row r="1834" spans="1:19" ht="15" x14ac:dyDescent="0.25">
      <c r="A1834" s="7" t="s">
        <v>16</v>
      </c>
      <c r="B1834" s="7" t="s">
        <v>60</v>
      </c>
      <c r="C1834" s="7" t="s">
        <v>18</v>
      </c>
      <c r="D1834" s="3">
        <v>6047087003073</v>
      </c>
      <c r="E1834" s="8" t="s">
        <v>116</v>
      </c>
      <c r="F1834" s="8" t="s">
        <v>117</v>
      </c>
      <c r="G1834" s="8" t="s">
        <v>21</v>
      </c>
      <c r="H1834" s="8" t="s">
        <v>795</v>
      </c>
      <c r="I1834" s="3">
        <v>2</v>
      </c>
      <c r="J1834" s="8" t="s">
        <v>740</v>
      </c>
      <c r="K1834" s="8" t="s">
        <v>741</v>
      </c>
      <c r="L1834" s="8" t="s">
        <v>730</v>
      </c>
      <c r="M1834" s="1" t="s">
        <v>786</v>
      </c>
      <c r="N1834" s="8" t="s">
        <v>787</v>
      </c>
      <c r="O1834" s="6">
        <v>3</v>
      </c>
      <c r="P1834" s="6">
        <v>0</v>
      </c>
      <c r="Q1834" s="6">
        <v>0</v>
      </c>
      <c r="R1834" s="6">
        <v>48</v>
      </c>
      <c r="S1834" s="6">
        <v>0</v>
      </c>
    </row>
    <row r="1835" spans="1:19" ht="15" x14ac:dyDescent="0.25">
      <c r="A1835" s="7" t="s">
        <v>16</v>
      </c>
      <c r="B1835" s="7" t="s">
        <v>60</v>
      </c>
      <c r="C1835" s="7" t="s">
        <v>18</v>
      </c>
      <c r="D1835" s="3">
        <v>6047087003073</v>
      </c>
      <c r="E1835" s="8" t="s">
        <v>116</v>
      </c>
      <c r="F1835" s="8" t="s">
        <v>117</v>
      </c>
      <c r="G1835" s="8" t="s">
        <v>21</v>
      </c>
      <c r="H1835" s="8" t="s">
        <v>795</v>
      </c>
      <c r="I1835" s="3">
        <v>2</v>
      </c>
      <c r="J1835" s="8" t="s">
        <v>762</v>
      </c>
      <c r="K1835" s="8" t="s">
        <v>763</v>
      </c>
      <c r="L1835" s="8" t="s">
        <v>723</v>
      </c>
      <c r="M1835" s="1" t="s">
        <v>786</v>
      </c>
      <c r="N1835" s="8" t="s">
        <v>787</v>
      </c>
      <c r="O1835" s="6">
        <v>0</v>
      </c>
      <c r="P1835" s="6">
        <v>0</v>
      </c>
      <c r="Q1835" s="6">
        <v>0</v>
      </c>
      <c r="R1835" s="6">
        <v>0</v>
      </c>
      <c r="S1835" s="6">
        <v>0</v>
      </c>
    </row>
    <row r="1836" spans="1:19" ht="15" x14ac:dyDescent="0.25">
      <c r="A1836" s="7" t="s">
        <v>16</v>
      </c>
      <c r="B1836" s="7" t="s">
        <v>60</v>
      </c>
      <c r="C1836" s="7" t="s">
        <v>18</v>
      </c>
      <c r="D1836" s="3">
        <v>46643466000106</v>
      </c>
      <c r="E1836" s="8" t="s">
        <v>203</v>
      </c>
      <c r="F1836" s="8" t="s">
        <v>117</v>
      </c>
      <c r="G1836" s="8" t="s">
        <v>21</v>
      </c>
      <c r="H1836" s="8" t="s">
        <v>795</v>
      </c>
      <c r="I1836" s="3">
        <v>2</v>
      </c>
      <c r="J1836" s="8" t="s">
        <v>740</v>
      </c>
      <c r="K1836" s="8" t="s">
        <v>741</v>
      </c>
      <c r="L1836" s="8" t="s">
        <v>730</v>
      </c>
      <c r="M1836" s="1" t="s">
        <v>786</v>
      </c>
      <c r="N1836" s="8" t="s">
        <v>787</v>
      </c>
      <c r="O1836" s="6">
        <v>0</v>
      </c>
      <c r="P1836" s="6">
        <v>0</v>
      </c>
      <c r="Q1836" s="6">
        <v>0</v>
      </c>
      <c r="R1836" s="6">
        <v>0</v>
      </c>
      <c r="S1836" s="6">
        <v>700</v>
      </c>
    </row>
    <row r="1837" spans="1:19" ht="15" x14ac:dyDescent="0.25">
      <c r="A1837" s="7" t="s">
        <v>16</v>
      </c>
      <c r="B1837" s="7" t="s">
        <v>60</v>
      </c>
      <c r="C1837" s="7" t="s">
        <v>18</v>
      </c>
      <c r="D1837" s="3">
        <v>46643466000106</v>
      </c>
      <c r="E1837" s="8" t="s">
        <v>203</v>
      </c>
      <c r="F1837" s="8" t="s">
        <v>117</v>
      </c>
      <c r="G1837" s="8" t="s">
        <v>21</v>
      </c>
      <c r="H1837" s="8" t="s">
        <v>795</v>
      </c>
      <c r="I1837" s="3">
        <v>2</v>
      </c>
      <c r="J1837" s="8" t="s">
        <v>762</v>
      </c>
      <c r="K1837" s="8" t="s">
        <v>763</v>
      </c>
      <c r="L1837" s="8" t="s">
        <v>723</v>
      </c>
      <c r="M1837" s="1" t="s">
        <v>786</v>
      </c>
      <c r="N1837" s="8" t="s">
        <v>787</v>
      </c>
      <c r="O1837" s="6">
        <v>0</v>
      </c>
      <c r="P1837" s="6">
        <v>0</v>
      </c>
      <c r="Q1837" s="6">
        <v>0</v>
      </c>
      <c r="R1837" s="6">
        <v>0</v>
      </c>
      <c r="S1837" s="6">
        <v>700</v>
      </c>
    </row>
    <row r="1838" spans="1:19" ht="15" x14ac:dyDescent="0.25">
      <c r="A1838" s="7" t="s">
        <v>16</v>
      </c>
      <c r="B1838" s="7" t="s">
        <v>60</v>
      </c>
      <c r="C1838" s="7" t="s">
        <v>18</v>
      </c>
      <c r="D1838" s="3">
        <v>18321477000134</v>
      </c>
      <c r="E1838" s="8" t="s">
        <v>125</v>
      </c>
      <c r="F1838" s="8" t="s">
        <v>805</v>
      </c>
      <c r="G1838" s="8" t="s">
        <v>21</v>
      </c>
      <c r="H1838" s="8" t="s">
        <v>795</v>
      </c>
      <c r="I1838" s="3">
        <v>2</v>
      </c>
      <c r="J1838" s="8" t="s">
        <v>740</v>
      </c>
      <c r="K1838" s="8" t="s">
        <v>741</v>
      </c>
      <c r="L1838" s="8" t="s">
        <v>730</v>
      </c>
      <c r="M1838" s="1" t="s">
        <v>786</v>
      </c>
      <c r="N1838" s="8" t="s">
        <v>787</v>
      </c>
      <c r="O1838" s="6">
        <v>0</v>
      </c>
      <c r="P1838" s="6">
        <v>0</v>
      </c>
      <c r="Q1838" s="6">
        <v>0</v>
      </c>
      <c r="R1838" s="6">
        <v>48</v>
      </c>
      <c r="S1838" s="6">
        <v>0</v>
      </c>
    </row>
    <row r="1839" spans="1:19" ht="15" x14ac:dyDescent="0.25">
      <c r="A1839" s="7" t="s">
        <v>16</v>
      </c>
      <c r="B1839" s="7" t="s">
        <v>60</v>
      </c>
      <c r="C1839" s="7" t="s">
        <v>18</v>
      </c>
      <c r="D1839" s="3">
        <v>18321477000134</v>
      </c>
      <c r="E1839" s="8" t="s">
        <v>125</v>
      </c>
      <c r="F1839" s="8" t="s">
        <v>805</v>
      </c>
      <c r="G1839" s="8" t="s">
        <v>21</v>
      </c>
      <c r="H1839" s="8" t="s">
        <v>795</v>
      </c>
      <c r="I1839" s="3">
        <v>2</v>
      </c>
      <c r="J1839" s="8" t="s">
        <v>762</v>
      </c>
      <c r="K1839" s="8" t="s">
        <v>763</v>
      </c>
      <c r="L1839" s="8" t="s">
        <v>723</v>
      </c>
      <c r="M1839" s="1" t="s">
        <v>786</v>
      </c>
      <c r="N1839" s="8" t="s">
        <v>787</v>
      </c>
      <c r="O1839" s="6">
        <v>0</v>
      </c>
      <c r="P1839" s="6">
        <v>0</v>
      </c>
      <c r="Q1839" s="6">
        <v>0</v>
      </c>
      <c r="R1839" s="6">
        <v>0</v>
      </c>
      <c r="S1839" s="6">
        <v>0</v>
      </c>
    </row>
    <row r="1840" spans="1:19" ht="15" x14ac:dyDescent="0.25">
      <c r="A1840" s="7" t="s">
        <v>16</v>
      </c>
      <c r="B1840" s="7" t="s">
        <v>60</v>
      </c>
      <c r="C1840" s="7" t="s">
        <v>18</v>
      </c>
      <c r="D1840" s="3">
        <v>60961968000106</v>
      </c>
      <c r="E1840" s="8" t="s">
        <v>50</v>
      </c>
      <c r="F1840" s="8" t="s">
        <v>20</v>
      </c>
      <c r="G1840" s="8" t="s">
        <v>21</v>
      </c>
      <c r="H1840" s="8" t="s">
        <v>795</v>
      </c>
      <c r="I1840" s="3">
        <v>2</v>
      </c>
      <c r="J1840" s="8" t="s">
        <v>770</v>
      </c>
      <c r="K1840" s="8" t="s">
        <v>771</v>
      </c>
      <c r="L1840" s="8" t="s">
        <v>730</v>
      </c>
      <c r="M1840" s="1" t="s">
        <v>786</v>
      </c>
      <c r="N1840" s="8" t="s">
        <v>787</v>
      </c>
      <c r="O1840" s="6">
        <v>0</v>
      </c>
      <c r="P1840" s="6">
        <v>0</v>
      </c>
      <c r="Q1840" s="6">
        <v>0</v>
      </c>
      <c r="R1840" s="6">
        <v>0</v>
      </c>
      <c r="S1840" s="6">
        <v>0</v>
      </c>
    </row>
    <row r="1841" spans="1:19" ht="15" x14ac:dyDescent="0.25">
      <c r="A1841" s="7" t="s">
        <v>16</v>
      </c>
      <c r="B1841" s="7" t="s">
        <v>60</v>
      </c>
      <c r="C1841" s="7" t="s">
        <v>18</v>
      </c>
      <c r="D1841" s="3">
        <v>60961968000106</v>
      </c>
      <c r="E1841" s="8" t="s">
        <v>50</v>
      </c>
      <c r="F1841" s="8" t="s">
        <v>20</v>
      </c>
      <c r="G1841" s="8" t="s">
        <v>21</v>
      </c>
      <c r="H1841" s="8" t="s">
        <v>795</v>
      </c>
      <c r="I1841" s="3">
        <v>2</v>
      </c>
      <c r="J1841" s="8" t="s">
        <v>756</v>
      </c>
      <c r="K1841" s="8" t="s">
        <v>757</v>
      </c>
      <c r="L1841" s="8" t="s">
        <v>723</v>
      </c>
      <c r="M1841" s="1" t="s">
        <v>786</v>
      </c>
      <c r="N1841" s="8" t="s">
        <v>787</v>
      </c>
      <c r="O1841" s="6">
        <v>0</v>
      </c>
      <c r="P1841" s="6">
        <v>40</v>
      </c>
      <c r="Q1841" s="6">
        <v>5</v>
      </c>
      <c r="R1841" s="6">
        <v>0</v>
      </c>
      <c r="S1841" s="6">
        <v>0</v>
      </c>
    </row>
    <row r="1842" spans="1:19" ht="15" x14ac:dyDescent="0.25">
      <c r="A1842" s="7" t="s">
        <v>16</v>
      </c>
      <c r="B1842" s="7" t="s">
        <v>60</v>
      </c>
      <c r="C1842" s="7" t="s">
        <v>18</v>
      </c>
      <c r="D1842" s="3">
        <v>51722957010226</v>
      </c>
      <c r="E1842" s="8" t="s">
        <v>39</v>
      </c>
      <c r="F1842" s="8" t="s">
        <v>20</v>
      </c>
      <c r="G1842" s="8" t="s">
        <v>21</v>
      </c>
      <c r="H1842" s="8" t="s">
        <v>795</v>
      </c>
      <c r="I1842" s="3">
        <v>2</v>
      </c>
      <c r="J1842" s="8" t="s">
        <v>740</v>
      </c>
      <c r="K1842" s="8" t="s">
        <v>741</v>
      </c>
      <c r="L1842" s="8" t="s">
        <v>730</v>
      </c>
      <c r="M1842" s="1" t="s">
        <v>786</v>
      </c>
      <c r="N1842" s="8" t="s">
        <v>787</v>
      </c>
      <c r="O1842" s="6">
        <v>0</v>
      </c>
      <c r="P1842" s="6">
        <v>0</v>
      </c>
      <c r="Q1842" s="6">
        <v>0</v>
      </c>
      <c r="R1842" s="6">
        <v>106</v>
      </c>
      <c r="S1842" s="6">
        <v>1125</v>
      </c>
    </row>
    <row r="1843" spans="1:19" ht="15" x14ac:dyDescent="0.25">
      <c r="A1843" s="7" t="s">
        <v>16</v>
      </c>
      <c r="B1843" s="7" t="s">
        <v>60</v>
      </c>
      <c r="C1843" s="7" t="s">
        <v>18</v>
      </c>
      <c r="D1843" s="3">
        <v>51722957010226</v>
      </c>
      <c r="E1843" s="8" t="s">
        <v>39</v>
      </c>
      <c r="F1843" s="8" t="s">
        <v>20</v>
      </c>
      <c r="G1843" s="8" t="s">
        <v>21</v>
      </c>
      <c r="H1843" s="8" t="s">
        <v>795</v>
      </c>
      <c r="I1843" s="3">
        <v>2</v>
      </c>
      <c r="J1843" s="8" t="s">
        <v>762</v>
      </c>
      <c r="K1843" s="8" t="s">
        <v>763</v>
      </c>
      <c r="L1843" s="8" t="s">
        <v>723</v>
      </c>
      <c r="M1843" s="1" t="s">
        <v>786</v>
      </c>
      <c r="N1843" s="8" t="s">
        <v>787</v>
      </c>
      <c r="O1843" s="6">
        <v>0</v>
      </c>
      <c r="P1843" s="6">
        <v>0</v>
      </c>
      <c r="Q1843" s="6">
        <v>0</v>
      </c>
      <c r="R1843" s="6">
        <v>0</v>
      </c>
      <c r="S1843" s="6">
        <v>1125</v>
      </c>
    </row>
    <row r="1844" spans="1:19" ht="15" x14ac:dyDescent="0.25">
      <c r="A1844" s="7" t="s">
        <v>16</v>
      </c>
      <c r="B1844" s="7" t="s">
        <v>60</v>
      </c>
      <c r="C1844" s="7" t="s">
        <v>18</v>
      </c>
      <c r="D1844" s="3">
        <v>51722957000506</v>
      </c>
      <c r="E1844" s="8" t="s">
        <v>59</v>
      </c>
      <c r="F1844" s="8" t="s">
        <v>20</v>
      </c>
      <c r="G1844" s="8" t="s">
        <v>21</v>
      </c>
      <c r="H1844" s="8" t="s">
        <v>795</v>
      </c>
      <c r="I1844" s="3">
        <v>2</v>
      </c>
      <c r="J1844" s="8" t="s">
        <v>740</v>
      </c>
      <c r="K1844" s="8" t="s">
        <v>741</v>
      </c>
      <c r="L1844" s="8" t="s">
        <v>730</v>
      </c>
      <c r="M1844" s="1" t="s">
        <v>786</v>
      </c>
      <c r="N1844" s="8" t="s">
        <v>787</v>
      </c>
      <c r="O1844" s="6">
        <v>3</v>
      </c>
      <c r="P1844" s="6">
        <v>0</v>
      </c>
      <c r="Q1844" s="6">
        <v>0</v>
      </c>
      <c r="R1844" s="6">
        <v>0</v>
      </c>
      <c r="S1844" s="6">
        <v>1170</v>
      </c>
    </row>
    <row r="1845" spans="1:19" ht="15" x14ac:dyDescent="0.25">
      <c r="A1845" s="7" t="s">
        <v>16</v>
      </c>
      <c r="B1845" s="7" t="s">
        <v>60</v>
      </c>
      <c r="C1845" s="7" t="s">
        <v>18</v>
      </c>
      <c r="D1845" s="3">
        <v>51722957000506</v>
      </c>
      <c r="E1845" s="8" t="s">
        <v>59</v>
      </c>
      <c r="F1845" s="8" t="s">
        <v>20</v>
      </c>
      <c r="G1845" s="8" t="s">
        <v>21</v>
      </c>
      <c r="H1845" s="8" t="s">
        <v>795</v>
      </c>
      <c r="I1845" s="3">
        <v>2</v>
      </c>
      <c r="J1845" s="8" t="s">
        <v>762</v>
      </c>
      <c r="K1845" s="8" t="s">
        <v>763</v>
      </c>
      <c r="L1845" s="8" t="s">
        <v>723</v>
      </c>
      <c r="M1845" s="1" t="s">
        <v>786</v>
      </c>
      <c r="N1845" s="8" t="s">
        <v>787</v>
      </c>
      <c r="O1845" s="6">
        <v>0</v>
      </c>
      <c r="P1845" s="6">
        <v>0</v>
      </c>
      <c r="Q1845" s="6">
        <v>0</v>
      </c>
      <c r="R1845" s="6">
        <v>0</v>
      </c>
      <c r="S1845" s="6">
        <v>1170</v>
      </c>
    </row>
    <row r="1846" spans="1:19" ht="15" x14ac:dyDescent="0.25">
      <c r="A1846" s="7" t="s">
        <v>16</v>
      </c>
      <c r="B1846" s="7" t="s">
        <v>60</v>
      </c>
      <c r="C1846" s="7" t="s">
        <v>18</v>
      </c>
      <c r="D1846" s="3">
        <v>60992427000650</v>
      </c>
      <c r="E1846" s="8" t="s">
        <v>100</v>
      </c>
      <c r="F1846" s="8" t="s">
        <v>20</v>
      </c>
      <c r="G1846" s="8" t="s">
        <v>21</v>
      </c>
      <c r="H1846" s="8" t="s">
        <v>795</v>
      </c>
      <c r="I1846" s="3">
        <v>2</v>
      </c>
      <c r="J1846" s="8" t="s">
        <v>740</v>
      </c>
      <c r="K1846" s="8" t="s">
        <v>741</v>
      </c>
      <c r="L1846" s="8" t="s">
        <v>730</v>
      </c>
      <c r="M1846" s="1" t="s">
        <v>786</v>
      </c>
      <c r="N1846" s="8" t="s">
        <v>787</v>
      </c>
      <c r="O1846" s="6">
        <v>0</v>
      </c>
      <c r="P1846" s="6">
        <v>0</v>
      </c>
      <c r="Q1846" s="6">
        <v>0</v>
      </c>
      <c r="R1846" s="6">
        <v>0</v>
      </c>
      <c r="S1846" s="6">
        <v>0</v>
      </c>
    </row>
    <row r="1847" spans="1:19" ht="15" x14ac:dyDescent="0.25">
      <c r="A1847" s="7" t="s">
        <v>16</v>
      </c>
      <c r="B1847" s="7" t="s">
        <v>60</v>
      </c>
      <c r="C1847" s="7" t="s">
        <v>18</v>
      </c>
      <c r="D1847" s="3">
        <v>60992427000650</v>
      </c>
      <c r="E1847" s="8" t="s">
        <v>100</v>
      </c>
      <c r="F1847" s="8" t="s">
        <v>20</v>
      </c>
      <c r="G1847" s="8" t="s">
        <v>21</v>
      </c>
      <c r="H1847" s="8" t="s">
        <v>795</v>
      </c>
      <c r="I1847" s="3">
        <v>2</v>
      </c>
      <c r="J1847" s="8" t="s">
        <v>724</v>
      </c>
      <c r="K1847" s="8" t="s">
        <v>725</v>
      </c>
      <c r="L1847" s="8" t="s">
        <v>723</v>
      </c>
      <c r="M1847" s="1" t="s">
        <v>786</v>
      </c>
      <c r="N1847" s="8" t="s">
        <v>787</v>
      </c>
      <c r="O1847" s="6">
        <v>0</v>
      </c>
      <c r="P1847" s="6">
        <v>1</v>
      </c>
      <c r="Q1847" s="6">
        <v>3</v>
      </c>
      <c r="R1847" s="6">
        <v>0</v>
      </c>
      <c r="S1847" s="6">
        <v>0</v>
      </c>
    </row>
    <row r="1848" spans="1:19" ht="15" x14ac:dyDescent="0.25">
      <c r="A1848" s="7" t="s">
        <v>16</v>
      </c>
      <c r="B1848" s="7" t="s">
        <v>60</v>
      </c>
      <c r="C1848" s="7" t="s">
        <v>18</v>
      </c>
      <c r="D1848" s="3">
        <v>2383508000494</v>
      </c>
      <c r="E1848" s="8" t="s">
        <v>56</v>
      </c>
      <c r="F1848" s="8" t="s">
        <v>20</v>
      </c>
      <c r="G1848" s="8" t="s">
        <v>21</v>
      </c>
      <c r="H1848" s="8" t="s">
        <v>795</v>
      </c>
      <c r="I1848" s="3">
        <v>2</v>
      </c>
      <c r="J1848" s="8" t="s">
        <v>740</v>
      </c>
      <c r="K1848" s="8" t="s">
        <v>741</v>
      </c>
      <c r="L1848" s="8" t="s">
        <v>730</v>
      </c>
      <c r="M1848" s="1" t="s">
        <v>786</v>
      </c>
      <c r="N1848" s="8" t="s">
        <v>787</v>
      </c>
      <c r="O1848" s="6">
        <v>0</v>
      </c>
      <c r="P1848" s="6">
        <v>0</v>
      </c>
      <c r="Q1848" s="6">
        <v>0</v>
      </c>
      <c r="R1848" s="6">
        <v>15</v>
      </c>
      <c r="S1848" s="6">
        <v>280</v>
      </c>
    </row>
    <row r="1849" spans="1:19" ht="15" x14ac:dyDescent="0.25">
      <c r="A1849" s="7" t="s">
        <v>16</v>
      </c>
      <c r="B1849" s="7" t="s">
        <v>60</v>
      </c>
      <c r="C1849" s="7" t="s">
        <v>18</v>
      </c>
      <c r="D1849" s="3">
        <v>2383508000494</v>
      </c>
      <c r="E1849" s="8" t="s">
        <v>56</v>
      </c>
      <c r="F1849" s="8" t="s">
        <v>20</v>
      </c>
      <c r="G1849" s="8" t="s">
        <v>21</v>
      </c>
      <c r="H1849" s="8" t="s">
        <v>795</v>
      </c>
      <c r="I1849" s="3">
        <v>2</v>
      </c>
      <c r="J1849" s="8" t="s">
        <v>724</v>
      </c>
      <c r="K1849" s="8" t="s">
        <v>725</v>
      </c>
      <c r="L1849" s="8" t="s">
        <v>723</v>
      </c>
      <c r="M1849" s="1" t="s">
        <v>786</v>
      </c>
      <c r="N1849" s="8" t="s">
        <v>787</v>
      </c>
      <c r="O1849" s="6">
        <v>0</v>
      </c>
      <c r="P1849" s="6">
        <v>0</v>
      </c>
      <c r="Q1849" s="6">
        <v>0</v>
      </c>
      <c r="R1849" s="6">
        <v>0</v>
      </c>
      <c r="S1849" s="6">
        <v>280</v>
      </c>
    </row>
    <row r="1850" spans="1:19" ht="15" x14ac:dyDescent="0.25">
      <c r="A1850" s="7" t="s">
        <v>16</v>
      </c>
      <c r="B1850" s="7" t="s">
        <v>60</v>
      </c>
      <c r="C1850" s="7" t="s">
        <v>18</v>
      </c>
      <c r="D1850" s="3">
        <v>8871521000126</v>
      </c>
      <c r="E1850" s="8" t="s">
        <v>28</v>
      </c>
      <c r="F1850" s="8" t="s">
        <v>20</v>
      </c>
      <c r="G1850" s="8" t="s">
        <v>21</v>
      </c>
      <c r="H1850" s="8" t="s">
        <v>795</v>
      </c>
      <c r="I1850" s="3">
        <v>2</v>
      </c>
      <c r="J1850" s="8" t="s">
        <v>770</v>
      </c>
      <c r="K1850" s="8" t="s">
        <v>771</v>
      </c>
      <c r="L1850" s="8" t="s">
        <v>730</v>
      </c>
      <c r="M1850" s="1" t="s">
        <v>786</v>
      </c>
      <c r="N1850" s="8" t="s">
        <v>787</v>
      </c>
      <c r="O1850" s="6">
        <v>0</v>
      </c>
      <c r="P1850" s="6">
        <v>0</v>
      </c>
      <c r="Q1850" s="6">
        <v>0</v>
      </c>
      <c r="R1850" s="6">
        <v>0</v>
      </c>
      <c r="S1850" s="6">
        <v>45</v>
      </c>
    </row>
    <row r="1851" spans="1:19" ht="15" x14ac:dyDescent="0.25">
      <c r="A1851" s="7" t="s">
        <v>16</v>
      </c>
      <c r="B1851" s="7" t="s">
        <v>60</v>
      </c>
      <c r="C1851" s="7" t="s">
        <v>18</v>
      </c>
      <c r="D1851" s="3">
        <v>8871521000126</v>
      </c>
      <c r="E1851" s="8" t="s">
        <v>28</v>
      </c>
      <c r="F1851" s="8" t="s">
        <v>20</v>
      </c>
      <c r="G1851" s="8" t="s">
        <v>21</v>
      </c>
      <c r="H1851" s="8" t="s">
        <v>795</v>
      </c>
      <c r="I1851" s="3">
        <v>2</v>
      </c>
      <c r="J1851" s="8" t="s">
        <v>756</v>
      </c>
      <c r="K1851" s="8" t="s">
        <v>757</v>
      </c>
      <c r="L1851" s="8" t="s">
        <v>723</v>
      </c>
      <c r="M1851" s="1" t="s">
        <v>786</v>
      </c>
      <c r="N1851" s="8" t="s">
        <v>787</v>
      </c>
      <c r="O1851" s="6">
        <v>0</v>
      </c>
      <c r="P1851" s="6">
        <v>0</v>
      </c>
      <c r="Q1851" s="6">
        <v>0</v>
      </c>
      <c r="R1851" s="6">
        <v>0</v>
      </c>
      <c r="S1851" s="6">
        <v>45</v>
      </c>
    </row>
    <row r="1852" spans="1:19" ht="15" x14ac:dyDescent="0.25">
      <c r="A1852" s="7" t="s">
        <v>16</v>
      </c>
      <c r="B1852" s="7" t="s">
        <v>60</v>
      </c>
      <c r="C1852" s="7" t="s">
        <v>18</v>
      </c>
      <c r="D1852" s="3">
        <v>59481028000130</v>
      </c>
      <c r="E1852" s="8" t="s">
        <v>42</v>
      </c>
      <c r="F1852" s="8" t="s">
        <v>20</v>
      </c>
      <c r="G1852" s="8" t="s">
        <v>21</v>
      </c>
      <c r="H1852" s="8" t="s">
        <v>795</v>
      </c>
      <c r="I1852" s="3">
        <v>2</v>
      </c>
      <c r="J1852" s="8" t="s">
        <v>740</v>
      </c>
      <c r="K1852" s="8" t="s">
        <v>741</v>
      </c>
      <c r="L1852" s="8" t="s">
        <v>730</v>
      </c>
      <c r="M1852" s="1" t="s">
        <v>786</v>
      </c>
      <c r="N1852" s="8" t="s">
        <v>787</v>
      </c>
      <c r="O1852" s="6">
        <v>0</v>
      </c>
      <c r="P1852" s="6">
        <v>0</v>
      </c>
      <c r="Q1852" s="6">
        <v>0</v>
      </c>
      <c r="R1852" s="6">
        <v>0</v>
      </c>
      <c r="S1852" s="6">
        <v>30</v>
      </c>
    </row>
    <row r="1853" spans="1:19" ht="15" x14ac:dyDescent="0.25">
      <c r="A1853" s="7" t="s">
        <v>16</v>
      </c>
      <c r="B1853" s="7" t="s">
        <v>60</v>
      </c>
      <c r="C1853" s="7" t="s">
        <v>18</v>
      </c>
      <c r="D1853" s="3">
        <v>59481028000130</v>
      </c>
      <c r="E1853" s="8" t="s">
        <v>42</v>
      </c>
      <c r="F1853" s="8" t="s">
        <v>20</v>
      </c>
      <c r="G1853" s="8" t="s">
        <v>21</v>
      </c>
      <c r="H1853" s="8" t="s">
        <v>795</v>
      </c>
      <c r="I1853" s="3">
        <v>2</v>
      </c>
      <c r="J1853" s="8" t="s">
        <v>724</v>
      </c>
      <c r="K1853" s="8" t="s">
        <v>725</v>
      </c>
      <c r="L1853" s="8" t="s">
        <v>723</v>
      </c>
      <c r="M1853" s="1" t="s">
        <v>786</v>
      </c>
      <c r="N1853" s="8" t="s">
        <v>787</v>
      </c>
      <c r="O1853" s="6">
        <v>0</v>
      </c>
      <c r="P1853" s="6">
        <v>0</v>
      </c>
      <c r="Q1853" s="6">
        <v>0</v>
      </c>
      <c r="R1853" s="6">
        <v>0</v>
      </c>
      <c r="S1853" s="6">
        <v>30</v>
      </c>
    </row>
    <row r="1854" spans="1:19" ht="15" x14ac:dyDescent="0.25">
      <c r="A1854" s="7" t="s">
        <v>16</v>
      </c>
      <c r="B1854" s="7" t="s">
        <v>60</v>
      </c>
      <c r="C1854" s="7" t="s">
        <v>18</v>
      </c>
      <c r="D1854" s="3">
        <v>46374500008845</v>
      </c>
      <c r="E1854" s="8" t="s">
        <v>61</v>
      </c>
      <c r="F1854" s="8" t="s">
        <v>20</v>
      </c>
      <c r="G1854" s="8" t="s">
        <v>21</v>
      </c>
      <c r="H1854" s="8" t="s">
        <v>795</v>
      </c>
      <c r="I1854" s="3">
        <v>2</v>
      </c>
      <c r="J1854" s="8" t="s">
        <v>740</v>
      </c>
      <c r="K1854" s="8" t="s">
        <v>741</v>
      </c>
      <c r="L1854" s="8" t="s">
        <v>730</v>
      </c>
      <c r="M1854" s="1" t="s">
        <v>786</v>
      </c>
      <c r="N1854" s="8" t="s">
        <v>787</v>
      </c>
      <c r="O1854" s="6">
        <v>0</v>
      </c>
      <c r="P1854" s="6">
        <v>0</v>
      </c>
      <c r="Q1854" s="6">
        <v>0</v>
      </c>
      <c r="R1854" s="6">
        <v>0</v>
      </c>
      <c r="S1854" s="6">
        <v>200</v>
      </c>
    </row>
    <row r="1855" spans="1:19" ht="15" x14ac:dyDescent="0.25">
      <c r="A1855" s="7" t="s">
        <v>16</v>
      </c>
      <c r="B1855" s="7" t="s">
        <v>60</v>
      </c>
      <c r="C1855" s="7" t="s">
        <v>18</v>
      </c>
      <c r="D1855" s="3">
        <v>46374500008845</v>
      </c>
      <c r="E1855" s="8" t="s">
        <v>61</v>
      </c>
      <c r="F1855" s="8" t="s">
        <v>20</v>
      </c>
      <c r="G1855" s="8" t="s">
        <v>21</v>
      </c>
      <c r="H1855" s="8" t="s">
        <v>795</v>
      </c>
      <c r="I1855" s="3">
        <v>2</v>
      </c>
      <c r="J1855" s="8" t="s">
        <v>756</v>
      </c>
      <c r="K1855" s="8" t="s">
        <v>757</v>
      </c>
      <c r="L1855" s="8" t="s">
        <v>723</v>
      </c>
      <c r="M1855" s="1" t="s">
        <v>786</v>
      </c>
      <c r="N1855" s="8" t="s">
        <v>787</v>
      </c>
      <c r="O1855" s="6">
        <v>0</v>
      </c>
      <c r="P1855" s="6">
        <v>0</v>
      </c>
      <c r="Q1855" s="6">
        <v>0</v>
      </c>
      <c r="R1855" s="6">
        <v>0</v>
      </c>
      <c r="S1855" s="6">
        <v>200</v>
      </c>
    </row>
    <row r="1856" spans="1:19" ht="15" x14ac:dyDescent="0.25">
      <c r="A1856" s="7" t="s">
        <v>16</v>
      </c>
      <c r="B1856" s="7" t="s">
        <v>60</v>
      </c>
      <c r="C1856" s="7" t="s">
        <v>18</v>
      </c>
      <c r="D1856" s="3">
        <v>46374500026231</v>
      </c>
      <c r="E1856" s="8" t="s">
        <v>58</v>
      </c>
      <c r="F1856" s="8" t="s">
        <v>20</v>
      </c>
      <c r="G1856" s="8" t="s">
        <v>21</v>
      </c>
      <c r="H1856" s="8" t="s">
        <v>795</v>
      </c>
      <c r="I1856" s="3">
        <v>2</v>
      </c>
      <c r="J1856" s="8" t="s">
        <v>770</v>
      </c>
      <c r="K1856" s="8" t="s">
        <v>771</v>
      </c>
      <c r="L1856" s="8" t="s">
        <v>730</v>
      </c>
      <c r="M1856" s="1" t="s">
        <v>786</v>
      </c>
      <c r="N1856" s="8" t="s">
        <v>787</v>
      </c>
      <c r="O1856" s="6">
        <v>28</v>
      </c>
      <c r="P1856" s="6">
        <v>0</v>
      </c>
      <c r="Q1856" s="6">
        <v>0</v>
      </c>
      <c r="R1856" s="6">
        <v>192</v>
      </c>
      <c r="S1856" s="6">
        <v>0</v>
      </c>
    </row>
    <row r="1857" spans="1:19" ht="15" x14ac:dyDescent="0.25">
      <c r="A1857" s="7" t="s">
        <v>16</v>
      </c>
      <c r="B1857" s="7" t="s">
        <v>60</v>
      </c>
      <c r="C1857" s="7" t="s">
        <v>18</v>
      </c>
      <c r="D1857" s="3">
        <v>46374500026231</v>
      </c>
      <c r="E1857" s="8" t="s">
        <v>58</v>
      </c>
      <c r="F1857" s="8" t="s">
        <v>20</v>
      </c>
      <c r="G1857" s="8" t="s">
        <v>21</v>
      </c>
      <c r="H1857" s="8" t="s">
        <v>795</v>
      </c>
      <c r="I1857" s="3">
        <v>2</v>
      </c>
      <c r="J1857" s="8" t="s">
        <v>756</v>
      </c>
      <c r="K1857" s="8" t="s">
        <v>757</v>
      </c>
      <c r="L1857" s="8" t="s">
        <v>723</v>
      </c>
      <c r="M1857" s="1" t="s">
        <v>786</v>
      </c>
      <c r="N1857" s="8" t="s">
        <v>787</v>
      </c>
      <c r="O1857" s="6">
        <v>0</v>
      </c>
      <c r="P1857" s="6">
        <v>0</v>
      </c>
      <c r="Q1857" s="6">
        <v>0</v>
      </c>
      <c r="R1857" s="6">
        <v>0</v>
      </c>
      <c r="S1857" s="6">
        <v>0</v>
      </c>
    </row>
    <row r="1858" spans="1:19" ht="15" x14ac:dyDescent="0.25">
      <c r="A1858" s="7" t="s">
        <v>16</v>
      </c>
      <c r="B1858" s="7" t="s">
        <v>60</v>
      </c>
      <c r="C1858" s="7" t="s">
        <v>18</v>
      </c>
      <c r="D1858" s="3">
        <v>10468341000220</v>
      </c>
      <c r="E1858" s="8" t="s">
        <v>30</v>
      </c>
      <c r="F1858" s="8" t="s">
        <v>20</v>
      </c>
      <c r="G1858" s="8" t="s">
        <v>21</v>
      </c>
      <c r="H1858" s="8" t="s">
        <v>795</v>
      </c>
      <c r="I1858" s="3">
        <v>2</v>
      </c>
      <c r="J1858" s="8" t="s">
        <v>740</v>
      </c>
      <c r="K1858" s="8" t="s">
        <v>741</v>
      </c>
      <c r="L1858" s="8" t="s">
        <v>730</v>
      </c>
      <c r="M1858" s="1" t="s">
        <v>786</v>
      </c>
      <c r="N1858" s="8" t="s">
        <v>787</v>
      </c>
      <c r="O1858" s="6">
        <v>0</v>
      </c>
      <c r="P1858" s="6">
        <v>0</v>
      </c>
      <c r="Q1858" s="6">
        <v>0</v>
      </c>
      <c r="R1858" s="6">
        <v>36</v>
      </c>
      <c r="S1858" s="6">
        <v>805</v>
      </c>
    </row>
    <row r="1859" spans="1:19" ht="15" x14ac:dyDescent="0.25">
      <c r="A1859" s="7" t="s">
        <v>16</v>
      </c>
      <c r="B1859" s="7" t="s">
        <v>60</v>
      </c>
      <c r="C1859" s="7" t="s">
        <v>18</v>
      </c>
      <c r="D1859" s="3">
        <v>10468341000220</v>
      </c>
      <c r="E1859" s="8" t="s">
        <v>30</v>
      </c>
      <c r="F1859" s="8" t="s">
        <v>20</v>
      </c>
      <c r="G1859" s="8" t="s">
        <v>21</v>
      </c>
      <c r="H1859" s="8" t="s">
        <v>795</v>
      </c>
      <c r="I1859" s="3">
        <v>2</v>
      </c>
      <c r="J1859" s="8" t="s">
        <v>762</v>
      </c>
      <c r="K1859" s="8" t="s">
        <v>763</v>
      </c>
      <c r="L1859" s="8" t="s">
        <v>723</v>
      </c>
      <c r="M1859" s="1" t="s">
        <v>786</v>
      </c>
      <c r="N1859" s="8" t="s">
        <v>787</v>
      </c>
      <c r="O1859" s="6">
        <v>0</v>
      </c>
      <c r="P1859" s="6">
        <v>0</v>
      </c>
      <c r="Q1859" s="6">
        <v>0</v>
      </c>
      <c r="R1859" s="6">
        <v>0</v>
      </c>
      <c r="S1859" s="6">
        <v>805</v>
      </c>
    </row>
    <row r="1860" spans="1:19" ht="15" x14ac:dyDescent="0.25">
      <c r="A1860" s="7" t="s">
        <v>16</v>
      </c>
      <c r="B1860" s="7" t="s">
        <v>60</v>
      </c>
      <c r="C1860" s="7" t="s">
        <v>18</v>
      </c>
      <c r="D1860" s="3">
        <v>10468341000140</v>
      </c>
      <c r="E1860" s="8" t="s">
        <v>29</v>
      </c>
      <c r="F1860" s="8" t="s">
        <v>20</v>
      </c>
      <c r="G1860" s="8" t="s">
        <v>21</v>
      </c>
      <c r="H1860" s="8" t="s">
        <v>795</v>
      </c>
      <c r="I1860" s="3">
        <v>2</v>
      </c>
      <c r="J1860" s="8" t="s">
        <v>740</v>
      </c>
      <c r="K1860" s="8" t="s">
        <v>741</v>
      </c>
      <c r="L1860" s="8" t="s">
        <v>730</v>
      </c>
      <c r="M1860" s="1" t="s">
        <v>786</v>
      </c>
      <c r="N1860" s="8" t="s">
        <v>787</v>
      </c>
      <c r="O1860" s="6">
        <v>0</v>
      </c>
      <c r="P1860" s="6">
        <v>0</v>
      </c>
      <c r="Q1860" s="6">
        <v>0</v>
      </c>
      <c r="R1860" s="6">
        <v>0</v>
      </c>
      <c r="S1860" s="6">
        <v>305</v>
      </c>
    </row>
    <row r="1861" spans="1:19" ht="15" x14ac:dyDescent="0.25">
      <c r="A1861" s="7" t="s">
        <v>16</v>
      </c>
      <c r="B1861" s="7" t="s">
        <v>60</v>
      </c>
      <c r="C1861" s="7" t="s">
        <v>18</v>
      </c>
      <c r="D1861" s="3">
        <v>10468341000140</v>
      </c>
      <c r="E1861" s="8" t="s">
        <v>29</v>
      </c>
      <c r="F1861" s="8" t="s">
        <v>20</v>
      </c>
      <c r="G1861" s="8" t="s">
        <v>21</v>
      </c>
      <c r="H1861" s="8" t="s">
        <v>795</v>
      </c>
      <c r="I1861" s="3">
        <v>2</v>
      </c>
      <c r="J1861" s="8" t="s">
        <v>762</v>
      </c>
      <c r="K1861" s="8" t="s">
        <v>763</v>
      </c>
      <c r="L1861" s="8" t="s">
        <v>723</v>
      </c>
      <c r="M1861" s="1" t="s">
        <v>786</v>
      </c>
      <c r="N1861" s="8" t="s">
        <v>787</v>
      </c>
      <c r="O1861" s="6">
        <v>0</v>
      </c>
      <c r="P1861" s="6">
        <v>0</v>
      </c>
      <c r="Q1861" s="6">
        <v>0</v>
      </c>
      <c r="R1861" s="6">
        <v>0</v>
      </c>
      <c r="S1861" s="6">
        <v>305</v>
      </c>
    </row>
    <row r="1862" spans="1:19" ht="15" x14ac:dyDescent="0.25">
      <c r="A1862" s="7" t="s">
        <v>16</v>
      </c>
      <c r="B1862" s="7" t="s">
        <v>60</v>
      </c>
      <c r="C1862" s="7" t="s">
        <v>18</v>
      </c>
      <c r="D1862" s="3">
        <v>29435005009932</v>
      </c>
      <c r="E1862" s="8" t="s">
        <v>36</v>
      </c>
      <c r="F1862" s="8" t="s">
        <v>20</v>
      </c>
      <c r="G1862" s="8" t="s">
        <v>21</v>
      </c>
      <c r="H1862" s="8" t="s">
        <v>795</v>
      </c>
      <c r="I1862" s="3">
        <v>2</v>
      </c>
      <c r="J1862" s="8" t="s">
        <v>770</v>
      </c>
      <c r="K1862" s="8" t="s">
        <v>771</v>
      </c>
      <c r="L1862" s="8" t="s">
        <v>730</v>
      </c>
      <c r="M1862" s="1" t="s">
        <v>786</v>
      </c>
      <c r="N1862" s="8" t="s">
        <v>787</v>
      </c>
      <c r="O1862" s="6">
        <v>0</v>
      </c>
      <c r="P1862" s="6">
        <v>0</v>
      </c>
      <c r="Q1862" s="6">
        <v>0</v>
      </c>
      <c r="R1862" s="6">
        <v>0</v>
      </c>
      <c r="S1862" s="6">
        <v>1050</v>
      </c>
    </row>
    <row r="1863" spans="1:19" ht="15" x14ac:dyDescent="0.25">
      <c r="A1863" s="7" t="s">
        <v>16</v>
      </c>
      <c r="B1863" s="7" t="s">
        <v>60</v>
      </c>
      <c r="C1863" s="7" t="s">
        <v>18</v>
      </c>
      <c r="D1863" s="3">
        <v>29435005009932</v>
      </c>
      <c r="E1863" s="8" t="s">
        <v>36</v>
      </c>
      <c r="F1863" s="8" t="s">
        <v>20</v>
      </c>
      <c r="G1863" s="8" t="s">
        <v>21</v>
      </c>
      <c r="H1863" s="8" t="s">
        <v>795</v>
      </c>
      <c r="I1863" s="3">
        <v>2</v>
      </c>
      <c r="J1863" s="8" t="s">
        <v>724</v>
      </c>
      <c r="K1863" s="8" t="s">
        <v>725</v>
      </c>
      <c r="L1863" s="8" t="s">
        <v>723</v>
      </c>
      <c r="M1863" s="1" t="s">
        <v>786</v>
      </c>
      <c r="N1863" s="8" t="s">
        <v>787</v>
      </c>
      <c r="O1863" s="6">
        <v>0</v>
      </c>
      <c r="P1863" s="6">
        <v>3</v>
      </c>
      <c r="Q1863" s="6">
        <v>8</v>
      </c>
      <c r="R1863" s="6">
        <v>0</v>
      </c>
      <c r="S1863" s="6">
        <v>1050</v>
      </c>
    </row>
    <row r="1864" spans="1:19" ht="15" x14ac:dyDescent="0.25">
      <c r="A1864" s="7" t="s">
        <v>16</v>
      </c>
      <c r="B1864" s="7" t="s">
        <v>60</v>
      </c>
      <c r="C1864" s="7" t="s">
        <v>18</v>
      </c>
      <c r="D1864" s="3">
        <v>10323381000101</v>
      </c>
      <c r="E1864" s="8" t="s">
        <v>78</v>
      </c>
      <c r="F1864" s="8" t="s">
        <v>20</v>
      </c>
      <c r="G1864" s="8" t="s">
        <v>21</v>
      </c>
      <c r="H1864" s="8" t="s">
        <v>795</v>
      </c>
      <c r="I1864" s="3">
        <v>2</v>
      </c>
      <c r="J1864" s="8" t="s">
        <v>740</v>
      </c>
      <c r="K1864" s="8" t="s">
        <v>741</v>
      </c>
      <c r="L1864" s="8" t="s">
        <v>730</v>
      </c>
      <c r="M1864" s="1" t="s">
        <v>786</v>
      </c>
      <c r="N1864" s="8" t="s">
        <v>787</v>
      </c>
      <c r="O1864" s="6">
        <v>0</v>
      </c>
      <c r="P1864" s="6">
        <v>0</v>
      </c>
      <c r="Q1864" s="6">
        <v>0</v>
      </c>
      <c r="R1864" s="6">
        <v>6</v>
      </c>
      <c r="S1864" s="6">
        <v>0</v>
      </c>
    </row>
    <row r="1865" spans="1:19" ht="15" x14ac:dyDescent="0.25">
      <c r="A1865" s="7" t="s">
        <v>16</v>
      </c>
      <c r="B1865" s="7" t="s">
        <v>60</v>
      </c>
      <c r="C1865" s="7" t="s">
        <v>18</v>
      </c>
      <c r="D1865" s="3">
        <v>10323381000101</v>
      </c>
      <c r="E1865" s="8" t="s">
        <v>78</v>
      </c>
      <c r="F1865" s="8" t="s">
        <v>20</v>
      </c>
      <c r="G1865" s="8" t="s">
        <v>21</v>
      </c>
      <c r="H1865" s="8" t="s">
        <v>795</v>
      </c>
      <c r="I1865" s="3">
        <v>2</v>
      </c>
      <c r="J1865" s="8" t="s">
        <v>724</v>
      </c>
      <c r="K1865" s="8" t="s">
        <v>725</v>
      </c>
      <c r="L1865" s="8" t="s">
        <v>723</v>
      </c>
      <c r="M1865" s="1" t="s">
        <v>786</v>
      </c>
      <c r="N1865" s="8" t="s">
        <v>787</v>
      </c>
      <c r="O1865" s="6">
        <v>0</v>
      </c>
      <c r="P1865" s="6">
        <v>0</v>
      </c>
      <c r="Q1865" s="6">
        <v>0</v>
      </c>
      <c r="R1865" s="6">
        <v>0</v>
      </c>
      <c r="S1865" s="6">
        <v>0</v>
      </c>
    </row>
    <row r="1866" spans="1:19" ht="15" x14ac:dyDescent="0.25">
      <c r="A1866" s="7" t="s">
        <v>16</v>
      </c>
      <c r="B1866" s="7" t="s">
        <v>60</v>
      </c>
      <c r="C1866" s="7" t="s">
        <v>18</v>
      </c>
      <c r="D1866" s="3">
        <v>56577059000100</v>
      </c>
      <c r="E1866" s="8" t="s">
        <v>63</v>
      </c>
      <c r="F1866" s="8" t="s">
        <v>20</v>
      </c>
      <c r="G1866" s="8" t="s">
        <v>21</v>
      </c>
      <c r="H1866" s="8" t="s">
        <v>795</v>
      </c>
      <c r="I1866" s="3">
        <v>2</v>
      </c>
      <c r="J1866" s="8" t="s">
        <v>770</v>
      </c>
      <c r="K1866" s="8" t="s">
        <v>771</v>
      </c>
      <c r="L1866" s="8" t="s">
        <v>730</v>
      </c>
      <c r="M1866" s="1" t="s">
        <v>786</v>
      </c>
      <c r="N1866" s="8" t="s">
        <v>787</v>
      </c>
      <c r="O1866" s="6">
        <v>0</v>
      </c>
      <c r="P1866" s="6">
        <v>0</v>
      </c>
      <c r="Q1866" s="6">
        <v>0</v>
      </c>
      <c r="R1866" s="6">
        <v>0</v>
      </c>
      <c r="S1866" s="6">
        <v>135</v>
      </c>
    </row>
    <row r="1867" spans="1:19" ht="15" x14ac:dyDescent="0.25">
      <c r="A1867" s="7" t="s">
        <v>16</v>
      </c>
      <c r="B1867" s="7" t="s">
        <v>60</v>
      </c>
      <c r="C1867" s="7" t="s">
        <v>18</v>
      </c>
      <c r="D1867" s="3">
        <v>56577059000100</v>
      </c>
      <c r="E1867" s="8" t="s">
        <v>63</v>
      </c>
      <c r="F1867" s="8" t="s">
        <v>20</v>
      </c>
      <c r="G1867" s="8" t="s">
        <v>21</v>
      </c>
      <c r="H1867" s="8" t="s">
        <v>795</v>
      </c>
      <c r="I1867" s="3">
        <v>2</v>
      </c>
      <c r="J1867" s="8" t="s">
        <v>756</v>
      </c>
      <c r="K1867" s="8" t="s">
        <v>757</v>
      </c>
      <c r="L1867" s="8" t="s">
        <v>723</v>
      </c>
      <c r="M1867" s="1" t="s">
        <v>786</v>
      </c>
      <c r="N1867" s="8" t="s">
        <v>787</v>
      </c>
      <c r="O1867" s="6">
        <v>0</v>
      </c>
      <c r="P1867" s="6">
        <v>0</v>
      </c>
      <c r="Q1867" s="6">
        <v>0</v>
      </c>
      <c r="R1867" s="6">
        <v>0</v>
      </c>
      <c r="S1867" s="6">
        <v>135</v>
      </c>
    </row>
    <row r="1868" spans="1:19" ht="15" x14ac:dyDescent="0.25">
      <c r="A1868" s="7" t="s">
        <v>16</v>
      </c>
      <c r="B1868" s="7" t="s">
        <v>60</v>
      </c>
      <c r="C1868" s="7" t="s">
        <v>18</v>
      </c>
      <c r="D1868" s="3">
        <v>3872790000193</v>
      </c>
      <c r="E1868" s="8" t="s">
        <v>71</v>
      </c>
      <c r="F1868" s="8" t="s">
        <v>20</v>
      </c>
      <c r="G1868" s="8" t="s">
        <v>21</v>
      </c>
      <c r="H1868" s="8" t="s">
        <v>795</v>
      </c>
      <c r="I1868" s="3">
        <v>2</v>
      </c>
      <c r="J1868" s="8" t="s">
        <v>740</v>
      </c>
      <c r="K1868" s="8" t="s">
        <v>741</v>
      </c>
      <c r="L1868" s="8" t="s">
        <v>730</v>
      </c>
      <c r="M1868" s="1" t="s">
        <v>786</v>
      </c>
      <c r="N1868" s="8" t="s">
        <v>787</v>
      </c>
      <c r="O1868" s="6">
        <v>0</v>
      </c>
      <c r="P1868" s="6">
        <v>0</v>
      </c>
      <c r="Q1868" s="6">
        <v>0</v>
      </c>
      <c r="R1868" s="6">
        <v>16</v>
      </c>
      <c r="S1868" s="6">
        <v>0</v>
      </c>
    </row>
    <row r="1869" spans="1:19" ht="15" x14ac:dyDescent="0.25">
      <c r="A1869" s="7" t="s">
        <v>16</v>
      </c>
      <c r="B1869" s="7" t="s">
        <v>60</v>
      </c>
      <c r="C1869" s="7" t="s">
        <v>18</v>
      </c>
      <c r="D1869" s="3">
        <v>3872790000193</v>
      </c>
      <c r="E1869" s="8" t="s">
        <v>71</v>
      </c>
      <c r="F1869" s="8" t="s">
        <v>20</v>
      </c>
      <c r="G1869" s="8" t="s">
        <v>21</v>
      </c>
      <c r="H1869" s="8" t="s">
        <v>795</v>
      </c>
      <c r="I1869" s="3">
        <v>2</v>
      </c>
      <c r="J1869" s="8" t="s">
        <v>724</v>
      </c>
      <c r="K1869" s="8" t="s">
        <v>725</v>
      </c>
      <c r="L1869" s="8" t="s">
        <v>723</v>
      </c>
      <c r="M1869" s="1" t="s">
        <v>786</v>
      </c>
      <c r="N1869" s="8" t="s">
        <v>787</v>
      </c>
      <c r="O1869" s="6">
        <v>0</v>
      </c>
      <c r="P1869" s="6">
        <v>0</v>
      </c>
      <c r="Q1869" s="6">
        <v>0</v>
      </c>
      <c r="R1869" s="6">
        <v>0</v>
      </c>
      <c r="S1869" s="6">
        <v>0</v>
      </c>
    </row>
    <row r="1870" spans="1:19" ht="15" x14ac:dyDescent="0.25">
      <c r="A1870" s="7" t="s">
        <v>16</v>
      </c>
      <c r="B1870" s="7" t="s">
        <v>60</v>
      </c>
      <c r="C1870" s="7" t="s">
        <v>18</v>
      </c>
      <c r="D1870" s="3">
        <v>8100676000835</v>
      </c>
      <c r="E1870" s="8" t="s">
        <v>26</v>
      </c>
      <c r="F1870" s="8" t="s">
        <v>20</v>
      </c>
      <c r="G1870" s="8" t="s">
        <v>21</v>
      </c>
      <c r="H1870" s="8" t="s">
        <v>795</v>
      </c>
      <c r="I1870" s="3">
        <v>2</v>
      </c>
      <c r="J1870" s="8" t="s">
        <v>740</v>
      </c>
      <c r="K1870" s="8" t="s">
        <v>741</v>
      </c>
      <c r="L1870" s="8" t="s">
        <v>730</v>
      </c>
      <c r="M1870" s="1" t="s">
        <v>786</v>
      </c>
      <c r="N1870" s="8" t="s">
        <v>787</v>
      </c>
      <c r="O1870" s="6">
        <v>0</v>
      </c>
      <c r="P1870" s="6">
        <v>0</v>
      </c>
      <c r="Q1870" s="6">
        <v>0</v>
      </c>
      <c r="R1870" s="6">
        <v>0</v>
      </c>
      <c r="S1870" s="6">
        <v>240</v>
      </c>
    </row>
    <row r="1871" spans="1:19" ht="15" x14ac:dyDescent="0.25">
      <c r="A1871" s="7" t="s">
        <v>16</v>
      </c>
      <c r="B1871" s="7" t="s">
        <v>60</v>
      </c>
      <c r="C1871" s="7" t="s">
        <v>18</v>
      </c>
      <c r="D1871" s="3">
        <v>8100676000835</v>
      </c>
      <c r="E1871" s="8" t="s">
        <v>26</v>
      </c>
      <c r="F1871" s="8" t="s">
        <v>20</v>
      </c>
      <c r="G1871" s="8" t="s">
        <v>21</v>
      </c>
      <c r="H1871" s="8" t="s">
        <v>795</v>
      </c>
      <c r="I1871" s="3">
        <v>2</v>
      </c>
      <c r="J1871" s="8" t="s">
        <v>762</v>
      </c>
      <c r="K1871" s="8" t="s">
        <v>763</v>
      </c>
      <c r="L1871" s="8" t="s">
        <v>723</v>
      </c>
      <c r="M1871" s="1" t="s">
        <v>786</v>
      </c>
      <c r="N1871" s="8" t="s">
        <v>787</v>
      </c>
      <c r="O1871" s="6">
        <v>0</v>
      </c>
      <c r="P1871" s="6">
        <v>0</v>
      </c>
      <c r="Q1871" s="6">
        <v>0</v>
      </c>
      <c r="R1871" s="6">
        <v>0</v>
      </c>
      <c r="S1871" s="6">
        <v>240</v>
      </c>
    </row>
    <row r="1872" spans="1:19" ht="15" x14ac:dyDescent="0.25">
      <c r="A1872" s="7" t="s">
        <v>16</v>
      </c>
      <c r="B1872" s="7" t="s">
        <v>60</v>
      </c>
      <c r="C1872" s="7" t="s">
        <v>18</v>
      </c>
      <c r="D1872" s="3">
        <v>10475230000160</v>
      </c>
      <c r="E1872" s="8" t="s">
        <v>31</v>
      </c>
      <c r="F1872" s="8" t="s">
        <v>20</v>
      </c>
      <c r="G1872" s="8" t="s">
        <v>21</v>
      </c>
      <c r="H1872" s="8" t="s">
        <v>795</v>
      </c>
      <c r="I1872" s="3">
        <v>2</v>
      </c>
      <c r="J1872" s="8" t="s">
        <v>740</v>
      </c>
      <c r="K1872" s="8" t="s">
        <v>741</v>
      </c>
      <c r="L1872" s="8" t="s">
        <v>730</v>
      </c>
      <c r="M1872" s="1" t="s">
        <v>786</v>
      </c>
      <c r="N1872" s="8" t="s">
        <v>787</v>
      </c>
      <c r="O1872" s="6">
        <v>0</v>
      </c>
      <c r="P1872" s="6">
        <v>0</v>
      </c>
      <c r="Q1872" s="6">
        <v>0</v>
      </c>
      <c r="R1872" s="6">
        <v>0</v>
      </c>
      <c r="S1872" s="6">
        <v>45</v>
      </c>
    </row>
    <row r="1873" spans="1:19" ht="15" x14ac:dyDescent="0.25">
      <c r="A1873" s="7" t="s">
        <v>16</v>
      </c>
      <c r="B1873" s="7" t="s">
        <v>60</v>
      </c>
      <c r="C1873" s="7" t="s">
        <v>18</v>
      </c>
      <c r="D1873" s="3">
        <v>10475230000160</v>
      </c>
      <c r="E1873" s="8" t="s">
        <v>31</v>
      </c>
      <c r="F1873" s="8" t="s">
        <v>20</v>
      </c>
      <c r="G1873" s="8" t="s">
        <v>21</v>
      </c>
      <c r="H1873" s="8" t="s">
        <v>795</v>
      </c>
      <c r="I1873" s="3">
        <v>2</v>
      </c>
      <c r="J1873" s="8" t="s">
        <v>756</v>
      </c>
      <c r="K1873" s="8" t="s">
        <v>757</v>
      </c>
      <c r="L1873" s="8" t="s">
        <v>723</v>
      </c>
      <c r="M1873" s="1" t="s">
        <v>786</v>
      </c>
      <c r="N1873" s="8" t="s">
        <v>787</v>
      </c>
      <c r="O1873" s="6">
        <v>0</v>
      </c>
      <c r="P1873" s="6">
        <v>0</v>
      </c>
      <c r="Q1873" s="6">
        <v>0</v>
      </c>
      <c r="R1873" s="6">
        <v>0</v>
      </c>
      <c r="S1873" s="6">
        <v>45</v>
      </c>
    </row>
    <row r="1874" spans="1:19" ht="15" x14ac:dyDescent="0.25">
      <c r="A1874" s="7" t="s">
        <v>16</v>
      </c>
      <c r="B1874" s="7" t="s">
        <v>60</v>
      </c>
      <c r="C1874" s="7" t="s">
        <v>18</v>
      </c>
      <c r="D1874" s="3">
        <v>6047087000139</v>
      </c>
      <c r="E1874" s="8" t="s">
        <v>72</v>
      </c>
      <c r="F1874" s="8" t="s">
        <v>20</v>
      </c>
      <c r="G1874" s="8" t="s">
        <v>21</v>
      </c>
      <c r="H1874" s="8" t="s">
        <v>795</v>
      </c>
      <c r="I1874" s="3">
        <v>2</v>
      </c>
      <c r="J1874" s="8" t="s">
        <v>740</v>
      </c>
      <c r="K1874" s="8" t="s">
        <v>741</v>
      </c>
      <c r="L1874" s="8" t="s">
        <v>730</v>
      </c>
      <c r="M1874" s="1" t="s">
        <v>786</v>
      </c>
      <c r="N1874" s="8" t="s">
        <v>787</v>
      </c>
      <c r="O1874" s="6">
        <v>0</v>
      </c>
      <c r="P1874" s="6">
        <v>0</v>
      </c>
      <c r="Q1874" s="6">
        <v>0</v>
      </c>
      <c r="R1874" s="6">
        <v>0</v>
      </c>
      <c r="S1874" s="6">
        <v>0</v>
      </c>
    </row>
    <row r="1875" spans="1:19" ht="15" x14ac:dyDescent="0.25">
      <c r="A1875" s="7" t="s">
        <v>16</v>
      </c>
      <c r="B1875" s="7" t="s">
        <v>60</v>
      </c>
      <c r="C1875" s="7" t="s">
        <v>18</v>
      </c>
      <c r="D1875" s="3">
        <v>6047087000139</v>
      </c>
      <c r="E1875" s="8" t="s">
        <v>72</v>
      </c>
      <c r="F1875" s="8" t="s">
        <v>20</v>
      </c>
      <c r="G1875" s="8" t="s">
        <v>21</v>
      </c>
      <c r="H1875" s="8" t="s">
        <v>795</v>
      </c>
      <c r="I1875" s="3">
        <v>2</v>
      </c>
      <c r="J1875" s="8" t="s">
        <v>724</v>
      </c>
      <c r="K1875" s="8" t="s">
        <v>725</v>
      </c>
      <c r="L1875" s="8" t="s">
        <v>723</v>
      </c>
      <c r="M1875" s="1" t="s">
        <v>786</v>
      </c>
      <c r="N1875" s="8" t="s">
        <v>787</v>
      </c>
      <c r="O1875" s="6">
        <v>0</v>
      </c>
      <c r="P1875" s="6">
        <v>0</v>
      </c>
      <c r="Q1875" s="6">
        <v>4</v>
      </c>
      <c r="R1875" s="6">
        <v>0</v>
      </c>
      <c r="S1875" s="6">
        <v>0</v>
      </c>
    </row>
    <row r="1876" spans="1:19" ht="15" x14ac:dyDescent="0.25">
      <c r="A1876" s="7" t="s">
        <v>16</v>
      </c>
      <c r="B1876" s="7" t="s">
        <v>60</v>
      </c>
      <c r="C1876" s="7" t="s">
        <v>18</v>
      </c>
      <c r="D1876" s="3">
        <v>60884855000316</v>
      </c>
      <c r="E1876" s="8" t="s">
        <v>46</v>
      </c>
      <c r="F1876" s="8" t="s">
        <v>20</v>
      </c>
      <c r="G1876" s="8" t="s">
        <v>21</v>
      </c>
      <c r="H1876" s="8" t="s">
        <v>795</v>
      </c>
      <c r="I1876" s="3">
        <v>2</v>
      </c>
      <c r="J1876" s="8" t="s">
        <v>770</v>
      </c>
      <c r="K1876" s="8" t="s">
        <v>771</v>
      </c>
      <c r="L1876" s="8" t="s">
        <v>730</v>
      </c>
      <c r="M1876" s="1" t="s">
        <v>786</v>
      </c>
      <c r="N1876" s="8" t="s">
        <v>787</v>
      </c>
      <c r="O1876" s="6">
        <v>0</v>
      </c>
      <c r="P1876" s="6">
        <v>0</v>
      </c>
      <c r="Q1876" s="6">
        <v>0</v>
      </c>
      <c r="R1876" s="6">
        <v>24</v>
      </c>
      <c r="S1876" s="6">
        <v>2130</v>
      </c>
    </row>
    <row r="1877" spans="1:19" ht="15" x14ac:dyDescent="0.25">
      <c r="A1877" s="7" t="s">
        <v>16</v>
      </c>
      <c r="B1877" s="7" t="s">
        <v>60</v>
      </c>
      <c r="C1877" s="7" t="s">
        <v>18</v>
      </c>
      <c r="D1877" s="3">
        <v>60884855000316</v>
      </c>
      <c r="E1877" s="8" t="s">
        <v>46</v>
      </c>
      <c r="F1877" s="8" t="s">
        <v>20</v>
      </c>
      <c r="G1877" s="8" t="s">
        <v>21</v>
      </c>
      <c r="H1877" s="8" t="s">
        <v>795</v>
      </c>
      <c r="I1877" s="3">
        <v>2</v>
      </c>
      <c r="J1877" s="8" t="s">
        <v>762</v>
      </c>
      <c r="K1877" s="8" t="s">
        <v>763</v>
      </c>
      <c r="L1877" s="8" t="s">
        <v>723</v>
      </c>
      <c r="M1877" s="1" t="s">
        <v>786</v>
      </c>
      <c r="N1877" s="8" t="s">
        <v>787</v>
      </c>
      <c r="O1877" s="6">
        <v>0</v>
      </c>
      <c r="P1877" s="6">
        <v>14</v>
      </c>
      <c r="Q1877" s="6">
        <v>19</v>
      </c>
      <c r="R1877" s="6">
        <v>0</v>
      </c>
      <c r="S1877" s="6">
        <v>2130</v>
      </c>
    </row>
    <row r="1878" spans="1:19" ht="15" x14ac:dyDescent="0.25">
      <c r="A1878" s="7" t="s">
        <v>16</v>
      </c>
      <c r="B1878" s="7" t="s">
        <v>60</v>
      </c>
      <c r="C1878" s="7" t="s">
        <v>18</v>
      </c>
      <c r="D1878" s="3">
        <v>60961968000459</v>
      </c>
      <c r="E1878" s="8" t="s">
        <v>95</v>
      </c>
      <c r="F1878" s="8" t="s">
        <v>20</v>
      </c>
      <c r="G1878" s="8" t="s">
        <v>21</v>
      </c>
      <c r="H1878" s="8" t="s">
        <v>795</v>
      </c>
      <c r="I1878" s="3">
        <v>2</v>
      </c>
      <c r="J1878" s="8" t="s">
        <v>770</v>
      </c>
      <c r="K1878" s="8" t="s">
        <v>771</v>
      </c>
      <c r="L1878" s="8" t="s">
        <v>730</v>
      </c>
      <c r="M1878" s="1" t="s">
        <v>786</v>
      </c>
      <c r="N1878" s="8" t="s">
        <v>787</v>
      </c>
      <c r="O1878" s="6">
        <v>0</v>
      </c>
      <c r="P1878" s="6">
        <v>0</v>
      </c>
      <c r="Q1878" s="6">
        <v>0</v>
      </c>
      <c r="R1878" s="6">
        <v>0</v>
      </c>
      <c r="S1878" s="6">
        <v>0</v>
      </c>
    </row>
    <row r="1879" spans="1:19" ht="15" x14ac:dyDescent="0.25">
      <c r="A1879" s="7" t="s">
        <v>16</v>
      </c>
      <c r="B1879" s="7" t="s">
        <v>60</v>
      </c>
      <c r="C1879" s="7" t="s">
        <v>18</v>
      </c>
      <c r="D1879" s="3">
        <v>60961968000459</v>
      </c>
      <c r="E1879" s="8" t="s">
        <v>95</v>
      </c>
      <c r="F1879" s="8" t="s">
        <v>20</v>
      </c>
      <c r="G1879" s="8" t="s">
        <v>21</v>
      </c>
      <c r="H1879" s="8" t="s">
        <v>795</v>
      </c>
      <c r="I1879" s="3">
        <v>2</v>
      </c>
      <c r="J1879" s="8" t="s">
        <v>756</v>
      </c>
      <c r="K1879" s="8" t="s">
        <v>757</v>
      </c>
      <c r="L1879" s="8" t="s">
        <v>723</v>
      </c>
      <c r="M1879" s="1" t="s">
        <v>786</v>
      </c>
      <c r="N1879" s="8" t="s">
        <v>787</v>
      </c>
      <c r="O1879" s="6">
        <v>0</v>
      </c>
      <c r="P1879" s="6">
        <v>15</v>
      </c>
      <c r="Q1879" s="6">
        <v>0</v>
      </c>
      <c r="R1879" s="6">
        <v>0</v>
      </c>
      <c r="S1879" s="6">
        <v>0</v>
      </c>
    </row>
    <row r="1880" spans="1:19" ht="15" x14ac:dyDescent="0.25">
      <c r="A1880" s="7" t="s">
        <v>16</v>
      </c>
      <c r="B1880" s="7" t="s">
        <v>60</v>
      </c>
      <c r="C1880" s="7" t="s">
        <v>18</v>
      </c>
      <c r="D1880" s="3">
        <v>60726502000126</v>
      </c>
      <c r="E1880" s="8" t="s">
        <v>44</v>
      </c>
      <c r="F1880" s="8" t="s">
        <v>20</v>
      </c>
      <c r="G1880" s="8" t="s">
        <v>21</v>
      </c>
      <c r="H1880" s="8" t="s">
        <v>795</v>
      </c>
      <c r="I1880" s="3">
        <v>2</v>
      </c>
      <c r="J1880" s="8" t="s">
        <v>770</v>
      </c>
      <c r="K1880" s="8" t="s">
        <v>771</v>
      </c>
      <c r="L1880" s="8" t="s">
        <v>730</v>
      </c>
      <c r="M1880" s="1" t="s">
        <v>786</v>
      </c>
      <c r="N1880" s="8" t="s">
        <v>787</v>
      </c>
      <c r="O1880" s="6">
        <v>0</v>
      </c>
      <c r="P1880" s="6">
        <v>0</v>
      </c>
      <c r="Q1880" s="6">
        <v>0</v>
      </c>
      <c r="R1880" s="6">
        <v>16</v>
      </c>
      <c r="S1880" s="6">
        <v>535</v>
      </c>
    </row>
    <row r="1881" spans="1:19" ht="15" x14ac:dyDescent="0.25">
      <c r="A1881" s="7" t="s">
        <v>16</v>
      </c>
      <c r="B1881" s="7" t="s">
        <v>60</v>
      </c>
      <c r="C1881" s="7" t="s">
        <v>18</v>
      </c>
      <c r="D1881" s="3">
        <v>60726502000126</v>
      </c>
      <c r="E1881" s="8" t="s">
        <v>44</v>
      </c>
      <c r="F1881" s="8" t="s">
        <v>20</v>
      </c>
      <c r="G1881" s="8" t="s">
        <v>21</v>
      </c>
      <c r="H1881" s="8" t="s">
        <v>795</v>
      </c>
      <c r="I1881" s="3">
        <v>2</v>
      </c>
      <c r="J1881" s="8" t="s">
        <v>762</v>
      </c>
      <c r="K1881" s="8" t="s">
        <v>763</v>
      </c>
      <c r="L1881" s="8" t="s">
        <v>723</v>
      </c>
      <c r="M1881" s="1" t="s">
        <v>786</v>
      </c>
      <c r="N1881" s="8" t="s">
        <v>787</v>
      </c>
      <c r="O1881" s="6">
        <v>0</v>
      </c>
      <c r="P1881" s="6">
        <v>6</v>
      </c>
      <c r="Q1881" s="6">
        <v>2</v>
      </c>
      <c r="R1881" s="6">
        <v>0</v>
      </c>
      <c r="S1881" s="6">
        <v>535</v>
      </c>
    </row>
    <row r="1882" spans="1:19" ht="15" x14ac:dyDescent="0.25">
      <c r="A1882" s="7" t="s">
        <v>16</v>
      </c>
      <c r="B1882" s="7" t="s">
        <v>60</v>
      </c>
      <c r="C1882" s="7" t="s">
        <v>18</v>
      </c>
      <c r="D1882" s="3">
        <v>8100676000592</v>
      </c>
      <c r="E1882" s="8" t="s">
        <v>25</v>
      </c>
      <c r="F1882" s="8" t="s">
        <v>20</v>
      </c>
      <c r="G1882" s="8" t="s">
        <v>21</v>
      </c>
      <c r="H1882" s="8" t="s">
        <v>795</v>
      </c>
      <c r="I1882" s="3">
        <v>2</v>
      </c>
      <c r="J1882" s="8" t="s">
        <v>740</v>
      </c>
      <c r="K1882" s="8" t="s">
        <v>741</v>
      </c>
      <c r="L1882" s="8" t="s">
        <v>730</v>
      </c>
      <c r="M1882" s="1" t="s">
        <v>786</v>
      </c>
      <c r="N1882" s="8" t="s">
        <v>787</v>
      </c>
      <c r="O1882" s="6">
        <v>0</v>
      </c>
      <c r="P1882" s="6">
        <v>0</v>
      </c>
      <c r="Q1882" s="6">
        <v>0</v>
      </c>
      <c r="R1882" s="6">
        <v>0</v>
      </c>
      <c r="S1882" s="6">
        <v>490</v>
      </c>
    </row>
    <row r="1883" spans="1:19" ht="15" x14ac:dyDescent="0.25">
      <c r="A1883" s="7" t="s">
        <v>16</v>
      </c>
      <c r="B1883" s="7" t="s">
        <v>60</v>
      </c>
      <c r="C1883" s="7" t="s">
        <v>18</v>
      </c>
      <c r="D1883" s="3">
        <v>8100676000592</v>
      </c>
      <c r="E1883" s="8" t="s">
        <v>25</v>
      </c>
      <c r="F1883" s="8" t="s">
        <v>20</v>
      </c>
      <c r="G1883" s="8" t="s">
        <v>21</v>
      </c>
      <c r="H1883" s="8" t="s">
        <v>795</v>
      </c>
      <c r="I1883" s="3">
        <v>2</v>
      </c>
      <c r="J1883" s="8" t="s">
        <v>762</v>
      </c>
      <c r="K1883" s="8" t="s">
        <v>763</v>
      </c>
      <c r="L1883" s="8" t="s">
        <v>723</v>
      </c>
      <c r="M1883" s="1" t="s">
        <v>786</v>
      </c>
      <c r="N1883" s="8" t="s">
        <v>787</v>
      </c>
      <c r="O1883" s="6">
        <v>0</v>
      </c>
      <c r="P1883" s="6">
        <v>0</v>
      </c>
      <c r="Q1883" s="6">
        <v>0</v>
      </c>
      <c r="R1883" s="6">
        <v>0</v>
      </c>
      <c r="S1883" s="6">
        <v>490</v>
      </c>
    </row>
    <row r="1884" spans="1:19" ht="15" x14ac:dyDescent="0.25">
      <c r="A1884" s="7" t="s">
        <v>16</v>
      </c>
      <c r="B1884" s="7" t="s">
        <v>60</v>
      </c>
      <c r="C1884" s="7" t="s">
        <v>18</v>
      </c>
      <c r="D1884" s="3">
        <v>8100676002455</v>
      </c>
      <c r="E1884" s="8" t="s">
        <v>27</v>
      </c>
      <c r="F1884" s="8" t="s">
        <v>20</v>
      </c>
      <c r="G1884" s="8" t="s">
        <v>21</v>
      </c>
      <c r="H1884" s="8" t="s">
        <v>795</v>
      </c>
      <c r="I1884" s="3">
        <v>2</v>
      </c>
      <c r="J1884" s="8" t="s">
        <v>740</v>
      </c>
      <c r="K1884" s="8" t="s">
        <v>741</v>
      </c>
      <c r="L1884" s="8" t="s">
        <v>730</v>
      </c>
      <c r="M1884" s="1" t="s">
        <v>786</v>
      </c>
      <c r="N1884" s="8" t="s">
        <v>787</v>
      </c>
      <c r="O1884" s="6">
        <v>0</v>
      </c>
      <c r="P1884" s="6">
        <v>0</v>
      </c>
      <c r="Q1884" s="6">
        <v>0</v>
      </c>
      <c r="R1884" s="6">
        <v>0</v>
      </c>
      <c r="S1884" s="6">
        <v>825</v>
      </c>
    </row>
    <row r="1885" spans="1:19" ht="15" x14ac:dyDescent="0.25">
      <c r="A1885" s="7" t="s">
        <v>16</v>
      </c>
      <c r="B1885" s="7" t="s">
        <v>60</v>
      </c>
      <c r="C1885" s="7" t="s">
        <v>18</v>
      </c>
      <c r="D1885" s="3">
        <v>8100676002455</v>
      </c>
      <c r="E1885" s="8" t="s">
        <v>27</v>
      </c>
      <c r="F1885" s="8" t="s">
        <v>20</v>
      </c>
      <c r="G1885" s="8" t="s">
        <v>21</v>
      </c>
      <c r="H1885" s="8" t="s">
        <v>795</v>
      </c>
      <c r="I1885" s="3">
        <v>2</v>
      </c>
      <c r="J1885" s="8" t="s">
        <v>762</v>
      </c>
      <c r="K1885" s="8" t="s">
        <v>763</v>
      </c>
      <c r="L1885" s="8" t="s">
        <v>723</v>
      </c>
      <c r="M1885" s="1" t="s">
        <v>786</v>
      </c>
      <c r="N1885" s="8" t="s">
        <v>787</v>
      </c>
      <c r="O1885" s="6">
        <v>0</v>
      </c>
      <c r="P1885" s="6">
        <v>24</v>
      </c>
      <c r="Q1885" s="6">
        <v>0</v>
      </c>
      <c r="R1885" s="6">
        <v>0</v>
      </c>
      <c r="S1885" s="6">
        <v>825</v>
      </c>
    </row>
    <row r="1886" spans="1:19" ht="15" x14ac:dyDescent="0.25">
      <c r="A1886" s="7" t="s">
        <v>16</v>
      </c>
      <c r="B1886" s="7" t="s">
        <v>60</v>
      </c>
      <c r="C1886" s="7" t="s">
        <v>18</v>
      </c>
      <c r="D1886" s="3">
        <v>60922168004335</v>
      </c>
      <c r="E1886" s="8" t="s">
        <v>48</v>
      </c>
      <c r="F1886" s="8" t="s">
        <v>20</v>
      </c>
      <c r="G1886" s="8" t="s">
        <v>21</v>
      </c>
      <c r="H1886" s="8" t="s">
        <v>795</v>
      </c>
      <c r="I1886" s="3">
        <v>2</v>
      </c>
      <c r="J1886" s="8" t="s">
        <v>740</v>
      </c>
      <c r="K1886" s="8" t="s">
        <v>741</v>
      </c>
      <c r="L1886" s="8" t="s">
        <v>730</v>
      </c>
      <c r="M1886" s="1" t="s">
        <v>786</v>
      </c>
      <c r="N1886" s="8" t="s">
        <v>787</v>
      </c>
      <c r="O1886" s="6">
        <v>0</v>
      </c>
      <c r="P1886" s="6">
        <v>0</v>
      </c>
      <c r="Q1886" s="6">
        <v>0</v>
      </c>
      <c r="R1886" s="6">
        <v>0</v>
      </c>
      <c r="S1886" s="6">
        <v>10</v>
      </c>
    </row>
    <row r="1887" spans="1:19" ht="15" x14ac:dyDescent="0.25">
      <c r="A1887" s="7" t="s">
        <v>16</v>
      </c>
      <c r="B1887" s="7" t="s">
        <v>60</v>
      </c>
      <c r="C1887" s="7" t="s">
        <v>18</v>
      </c>
      <c r="D1887" s="3">
        <v>60922168004335</v>
      </c>
      <c r="E1887" s="8" t="s">
        <v>48</v>
      </c>
      <c r="F1887" s="8" t="s">
        <v>20</v>
      </c>
      <c r="G1887" s="8" t="s">
        <v>21</v>
      </c>
      <c r="H1887" s="8" t="s">
        <v>795</v>
      </c>
      <c r="I1887" s="3">
        <v>2</v>
      </c>
      <c r="J1887" s="8" t="s">
        <v>762</v>
      </c>
      <c r="K1887" s="8" t="s">
        <v>763</v>
      </c>
      <c r="L1887" s="8" t="s">
        <v>723</v>
      </c>
      <c r="M1887" s="1" t="s">
        <v>786</v>
      </c>
      <c r="N1887" s="8" t="s">
        <v>787</v>
      </c>
      <c r="O1887" s="6">
        <v>0</v>
      </c>
      <c r="P1887" s="6">
        <v>0</v>
      </c>
      <c r="Q1887" s="6">
        <v>0</v>
      </c>
      <c r="R1887" s="6">
        <v>0</v>
      </c>
      <c r="S1887" s="6">
        <v>10</v>
      </c>
    </row>
    <row r="1888" spans="1:19" ht="15" x14ac:dyDescent="0.25">
      <c r="A1888" s="7" t="s">
        <v>16</v>
      </c>
      <c r="B1888" s="7" t="s">
        <v>60</v>
      </c>
      <c r="C1888" s="7" t="s">
        <v>18</v>
      </c>
      <c r="D1888" s="3">
        <v>72775745000133</v>
      </c>
      <c r="E1888" s="8" t="s">
        <v>102</v>
      </c>
      <c r="F1888" s="8" t="s">
        <v>20</v>
      </c>
      <c r="G1888" s="8" t="s">
        <v>21</v>
      </c>
      <c r="H1888" s="8" t="s">
        <v>795</v>
      </c>
      <c r="I1888" s="3">
        <v>2</v>
      </c>
      <c r="J1888" s="8" t="s">
        <v>740</v>
      </c>
      <c r="K1888" s="8" t="s">
        <v>741</v>
      </c>
      <c r="L1888" s="8" t="s">
        <v>730</v>
      </c>
      <c r="M1888" s="1" t="s">
        <v>786</v>
      </c>
      <c r="N1888" s="8" t="s">
        <v>787</v>
      </c>
      <c r="O1888" s="6">
        <v>0</v>
      </c>
      <c r="P1888" s="6">
        <v>0</v>
      </c>
      <c r="Q1888" s="6">
        <v>0</v>
      </c>
      <c r="R1888" s="6">
        <v>0</v>
      </c>
      <c r="S1888" s="6">
        <v>0</v>
      </c>
    </row>
    <row r="1889" spans="1:19" ht="15" x14ac:dyDescent="0.25">
      <c r="A1889" s="7" t="s">
        <v>16</v>
      </c>
      <c r="B1889" s="7" t="s">
        <v>60</v>
      </c>
      <c r="C1889" s="7" t="s">
        <v>18</v>
      </c>
      <c r="D1889" s="3">
        <v>72775745000133</v>
      </c>
      <c r="E1889" s="8" t="s">
        <v>102</v>
      </c>
      <c r="F1889" s="8" t="s">
        <v>20</v>
      </c>
      <c r="G1889" s="8" t="s">
        <v>21</v>
      </c>
      <c r="H1889" s="8" t="s">
        <v>795</v>
      </c>
      <c r="I1889" s="3">
        <v>2</v>
      </c>
      <c r="J1889" s="8" t="s">
        <v>724</v>
      </c>
      <c r="K1889" s="8" t="s">
        <v>725</v>
      </c>
      <c r="L1889" s="8" t="s">
        <v>723</v>
      </c>
      <c r="M1889" s="1" t="s">
        <v>786</v>
      </c>
      <c r="N1889" s="8" t="s">
        <v>787</v>
      </c>
      <c r="O1889" s="6">
        <v>0</v>
      </c>
      <c r="P1889" s="6">
        <v>15</v>
      </c>
      <c r="Q1889" s="6">
        <v>15</v>
      </c>
      <c r="R1889" s="6">
        <v>0</v>
      </c>
      <c r="S1889" s="6">
        <v>0</v>
      </c>
    </row>
    <row r="1890" spans="1:19" ht="15" x14ac:dyDescent="0.25">
      <c r="A1890" s="7" t="s">
        <v>16</v>
      </c>
      <c r="B1890" s="7" t="s">
        <v>60</v>
      </c>
      <c r="C1890" s="7" t="s">
        <v>18</v>
      </c>
      <c r="D1890" s="3">
        <v>21371777000132</v>
      </c>
      <c r="E1890" s="8" t="s">
        <v>33</v>
      </c>
      <c r="F1890" s="8" t="s">
        <v>20</v>
      </c>
      <c r="G1890" s="8" t="s">
        <v>21</v>
      </c>
      <c r="H1890" s="8" t="s">
        <v>795</v>
      </c>
      <c r="I1890" s="3">
        <v>2</v>
      </c>
      <c r="J1890" s="8" t="s">
        <v>740</v>
      </c>
      <c r="K1890" s="8" t="s">
        <v>741</v>
      </c>
      <c r="L1890" s="8" t="s">
        <v>730</v>
      </c>
      <c r="M1890" s="1" t="s">
        <v>786</v>
      </c>
      <c r="N1890" s="8" t="s">
        <v>787</v>
      </c>
      <c r="O1890" s="6">
        <v>0</v>
      </c>
      <c r="P1890" s="6">
        <v>0</v>
      </c>
      <c r="Q1890" s="6">
        <v>0</v>
      </c>
      <c r="R1890" s="6">
        <v>0</v>
      </c>
      <c r="S1890" s="6">
        <v>0</v>
      </c>
    </row>
    <row r="1891" spans="1:19" ht="15" x14ac:dyDescent="0.25">
      <c r="A1891" s="7" t="s">
        <v>16</v>
      </c>
      <c r="B1891" s="7" t="s">
        <v>60</v>
      </c>
      <c r="C1891" s="7" t="s">
        <v>18</v>
      </c>
      <c r="D1891" s="3">
        <v>21371777000132</v>
      </c>
      <c r="E1891" s="8" t="s">
        <v>33</v>
      </c>
      <c r="F1891" s="8" t="s">
        <v>20</v>
      </c>
      <c r="G1891" s="8" t="s">
        <v>21</v>
      </c>
      <c r="H1891" s="8" t="s">
        <v>795</v>
      </c>
      <c r="I1891" s="3">
        <v>2</v>
      </c>
      <c r="J1891" s="8" t="s">
        <v>762</v>
      </c>
      <c r="K1891" s="8" t="s">
        <v>763</v>
      </c>
      <c r="L1891" s="8" t="s">
        <v>723</v>
      </c>
      <c r="M1891" s="1" t="s">
        <v>786</v>
      </c>
      <c r="N1891" s="8" t="s">
        <v>787</v>
      </c>
      <c r="O1891" s="6">
        <v>0</v>
      </c>
      <c r="P1891" s="6">
        <v>0</v>
      </c>
      <c r="Q1891" s="6">
        <v>11</v>
      </c>
      <c r="R1891" s="6">
        <v>0</v>
      </c>
      <c r="S1891" s="6">
        <v>0</v>
      </c>
    </row>
    <row r="1892" spans="1:19" ht="15" x14ac:dyDescent="0.25">
      <c r="A1892" s="7" t="s">
        <v>16</v>
      </c>
      <c r="B1892" s="7" t="s">
        <v>60</v>
      </c>
      <c r="C1892" s="7" t="s">
        <v>18</v>
      </c>
      <c r="D1892" s="3">
        <v>60448040000122</v>
      </c>
      <c r="E1892" s="8" t="s">
        <v>85</v>
      </c>
      <c r="F1892" s="8" t="s">
        <v>20</v>
      </c>
      <c r="G1892" s="8" t="s">
        <v>21</v>
      </c>
      <c r="H1892" s="8" t="s">
        <v>795</v>
      </c>
      <c r="I1892" s="3">
        <v>2</v>
      </c>
      <c r="J1892" s="8" t="s">
        <v>770</v>
      </c>
      <c r="K1892" s="8" t="s">
        <v>771</v>
      </c>
      <c r="L1892" s="8" t="s">
        <v>730</v>
      </c>
      <c r="M1892" s="1" t="s">
        <v>786</v>
      </c>
      <c r="N1892" s="8" t="s">
        <v>787</v>
      </c>
      <c r="O1892" s="6">
        <v>0</v>
      </c>
      <c r="P1892" s="6">
        <v>0</v>
      </c>
      <c r="Q1892" s="6">
        <v>0</v>
      </c>
      <c r="R1892" s="6">
        <v>92</v>
      </c>
      <c r="S1892" s="6">
        <v>0</v>
      </c>
    </row>
    <row r="1893" spans="1:19" ht="15" x14ac:dyDescent="0.25">
      <c r="A1893" s="7" t="s">
        <v>16</v>
      </c>
      <c r="B1893" s="7" t="s">
        <v>60</v>
      </c>
      <c r="C1893" s="7" t="s">
        <v>18</v>
      </c>
      <c r="D1893" s="3">
        <v>60448040000122</v>
      </c>
      <c r="E1893" s="8" t="s">
        <v>85</v>
      </c>
      <c r="F1893" s="8" t="s">
        <v>20</v>
      </c>
      <c r="G1893" s="8" t="s">
        <v>21</v>
      </c>
      <c r="H1893" s="8" t="s">
        <v>795</v>
      </c>
      <c r="I1893" s="3">
        <v>2</v>
      </c>
      <c r="J1893" s="8" t="s">
        <v>756</v>
      </c>
      <c r="K1893" s="8" t="s">
        <v>757</v>
      </c>
      <c r="L1893" s="8" t="s">
        <v>723</v>
      </c>
      <c r="M1893" s="1" t="s">
        <v>786</v>
      </c>
      <c r="N1893" s="8" t="s">
        <v>787</v>
      </c>
      <c r="O1893" s="6">
        <v>0</v>
      </c>
      <c r="P1893" s="6">
        <v>66</v>
      </c>
      <c r="Q1893" s="6">
        <v>60</v>
      </c>
      <c r="R1893" s="6">
        <v>0</v>
      </c>
      <c r="S1893" s="6">
        <v>0</v>
      </c>
    </row>
    <row r="1894" spans="1:19" ht="15" x14ac:dyDescent="0.25">
      <c r="A1894" s="7" t="s">
        <v>16</v>
      </c>
      <c r="B1894" s="7" t="s">
        <v>60</v>
      </c>
      <c r="C1894" s="7" t="s">
        <v>18</v>
      </c>
      <c r="D1894" s="3">
        <v>60453024000390</v>
      </c>
      <c r="E1894" s="8" t="s">
        <v>86</v>
      </c>
      <c r="F1894" s="8" t="s">
        <v>20</v>
      </c>
      <c r="G1894" s="8" t="s">
        <v>21</v>
      </c>
      <c r="H1894" s="8" t="s">
        <v>795</v>
      </c>
      <c r="I1894" s="3">
        <v>2</v>
      </c>
      <c r="J1894" s="8" t="s">
        <v>740</v>
      </c>
      <c r="K1894" s="8" t="s">
        <v>741</v>
      </c>
      <c r="L1894" s="8" t="s">
        <v>730</v>
      </c>
      <c r="M1894" s="1" t="s">
        <v>786</v>
      </c>
      <c r="N1894" s="8" t="s">
        <v>787</v>
      </c>
      <c r="O1894" s="6">
        <v>0</v>
      </c>
      <c r="P1894" s="6">
        <v>0</v>
      </c>
      <c r="Q1894" s="6">
        <v>0</v>
      </c>
      <c r="R1894" s="6">
        <v>0</v>
      </c>
      <c r="S1894" s="6">
        <v>0</v>
      </c>
    </row>
    <row r="1895" spans="1:19" ht="15" x14ac:dyDescent="0.25">
      <c r="A1895" s="7" t="s">
        <v>16</v>
      </c>
      <c r="B1895" s="7" t="s">
        <v>60</v>
      </c>
      <c r="C1895" s="7" t="s">
        <v>18</v>
      </c>
      <c r="D1895" s="3">
        <v>60453024000390</v>
      </c>
      <c r="E1895" s="8" t="s">
        <v>86</v>
      </c>
      <c r="F1895" s="8" t="s">
        <v>20</v>
      </c>
      <c r="G1895" s="8" t="s">
        <v>21</v>
      </c>
      <c r="H1895" s="8" t="s">
        <v>795</v>
      </c>
      <c r="I1895" s="3">
        <v>2</v>
      </c>
      <c r="J1895" s="8" t="s">
        <v>756</v>
      </c>
      <c r="K1895" s="8" t="s">
        <v>757</v>
      </c>
      <c r="L1895" s="8" t="s">
        <v>723</v>
      </c>
      <c r="M1895" s="1" t="s">
        <v>786</v>
      </c>
      <c r="N1895" s="8" t="s">
        <v>787</v>
      </c>
      <c r="O1895" s="6">
        <v>0</v>
      </c>
      <c r="P1895" s="6">
        <v>11</v>
      </c>
      <c r="Q1895" s="6">
        <v>55</v>
      </c>
      <c r="R1895" s="6">
        <v>0</v>
      </c>
      <c r="S1895" s="6">
        <v>0</v>
      </c>
    </row>
    <row r="1896" spans="1:19" ht="15" x14ac:dyDescent="0.25">
      <c r="A1896" s="7" t="s">
        <v>16</v>
      </c>
      <c r="B1896" s="7" t="s">
        <v>60</v>
      </c>
      <c r="C1896" s="7" t="s">
        <v>18</v>
      </c>
      <c r="D1896" s="3">
        <v>51722957012512</v>
      </c>
      <c r="E1896" s="8" t="s">
        <v>40</v>
      </c>
      <c r="F1896" s="8" t="s">
        <v>20</v>
      </c>
      <c r="G1896" s="8" t="s">
        <v>21</v>
      </c>
      <c r="H1896" s="8" t="s">
        <v>795</v>
      </c>
      <c r="I1896" s="3">
        <v>2</v>
      </c>
      <c r="J1896" s="8" t="s">
        <v>740</v>
      </c>
      <c r="K1896" s="8" t="s">
        <v>741</v>
      </c>
      <c r="L1896" s="8" t="s">
        <v>730</v>
      </c>
      <c r="M1896" s="1" t="s">
        <v>786</v>
      </c>
      <c r="N1896" s="8" t="s">
        <v>787</v>
      </c>
      <c r="O1896" s="6">
        <v>0</v>
      </c>
      <c r="P1896" s="6">
        <v>0</v>
      </c>
      <c r="Q1896" s="6">
        <v>0</v>
      </c>
      <c r="R1896" s="6">
        <v>0</v>
      </c>
      <c r="S1896" s="6">
        <v>90</v>
      </c>
    </row>
    <row r="1897" spans="1:19" ht="15" x14ac:dyDescent="0.25">
      <c r="A1897" s="7" t="s">
        <v>16</v>
      </c>
      <c r="B1897" s="7" t="s">
        <v>60</v>
      </c>
      <c r="C1897" s="7" t="s">
        <v>18</v>
      </c>
      <c r="D1897" s="3">
        <v>51722957012512</v>
      </c>
      <c r="E1897" s="8" t="s">
        <v>40</v>
      </c>
      <c r="F1897" s="8" t="s">
        <v>20</v>
      </c>
      <c r="G1897" s="8" t="s">
        <v>21</v>
      </c>
      <c r="H1897" s="8" t="s">
        <v>795</v>
      </c>
      <c r="I1897" s="3">
        <v>2</v>
      </c>
      <c r="J1897" s="8" t="s">
        <v>762</v>
      </c>
      <c r="K1897" s="8" t="s">
        <v>763</v>
      </c>
      <c r="L1897" s="8" t="s">
        <v>723</v>
      </c>
      <c r="M1897" s="1" t="s">
        <v>786</v>
      </c>
      <c r="N1897" s="8" t="s">
        <v>787</v>
      </c>
      <c r="O1897" s="6">
        <v>0</v>
      </c>
      <c r="P1897" s="6">
        <v>0</v>
      </c>
      <c r="Q1897" s="6">
        <v>0</v>
      </c>
      <c r="R1897" s="6">
        <v>0</v>
      </c>
      <c r="S1897" s="6">
        <v>90</v>
      </c>
    </row>
    <row r="1898" spans="1:19" ht="15" x14ac:dyDescent="0.25">
      <c r="A1898" s="7" t="s">
        <v>16</v>
      </c>
      <c r="B1898" s="7" t="s">
        <v>60</v>
      </c>
      <c r="C1898" s="7" t="s">
        <v>18</v>
      </c>
      <c r="D1898" s="3">
        <v>60678604000113</v>
      </c>
      <c r="E1898" s="8" t="s">
        <v>64</v>
      </c>
      <c r="F1898" s="8" t="s">
        <v>20</v>
      </c>
      <c r="G1898" s="8" t="s">
        <v>21</v>
      </c>
      <c r="H1898" s="8" t="s">
        <v>795</v>
      </c>
      <c r="I1898" s="3">
        <v>2</v>
      </c>
      <c r="J1898" s="8" t="s">
        <v>740</v>
      </c>
      <c r="K1898" s="8" t="s">
        <v>741</v>
      </c>
      <c r="L1898" s="8" t="s">
        <v>730</v>
      </c>
      <c r="M1898" s="1" t="s">
        <v>786</v>
      </c>
      <c r="N1898" s="8" t="s">
        <v>787</v>
      </c>
      <c r="O1898" s="6">
        <v>0</v>
      </c>
      <c r="P1898" s="6">
        <v>0</v>
      </c>
      <c r="Q1898" s="6">
        <v>0</v>
      </c>
      <c r="R1898" s="6">
        <v>0</v>
      </c>
      <c r="S1898" s="6">
        <v>200</v>
      </c>
    </row>
    <row r="1899" spans="1:19" ht="15" x14ac:dyDescent="0.25">
      <c r="A1899" s="7" t="s">
        <v>16</v>
      </c>
      <c r="B1899" s="7" t="s">
        <v>60</v>
      </c>
      <c r="C1899" s="7" t="s">
        <v>18</v>
      </c>
      <c r="D1899" s="3">
        <v>60678604000113</v>
      </c>
      <c r="E1899" s="8" t="s">
        <v>64</v>
      </c>
      <c r="F1899" s="8" t="s">
        <v>20</v>
      </c>
      <c r="G1899" s="8" t="s">
        <v>21</v>
      </c>
      <c r="H1899" s="8" t="s">
        <v>795</v>
      </c>
      <c r="I1899" s="3">
        <v>2</v>
      </c>
      <c r="J1899" s="8" t="s">
        <v>724</v>
      </c>
      <c r="K1899" s="8" t="s">
        <v>725</v>
      </c>
      <c r="L1899" s="8" t="s">
        <v>723</v>
      </c>
      <c r="M1899" s="1" t="s">
        <v>786</v>
      </c>
      <c r="N1899" s="8" t="s">
        <v>787</v>
      </c>
      <c r="O1899" s="6">
        <v>0</v>
      </c>
      <c r="P1899" s="6">
        <v>0</v>
      </c>
      <c r="Q1899" s="6">
        <v>24</v>
      </c>
      <c r="R1899" s="6">
        <v>0</v>
      </c>
      <c r="S1899" s="6">
        <v>200</v>
      </c>
    </row>
    <row r="1900" spans="1:19" ht="15" x14ac:dyDescent="0.25">
      <c r="A1900" s="7" t="s">
        <v>16</v>
      </c>
      <c r="B1900" s="7" t="s">
        <v>60</v>
      </c>
      <c r="C1900" s="7" t="s">
        <v>18</v>
      </c>
      <c r="D1900" s="3">
        <v>29435005004540</v>
      </c>
      <c r="E1900" s="8" t="s">
        <v>35</v>
      </c>
      <c r="F1900" s="8" t="s">
        <v>20</v>
      </c>
      <c r="G1900" s="8" t="s">
        <v>21</v>
      </c>
      <c r="H1900" s="8" t="s">
        <v>795</v>
      </c>
      <c r="I1900" s="3">
        <v>2</v>
      </c>
      <c r="J1900" s="8" t="s">
        <v>740</v>
      </c>
      <c r="K1900" s="8" t="s">
        <v>741</v>
      </c>
      <c r="L1900" s="8" t="s">
        <v>730</v>
      </c>
      <c r="M1900" s="1" t="s">
        <v>786</v>
      </c>
      <c r="N1900" s="8" t="s">
        <v>787</v>
      </c>
      <c r="O1900" s="6">
        <v>0</v>
      </c>
      <c r="P1900" s="6">
        <v>0</v>
      </c>
      <c r="Q1900" s="6">
        <v>0</v>
      </c>
      <c r="R1900" s="6">
        <v>0</v>
      </c>
      <c r="S1900" s="6">
        <v>180</v>
      </c>
    </row>
    <row r="1901" spans="1:19" ht="15" x14ac:dyDescent="0.25">
      <c r="A1901" s="7" t="s">
        <v>16</v>
      </c>
      <c r="B1901" s="7" t="s">
        <v>60</v>
      </c>
      <c r="C1901" s="7" t="s">
        <v>18</v>
      </c>
      <c r="D1901" s="3">
        <v>29435005004540</v>
      </c>
      <c r="E1901" s="8" t="s">
        <v>35</v>
      </c>
      <c r="F1901" s="8" t="s">
        <v>20</v>
      </c>
      <c r="G1901" s="8" t="s">
        <v>21</v>
      </c>
      <c r="H1901" s="8" t="s">
        <v>795</v>
      </c>
      <c r="I1901" s="3">
        <v>2</v>
      </c>
      <c r="J1901" s="8" t="s">
        <v>762</v>
      </c>
      <c r="K1901" s="8" t="s">
        <v>763</v>
      </c>
      <c r="L1901" s="8" t="s">
        <v>723</v>
      </c>
      <c r="M1901" s="1" t="s">
        <v>786</v>
      </c>
      <c r="N1901" s="8" t="s">
        <v>787</v>
      </c>
      <c r="O1901" s="6">
        <v>0</v>
      </c>
      <c r="P1901" s="6">
        <v>0</v>
      </c>
      <c r="Q1901" s="6">
        <v>0</v>
      </c>
      <c r="R1901" s="6">
        <v>0</v>
      </c>
      <c r="S1901" s="6">
        <v>180</v>
      </c>
    </row>
    <row r="1902" spans="1:19" ht="15" x14ac:dyDescent="0.25">
      <c r="A1902" s="7" t="s">
        <v>16</v>
      </c>
      <c r="B1902" s="7" t="s">
        <v>60</v>
      </c>
      <c r="C1902" s="7" t="s">
        <v>18</v>
      </c>
      <c r="D1902" s="3">
        <v>46374500010823</v>
      </c>
      <c r="E1902" s="8" t="s">
        <v>62</v>
      </c>
      <c r="F1902" s="8" t="s">
        <v>20</v>
      </c>
      <c r="G1902" s="8" t="s">
        <v>21</v>
      </c>
      <c r="H1902" s="8" t="s">
        <v>795</v>
      </c>
      <c r="I1902" s="3">
        <v>2</v>
      </c>
      <c r="J1902" s="8" t="s">
        <v>740</v>
      </c>
      <c r="K1902" s="8" t="s">
        <v>741</v>
      </c>
      <c r="L1902" s="8" t="s">
        <v>730</v>
      </c>
      <c r="M1902" s="1" t="s">
        <v>786</v>
      </c>
      <c r="N1902" s="8" t="s">
        <v>787</v>
      </c>
      <c r="O1902" s="6">
        <v>0</v>
      </c>
      <c r="P1902" s="6">
        <v>0</v>
      </c>
      <c r="Q1902" s="6">
        <v>0</v>
      </c>
      <c r="R1902" s="6">
        <v>0</v>
      </c>
      <c r="S1902" s="6">
        <v>150</v>
      </c>
    </row>
    <row r="1903" spans="1:19" ht="15" x14ac:dyDescent="0.25">
      <c r="A1903" s="7" t="s">
        <v>16</v>
      </c>
      <c r="B1903" s="7" t="s">
        <v>60</v>
      </c>
      <c r="C1903" s="7" t="s">
        <v>18</v>
      </c>
      <c r="D1903" s="3">
        <v>46374500010823</v>
      </c>
      <c r="E1903" s="8" t="s">
        <v>62</v>
      </c>
      <c r="F1903" s="8" t="s">
        <v>20</v>
      </c>
      <c r="G1903" s="8" t="s">
        <v>21</v>
      </c>
      <c r="H1903" s="8" t="s">
        <v>795</v>
      </c>
      <c r="I1903" s="3">
        <v>2</v>
      </c>
      <c r="J1903" s="8" t="s">
        <v>724</v>
      </c>
      <c r="K1903" s="8" t="s">
        <v>725</v>
      </c>
      <c r="L1903" s="8" t="s">
        <v>723</v>
      </c>
      <c r="M1903" s="1" t="s">
        <v>786</v>
      </c>
      <c r="N1903" s="8" t="s">
        <v>787</v>
      </c>
      <c r="O1903" s="6">
        <v>0</v>
      </c>
      <c r="P1903" s="6">
        <v>0</v>
      </c>
      <c r="Q1903" s="6">
        <v>0</v>
      </c>
      <c r="R1903" s="6">
        <v>0</v>
      </c>
      <c r="S1903" s="6">
        <v>150</v>
      </c>
    </row>
    <row r="1904" spans="1:19" ht="15" x14ac:dyDescent="0.25">
      <c r="A1904" s="7" t="s">
        <v>16</v>
      </c>
      <c r="B1904" s="7" t="s">
        <v>60</v>
      </c>
      <c r="C1904" s="7" t="s">
        <v>18</v>
      </c>
      <c r="D1904" s="3">
        <v>61213674000240</v>
      </c>
      <c r="E1904" s="8" t="s">
        <v>52</v>
      </c>
      <c r="F1904" s="8" t="s">
        <v>20</v>
      </c>
      <c r="G1904" s="8" t="s">
        <v>21</v>
      </c>
      <c r="H1904" s="8" t="s">
        <v>795</v>
      </c>
      <c r="I1904" s="3">
        <v>2</v>
      </c>
      <c r="J1904" s="8" t="s">
        <v>770</v>
      </c>
      <c r="K1904" s="8" t="s">
        <v>771</v>
      </c>
      <c r="L1904" s="8" t="s">
        <v>730</v>
      </c>
      <c r="M1904" s="1" t="s">
        <v>786</v>
      </c>
      <c r="N1904" s="8" t="s">
        <v>787</v>
      </c>
      <c r="O1904" s="6">
        <v>0</v>
      </c>
      <c r="P1904" s="6">
        <v>0</v>
      </c>
      <c r="Q1904" s="6">
        <v>0</v>
      </c>
      <c r="R1904" s="6">
        <v>113</v>
      </c>
      <c r="S1904" s="6">
        <v>0</v>
      </c>
    </row>
    <row r="1905" spans="1:19" ht="15" x14ac:dyDescent="0.25">
      <c r="A1905" s="7" t="s">
        <v>16</v>
      </c>
      <c r="B1905" s="7" t="s">
        <v>60</v>
      </c>
      <c r="C1905" s="7" t="s">
        <v>18</v>
      </c>
      <c r="D1905" s="3">
        <v>61213674000240</v>
      </c>
      <c r="E1905" s="8" t="s">
        <v>52</v>
      </c>
      <c r="F1905" s="8" t="s">
        <v>20</v>
      </c>
      <c r="G1905" s="8" t="s">
        <v>21</v>
      </c>
      <c r="H1905" s="8" t="s">
        <v>795</v>
      </c>
      <c r="I1905" s="3">
        <v>2</v>
      </c>
      <c r="J1905" s="8" t="s">
        <v>724</v>
      </c>
      <c r="K1905" s="8" t="s">
        <v>725</v>
      </c>
      <c r="L1905" s="8" t="s">
        <v>723</v>
      </c>
      <c r="M1905" s="1" t="s">
        <v>786</v>
      </c>
      <c r="N1905" s="8" t="s">
        <v>787</v>
      </c>
      <c r="O1905" s="6">
        <v>0</v>
      </c>
      <c r="P1905" s="6">
        <v>1</v>
      </c>
      <c r="Q1905" s="6">
        <v>2</v>
      </c>
      <c r="R1905" s="6">
        <v>0</v>
      </c>
      <c r="S1905" s="6">
        <v>0</v>
      </c>
    </row>
    <row r="1906" spans="1:19" ht="15" x14ac:dyDescent="0.25">
      <c r="A1906" s="7" t="s">
        <v>16</v>
      </c>
      <c r="B1906" s="7" t="s">
        <v>60</v>
      </c>
      <c r="C1906" s="7" t="s">
        <v>18</v>
      </c>
      <c r="D1906" s="3">
        <v>60765823000130</v>
      </c>
      <c r="E1906" s="8" t="s">
        <v>94</v>
      </c>
      <c r="F1906" s="8" t="s">
        <v>20</v>
      </c>
      <c r="G1906" s="8" t="s">
        <v>21</v>
      </c>
      <c r="H1906" s="8" t="s">
        <v>795</v>
      </c>
      <c r="I1906" s="3">
        <v>2</v>
      </c>
      <c r="J1906" s="8" t="s">
        <v>770</v>
      </c>
      <c r="K1906" s="8" t="s">
        <v>771</v>
      </c>
      <c r="L1906" s="8" t="s">
        <v>730</v>
      </c>
      <c r="M1906" s="1" t="s">
        <v>786</v>
      </c>
      <c r="N1906" s="8" t="s">
        <v>787</v>
      </c>
      <c r="O1906" s="6">
        <v>0</v>
      </c>
      <c r="P1906" s="6">
        <v>0</v>
      </c>
      <c r="Q1906" s="6">
        <v>0</v>
      </c>
      <c r="R1906" s="6">
        <v>130</v>
      </c>
      <c r="S1906" s="6">
        <v>0</v>
      </c>
    </row>
    <row r="1907" spans="1:19" ht="15" x14ac:dyDescent="0.25">
      <c r="A1907" s="7" t="s">
        <v>16</v>
      </c>
      <c r="B1907" s="7" t="s">
        <v>60</v>
      </c>
      <c r="C1907" s="7" t="s">
        <v>18</v>
      </c>
      <c r="D1907" s="3">
        <v>60765823000130</v>
      </c>
      <c r="E1907" s="8" t="s">
        <v>94</v>
      </c>
      <c r="F1907" s="8" t="s">
        <v>20</v>
      </c>
      <c r="G1907" s="8" t="s">
        <v>21</v>
      </c>
      <c r="H1907" s="8" t="s">
        <v>795</v>
      </c>
      <c r="I1907" s="3">
        <v>2</v>
      </c>
      <c r="J1907" s="8" t="s">
        <v>724</v>
      </c>
      <c r="K1907" s="8" t="s">
        <v>725</v>
      </c>
      <c r="L1907" s="8" t="s">
        <v>723</v>
      </c>
      <c r="M1907" s="1" t="s">
        <v>786</v>
      </c>
      <c r="N1907" s="8" t="s">
        <v>787</v>
      </c>
      <c r="O1907" s="6">
        <v>0</v>
      </c>
      <c r="P1907" s="6">
        <v>30</v>
      </c>
      <c r="Q1907" s="6">
        <v>70</v>
      </c>
      <c r="R1907" s="6">
        <v>0</v>
      </c>
      <c r="S1907" s="6">
        <v>0</v>
      </c>
    </row>
    <row r="1908" spans="1:19" ht="15" x14ac:dyDescent="0.25">
      <c r="A1908" s="7" t="s">
        <v>16</v>
      </c>
      <c r="B1908" s="7" t="s">
        <v>60</v>
      </c>
      <c r="C1908" s="7" t="s">
        <v>18</v>
      </c>
      <c r="D1908" s="3">
        <v>19803199000114</v>
      </c>
      <c r="E1908" s="8" t="s">
        <v>32</v>
      </c>
      <c r="F1908" s="8" t="s">
        <v>20</v>
      </c>
      <c r="G1908" s="8" t="s">
        <v>21</v>
      </c>
      <c r="H1908" s="8" t="s">
        <v>795</v>
      </c>
      <c r="I1908" s="3">
        <v>2</v>
      </c>
      <c r="J1908" s="8" t="s">
        <v>740</v>
      </c>
      <c r="K1908" s="8" t="s">
        <v>741</v>
      </c>
      <c r="L1908" s="8" t="s">
        <v>730</v>
      </c>
      <c r="M1908" s="1" t="s">
        <v>786</v>
      </c>
      <c r="N1908" s="8" t="s">
        <v>787</v>
      </c>
      <c r="O1908" s="6">
        <v>0</v>
      </c>
      <c r="P1908" s="6">
        <v>0</v>
      </c>
      <c r="Q1908" s="6">
        <v>0</v>
      </c>
      <c r="R1908" s="6">
        <v>0</v>
      </c>
      <c r="S1908" s="6">
        <v>125</v>
      </c>
    </row>
    <row r="1909" spans="1:19" ht="15" x14ac:dyDescent="0.25">
      <c r="A1909" s="7" t="s">
        <v>16</v>
      </c>
      <c r="B1909" s="7" t="s">
        <v>60</v>
      </c>
      <c r="C1909" s="7" t="s">
        <v>18</v>
      </c>
      <c r="D1909" s="3">
        <v>19803199000114</v>
      </c>
      <c r="E1909" s="8" t="s">
        <v>32</v>
      </c>
      <c r="F1909" s="8" t="s">
        <v>20</v>
      </c>
      <c r="G1909" s="8" t="s">
        <v>21</v>
      </c>
      <c r="H1909" s="8" t="s">
        <v>795</v>
      </c>
      <c r="I1909" s="3">
        <v>2</v>
      </c>
      <c r="J1909" s="8" t="s">
        <v>762</v>
      </c>
      <c r="K1909" s="8" t="s">
        <v>763</v>
      </c>
      <c r="L1909" s="8" t="s">
        <v>723</v>
      </c>
      <c r="M1909" s="1" t="s">
        <v>786</v>
      </c>
      <c r="N1909" s="8" t="s">
        <v>787</v>
      </c>
      <c r="O1909" s="6">
        <v>0</v>
      </c>
      <c r="P1909" s="6">
        <v>4</v>
      </c>
      <c r="Q1909" s="6">
        <v>0</v>
      </c>
      <c r="R1909" s="6">
        <v>0</v>
      </c>
      <c r="S1909" s="6">
        <v>125</v>
      </c>
    </row>
    <row r="1910" spans="1:19" ht="15" x14ac:dyDescent="0.25">
      <c r="A1910" s="7" t="s">
        <v>16</v>
      </c>
      <c r="B1910" s="7" t="s">
        <v>60</v>
      </c>
      <c r="C1910" s="7" t="s">
        <v>18</v>
      </c>
      <c r="D1910" s="3">
        <v>29435005002687</v>
      </c>
      <c r="E1910" s="8" t="s">
        <v>34</v>
      </c>
      <c r="F1910" s="8" t="s">
        <v>20</v>
      </c>
      <c r="G1910" s="8" t="s">
        <v>21</v>
      </c>
      <c r="H1910" s="8" t="s">
        <v>795</v>
      </c>
      <c r="I1910" s="3">
        <v>2</v>
      </c>
      <c r="J1910" s="8" t="s">
        <v>740</v>
      </c>
      <c r="K1910" s="8" t="s">
        <v>741</v>
      </c>
      <c r="L1910" s="8" t="s">
        <v>730</v>
      </c>
      <c r="M1910" s="1" t="s">
        <v>786</v>
      </c>
      <c r="N1910" s="8" t="s">
        <v>787</v>
      </c>
      <c r="O1910" s="6">
        <v>0</v>
      </c>
      <c r="P1910" s="6">
        <v>0</v>
      </c>
      <c r="Q1910" s="6">
        <v>0</v>
      </c>
      <c r="R1910" s="6">
        <v>0</v>
      </c>
      <c r="S1910" s="6">
        <v>1150</v>
      </c>
    </row>
    <row r="1911" spans="1:19" ht="15" x14ac:dyDescent="0.25">
      <c r="A1911" s="7" t="s">
        <v>16</v>
      </c>
      <c r="B1911" s="7" t="s">
        <v>60</v>
      </c>
      <c r="C1911" s="7" t="s">
        <v>18</v>
      </c>
      <c r="D1911" s="3">
        <v>29435005002687</v>
      </c>
      <c r="E1911" s="8" t="s">
        <v>34</v>
      </c>
      <c r="F1911" s="8" t="s">
        <v>20</v>
      </c>
      <c r="G1911" s="8" t="s">
        <v>21</v>
      </c>
      <c r="H1911" s="8" t="s">
        <v>795</v>
      </c>
      <c r="I1911" s="3">
        <v>2</v>
      </c>
      <c r="J1911" s="8" t="s">
        <v>762</v>
      </c>
      <c r="K1911" s="8" t="s">
        <v>763</v>
      </c>
      <c r="L1911" s="8" t="s">
        <v>723</v>
      </c>
      <c r="M1911" s="1" t="s">
        <v>786</v>
      </c>
      <c r="N1911" s="8" t="s">
        <v>787</v>
      </c>
      <c r="O1911" s="6">
        <v>0</v>
      </c>
      <c r="P1911" s="6">
        <v>7</v>
      </c>
      <c r="Q1911" s="6">
        <v>0</v>
      </c>
      <c r="R1911" s="6">
        <v>0</v>
      </c>
      <c r="S1911" s="6">
        <v>1150</v>
      </c>
    </row>
    <row r="1912" spans="1:19" ht="15" x14ac:dyDescent="0.25">
      <c r="A1912" s="7" t="s">
        <v>16</v>
      </c>
      <c r="B1912" s="7" t="s">
        <v>60</v>
      </c>
      <c r="C1912" s="7" t="s">
        <v>18</v>
      </c>
      <c r="D1912" s="3">
        <v>61062212000198</v>
      </c>
      <c r="E1912" s="8" t="s">
        <v>101</v>
      </c>
      <c r="F1912" s="8" t="s">
        <v>20</v>
      </c>
      <c r="G1912" s="8" t="s">
        <v>21</v>
      </c>
      <c r="H1912" s="8" t="s">
        <v>795</v>
      </c>
      <c r="I1912" s="3">
        <v>2</v>
      </c>
      <c r="J1912" s="8" t="s">
        <v>740</v>
      </c>
      <c r="K1912" s="8" t="s">
        <v>741</v>
      </c>
      <c r="L1912" s="8" t="s">
        <v>730</v>
      </c>
      <c r="M1912" s="1" t="s">
        <v>786</v>
      </c>
      <c r="N1912" s="8" t="s">
        <v>787</v>
      </c>
      <c r="O1912" s="6">
        <v>0</v>
      </c>
      <c r="P1912" s="6">
        <v>0</v>
      </c>
      <c r="Q1912" s="6">
        <v>0</v>
      </c>
      <c r="R1912" s="6">
        <v>0</v>
      </c>
      <c r="S1912" s="6">
        <v>0</v>
      </c>
    </row>
    <row r="1913" spans="1:19" ht="15" x14ac:dyDescent="0.25">
      <c r="A1913" s="7" t="s">
        <v>16</v>
      </c>
      <c r="B1913" s="7" t="s">
        <v>60</v>
      </c>
      <c r="C1913" s="7" t="s">
        <v>18</v>
      </c>
      <c r="D1913" s="3">
        <v>61062212000198</v>
      </c>
      <c r="E1913" s="8" t="s">
        <v>101</v>
      </c>
      <c r="F1913" s="8" t="s">
        <v>20</v>
      </c>
      <c r="G1913" s="8" t="s">
        <v>21</v>
      </c>
      <c r="H1913" s="8" t="s">
        <v>795</v>
      </c>
      <c r="I1913" s="3">
        <v>2</v>
      </c>
      <c r="J1913" s="8" t="s">
        <v>762</v>
      </c>
      <c r="K1913" s="8" t="s">
        <v>763</v>
      </c>
      <c r="L1913" s="8" t="s">
        <v>723</v>
      </c>
      <c r="M1913" s="1" t="s">
        <v>786</v>
      </c>
      <c r="N1913" s="8" t="s">
        <v>787</v>
      </c>
      <c r="O1913" s="6">
        <v>0</v>
      </c>
      <c r="P1913" s="6">
        <v>0</v>
      </c>
      <c r="Q1913" s="6">
        <v>4</v>
      </c>
      <c r="R1913" s="6">
        <v>0</v>
      </c>
      <c r="S1913" s="6">
        <v>0</v>
      </c>
    </row>
    <row r="1914" spans="1:19" ht="15" x14ac:dyDescent="0.25">
      <c r="A1914" s="7" t="s">
        <v>16</v>
      </c>
      <c r="B1914" s="7" t="s">
        <v>60</v>
      </c>
      <c r="C1914" s="7" t="s">
        <v>18</v>
      </c>
      <c r="D1914" s="3">
        <v>60922168000771</v>
      </c>
      <c r="E1914" s="8" t="s">
        <v>47</v>
      </c>
      <c r="F1914" s="8" t="s">
        <v>20</v>
      </c>
      <c r="G1914" s="8" t="s">
        <v>21</v>
      </c>
      <c r="H1914" s="8" t="s">
        <v>795</v>
      </c>
      <c r="I1914" s="3">
        <v>2</v>
      </c>
      <c r="J1914" s="8" t="s">
        <v>770</v>
      </c>
      <c r="K1914" s="8" t="s">
        <v>771</v>
      </c>
      <c r="L1914" s="8" t="s">
        <v>730</v>
      </c>
      <c r="M1914" s="1" t="s">
        <v>786</v>
      </c>
      <c r="N1914" s="8" t="s">
        <v>787</v>
      </c>
      <c r="O1914" s="6">
        <v>0</v>
      </c>
      <c r="P1914" s="6">
        <v>0</v>
      </c>
      <c r="Q1914" s="6">
        <v>0</v>
      </c>
      <c r="R1914" s="6">
        <v>23</v>
      </c>
      <c r="S1914" s="6">
        <v>0</v>
      </c>
    </row>
    <row r="1915" spans="1:19" ht="15" x14ac:dyDescent="0.25">
      <c r="A1915" s="7" t="s">
        <v>16</v>
      </c>
      <c r="B1915" s="7" t="s">
        <v>60</v>
      </c>
      <c r="C1915" s="7" t="s">
        <v>18</v>
      </c>
      <c r="D1915" s="3">
        <v>60922168000771</v>
      </c>
      <c r="E1915" s="8" t="s">
        <v>47</v>
      </c>
      <c r="F1915" s="8" t="s">
        <v>20</v>
      </c>
      <c r="G1915" s="8" t="s">
        <v>21</v>
      </c>
      <c r="H1915" s="8" t="s">
        <v>795</v>
      </c>
      <c r="I1915" s="3">
        <v>2</v>
      </c>
      <c r="J1915" s="8" t="s">
        <v>724</v>
      </c>
      <c r="K1915" s="8" t="s">
        <v>725</v>
      </c>
      <c r="L1915" s="8" t="s">
        <v>723</v>
      </c>
      <c r="M1915" s="1" t="s">
        <v>786</v>
      </c>
      <c r="N1915" s="8" t="s">
        <v>787</v>
      </c>
      <c r="O1915" s="6">
        <v>0</v>
      </c>
      <c r="P1915" s="6">
        <v>0</v>
      </c>
      <c r="Q1915" s="6">
        <v>4</v>
      </c>
      <c r="R1915" s="6">
        <v>0</v>
      </c>
      <c r="S1915" s="6">
        <v>0</v>
      </c>
    </row>
    <row r="1916" spans="1:19" ht="15" x14ac:dyDescent="0.25">
      <c r="A1916" s="7" t="s">
        <v>16</v>
      </c>
      <c r="B1916" s="7" t="s">
        <v>60</v>
      </c>
      <c r="C1916" s="7" t="s">
        <v>18</v>
      </c>
      <c r="D1916" s="3">
        <v>60552098000111</v>
      </c>
      <c r="E1916" s="8" t="s">
        <v>43</v>
      </c>
      <c r="F1916" s="8" t="s">
        <v>20</v>
      </c>
      <c r="G1916" s="8" t="s">
        <v>21</v>
      </c>
      <c r="H1916" s="8" t="s">
        <v>795</v>
      </c>
      <c r="I1916" s="3">
        <v>2</v>
      </c>
      <c r="J1916" s="8" t="s">
        <v>740</v>
      </c>
      <c r="K1916" s="8" t="s">
        <v>741</v>
      </c>
      <c r="L1916" s="8" t="s">
        <v>730</v>
      </c>
      <c r="M1916" s="1" t="s">
        <v>786</v>
      </c>
      <c r="N1916" s="8" t="s">
        <v>787</v>
      </c>
      <c r="O1916" s="6">
        <v>0</v>
      </c>
      <c r="P1916" s="6">
        <v>0</v>
      </c>
      <c r="Q1916" s="6">
        <v>0</v>
      </c>
      <c r="R1916" s="6">
        <v>0</v>
      </c>
      <c r="S1916" s="6">
        <v>75</v>
      </c>
    </row>
    <row r="1917" spans="1:19" ht="15" x14ac:dyDescent="0.25">
      <c r="A1917" s="7" t="s">
        <v>16</v>
      </c>
      <c r="B1917" s="7" t="s">
        <v>60</v>
      </c>
      <c r="C1917" s="7" t="s">
        <v>18</v>
      </c>
      <c r="D1917" s="3">
        <v>60552098000111</v>
      </c>
      <c r="E1917" s="8" t="s">
        <v>43</v>
      </c>
      <c r="F1917" s="8" t="s">
        <v>20</v>
      </c>
      <c r="G1917" s="8" t="s">
        <v>21</v>
      </c>
      <c r="H1917" s="8" t="s">
        <v>795</v>
      </c>
      <c r="I1917" s="3">
        <v>2</v>
      </c>
      <c r="J1917" s="8" t="s">
        <v>724</v>
      </c>
      <c r="K1917" s="8" t="s">
        <v>725</v>
      </c>
      <c r="L1917" s="8" t="s">
        <v>723</v>
      </c>
      <c r="M1917" s="1" t="s">
        <v>786</v>
      </c>
      <c r="N1917" s="8" t="s">
        <v>787</v>
      </c>
      <c r="O1917" s="6">
        <v>0</v>
      </c>
      <c r="P1917" s="6">
        <v>0</v>
      </c>
      <c r="Q1917" s="6">
        <v>0</v>
      </c>
      <c r="R1917" s="6">
        <v>0</v>
      </c>
      <c r="S1917" s="6">
        <v>75</v>
      </c>
    </row>
    <row r="1918" spans="1:19" ht="15" x14ac:dyDescent="0.25">
      <c r="A1918" s="7" t="s">
        <v>16</v>
      </c>
      <c r="B1918" s="7" t="s">
        <v>60</v>
      </c>
      <c r="C1918" s="7" t="s">
        <v>18</v>
      </c>
      <c r="D1918" s="3">
        <v>60777901000116</v>
      </c>
      <c r="E1918" s="8" t="s">
        <v>45</v>
      </c>
      <c r="F1918" s="8" t="s">
        <v>20</v>
      </c>
      <c r="G1918" s="8" t="s">
        <v>21</v>
      </c>
      <c r="H1918" s="8" t="s">
        <v>795</v>
      </c>
      <c r="I1918" s="3">
        <v>2</v>
      </c>
      <c r="J1918" s="8" t="s">
        <v>740</v>
      </c>
      <c r="K1918" s="8" t="s">
        <v>741</v>
      </c>
      <c r="L1918" s="8" t="s">
        <v>730</v>
      </c>
      <c r="M1918" s="1" t="s">
        <v>786</v>
      </c>
      <c r="N1918" s="8" t="s">
        <v>787</v>
      </c>
      <c r="O1918" s="6">
        <v>0</v>
      </c>
      <c r="P1918" s="6">
        <v>0</v>
      </c>
      <c r="Q1918" s="6">
        <v>0</v>
      </c>
      <c r="R1918" s="6">
        <v>0</v>
      </c>
      <c r="S1918" s="6">
        <v>1400</v>
      </c>
    </row>
    <row r="1919" spans="1:19" ht="15" x14ac:dyDescent="0.25">
      <c r="A1919" s="7" t="s">
        <v>16</v>
      </c>
      <c r="B1919" s="7" t="s">
        <v>60</v>
      </c>
      <c r="C1919" s="7" t="s">
        <v>18</v>
      </c>
      <c r="D1919" s="3">
        <v>60777901000116</v>
      </c>
      <c r="E1919" s="8" t="s">
        <v>45</v>
      </c>
      <c r="F1919" s="8" t="s">
        <v>20</v>
      </c>
      <c r="G1919" s="8" t="s">
        <v>21</v>
      </c>
      <c r="H1919" s="8" t="s">
        <v>795</v>
      </c>
      <c r="I1919" s="3">
        <v>2</v>
      </c>
      <c r="J1919" s="8" t="s">
        <v>762</v>
      </c>
      <c r="K1919" s="8" t="s">
        <v>763</v>
      </c>
      <c r="L1919" s="8" t="s">
        <v>723</v>
      </c>
      <c r="M1919" s="1" t="s">
        <v>786</v>
      </c>
      <c r="N1919" s="8" t="s">
        <v>787</v>
      </c>
      <c r="O1919" s="6">
        <v>0</v>
      </c>
      <c r="P1919" s="6">
        <v>0</v>
      </c>
      <c r="Q1919" s="6">
        <v>0</v>
      </c>
      <c r="R1919" s="6">
        <v>0</v>
      </c>
      <c r="S1919" s="6">
        <v>1400</v>
      </c>
    </row>
    <row r="1920" spans="1:19" ht="15" x14ac:dyDescent="0.25">
      <c r="A1920" s="7" t="s">
        <v>16</v>
      </c>
      <c r="B1920" s="7" t="s">
        <v>60</v>
      </c>
      <c r="C1920" s="7" t="s">
        <v>18</v>
      </c>
      <c r="D1920" s="3">
        <v>60975737001204</v>
      </c>
      <c r="E1920" s="8" t="s">
        <v>88</v>
      </c>
      <c r="F1920" s="8" t="s">
        <v>20</v>
      </c>
      <c r="G1920" s="8" t="s">
        <v>21</v>
      </c>
      <c r="H1920" s="8" t="s">
        <v>795</v>
      </c>
      <c r="I1920" s="3">
        <v>2</v>
      </c>
      <c r="J1920" s="8" t="s">
        <v>740</v>
      </c>
      <c r="K1920" s="8" t="s">
        <v>741</v>
      </c>
      <c r="L1920" s="8" t="s">
        <v>730</v>
      </c>
      <c r="M1920" s="1" t="s">
        <v>786</v>
      </c>
      <c r="N1920" s="8" t="s">
        <v>787</v>
      </c>
      <c r="O1920" s="6">
        <v>0</v>
      </c>
      <c r="P1920" s="6">
        <v>0</v>
      </c>
      <c r="Q1920" s="6">
        <v>0</v>
      </c>
      <c r="R1920" s="6">
        <v>0</v>
      </c>
      <c r="S1920" s="6">
        <v>0</v>
      </c>
    </row>
    <row r="1921" spans="1:19" ht="15" x14ac:dyDescent="0.25">
      <c r="A1921" s="7" t="s">
        <v>16</v>
      </c>
      <c r="B1921" s="7" t="s">
        <v>60</v>
      </c>
      <c r="C1921" s="7" t="s">
        <v>18</v>
      </c>
      <c r="D1921" s="3">
        <v>60975737001204</v>
      </c>
      <c r="E1921" s="8" t="s">
        <v>88</v>
      </c>
      <c r="F1921" s="8" t="s">
        <v>20</v>
      </c>
      <c r="G1921" s="8" t="s">
        <v>21</v>
      </c>
      <c r="H1921" s="8" t="s">
        <v>795</v>
      </c>
      <c r="I1921" s="3">
        <v>2</v>
      </c>
      <c r="J1921" s="8" t="s">
        <v>756</v>
      </c>
      <c r="K1921" s="8" t="s">
        <v>757</v>
      </c>
      <c r="L1921" s="8" t="s">
        <v>723</v>
      </c>
      <c r="M1921" s="1" t="s">
        <v>786</v>
      </c>
      <c r="N1921" s="8" t="s">
        <v>787</v>
      </c>
      <c r="O1921" s="6">
        <v>0</v>
      </c>
      <c r="P1921" s="6">
        <v>13</v>
      </c>
      <c r="Q1921" s="6">
        <v>0</v>
      </c>
      <c r="R1921" s="6">
        <v>0</v>
      </c>
      <c r="S1921" s="6">
        <v>0</v>
      </c>
    </row>
    <row r="1922" spans="1:19" ht="15" x14ac:dyDescent="0.25">
      <c r="A1922" s="7" t="s">
        <v>16</v>
      </c>
      <c r="B1922" s="7" t="s">
        <v>60</v>
      </c>
      <c r="C1922" s="7" t="s">
        <v>18</v>
      </c>
      <c r="D1922" s="3">
        <v>6047087003820</v>
      </c>
      <c r="E1922" s="8" t="s">
        <v>75</v>
      </c>
      <c r="F1922" s="8" t="s">
        <v>20</v>
      </c>
      <c r="G1922" s="8" t="s">
        <v>21</v>
      </c>
      <c r="H1922" s="8" t="s">
        <v>795</v>
      </c>
      <c r="I1922" s="3">
        <v>2</v>
      </c>
      <c r="J1922" s="8" t="s">
        <v>740</v>
      </c>
      <c r="K1922" s="8" t="s">
        <v>741</v>
      </c>
      <c r="L1922" s="8" t="s">
        <v>730</v>
      </c>
      <c r="M1922" s="1" t="s">
        <v>786</v>
      </c>
      <c r="N1922" s="8" t="s">
        <v>787</v>
      </c>
      <c r="O1922" s="6">
        <v>0</v>
      </c>
      <c r="P1922" s="6">
        <v>0</v>
      </c>
      <c r="Q1922" s="6">
        <v>0</v>
      </c>
      <c r="R1922" s="6">
        <v>0</v>
      </c>
      <c r="S1922" s="6">
        <v>0</v>
      </c>
    </row>
    <row r="1923" spans="1:19" ht="15" x14ac:dyDescent="0.25">
      <c r="A1923" s="7" t="s">
        <v>16</v>
      </c>
      <c r="B1923" s="7" t="s">
        <v>60</v>
      </c>
      <c r="C1923" s="7" t="s">
        <v>18</v>
      </c>
      <c r="D1923" s="3">
        <v>6047087003820</v>
      </c>
      <c r="E1923" s="8" t="s">
        <v>75</v>
      </c>
      <c r="F1923" s="8" t="s">
        <v>20</v>
      </c>
      <c r="G1923" s="8" t="s">
        <v>21</v>
      </c>
      <c r="H1923" s="8" t="s">
        <v>795</v>
      </c>
      <c r="I1923" s="3">
        <v>2</v>
      </c>
      <c r="J1923" s="8" t="s">
        <v>724</v>
      </c>
      <c r="K1923" s="8" t="s">
        <v>725</v>
      </c>
      <c r="L1923" s="8" t="s">
        <v>723</v>
      </c>
      <c r="M1923" s="1" t="s">
        <v>786</v>
      </c>
      <c r="N1923" s="8" t="s">
        <v>787</v>
      </c>
      <c r="O1923" s="6">
        <v>0</v>
      </c>
      <c r="P1923" s="6">
        <v>0</v>
      </c>
      <c r="Q1923" s="6">
        <v>3</v>
      </c>
      <c r="R1923" s="6">
        <v>0</v>
      </c>
      <c r="S1923" s="6">
        <v>0</v>
      </c>
    </row>
    <row r="1924" spans="1:19" ht="15" x14ac:dyDescent="0.25">
      <c r="A1924" s="7" t="s">
        <v>16</v>
      </c>
      <c r="B1924" s="7" t="s">
        <v>60</v>
      </c>
      <c r="C1924" s="7" t="s">
        <v>18</v>
      </c>
      <c r="D1924" s="3">
        <v>5831510000124</v>
      </c>
      <c r="E1924" s="8" t="s">
        <v>24</v>
      </c>
      <c r="F1924" s="8" t="s">
        <v>20</v>
      </c>
      <c r="G1924" s="8" t="s">
        <v>21</v>
      </c>
      <c r="H1924" s="8" t="s">
        <v>795</v>
      </c>
      <c r="I1924" s="3">
        <v>2</v>
      </c>
      <c r="J1924" s="8" t="s">
        <v>740</v>
      </c>
      <c r="K1924" s="8" t="s">
        <v>741</v>
      </c>
      <c r="L1924" s="8" t="s">
        <v>730</v>
      </c>
      <c r="M1924" s="1" t="s">
        <v>786</v>
      </c>
      <c r="N1924" s="8" t="s">
        <v>787</v>
      </c>
      <c r="O1924" s="6">
        <v>0</v>
      </c>
      <c r="P1924" s="6">
        <v>0</v>
      </c>
      <c r="Q1924" s="6">
        <v>0</v>
      </c>
      <c r="R1924" s="6">
        <v>0</v>
      </c>
      <c r="S1924" s="6">
        <v>140</v>
      </c>
    </row>
    <row r="1925" spans="1:19" ht="15" x14ac:dyDescent="0.25">
      <c r="A1925" s="7" t="s">
        <v>16</v>
      </c>
      <c r="B1925" s="7" t="s">
        <v>60</v>
      </c>
      <c r="C1925" s="7" t="s">
        <v>18</v>
      </c>
      <c r="D1925" s="3">
        <v>5831510000124</v>
      </c>
      <c r="E1925" s="8" t="s">
        <v>24</v>
      </c>
      <c r="F1925" s="8" t="s">
        <v>20</v>
      </c>
      <c r="G1925" s="8" t="s">
        <v>21</v>
      </c>
      <c r="H1925" s="8" t="s">
        <v>795</v>
      </c>
      <c r="I1925" s="3">
        <v>2</v>
      </c>
      <c r="J1925" s="8" t="s">
        <v>724</v>
      </c>
      <c r="K1925" s="8" t="s">
        <v>725</v>
      </c>
      <c r="L1925" s="8" t="s">
        <v>723</v>
      </c>
      <c r="M1925" s="1" t="s">
        <v>786</v>
      </c>
      <c r="N1925" s="8" t="s">
        <v>787</v>
      </c>
      <c r="O1925" s="6">
        <v>0</v>
      </c>
      <c r="P1925" s="6">
        <v>0</v>
      </c>
      <c r="Q1925" s="6">
        <v>0</v>
      </c>
      <c r="R1925" s="6">
        <v>0</v>
      </c>
      <c r="S1925" s="6">
        <v>140</v>
      </c>
    </row>
    <row r="1926" spans="1:19" ht="15" x14ac:dyDescent="0.25">
      <c r="A1926" s="7" t="s">
        <v>16</v>
      </c>
      <c r="B1926" s="7" t="s">
        <v>60</v>
      </c>
      <c r="C1926" s="7" t="s">
        <v>18</v>
      </c>
      <c r="D1926" s="3">
        <v>44649812005520</v>
      </c>
      <c r="E1926" s="8" t="s">
        <v>38</v>
      </c>
      <c r="F1926" s="8" t="s">
        <v>20</v>
      </c>
      <c r="G1926" s="8" t="s">
        <v>21</v>
      </c>
      <c r="H1926" s="8" t="s">
        <v>795</v>
      </c>
      <c r="I1926" s="3">
        <v>2</v>
      </c>
      <c r="J1926" s="8" t="s">
        <v>740</v>
      </c>
      <c r="K1926" s="8" t="s">
        <v>741</v>
      </c>
      <c r="L1926" s="8" t="s">
        <v>730</v>
      </c>
      <c r="M1926" s="1" t="s">
        <v>786</v>
      </c>
      <c r="N1926" s="8" t="s">
        <v>787</v>
      </c>
      <c r="O1926" s="6">
        <v>0</v>
      </c>
      <c r="P1926" s="6">
        <v>0</v>
      </c>
      <c r="Q1926" s="6">
        <v>0</v>
      </c>
      <c r="R1926" s="6">
        <v>4</v>
      </c>
      <c r="S1926" s="6">
        <v>0</v>
      </c>
    </row>
    <row r="1927" spans="1:19" ht="15" x14ac:dyDescent="0.25">
      <c r="A1927" s="7" t="s">
        <v>16</v>
      </c>
      <c r="B1927" s="7" t="s">
        <v>60</v>
      </c>
      <c r="C1927" s="7" t="s">
        <v>18</v>
      </c>
      <c r="D1927" s="3">
        <v>44649812005520</v>
      </c>
      <c r="E1927" s="8" t="s">
        <v>38</v>
      </c>
      <c r="F1927" s="8" t="s">
        <v>20</v>
      </c>
      <c r="G1927" s="8" t="s">
        <v>21</v>
      </c>
      <c r="H1927" s="8" t="s">
        <v>795</v>
      </c>
      <c r="I1927" s="3">
        <v>2</v>
      </c>
      <c r="J1927" s="8" t="s">
        <v>724</v>
      </c>
      <c r="K1927" s="8" t="s">
        <v>725</v>
      </c>
      <c r="L1927" s="8" t="s">
        <v>723</v>
      </c>
      <c r="M1927" s="1" t="s">
        <v>786</v>
      </c>
      <c r="N1927" s="8" t="s">
        <v>787</v>
      </c>
      <c r="O1927" s="6">
        <v>0</v>
      </c>
      <c r="P1927" s="6">
        <v>0</v>
      </c>
      <c r="Q1927" s="6">
        <v>0</v>
      </c>
      <c r="R1927" s="6">
        <v>0</v>
      </c>
      <c r="S1927" s="6">
        <v>0</v>
      </c>
    </row>
    <row r="1928" spans="1:19" ht="15" x14ac:dyDescent="0.25">
      <c r="A1928" s="7" t="s">
        <v>16</v>
      </c>
      <c r="B1928" s="7" t="s">
        <v>60</v>
      </c>
      <c r="C1928" s="7" t="s">
        <v>18</v>
      </c>
      <c r="D1928" s="3">
        <v>4036348000190</v>
      </c>
      <c r="E1928" s="8" t="s">
        <v>23</v>
      </c>
      <c r="F1928" s="8" t="s">
        <v>20</v>
      </c>
      <c r="G1928" s="8" t="s">
        <v>21</v>
      </c>
      <c r="H1928" s="8" t="s">
        <v>795</v>
      </c>
      <c r="I1928" s="3">
        <v>2</v>
      </c>
      <c r="J1928" s="8" t="s">
        <v>740</v>
      </c>
      <c r="K1928" s="8" t="s">
        <v>741</v>
      </c>
      <c r="L1928" s="8" t="s">
        <v>730</v>
      </c>
      <c r="M1928" s="1" t="s">
        <v>786</v>
      </c>
      <c r="N1928" s="8" t="s">
        <v>787</v>
      </c>
      <c r="O1928" s="6">
        <v>0</v>
      </c>
      <c r="P1928" s="6">
        <v>0</v>
      </c>
      <c r="Q1928" s="6">
        <v>0</v>
      </c>
      <c r="R1928" s="6">
        <v>0</v>
      </c>
      <c r="S1928" s="6">
        <v>365</v>
      </c>
    </row>
    <row r="1929" spans="1:19" ht="15" x14ac:dyDescent="0.25">
      <c r="A1929" s="7" t="s">
        <v>16</v>
      </c>
      <c r="B1929" s="7" t="s">
        <v>60</v>
      </c>
      <c r="C1929" s="7" t="s">
        <v>18</v>
      </c>
      <c r="D1929" s="3">
        <v>4036348000190</v>
      </c>
      <c r="E1929" s="8" t="s">
        <v>23</v>
      </c>
      <c r="F1929" s="8" t="s">
        <v>20</v>
      </c>
      <c r="G1929" s="8" t="s">
        <v>21</v>
      </c>
      <c r="H1929" s="8" t="s">
        <v>795</v>
      </c>
      <c r="I1929" s="3">
        <v>2</v>
      </c>
      <c r="J1929" s="8" t="s">
        <v>724</v>
      </c>
      <c r="K1929" s="8" t="s">
        <v>725</v>
      </c>
      <c r="L1929" s="8" t="s">
        <v>723</v>
      </c>
      <c r="M1929" s="1" t="s">
        <v>786</v>
      </c>
      <c r="N1929" s="8" t="s">
        <v>787</v>
      </c>
      <c r="O1929" s="6">
        <v>0</v>
      </c>
      <c r="P1929" s="6">
        <v>0</v>
      </c>
      <c r="Q1929" s="6">
        <v>0</v>
      </c>
      <c r="R1929" s="6">
        <v>0</v>
      </c>
      <c r="S1929" s="6">
        <v>365</v>
      </c>
    </row>
    <row r="1930" spans="1:19" ht="15" x14ac:dyDescent="0.25">
      <c r="A1930" s="7" t="s">
        <v>16</v>
      </c>
      <c r="B1930" s="7" t="s">
        <v>60</v>
      </c>
      <c r="C1930" s="7" t="s">
        <v>18</v>
      </c>
      <c r="D1930" s="3">
        <v>2837922000183</v>
      </c>
      <c r="E1930" s="8" t="s">
        <v>70</v>
      </c>
      <c r="F1930" s="8" t="s">
        <v>20</v>
      </c>
      <c r="G1930" s="8" t="s">
        <v>21</v>
      </c>
      <c r="H1930" s="8" t="s">
        <v>795</v>
      </c>
      <c r="I1930" s="3">
        <v>2</v>
      </c>
      <c r="J1930" s="8" t="s">
        <v>740</v>
      </c>
      <c r="K1930" s="8" t="s">
        <v>741</v>
      </c>
      <c r="L1930" s="8" t="s">
        <v>730</v>
      </c>
      <c r="M1930" s="1" t="s">
        <v>786</v>
      </c>
      <c r="N1930" s="8" t="s">
        <v>787</v>
      </c>
      <c r="O1930" s="6">
        <v>0</v>
      </c>
      <c r="P1930" s="6">
        <v>0</v>
      </c>
      <c r="Q1930" s="6">
        <v>0</v>
      </c>
      <c r="R1930" s="6">
        <v>150</v>
      </c>
      <c r="S1930" s="6">
        <v>0</v>
      </c>
    </row>
    <row r="1931" spans="1:19" ht="15" x14ac:dyDescent="0.25">
      <c r="A1931" s="7" t="s">
        <v>16</v>
      </c>
      <c r="B1931" s="7" t="s">
        <v>60</v>
      </c>
      <c r="C1931" s="7" t="s">
        <v>18</v>
      </c>
      <c r="D1931" s="3">
        <v>2837922000183</v>
      </c>
      <c r="E1931" s="8" t="s">
        <v>70</v>
      </c>
      <c r="F1931" s="8" t="s">
        <v>20</v>
      </c>
      <c r="G1931" s="8" t="s">
        <v>21</v>
      </c>
      <c r="H1931" s="8" t="s">
        <v>795</v>
      </c>
      <c r="I1931" s="3">
        <v>2</v>
      </c>
      <c r="J1931" s="8" t="s">
        <v>724</v>
      </c>
      <c r="K1931" s="8" t="s">
        <v>725</v>
      </c>
      <c r="L1931" s="8" t="s">
        <v>723</v>
      </c>
      <c r="M1931" s="1" t="s">
        <v>786</v>
      </c>
      <c r="N1931" s="8" t="s">
        <v>787</v>
      </c>
      <c r="O1931" s="6">
        <v>0</v>
      </c>
      <c r="P1931" s="6">
        <v>0</v>
      </c>
      <c r="Q1931" s="6">
        <v>0</v>
      </c>
      <c r="R1931" s="6">
        <v>0</v>
      </c>
      <c r="S1931" s="6">
        <v>0</v>
      </c>
    </row>
    <row r="1932" spans="1:19" ht="15" x14ac:dyDescent="0.25">
      <c r="A1932" s="7" t="s">
        <v>16</v>
      </c>
      <c r="B1932" s="7" t="s">
        <v>60</v>
      </c>
      <c r="C1932" s="7" t="s">
        <v>18</v>
      </c>
      <c r="D1932" s="3">
        <v>61599908000158</v>
      </c>
      <c r="E1932" s="8" t="s">
        <v>89</v>
      </c>
      <c r="F1932" s="8" t="s">
        <v>20</v>
      </c>
      <c r="G1932" s="8" t="s">
        <v>21</v>
      </c>
      <c r="H1932" s="8" t="s">
        <v>795</v>
      </c>
      <c r="I1932" s="3">
        <v>2</v>
      </c>
      <c r="J1932" s="8" t="s">
        <v>740</v>
      </c>
      <c r="K1932" s="8" t="s">
        <v>741</v>
      </c>
      <c r="L1932" s="8" t="s">
        <v>730</v>
      </c>
      <c r="M1932" s="1" t="s">
        <v>786</v>
      </c>
      <c r="N1932" s="8" t="s">
        <v>787</v>
      </c>
      <c r="O1932" s="6">
        <v>0</v>
      </c>
      <c r="P1932" s="6">
        <v>0</v>
      </c>
      <c r="Q1932" s="6">
        <v>0</v>
      </c>
      <c r="R1932" s="6">
        <v>0</v>
      </c>
      <c r="S1932" s="6">
        <v>0</v>
      </c>
    </row>
    <row r="1933" spans="1:19" ht="15" x14ac:dyDescent="0.25">
      <c r="A1933" s="7" t="s">
        <v>16</v>
      </c>
      <c r="B1933" s="7" t="s">
        <v>60</v>
      </c>
      <c r="C1933" s="7" t="s">
        <v>18</v>
      </c>
      <c r="D1933" s="3">
        <v>61599908000158</v>
      </c>
      <c r="E1933" s="8" t="s">
        <v>89</v>
      </c>
      <c r="F1933" s="8" t="s">
        <v>20</v>
      </c>
      <c r="G1933" s="8" t="s">
        <v>21</v>
      </c>
      <c r="H1933" s="8" t="s">
        <v>795</v>
      </c>
      <c r="I1933" s="3">
        <v>2</v>
      </c>
      <c r="J1933" s="8" t="s">
        <v>762</v>
      </c>
      <c r="K1933" s="8" t="s">
        <v>763</v>
      </c>
      <c r="L1933" s="8" t="s">
        <v>723</v>
      </c>
      <c r="M1933" s="1" t="s">
        <v>786</v>
      </c>
      <c r="N1933" s="8" t="s">
        <v>787</v>
      </c>
      <c r="O1933" s="6">
        <v>0</v>
      </c>
      <c r="P1933" s="6">
        <v>150</v>
      </c>
      <c r="Q1933" s="6">
        <v>50</v>
      </c>
      <c r="R1933" s="6">
        <v>0</v>
      </c>
      <c r="S1933" s="6">
        <v>0</v>
      </c>
    </row>
    <row r="1934" spans="1:19" ht="15" x14ac:dyDescent="0.25">
      <c r="A1934" s="7" t="s">
        <v>16</v>
      </c>
      <c r="B1934" s="7" t="s">
        <v>60</v>
      </c>
      <c r="C1934" s="7" t="s">
        <v>18</v>
      </c>
      <c r="D1934" s="3">
        <v>7045325000130</v>
      </c>
      <c r="E1934" s="8" t="s">
        <v>57</v>
      </c>
      <c r="F1934" s="8" t="s">
        <v>20</v>
      </c>
      <c r="G1934" s="8" t="s">
        <v>21</v>
      </c>
      <c r="H1934" s="8" t="s">
        <v>795</v>
      </c>
      <c r="I1934" s="3">
        <v>2</v>
      </c>
      <c r="J1934" s="8" t="s">
        <v>740</v>
      </c>
      <c r="K1934" s="8" t="s">
        <v>741</v>
      </c>
      <c r="L1934" s="8" t="s">
        <v>730</v>
      </c>
      <c r="M1934" s="1" t="s">
        <v>786</v>
      </c>
      <c r="N1934" s="8" t="s">
        <v>787</v>
      </c>
      <c r="O1934" s="6">
        <v>0</v>
      </c>
      <c r="P1934" s="6">
        <v>0</v>
      </c>
      <c r="Q1934" s="6">
        <v>0</v>
      </c>
      <c r="R1934" s="6">
        <v>56</v>
      </c>
      <c r="S1934" s="6">
        <v>0</v>
      </c>
    </row>
    <row r="1935" spans="1:19" ht="15" x14ac:dyDescent="0.25">
      <c r="A1935" s="7" t="s">
        <v>16</v>
      </c>
      <c r="B1935" s="7" t="s">
        <v>60</v>
      </c>
      <c r="C1935" s="7" t="s">
        <v>18</v>
      </c>
      <c r="D1935" s="3">
        <v>7045325000130</v>
      </c>
      <c r="E1935" s="8" t="s">
        <v>57</v>
      </c>
      <c r="F1935" s="8" t="s">
        <v>20</v>
      </c>
      <c r="G1935" s="8" t="s">
        <v>21</v>
      </c>
      <c r="H1935" s="8" t="s">
        <v>795</v>
      </c>
      <c r="I1935" s="3">
        <v>2</v>
      </c>
      <c r="J1935" s="8" t="s">
        <v>724</v>
      </c>
      <c r="K1935" s="8" t="s">
        <v>725</v>
      </c>
      <c r="L1935" s="8" t="s">
        <v>723</v>
      </c>
      <c r="M1935" s="1" t="s">
        <v>786</v>
      </c>
      <c r="N1935" s="8" t="s">
        <v>787</v>
      </c>
      <c r="O1935" s="6">
        <v>0</v>
      </c>
      <c r="P1935" s="6">
        <v>0</v>
      </c>
      <c r="Q1935" s="6">
        <v>0</v>
      </c>
      <c r="R1935" s="6">
        <v>0</v>
      </c>
      <c r="S1935" s="6">
        <v>0</v>
      </c>
    </row>
    <row r="1936" spans="1:19" ht="15" x14ac:dyDescent="0.25">
      <c r="A1936" s="7" t="s">
        <v>16</v>
      </c>
      <c r="B1936" s="7" t="s">
        <v>60</v>
      </c>
      <c r="C1936" s="7" t="s">
        <v>18</v>
      </c>
      <c r="D1936" s="3">
        <v>6047087000210</v>
      </c>
      <c r="E1936" s="8" t="s">
        <v>73</v>
      </c>
      <c r="F1936" s="8" t="s">
        <v>20</v>
      </c>
      <c r="G1936" s="8" t="s">
        <v>21</v>
      </c>
      <c r="H1936" s="8" t="s">
        <v>795</v>
      </c>
      <c r="I1936" s="3">
        <v>2</v>
      </c>
      <c r="J1936" s="8" t="s">
        <v>740</v>
      </c>
      <c r="K1936" s="8" t="s">
        <v>741</v>
      </c>
      <c r="L1936" s="8" t="s">
        <v>730</v>
      </c>
      <c r="M1936" s="1" t="s">
        <v>786</v>
      </c>
      <c r="N1936" s="8" t="s">
        <v>787</v>
      </c>
      <c r="O1936" s="6">
        <v>0</v>
      </c>
      <c r="P1936" s="6">
        <v>0</v>
      </c>
      <c r="Q1936" s="6">
        <v>0</v>
      </c>
      <c r="R1936" s="6">
        <v>0</v>
      </c>
      <c r="S1936" s="6">
        <v>0</v>
      </c>
    </row>
    <row r="1937" spans="1:19" ht="15" x14ac:dyDescent="0.25">
      <c r="A1937" s="7" t="s">
        <v>16</v>
      </c>
      <c r="B1937" s="7" t="s">
        <v>60</v>
      </c>
      <c r="C1937" s="7" t="s">
        <v>18</v>
      </c>
      <c r="D1937" s="3">
        <v>6047087000210</v>
      </c>
      <c r="E1937" s="8" t="s">
        <v>73</v>
      </c>
      <c r="F1937" s="8" t="s">
        <v>20</v>
      </c>
      <c r="G1937" s="8" t="s">
        <v>21</v>
      </c>
      <c r="H1937" s="8" t="s">
        <v>795</v>
      </c>
      <c r="I1937" s="3">
        <v>2</v>
      </c>
      <c r="J1937" s="8" t="s">
        <v>724</v>
      </c>
      <c r="K1937" s="8" t="s">
        <v>725</v>
      </c>
      <c r="L1937" s="8" t="s">
        <v>723</v>
      </c>
      <c r="M1937" s="1" t="s">
        <v>786</v>
      </c>
      <c r="N1937" s="8" t="s">
        <v>787</v>
      </c>
      <c r="O1937" s="6">
        <v>0</v>
      </c>
      <c r="P1937" s="6">
        <v>36</v>
      </c>
      <c r="Q1937" s="6">
        <v>20</v>
      </c>
      <c r="R1937" s="6">
        <v>0</v>
      </c>
      <c r="S1937" s="6">
        <v>0</v>
      </c>
    </row>
    <row r="1938" spans="1:19" ht="15" x14ac:dyDescent="0.25">
      <c r="A1938" s="7" t="s">
        <v>16</v>
      </c>
      <c r="B1938" s="7" t="s">
        <v>60</v>
      </c>
      <c r="C1938" s="7" t="s">
        <v>18</v>
      </c>
      <c r="D1938" s="3">
        <v>60961422000155</v>
      </c>
      <c r="E1938" s="8" t="s">
        <v>49</v>
      </c>
      <c r="F1938" s="8" t="s">
        <v>20</v>
      </c>
      <c r="G1938" s="8" t="s">
        <v>21</v>
      </c>
      <c r="H1938" s="8" t="s">
        <v>795</v>
      </c>
      <c r="I1938" s="3">
        <v>2</v>
      </c>
      <c r="J1938" s="8" t="s">
        <v>740</v>
      </c>
      <c r="K1938" s="8" t="s">
        <v>741</v>
      </c>
      <c r="L1938" s="8" t="s">
        <v>730</v>
      </c>
      <c r="M1938" s="1" t="s">
        <v>786</v>
      </c>
      <c r="N1938" s="8" t="s">
        <v>787</v>
      </c>
      <c r="O1938" s="6">
        <v>4</v>
      </c>
      <c r="P1938" s="6">
        <v>0</v>
      </c>
      <c r="Q1938" s="6">
        <v>0</v>
      </c>
      <c r="R1938" s="6">
        <v>0</v>
      </c>
      <c r="S1938" s="6">
        <v>20</v>
      </c>
    </row>
    <row r="1939" spans="1:19" ht="15" x14ac:dyDescent="0.25">
      <c r="A1939" s="7" t="s">
        <v>16</v>
      </c>
      <c r="B1939" s="7" t="s">
        <v>60</v>
      </c>
      <c r="C1939" s="7" t="s">
        <v>18</v>
      </c>
      <c r="D1939" s="3">
        <v>60961422000155</v>
      </c>
      <c r="E1939" s="8" t="s">
        <v>49</v>
      </c>
      <c r="F1939" s="8" t="s">
        <v>20</v>
      </c>
      <c r="G1939" s="8" t="s">
        <v>21</v>
      </c>
      <c r="H1939" s="8" t="s">
        <v>795</v>
      </c>
      <c r="I1939" s="3">
        <v>2</v>
      </c>
      <c r="J1939" s="8" t="s">
        <v>724</v>
      </c>
      <c r="K1939" s="8" t="s">
        <v>725</v>
      </c>
      <c r="L1939" s="8" t="s">
        <v>723</v>
      </c>
      <c r="M1939" s="1" t="s">
        <v>786</v>
      </c>
      <c r="N1939" s="8" t="s">
        <v>787</v>
      </c>
      <c r="O1939" s="6">
        <v>0</v>
      </c>
      <c r="P1939" s="6">
        <v>6</v>
      </c>
      <c r="Q1939" s="6">
        <v>8</v>
      </c>
      <c r="R1939" s="6">
        <v>0</v>
      </c>
      <c r="S1939" s="6">
        <v>20</v>
      </c>
    </row>
    <row r="1940" spans="1:19" ht="15" x14ac:dyDescent="0.25">
      <c r="A1940" s="7" t="s">
        <v>16</v>
      </c>
      <c r="B1940" s="7" t="s">
        <v>60</v>
      </c>
      <c r="C1940" s="7" t="s">
        <v>18</v>
      </c>
      <c r="D1940" s="3">
        <v>61590410000124</v>
      </c>
      <c r="E1940" s="8" t="s">
        <v>53</v>
      </c>
      <c r="F1940" s="8" t="s">
        <v>20</v>
      </c>
      <c r="G1940" s="8" t="s">
        <v>21</v>
      </c>
      <c r="H1940" s="8" t="s">
        <v>795</v>
      </c>
      <c r="I1940" s="3">
        <v>2</v>
      </c>
      <c r="J1940" s="8" t="s">
        <v>740</v>
      </c>
      <c r="K1940" s="8" t="s">
        <v>741</v>
      </c>
      <c r="L1940" s="8" t="s">
        <v>730</v>
      </c>
      <c r="M1940" s="1" t="s">
        <v>786</v>
      </c>
      <c r="N1940" s="8" t="s">
        <v>787</v>
      </c>
      <c r="O1940" s="6">
        <v>0</v>
      </c>
      <c r="P1940" s="6">
        <v>0</v>
      </c>
      <c r="Q1940" s="6">
        <v>0</v>
      </c>
      <c r="R1940" s="6">
        <v>0</v>
      </c>
      <c r="S1940" s="6">
        <v>1745</v>
      </c>
    </row>
    <row r="1941" spans="1:19" ht="15" x14ac:dyDescent="0.25">
      <c r="A1941" s="7" t="s">
        <v>16</v>
      </c>
      <c r="B1941" s="7" t="s">
        <v>60</v>
      </c>
      <c r="C1941" s="7" t="s">
        <v>18</v>
      </c>
      <c r="D1941" s="3">
        <v>61590410000124</v>
      </c>
      <c r="E1941" s="8" t="s">
        <v>53</v>
      </c>
      <c r="F1941" s="8" t="s">
        <v>20</v>
      </c>
      <c r="G1941" s="8" t="s">
        <v>21</v>
      </c>
      <c r="H1941" s="8" t="s">
        <v>795</v>
      </c>
      <c r="I1941" s="3">
        <v>2</v>
      </c>
      <c r="J1941" s="8" t="s">
        <v>756</v>
      </c>
      <c r="K1941" s="8" t="s">
        <v>757</v>
      </c>
      <c r="L1941" s="8" t="s">
        <v>723</v>
      </c>
      <c r="M1941" s="1" t="s">
        <v>786</v>
      </c>
      <c r="N1941" s="8" t="s">
        <v>787</v>
      </c>
      <c r="O1941" s="6">
        <v>0</v>
      </c>
      <c r="P1941" s="6">
        <v>16</v>
      </c>
      <c r="Q1941" s="6">
        <v>56</v>
      </c>
      <c r="R1941" s="6">
        <v>0</v>
      </c>
      <c r="S1941" s="6">
        <v>1745</v>
      </c>
    </row>
    <row r="1942" spans="1:19" ht="15" x14ac:dyDescent="0.25">
      <c r="A1942" s="7" t="s">
        <v>16</v>
      </c>
      <c r="B1942" s="7" t="s">
        <v>60</v>
      </c>
      <c r="C1942" s="7" t="s">
        <v>18</v>
      </c>
      <c r="D1942" s="3">
        <v>20812223000241</v>
      </c>
      <c r="E1942" s="8" t="s">
        <v>81</v>
      </c>
      <c r="F1942" s="8" t="s">
        <v>20</v>
      </c>
      <c r="G1942" s="8" t="s">
        <v>21</v>
      </c>
      <c r="H1942" s="8" t="s">
        <v>795</v>
      </c>
      <c r="I1942" s="3">
        <v>2</v>
      </c>
      <c r="J1942" s="8" t="s">
        <v>740</v>
      </c>
      <c r="K1942" s="8" t="s">
        <v>741</v>
      </c>
      <c r="L1942" s="8" t="s">
        <v>730</v>
      </c>
      <c r="M1942" s="1" t="s">
        <v>786</v>
      </c>
      <c r="N1942" s="8" t="s">
        <v>787</v>
      </c>
      <c r="O1942" s="6">
        <v>0</v>
      </c>
      <c r="P1942" s="6">
        <v>0</v>
      </c>
      <c r="Q1942" s="6">
        <v>0</v>
      </c>
      <c r="R1942" s="6">
        <v>10</v>
      </c>
      <c r="S1942" s="6">
        <v>0</v>
      </c>
    </row>
    <row r="1943" spans="1:19" ht="15" x14ac:dyDescent="0.25">
      <c r="A1943" s="7" t="s">
        <v>16</v>
      </c>
      <c r="B1943" s="7" t="s">
        <v>60</v>
      </c>
      <c r="C1943" s="7" t="s">
        <v>18</v>
      </c>
      <c r="D1943" s="3">
        <v>20812223000241</v>
      </c>
      <c r="E1943" s="8" t="s">
        <v>81</v>
      </c>
      <c r="F1943" s="8" t="s">
        <v>20</v>
      </c>
      <c r="G1943" s="8" t="s">
        <v>21</v>
      </c>
      <c r="H1943" s="8" t="s">
        <v>795</v>
      </c>
      <c r="I1943" s="3">
        <v>2</v>
      </c>
      <c r="J1943" s="8" t="s">
        <v>724</v>
      </c>
      <c r="K1943" s="8" t="s">
        <v>725</v>
      </c>
      <c r="L1943" s="8" t="s">
        <v>723</v>
      </c>
      <c r="M1943" s="1" t="s">
        <v>786</v>
      </c>
      <c r="N1943" s="8" t="s">
        <v>787</v>
      </c>
      <c r="O1943" s="6">
        <v>0</v>
      </c>
      <c r="P1943" s="6">
        <v>0</v>
      </c>
      <c r="Q1943" s="6">
        <v>0</v>
      </c>
      <c r="R1943" s="6">
        <v>0</v>
      </c>
      <c r="S1943" s="6">
        <v>0</v>
      </c>
    </row>
    <row r="1944" spans="1:19" ht="15" x14ac:dyDescent="0.25">
      <c r="A1944" s="7" t="s">
        <v>16</v>
      </c>
      <c r="B1944" s="7" t="s">
        <v>60</v>
      </c>
      <c r="C1944" s="7" t="s">
        <v>18</v>
      </c>
      <c r="D1944" s="3">
        <v>1613433008089</v>
      </c>
      <c r="E1944" s="8" t="s">
        <v>192</v>
      </c>
      <c r="F1944" s="8" t="s">
        <v>193</v>
      </c>
      <c r="G1944" s="8" t="s">
        <v>21</v>
      </c>
      <c r="H1944" s="8" t="s">
        <v>795</v>
      </c>
      <c r="I1944" s="3">
        <v>2</v>
      </c>
      <c r="J1944" s="8" t="s">
        <v>728</v>
      </c>
      <c r="K1944" s="8" t="s">
        <v>729</v>
      </c>
      <c r="L1944" s="8" t="s">
        <v>730</v>
      </c>
      <c r="M1944" s="1" t="s">
        <v>786</v>
      </c>
      <c r="N1944" s="8" t="s">
        <v>787</v>
      </c>
      <c r="O1944" s="6">
        <v>0</v>
      </c>
      <c r="P1944" s="6">
        <v>0</v>
      </c>
      <c r="Q1944" s="6">
        <v>0</v>
      </c>
      <c r="R1944" s="6">
        <v>0</v>
      </c>
      <c r="S1944" s="6">
        <v>80</v>
      </c>
    </row>
    <row r="1945" spans="1:19" ht="15" x14ac:dyDescent="0.25">
      <c r="A1945" s="7" t="s">
        <v>16</v>
      </c>
      <c r="B1945" s="7" t="s">
        <v>60</v>
      </c>
      <c r="C1945" s="7" t="s">
        <v>18</v>
      </c>
      <c r="D1945" s="3">
        <v>1613433008089</v>
      </c>
      <c r="E1945" s="8" t="s">
        <v>192</v>
      </c>
      <c r="F1945" s="8" t="s">
        <v>193</v>
      </c>
      <c r="G1945" s="8" t="s">
        <v>21</v>
      </c>
      <c r="H1945" s="8" t="s">
        <v>795</v>
      </c>
      <c r="I1945" s="3">
        <v>2</v>
      </c>
      <c r="J1945" s="8" t="s">
        <v>726</v>
      </c>
      <c r="K1945" s="8" t="s">
        <v>727</v>
      </c>
      <c r="L1945" s="8" t="s">
        <v>723</v>
      </c>
      <c r="M1945" s="1" t="s">
        <v>786</v>
      </c>
      <c r="N1945" s="8" t="s">
        <v>787</v>
      </c>
      <c r="O1945" s="6">
        <v>0</v>
      </c>
      <c r="P1945" s="6">
        <v>0</v>
      </c>
      <c r="Q1945" s="6">
        <v>0</v>
      </c>
      <c r="R1945" s="6">
        <v>0</v>
      </c>
      <c r="S1945" s="6">
        <v>80</v>
      </c>
    </row>
    <row r="1946" spans="1:19" ht="15" x14ac:dyDescent="0.25">
      <c r="A1946" s="7" t="s">
        <v>16</v>
      </c>
      <c r="B1946" s="7" t="s">
        <v>60</v>
      </c>
      <c r="C1946" s="7" t="s">
        <v>18</v>
      </c>
      <c r="D1946" s="3">
        <v>45399961000230</v>
      </c>
      <c r="E1946" s="8" t="s">
        <v>150</v>
      </c>
      <c r="F1946" s="8" t="s">
        <v>151</v>
      </c>
      <c r="G1946" s="8" t="s">
        <v>21</v>
      </c>
      <c r="H1946" s="8" t="s">
        <v>795</v>
      </c>
      <c r="I1946" s="3">
        <v>2</v>
      </c>
      <c r="J1946" s="8" t="s">
        <v>770</v>
      </c>
      <c r="K1946" s="8" t="s">
        <v>771</v>
      </c>
      <c r="L1946" s="8" t="s">
        <v>730</v>
      </c>
      <c r="M1946" s="1" t="s">
        <v>786</v>
      </c>
      <c r="N1946" s="8" t="s">
        <v>787</v>
      </c>
      <c r="O1946" s="6">
        <v>0</v>
      </c>
      <c r="P1946" s="6">
        <v>0</v>
      </c>
      <c r="Q1946" s="6">
        <v>0</v>
      </c>
      <c r="R1946" s="6">
        <v>0</v>
      </c>
      <c r="S1946" s="6">
        <v>300</v>
      </c>
    </row>
    <row r="1947" spans="1:19" ht="15" x14ac:dyDescent="0.25">
      <c r="A1947" s="7" t="s">
        <v>16</v>
      </c>
      <c r="B1947" s="7" t="s">
        <v>60</v>
      </c>
      <c r="C1947" s="7" t="s">
        <v>18</v>
      </c>
      <c r="D1947" s="3">
        <v>45399961000230</v>
      </c>
      <c r="E1947" s="8" t="s">
        <v>150</v>
      </c>
      <c r="F1947" s="8" t="s">
        <v>151</v>
      </c>
      <c r="G1947" s="8" t="s">
        <v>21</v>
      </c>
      <c r="H1947" s="8" t="s">
        <v>795</v>
      </c>
      <c r="I1947" s="3">
        <v>2</v>
      </c>
      <c r="J1947" s="8" t="s">
        <v>762</v>
      </c>
      <c r="K1947" s="8" t="s">
        <v>763</v>
      </c>
      <c r="L1947" s="8" t="s">
        <v>723</v>
      </c>
      <c r="M1947" s="1" t="s">
        <v>786</v>
      </c>
      <c r="N1947" s="8" t="s">
        <v>787</v>
      </c>
      <c r="O1947" s="6">
        <v>0</v>
      </c>
      <c r="P1947" s="6">
        <v>0</v>
      </c>
      <c r="Q1947" s="6">
        <v>0</v>
      </c>
      <c r="R1947" s="6">
        <v>0</v>
      </c>
      <c r="S1947" s="6">
        <v>300</v>
      </c>
    </row>
    <row r="1948" spans="1:19" ht="15" x14ac:dyDescent="0.25">
      <c r="A1948" s="7" t="s">
        <v>16</v>
      </c>
      <c r="B1948" s="7" t="s">
        <v>60</v>
      </c>
      <c r="C1948" s="7" t="s">
        <v>18</v>
      </c>
      <c r="D1948" s="3">
        <v>46124624002599</v>
      </c>
      <c r="E1948" s="8" t="s">
        <v>157</v>
      </c>
      <c r="F1948" s="8" t="s">
        <v>158</v>
      </c>
      <c r="G1948" s="8" t="s">
        <v>21</v>
      </c>
      <c r="H1948" s="8" t="s">
        <v>795</v>
      </c>
      <c r="I1948" s="3">
        <v>2</v>
      </c>
      <c r="J1948" s="8" t="s">
        <v>728</v>
      </c>
      <c r="K1948" s="8" t="s">
        <v>729</v>
      </c>
      <c r="L1948" s="8" t="s">
        <v>730</v>
      </c>
      <c r="M1948" s="1" t="s">
        <v>786</v>
      </c>
      <c r="N1948" s="8" t="s">
        <v>787</v>
      </c>
      <c r="O1948" s="6">
        <v>0</v>
      </c>
      <c r="P1948" s="6">
        <v>0</v>
      </c>
      <c r="Q1948" s="6">
        <v>0</v>
      </c>
      <c r="R1948" s="6">
        <v>80</v>
      </c>
      <c r="S1948" s="6">
        <v>1250</v>
      </c>
    </row>
    <row r="1949" spans="1:19" ht="15" x14ac:dyDescent="0.25">
      <c r="A1949" s="7" t="s">
        <v>16</v>
      </c>
      <c r="B1949" s="7" t="s">
        <v>60</v>
      </c>
      <c r="C1949" s="7" t="s">
        <v>18</v>
      </c>
      <c r="D1949" s="3">
        <v>46124624002599</v>
      </c>
      <c r="E1949" s="8" t="s">
        <v>157</v>
      </c>
      <c r="F1949" s="8" t="s">
        <v>158</v>
      </c>
      <c r="G1949" s="8" t="s">
        <v>21</v>
      </c>
      <c r="H1949" s="8" t="s">
        <v>795</v>
      </c>
      <c r="I1949" s="3">
        <v>2</v>
      </c>
      <c r="J1949" s="8" t="s">
        <v>726</v>
      </c>
      <c r="K1949" s="8" t="s">
        <v>727</v>
      </c>
      <c r="L1949" s="8" t="s">
        <v>723</v>
      </c>
      <c r="M1949" s="1" t="s">
        <v>786</v>
      </c>
      <c r="N1949" s="8" t="s">
        <v>787</v>
      </c>
      <c r="O1949" s="6">
        <v>0</v>
      </c>
      <c r="P1949" s="6">
        <v>0</v>
      </c>
      <c r="Q1949" s="6">
        <v>0</v>
      </c>
      <c r="R1949" s="6">
        <v>0</v>
      </c>
      <c r="S1949" s="6">
        <v>1250</v>
      </c>
    </row>
    <row r="1950" spans="1:19" ht="15" x14ac:dyDescent="0.25">
      <c r="A1950" s="7" t="s">
        <v>16</v>
      </c>
      <c r="B1950" s="7" t="s">
        <v>65</v>
      </c>
      <c r="C1950" s="7" t="s">
        <v>66</v>
      </c>
      <c r="D1950" s="3">
        <v>5612725000154</v>
      </c>
      <c r="E1950" s="8" t="s">
        <v>1025</v>
      </c>
      <c r="F1950" s="8" t="s">
        <v>361</v>
      </c>
      <c r="G1950" s="8" t="s">
        <v>362</v>
      </c>
      <c r="H1950" s="8" t="s">
        <v>1014</v>
      </c>
      <c r="I1950" s="3">
        <v>0</v>
      </c>
      <c r="J1950" s="8"/>
      <c r="K1950" s="8"/>
      <c r="L1950" s="8"/>
      <c r="M1950" s="1"/>
      <c r="N1950" s="8"/>
      <c r="O1950" s="6">
        <v>0</v>
      </c>
      <c r="P1950" s="6">
        <v>0</v>
      </c>
      <c r="Q1950" s="6">
        <v>0</v>
      </c>
      <c r="R1950" s="6">
        <v>0</v>
      </c>
      <c r="S1950" s="6">
        <v>0</v>
      </c>
    </row>
    <row r="1951" spans="1:19" ht="15" x14ac:dyDescent="0.25">
      <c r="A1951" s="7" t="s">
        <v>16</v>
      </c>
      <c r="B1951" s="7" t="s">
        <v>65</v>
      </c>
      <c r="C1951" s="7" t="s">
        <v>66</v>
      </c>
      <c r="D1951" s="3">
        <v>4159778000107</v>
      </c>
      <c r="E1951" s="8" t="s">
        <v>1012</v>
      </c>
      <c r="F1951" s="8" t="s">
        <v>497</v>
      </c>
      <c r="G1951" s="8" t="s">
        <v>498</v>
      </c>
      <c r="H1951" s="8" t="s">
        <v>1014</v>
      </c>
      <c r="I1951" s="3">
        <v>0</v>
      </c>
      <c r="J1951" s="8"/>
      <c r="K1951" s="8"/>
      <c r="L1951" s="8"/>
      <c r="M1951" s="1"/>
      <c r="N1951" s="8"/>
      <c r="O1951" s="6">
        <v>0</v>
      </c>
      <c r="P1951" s="6">
        <v>0</v>
      </c>
      <c r="Q1951" s="6">
        <v>0</v>
      </c>
      <c r="R1951" s="6">
        <v>0</v>
      </c>
      <c r="S1951" s="6">
        <v>0</v>
      </c>
    </row>
    <row r="1952" spans="1:19" ht="15" x14ac:dyDescent="0.25">
      <c r="A1952" s="7" t="s">
        <v>16</v>
      </c>
      <c r="B1952" s="7" t="s">
        <v>65</v>
      </c>
      <c r="C1952" s="7" t="s">
        <v>66</v>
      </c>
      <c r="D1952" s="3">
        <v>12361267014739</v>
      </c>
      <c r="E1952" s="8" t="s">
        <v>510</v>
      </c>
      <c r="F1952" s="8" t="s">
        <v>278</v>
      </c>
      <c r="G1952" s="8" t="s">
        <v>276</v>
      </c>
      <c r="H1952" s="8" t="s">
        <v>795</v>
      </c>
      <c r="I1952" s="3">
        <v>2</v>
      </c>
      <c r="J1952" s="8" t="s">
        <v>778</v>
      </c>
      <c r="K1952" s="8" t="s">
        <v>779</v>
      </c>
      <c r="L1952" s="8" t="s">
        <v>730</v>
      </c>
      <c r="M1952" s="1" t="s">
        <v>790</v>
      </c>
      <c r="N1952" s="8" t="s">
        <v>791</v>
      </c>
      <c r="O1952" s="6">
        <v>0</v>
      </c>
      <c r="P1952" s="6">
        <v>0</v>
      </c>
      <c r="Q1952" s="6">
        <v>0</v>
      </c>
      <c r="R1952" s="6">
        <v>0</v>
      </c>
      <c r="S1952" s="6">
        <v>0</v>
      </c>
    </row>
    <row r="1953" spans="1:19" ht="15" x14ac:dyDescent="0.25">
      <c r="A1953" s="7" t="s">
        <v>16</v>
      </c>
      <c r="B1953" s="7" t="s">
        <v>65</v>
      </c>
      <c r="C1953" s="7" t="s">
        <v>66</v>
      </c>
      <c r="D1953" s="3">
        <v>12361267014739</v>
      </c>
      <c r="E1953" s="8" t="s">
        <v>510</v>
      </c>
      <c r="F1953" s="8" t="s">
        <v>278</v>
      </c>
      <c r="G1953" s="8" t="s">
        <v>276</v>
      </c>
      <c r="H1953" s="8" t="s">
        <v>795</v>
      </c>
      <c r="I1953" s="3">
        <v>2</v>
      </c>
      <c r="J1953" s="8" t="s">
        <v>746</v>
      </c>
      <c r="K1953" s="8" t="s">
        <v>747</v>
      </c>
      <c r="L1953" s="8" t="s">
        <v>723</v>
      </c>
      <c r="M1953" s="1" t="s">
        <v>790</v>
      </c>
      <c r="N1953" s="8" t="s">
        <v>791</v>
      </c>
      <c r="O1953" s="6">
        <v>0</v>
      </c>
      <c r="P1953" s="6">
        <v>3</v>
      </c>
      <c r="Q1953" s="6">
        <v>0</v>
      </c>
      <c r="R1953" s="6">
        <v>0</v>
      </c>
      <c r="S1953" s="6">
        <v>0</v>
      </c>
    </row>
    <row r="1954" spans="1:19" ht="15" x14ac:dyDescent="0.25">
      <c r="A1954" s="7" t="s">
        <v>16</v>
      </c>
      <c r="B1954" s="7" t="s">
        <v>65</v>
      </c>
      <c r="C1954" s="7" t="s">
        <v>66</v>
      </c>
      <c r="D1954" s="3">
        <v>15194004000125</v>
      </c>
      <c r="E1954" s="8" t="s">
        <v>339</v>
      </c>
      <c r="F1954" s="8" t="s">
        <v>278</v>
      </c>
      <c r="G1954" s="8" t="s">
        <v>276</v>
      </c>
      <c r="H1954" s="8" t="s">
        <v>795</v>
      </c>
      <c r="I1954" s="3">
        <v>2</v>
      </c>
      <c r="J1954" s="8" t="s">
        <v>778</v>
      </c>
      <c r="K1954" s="8" t="s">
        <v>779</v>
      </c>
      <c r="L1954" s="8" t="s">
        <v>730</v>
      </c>
      <c r="M1954" s="1" t="s">
        <v>790</v>
      </c>
      <c r="N1954" s="8" t="s">
        <v>791</v>
      </c>
      <c r="O1954" s="6">
        <v>0</v>
      </c>
      <c r="P1954" s="6">
        <v>0</v>
      </c>
      <c r="Q1954" s="6">
        <v>0</v>
      </c>
      <c r="R1954" s="6">
        <v>0</v>
      </c>
      <c r="S1954" s="6">
        <v>0</v>
      </c>
    </row>
    <row r="1955" spans="1:19" ht="15" x14ac:dyDescent="0.25">
      <c r="A1955" s="7" t="s">
        <v>16</v>
      </c>
      <c r="B1955" s="7" t="s">
        <v>65</v>
      </c>
      <c r="C1955" s="7" t="s">
        <v>66</v>
      </c>
      <c r="D1955" s="3">
        <v>15194004000125</v>
      </c>
      <c r="E1955" s="8" t="s">
        <v>339</v>
      </c>
      <c r="F1955" s="8" t="s">
        <v>278</v>
      </c>
      <c r="G1955" s="8" t="s">
        <v>276</v>
      </c>
      <c r="H1955" s="8" t="s">
        <v>795</v>
      </c>
      <c r="I1955" s="3">
        <v>2</v>
      </c>
      <c r="J1955" s="8" t="s">
        <v>746</v>
      </c>
      <c r="K1955" s="8" t="s">
        <v>747</v>
      </c>
      <c r="L1955" s="8" t="s">
        <v>723</v>
      </c>
      <c r="M1955" s="1" t="s">
        <v>790</v>
      </c>
      <c r="N1955" s="8" t="s">
        <v>791</v>
      </c>
      <c r="O1955" s="6">
        <v>0</v>
      </c>
      <c r="P1955" s="6">
        <v>7</v>
      </c>
      <c r="Q1955" s="6">
        <v>0</v>
      </c>
      <c r="R1955" s="6">
        <v>0</v>
      </c>
      <c r="S1955" s="6">
        <v>0</v>
      </c>
    </row>
    <row r="1956" spans="1:19" ht="15" x14ac:dyDescent="0.25">
      <c r="A1956" s="7" t="s">
        <v>16</v>
      </c>
      <c r="B1956" s="7" t="s">
        <v>65</v>
      </c>
      <c r="C1956" s="7" t="s">
        <v>66</v>
      </c>
      <c r="D1956" s="3">
        <v>5469172000122</v>
      </c>
      <c r="E1956" s="8" t="s">
        <v>277</v>
      </c>
      <c r="F1956" s="8" t="s">
        <v>278</v>
      </c>
      <c r="G1956" s="8" t="s">
        <v>276</v>
      </c>
      <c r="H1956" s="8" t="s">
        <v>795</v>
      </c>
      <c r="I1956" s="3">
        <v>2</v>
      </c>
      <c r="J1956" s="8" t="s">
        <v>778</v>
      </c>
      <c r="K1956" s="8" t="s">
        <v>779</v>
      </c>
      <c r="L1956" s="8" t="s">
        <v>730</v>
      </c>
      <c r="M1956" s="1" t="s">
        <v>790</v>
      </c>
      <c r="N1956" s="8" t="s">
        <v>791</v>
      </c>
      <c r="O1956" s="6">
        <v>0</v>
      </c>
      <c r="P1956" s="6">
        <v>0</v>
      </c>
      <c r="Q1956" s="6">
        <v>0</v>
      </c>
      <c r="R1956" s="6">
        <v>0</v>
      </c>
      <c r="S1956" s="6">
        <v>0</v>
      </c>
    </row>
    <row r="1957" spans="1:19" ht="15" x14ac:dyDescent="0.25">
      <c r="A1957" s="7" t="s">
        <v>16</v>
      </c>
      <c r="B1957" s="7" t="s">
        <v>65</v>
      </c>
      <c r="C1957" s="7" t="s">
        <v>66</v>
      </c>
      <c r="D1957" s="3">
        <v>5469172000122</v>
      </c>
      <c r="E1957" s="8" t="s">
        <v>277</v>
      </c>
      <c r="F1957" s="8" t="s">
        <v>278</v>
      </c>
      <c r="G1957" s="8" t="s">
        <v>276</v>
      </c>
      <c r="H1957" s="8" t="s">
        <v>795</v>
      </c>
      <c r="I1957" s="3">
        <v>2</v>
      </c>
      <c r="J1957" s="8" t="s">
        <v>746</v>
      </c>
      <c r="K1957" s="8" t="s">
        <v>747</v>
      </c>
      <c r="L1957" s="8" t="s">
        <v>723</v>
      </c>
      <c r="M1957" s="1" t="s">
        <v>790</v>
      </c>
      <c r="N1957" s="8" t="s">
        <v>791</v>
      </c>
      <c r="O1957" s="6">
        <v>0</v>
      </c>
      <c r="P1957" s="6">
        <v>3</v>
      </c>
      <c r="Q1957" s="6">
        <v>0</v>
      </c>
      <c r="R1957" s="6">
        <v>0</v>
      </c>
      <c r="S1957" s="6">
        <v>0</v>
      </c>
    </row>
    <row r="1958" spans="1:19" ht="15" x14ac:dyDescent="0.25">
      <c r="A1958" s="7" t="s">
        <v>16</v>
      </c>
      <c r="B1958" s="7" t="s">
        <v>65</v>
      </c>
      <c r="C1958" s="7" t="s">
        <v>66</v>
      </c>
      <c r="D1958" s="3">
        <v>13016092000140</v>
      </c>
      <c r="E1958" s="8" t="s">
        <v>315</v>
      </c>
      <c r="F1958" s="8" t="s">
        <v>278</v>
      </c>
      <c r="G1958" s="8" t="s">
        <v>276</v>
      </c>
      <c r="H1958" s="8" t="s">
        <v>795</v>
      </c>
      <c r="I1958" s="3">
        <v>2</v>
      </c>
      <c r="J1958" s="8" t="s">
        <v>778</v>
      </c>
      <c r="K1958" s="8" t="s">
        <v>779</v>
      </c>
      <c r="L1958" s="8" t="s">
        <v>730</v>
      </c>
      <c r="M1958" s="1" t="s">
        <v>790</v>
      </c>
      <c r="N1958" s="8" t="s">
        <v>791</v>
      </c>
      <c r="O1958" s="6">
        <v>0</v>
      </c>
      <c r="P1958" s="6">
        <v>0</v>
      </c>
      <c r="Q1958" s="6">
        <v>0</v>
      </c>
      <c r="R1958" s="6">
        <v>0</v>
      </c>
      <c r="S1958" s="6">
        <v>0</v>
      </c>
    </row>
    <row r="1959" spans="1:19" ht="15" x14ac:dyDescent="0.25">
      <c r="A1959" s="7" t="s">
        <v>16</v>
      </c>
      <c r="B1959" s="7" t="s">
        <v>65</v>
      </c>
      <c r="C1959" s="7" t="s">
        <v>66</v>
      </c>
      <c r="D1959" s="3">
        <v>13016092000140</v>
      </c>
      <c r="E1959" s="8" t="s">
        <v>315</v>
      </c>
      <c r="F1959" s="8" t="s">
        <v>278</v>
      </c>
      <c r="G1959" s="8" t="s">
        <v>276</v>
      </c>
      <c r="H1959" s="8" t="s">
        <v>795</v>
      </c>
      <c r="I1959" s="3">
        <v>2</v>
      </c>
      <c r="J1959" s="8" t="s">
        <v>746</v>
      </c>
      <c r="K1959" s="8" t="s">
        <v>747</v>
      </c>
      <c r="L1959" s="8" t="s">
        <v>723</v>
      </c>
      <c r="M1959" s="1" t="s">
        <v>790</v>
      </c>
      <c r="N1959" s="8" t="s">
        <v>791</v>
      </c>
      <c r="O1959" s="6">
        <v>0</v>
      </c>
      <c r="P1959" s="6">
        <v>6</v>
      </c>
      <c r="Q1959" s="6">
        <v>0</v>
      </c>
      <c r="R1959" s="6">
        <v>0</v>
      </c>
      <c r="S1959" s="6">
        <v>0</v>
      </c>
    </row>
    <row r="1960" spans="1:19" ht="15" x14ac:dyDescent="0.25">
      <c r="A1960" s="7" t="s">
        <v>16</v>
      </c>
      <c r="B1960" s="7" t="s">
        <v>65</v>
      </c>
      <c r="C1960" s="7" t="s">
        <v>66</v>
      </c>
      <c r="D1960" s="3">
        <v>15166416000151</v>
      </c>
      <c r="E1960" s="8" t="s">
        <v>334</v>
      </c>
      <c r="F1960" s="8" t="s">
        <v>278</v>
      </c>
      <c r="G1960" s="8" t="s">
        <v>276</v>
      </c>
      <c r="H1960" s="8" t="s">
        <v>795</v>
      </c>
      <c r="I1960" s="3">
        <v>2</v>
      </c>
      <c r="J1960" s="8" t="s">
        <v>778</v>
      </c>
      <c r="K1960" s="8" t="s">
        <v>779</v>
      </c>
      <c r="L1960" s="8" t="s">
        <v>730</v>
      </c>
      <c r="M1960" s="1" t="s">
        <v>790</v>
      </c>
      <c r="N1960" s="8" t="s">
        <v>791</v>
      </c>
      <c r="O1960" s="6">
        <v>0</v>
      </c>
      <c r="P1960" s="6">
        <v>0</v>
      </c>
      <c r="Q1960" s="6">
        <v>0</v>
      </c>
      <c r="R1960" s="6">
        <v>0</v>
      </c>
      <c r="S1960" s="6">
        <v>0</v>
      </c>
    </row>
    <row r="1961" spans="1:19" ht="15" x14ac:dyDescent="0.25">
      <c r="A1961" s="7" t="s">
        <v>16</v>
      </c>
      <c r="B1961" s="7" t="s">
        <v>65</v>
      </c>
      <c r="C1961" s="7" t="s">
        <v>66</v>
      </c>
      <c r="D1961" s="3">
        <v>15166416000151</v>
      </c>
      <c r="E1961" s="8" t="s">
        <v>334</v>
      </c>
      <c r="F1961" s="8" t="s">
        <v>278</v>
      </c>
      <c r="G1961" s="8" t="s">
        <v>276</v>
      </c>
      <c r="H1961" s="8" t="s">
        <v>795</v>
      </c>
      <c r="I1961" s="3">
        <v>2</v>
      </c>
      <c r="J1961" s="8" t="s">
        <v>746</v>
      </c>
      <c r="K1961" s="8" t="s">
        <v>747</v>
      </c>
      <c r="L1961" s="8" t="s">
        <v>723</v>
      </c>
      <c r="M1961" s="1" t="s">
        <v>790</v>
      </c>
      <c r="N1961" s="8" t="s">
        <v>791</v>
      </c>
      <c r="O1961" s="6">
        <v>0</v>
      </c>
      <c r="P1961" s="6">
        <v>10</v>
      </c>
      <c r="Q1961" s="6">
        <v>0</v>
      </c>
      <c r="R1961" s="6">
        <v>0</v>
      </c>
      <c r="S1961" s="6">
        <v>0</v>
      </c>
    </row>
    <row r="1962" spans="1:19" ht="15" x14ac:dyDescent="0.25">
      <c r="A1962" s="7" t="s">
        <v>16</v>
      </c>
      <c r="B1962" s="7" t="s">
        <v>65</v>
      </c>
      <c r="C1962" s="7" t="s">
        <v>66</v>
      </c>
      <c r="D1962" s="3">
        <v>15153745000249</v>
      </c>
      <c r="E1962" s="8" t="s">
        <v>332</v>
      </c>
      <c r="F1962" s="8" t="s">
        <v>278</v>
      </c>
      <c r="G1962" s="8" t="s">
        <v>276</v>
      </c>
      <c r="H1962" s="8" t="s">
        <v>795</v>
      </c>
      <c r="I1962" s="3">
        <v>2</v>
      </c>
      <c r="J1962" s="8" t="s">
        <v>778</v>
      </c>
      <c r="K1962" s="8" t="s">
        <v>779</v>
      </c>
      <c r="L1962" s="8" t="s">
        <v>730</v>
      </c>
      <c r="M1962" s="1" t="s">
        <v>790</v>
      </c>
      <c r="N1962" s="8" t="s">
        <v>791</v>
      </c>
      <c r="O1962" s="6">
        <v>0</v>
      </c>
      <c r="P1962" s="6">
        <v>0</v>
      </c>
      <c r="Q1962" s="6">
        <v>0</v>
      </c>
      <c r="R1962" s="6">
        <v>0</v>
      </c>
      <c r="S1962" s="6">
        <v>0</v>
      </c>
    </row>
    <row r="1963" spans="1:19" ht="15" x14ac:dyDescent="0.25">
      <c r="A1963" s="7" t="s">
        <v>16</v>
      </c>
      <c r="B1963" s="7" t="s">
        <v>65</v>
      </c>
      <c r="C1963" s="7" t="s">
        <v>66</v>
      </c>
      <c r="D1963" s="3">
        <v>15153745000249</v>
      </c>
      <c r="E1963" s="8" t="s">
        <v>332</v>
      </c>
      <c r="F1963" s="8" t="s">
        <v>278</v>
      </c>
      <c r="G1963" s="8" t="s">
        <v>276</v>
      </c>
      <c r="H1963" s="8" t="s">
        <v>795</v>
      </c>
      <c r="I1963" s="3">
        <v>2</v>
      </c>
      <c r="J1963" s="8" t="s">
        <v>746</v>
      </c>
      <c r="K1963" s="8" t="s">
        <v>747</v>
      </c>
      <c r="L1963" s="8" t="s">
        <v>723</v>
      </c>
      <c r="M1963" s="1" t="s">
        <v>790</v>
      </c>
      <c r="N1963" s="8" t="s">
        <v>791</v>
      </c>
      <c r="O1963" s="6">
        <v>0</v>
      </c>
      <c r="P1963" s="6">
        <v>9</v>
      </c>
      <c r="Q1963" s="6">
        <v>0</v>
      </c>
      <c r="R1963" s="6">
        <v>0</v>
      </c>
      <c r="S1963" s="6">
        <v>0</v>
      </c>
    </row>
    <row r="1964" spans="1:19" ht="15" x14ac:dyDescent="0.25">
      <c r="A1964" s="7" t="s">
        <v>16</v>
      </c>
      <c r="B1964" s="7" t="s">
        <v>65</v>
      </c>
      <c r="C1964" s="7" t="s">
        <v>66</v>
      </c>
      <c r="D1964" s="3">
        <v>15242761000127</v>
      </c>
      <c r="E1964" s="8" t="s">
        <v>340</v>
      </c>
      <c r="F1964" s="8" t="s">
        <v>278</v>
      </c>
      <c r="G1964" s="8" t="s">
        <v>276</v>
      </c>
      <c r="H1964" s="8" t="s">
        <v>795</v>
      </c>
      <c r="I1964" s="3">
        <v>2</v>
      </c>
      <c r="J1964" s="8" t="s">
        <v>778</v>
      </c>
      <c r="K1964" s="8" t="s">
        <v>779</v>
      </c>
      <c r="L1964" s="8" t="s">
        <v>730</v>
      </c>
      <c r="M1964" s="1" t="s">
        <v>790</v>
      </c>
      <c r="N1964" s="8" t="s">
        <v>791</v>
      </c>
      <c r="O1964" s="6">
        <v>0</v>
      </c>
      <c r="P1964" s="6">
        <v>0</v>
      </c>
      <c r="Q1964" s="6">
        <v>0</v>
      </c>
      <c r="R1964" s="6">
        <v>0</v>
      </c>
      <c r="S1964" s="6">
        <v>100</v>
      </c>
    </row>
    <row r="1965" spans="1:19" ht="15" x14ac:dyDescent="0.25">
      <c r="A1965" s="7" t="s">
        <v>16</v>
      </c>
      <c r="B1965" s="7" t="s">
        <v>65</v>
      </c>
      <c r="C1965" s="7" t="s">
        <v>66</v>
      </c>
      <c r="D1965" s="3">
        <v>15242761000127</v>
      </c>
      <c r="E1965" s="8" t="s">
        <v>340</v>
      </c>
      <c r="F1965" s="8" t="s">
        <v>278</v>
      </c>
      <c r="G1965" s="8" t="s">
        <v>276</v>
      </c>
      <c r="H1965" s="8" t="s">
        <v>795</v>
      </c>
      <c r="I1965" s="3">
        <v>2</v>
      </c>
      <c r="J1965" s="8" t="s">
        <v>746</v>
      </c>
      <c r="K1965" s="8" t="s">
        <v>747</v>
      </c>
      <c r="L1965" s="8" t="s">
        <v>723</v>
      </c>
      <c r="M1965" s="1" t="s">
        <v>790</v>
      </c>
      <c r="N1965" s="8" t="s">
        <v>791</v>
      </c>
      <c r="O1965" s="6">
        <v>0</v>
      </c>
      <c r="P1965" s="6">
        <v>0</v>
      </c>
      <c r="Q1965" s="6">
        <v>0</v>
      </c>
      <c r="R1965" s="6">
        <v>0</v>
      </c>
      <c r="S1965" s="6">
        <v>100</v>
      </c>
    </row>
    <row r="1966" spans="1:19" ht="15" x14ac:dyDescent="0.25">
      <c r="A1966" s="7" t="s">
        <v>16</v>
      </c>
      <c r="B1966" s="7" t="s">
        <v>65</v>
      </c>
      <c r="C1966" s="7" t="s">
        <v>66</v>
      </c>
      <c r="D1966" s="3">
        <v>5652543000107</v>
      </c>
      <c r="E1966" s="8" t="s">
        <v>420</v>
      </c>
      <c r="F1966" s="8" t="s">
        <v>421</v>
      </c>
      <c r="G1966" s="8" t="s">
        <v>276</v>
      </c>
      <c r="H1966" s="8" t="s">
        <v>795</v>
      </c>
      <c r="I1966" s="3">
        <v>2</v>
      </c>
      <c r="J1966" s="8" t="s">
        <v>778</v>
      </c>
      <c r="K1966" s="8" t="s">
        <v>779</v>
      </c>
      <c r="L1966" s="8" t="s">
        <v>730</v>
      </c>
      <c r="M1966" s="1" t="s">
        <v>790</v>
      </c>
      <c r="N1966" s="8" t="s">
        <v>791</v>
      </c>
      <c r="O1966" s="6">
        <v>0</v>
      </c>
      <c r="P1966" s="6">
        <v>0</v>
      </c>
      <c r="Q1966" s="6">
        <v>0</v>
      </c>
      <c r="R1966" s="6">
        <v>0</v>
      </c>
      <c r="S1966" s="6">
        <v>0</v>
      </c>
    </row>
    <row r="1967" spans="1:19" ht="15" x14ac:dyDescent="0.25">
      <c r="A1967" s="7" t="s">
        <v>16</v>
      </c>
      <c r="B1967" s="7" t="s">
        <v>65</v>
      </c>
      <c r="C1967" s="7" t="s">
        <v>66</v>
      </c>
      <c r="D1967" s="3">
        <v>5652543000107</v>
      </c>
      <c r="E1967" s="8" t="s">
        <v>420</v>
      </c>
      <c r="F1967" s="8" t="s">
        <v>421</v>
      </c>
      <c r="G1967" s="8" t="s">
        <v>276</v>
      </c>
      <c r="H1967" s="8" t="s">
        <v>795</v>
      </c>
      <c r="I1967" s="3">
        <v>2</v>
      </c>
      <c r="J1967" s="8" t="s">
        <v>746</v>
      </c>
      <c r="K1967" s="8" t="s">
        <v>747</v>
      </c>
      <c r="L1967" s="8" t="s">
        <v>723</v>
      </c>
      <c r="M1967" s="1" t="s">
        <v>790</v>
      </c>
      <c r="N1967" s="8" t="s">
        <v>791</v>
      </c>
      <c r="O1967" s="6">
        <v>0</v>
      </c>
      <c r="P1967" s="6">
        <v>19</v>
      </c>
      <c r="Q1967" s="6">
        <v>0</v>
      </c>
      <c r="R1967" s="6">
        <v>0</v>
      </c>
      <c r="S1967" s="6">
        <v>0</v>
      </c>
    </row>
    <row r="1968" spans="1:19" ht="15" x14ac:dyDescent="0.25">
      <c r="A1968" s="7" t="s">
        <v>16</v>
      </c>
      <c r="B1968" s="7" t="s">
        <v>65</v>
      </c>
      <c r="C1968" s="7" t="s">
        <v>66</v>
      </c>
      <c r="D1968" s="3">
        <v>74031865000151</v>
      </c>
      <c r="E1968" s="8" t="s">
        <v>383</v>
      </c>
      <c r="F1968" s="8" t="s">
        <v>281</v>
      </c>
      <c r="G1968" s="8" t="s">
        <v>282</v>
      </c>
      <c r="H1968" s="8" t="s">
        <v>795</v>
      </c>
      <c r="I1968" s="3">
        <v>2</v>
      </c>
      <c r="J1968" s="8" t="s">
        <v>778</v>
      </c>
      <c r="K1968" s="8" t="s">
        <v>779</v>
      </c>
      <c r="L1968" s="8" t="s">
        <v>730</v>
      </c>
      <c r="M1968" s="1" t="s">
        <v>790</v>
      </c>
      <c r="N1968" s="8" t="s">
        <v>791</v>
      </c>
      <c r="O1968" s="6">
        <v>0</v>
      </c>
      <c r="P1968" s="6">
        <v>0</v>
      </c>
      <c r="Q1968" s="6">
        <v>0</v>
      </c>
      <c r="R1968" s="6">
        <v>0</v>
      </c>
      <c r="S1968" s="6">
        <v>0</v>
      </c>
    </row>
    <row r="1969" spans="1:19" ht="15" x14ac:dyDescent="0.25">
      <c r="A1969" s="7" t="s">
        <v>16</v>
      </c>
      <c r="B1969" s="7" t="s">
        <v>65</v>
      </c>
      <c r="C1969" s="7" t="s">
        <v>66</v>
      </c>
      <c r="D1969" s="3">
        <v>74031865000151</v>
      </c>
      <c r="E1969" s="8" t="s">
        <v>383</v>
      </c>
      <c r="F1969" s="8" t="s">
        <v>281</v>
      </c>
      <c r="G1969" s="8" t="s">
        <v>282</v>
      </c>
      <c r="H1969" s="8" t="s">
        <v>795</v>
      </c>
      <c r="I1969" s="3">
        <v>2</v>
      </c>
      <c r="J1969" s="8" t="s">
        <v>744</v>
      </c>
      <c r="K1969" s="8" t="s">
        <v>745</v>
      </c>
      <c r="L1969" s="8" t="s">
        <v>723</v>
      </c>
      <c r="M1969" s="1" t="s">
        <v>790</v>
      </c>
      <c r="N1969" s="8" t="s">
        <v>791</v>
      </c>
      <c r="O1969" s="6">
        <v>0</v>
      </c>
      <c r="P1969" s="6">
        <v>0</v>
      </c>
      <c r="Q1969" s="6">
        <v>140</v>
      </c>
      <c r="R1969" s="6">
        <v>0</v>
      </c>
      <c r="S1969" s="6">
        <v>0</v>
      </c>
    </row>
    <row r="1970" spans="1:19" ht="15" x14ac:dyDescent="0.25">
      <c r="A1970" s="7" t="s">
        <v>16</v>
      </c>
      <c r="B1970" s="7" t="s">
        <v>65</v>
      </c>
      <c r="C1970" s="7" t="s">
        <v>66</v>
      </c>
      <c r="D1970" s="3">
        <v>520237000101</v>
      </c>
      <c r="E1970" s="8" t="s">
        <v>243</v>
      </c>
      <c r="F1970" s="8" t="s">
        <v>225</v>
      </c>
      <c r="G1970" s="8" t="s">
        <v>226</v>
      </c>
      <c r="H1970" s="8" t="s">
        <v>795</v>
      </c>
      <c r="I1970" s="3">
        <v>2</v>
      </c>
      <c r="J1970" s="8" t="s">
        <v>780</v>
      </c>
      <c r="K1970" s="8" t="s">
        <v>781</v>
      </c>
      <c r="L1970" s="8" t="s">
        <v>739</v>
      </c>
      <c r="M1970" s="1" t="s">
        <v>790</v>
      </c>
      <c r="N1970" s="8" t="s">
        <v>791</v>
      </c>
      <c r="O1970" s="6">
        <v>0</v>
      </c>
      <c r="P1970" s="6">
        <v>0</v>
      </c>
      <c r="Q1970" s="6">
        <v>0</v>
      </c>
      <c r="R1970" s="6">
        <v>95</v>
      </c>
      <c r="S1970" s="6">
        <v>250</v>
      </c>
    </row>
    <row r="1971" spans="1:19" ht="15" x14ac:dyDescent="0.25">
      <c r="A1971" s="7" t="s">
        <v>16</v>
      </c>
      <c r="B1971" s="7" t="s">
        <v>65</v>
      </c>
      <c r="C1971" s="7" t="s">
        <v>66</v>
      </c>
      <c r="D1971" s="3">
        <v>520237000101</v>
      </c>
      <c r="E1971" s="8" t="s">
        <v>243</v>
      </c>
      <c r="F1971" s="8" t="s">
        <v>225</v>
      </c>
      <c r="G1971" s="8" t="s">
        <v>226</v>
      </c>
      <c r="H1971" s="8" t="s">
        <v>795</v>
      </c>
      <c r="I1971" s="3">
        <v>2</v>
      </c>
      <c r="J1971" s="8" t="s">
        <v>742</v>
      </c>
      <c r="K1971" s="8" t="s">
        <v>743</v>
      </c>
      <c r="L1971" s="8" t="s">
        <v>723</v>
      </c>
      <c r="M1971" s="1" t="s">
        <v>790</v>
      </c>
      <c r="N1971" s="8" t="s">
        <v>791</v>
      </c>
      <c r="O1971" s="6">
        <v>0</v>
      </c>
      <c r="P1971" s="6">
        <v>0</v>
      </c>
      <c r="Q1971" s="6">
        <v>0</v>
      </c>
      <c r="R1971" s="6">
        <v>0</v>
      </c>
      <c r="S1971" s="6">
        <v>250</v>
      </c>
    </row>
    <row r="1972" spans="1:19" ht="15" x14ac:dyDescent="0.25">
      <c r="A1972" s="7" t="s">
        <v>16</v>
      </c>
      <c r="B1972" s="7" t="s">
        <v>65</v>
      </c>
      <c r="C1972" s="7" t="s">
        <v>66</v>
      </c>
      <c r="D1972" s="3">
        <v>37108388000159</v>
      </c>
      <c r="E1972" s="8" t="s">
        <v>375</v>
      </c>
      <c r="F1972" s="8" t="s">
        <v>225</v>
      </c>
      <c r="G1972" s="8" t="s">
        <v>226</v>
      </c>
      <c r="H1972" s="8" t="s">
        <v>795</v>
      </c>
      <c r="I1972" s="3">
        <v>2</v>
      </c>
      <c r="J1972" s="8" t="s">
        <v>780</v>
      </c>
      <c r="K1972" s="8" t="s">
        <v>781</v>
      </c>
      <c r="L1972" s="8" t="s">
        <v>739</v>
      </c>
      <c r="M1972" s="1" t="s">
        <v>790</v>
      </c>
      <c r="N1972" s="8" t="s">
        <v>791</v>
      </c>
      <c r="O1972" s="6">
        <v>0</v>
      </c>
      <c r="P1972" s="6">
        <v>0</v>
      </c>
      <c r="Q1972" s="6">
        <v>0</v>
      </c>
      <c r="R1972" s="6">
        <v>0</v>
      </c>
      <c r="S1972" s="6">
        <v>0</v>
      </c>
    </row>
    <row r="1973" spans="1:19" ht="15" x14ac:dyDescent="0.25">
      <c r="A1973" s="7" t="s">
        <v>16</v>
      </c>
      <c r="B1973" s="7" t="s">
        <v>65</v>
      </c>
      <c r="C1973" s="7" t="s">
        <v>66</v>
      </c>
      <c r="D1973" s="3">
        <v>37108388000159</v>
      </c>
      <c r="E1973" s="8" t="s">
        <v>375</v>
      </c>
      <c r="F1973" s="8" t="s">
        <v>225</v>
      </c>
      <c r="G1973" s="8" t="s">
        <v>226</v>
      </c>
      <c r="H1973" s="8" t="s">
        <v>795</v>
      </c>
      <c r="I1973" s="3">
        <v>2</v>
      </c>
      <c r="J1973" s="8" t="s">
        <v>742</v>
      </c>
      <c r="K1973" s="8" t="s">
        <v>743</v>
      </c>
      <c r="L1973" s="8" t="s">
        <v>723</v>
      </c>
      <c r="M1973" s="1" t="s">
        <v>790</v>
      </c>
      <c r="N1973" s="8" t="s">
        <v>791</v>
      </c>
      <c r="O1973" s="6">
        <v>0</v>
      </c>
      <c r="P1973" s="6">
        <v>20</v>
      </c>
      <c r="Q1973" s="6">
        <v>0</v>
      </c>
      <c r="R1973" s="6">
        <v>0</v>
      </c>
      <c r="S1973" s="6">
        <v>0</v>
      </c>
    </row>
    <row r="1974" spans="1:19" ht="15" x14ac:dyDescent="0.25">
      <c r="A1974" s="7" t="s">
        <v>16</v>
      </c>
      <c r="B1974" s="7" t="s">
        <v>65</v>
      </c>
      <c r="C1974" s="7" t="s">
        <v>66</v>
      </c>
      <c r="D1974" s="3">
        <v>2560878000107</v>
      </c>
      <c r="E1974" s="8" t="s">
        <v>270</v>
      </c>
      <c r="F1974" s="8" t="s">
        <v>225</v>
      </c>
      <c r="G1974" s="8" t="s">
        <v>226</v>
      </c>
      <c r="H1974" s="8" t="s">
        <v>795</v>
      </c>
      <c r="I1974" s="3">
        <v>2</v>
      </c>
      <c r="J1974" s="8" t="s">
        <v>780</v>
      </c>
      <c r="K1974" s="8" t="s">
        <v>781</v>
      </c>
      <c r="L1974" s="8" t="s">
        <v>739</v>
      </c>
      <c r="M1974" s="1" t="s">
        <v>790</v>
      </c>
      <c r="N1974" s="8" t="s">
        <v>791</v>
      </c>
      <c r="O1974" s="6">
        <v>0</v>
      </c>
      <c r="P1974" s="6">
        <v>0</v>
      </c>
      <c r="Q1974" s="6">
        <v>0</v>
      </c>
      <c r="R1974" s="6">
        <v>0</v>
      </c>
      <c r="S1974" s="6">
        <v>5</v>
      </c>
    </row>
    <row r="1975" spans="1:19" ht="15" x14ac:dyDescent="0.25">
      <c r="A1975" s="7" t="s">
        <v>16</v>
      </c>
      <c r="B1975" s="7" t="s">
        <v>65</v>
      </c>
      <c r="C1975" s="7" t="s">
        <v>66</v>
      </c>
      <c r="D1975" s="3">
        <v>2560878000107</v>
      </c>
      <c r="E1975" s="8" t="s">
        <v>270</v>
      </c>
      <c r="F1975" s="8" t="s">
        <v>225</v>
      </c>
      <c r="G1975" s="8" t="s">
        <v>226</v>
      </c>
      <c r="H1975" s="8" t="s">
        <v>795</v>
      </c>
      <c r="I1975" s="3">
        <v>2</v>
      </c>
      <c r="J1975" s="8" t="s">
        <v>742</v>
      </c>
      <c r="K1975" s="8" t="s">
        <v>743</v>
      </c>
      <c r="L1975" s="8" t="s">
        <v>723</v>
      </c>
      <c r="M1975" s="1" t="s">
        <v>790</v>
      </c>
      <c r="N1975" s="8" t="s">
        <v>791</v>
      </c>
      <c r="O1975" s="6">
        <v>0</v>
      </c>
      <c r="P1975" s="6">
        <v>4</v>
      </c>
      <c r="Q1975" s="6">
        <v>0</v>
      </c>
      <c r="R1975" s="6">
        <v>0</v>
      </c>
      <c r="S1975" s="6">
        <v>5</v>
      </c>
    </row>
    <row r="1976" spans="1:19" ht="15" x14ac:dyDescent="0.25">
      <c r="A1976" s="7" t="s">
        <v>16</v>
      </c>
      <c r="B1976" s="7" t="s">
        <v>65</v>
      </c>
      <c r="C1976" s="7" t="s">
        <v>66</v>
      </c>
      <c r="D1976" s="3">
        <v>60884855002289</v>
      </c>
      <c r="E1976" s="8" t="s">
        <v>378</v>
      </c>
      <c r="F1976" s="8" t="s">
        <v>225</v>
      </c>
      <c r="G1976" s="8" t="s">
        <v>226</v>
      </c>
      <c r="H1976" s="8" t="s">
        <v>795</v>
      </c>
      <c r="I1976" s="3">
        <v>2</v>
      </c>
      <c r="J1976" s="8" t="s">
        <v>780</v>
      </c>
      <c r="K1976" s="8" t="s">
        <v>781</v>
      </c>
      <c r="L1976" s="8" t="s">
        <v>739</v>
      </c>
      <c r="M1976" s="1" t="s">
        <v>790</v>
      </c>
      <c r="N1976" s="8" t="s">
        <v>791</v>
      </c>
      <c r="O1976" s="6">
        <v>0</v>
      </c>
      <c r="P1976" s="6">
        <v>0</v>
      </c>
      <c r="Q1976" s="6">
        <v>0</v>
      </c>
      <c r="R1976" s="6">
        <v>0</v>
      </c>
      <c r="S1976" s="6">
        <v>675</v>
      </c>
    </row>
    <row r="1977" spans="1:19" ht="15" x14ac:dyDescent="0.25">
      <c r="A1977" s="7" t="s">
        <v>16</v>
      </c>
      <c r="B1977" s="7" t="s">
        <v>65</v>
      </c>
      <c r="C1977" s="7" t="s">
        <v>66</v>
      </c>
      <c r="D1977" s="3">
        <v>60884855002289</v>
      </c>
      <c r="E1977" s="8" t="s">
        <v>378</v>
      </c>
      <c r="F1977" s="8" t="s">
        <v>225</v>
      </c>
      <c r="G1977" s="8" t="s">
        <v>226</v>
      </c>
      <c r="H1977" s="8" t="s">
        <v>795</v>
      </c>
      <c r="I1977" s="3">
        <v>2</v>
      </c>
      <c r="J1977" s="8" t="s">
        <v>742</v>
      </c>
      <c r="K1977" s="8" t="s">
        <v>743</v>
      </c>
      <c r="L1977" s="8" t="s">
        <v>723</v>
      </c>
      <c r="M1977" s="1" t="s">
        <v>790</v>
      </c>
      <c r="N1977" s="8" t="s">
        <v>791</v>
      </c>
      <c r="O1977" s="6">
        <v>0</v>
      </c>
      <c r="P1977" s="6">
        <v>0</v>
      </c>
      <c r="Q1977" s="6">
        <v>8</v>
      </c>
      <c r="R1977" s="6">
        <v>0</v>
      </c>
      <c r="S1977" s="6">
        <v>675</v>
      </c>
    </row>
    <row r="1978" spans="1:19" ht="15" x14ac:dyDescent="0.25">
      <c r="A1978" s="7" t="s">
        <v>16</v>
      </c>
      <c r="B1978" s="7" t="s">
        <v>65</v>
      </c>
      <c r="C1978" s="7" t="s">
        <v>66</v>
      </c>
      <c r="D1978" s="3">
        <v>382069000127</v>
      </c>
      <c r="E1978" s="8" t="s">
        <v>472</v>
      </c>
      <c r="F1978" s="8" t="s">
        <v>225</v>
      </c>
      <c r="G1978" s="8" t="s">
        <v>226</v>
      </c>
      <c r="H1978" s="8" t="s">
        <v>795</v>
      </c>
      <c r="I1978" s="3">
        <v>2</v>
      </c>
      <c r="J1978" s="8" t="s">
        <v>780</v>
      </c>
      <c r="K1978" s="8" t="s">
        <v>781</v>
      </c>
      <c r="L1978" s="8" t="s">
        <v>739</v>
      </c>
      <c r="M1978" s="1" t="s">
        <v>790</v>
      </c>
      <c r="N1978" s="8" t="s">
        <v>791</v>
      </c>
      <c r="O1978" s="6">
        <v>0</v>
      </c>
      <c r="P1978" s="6">
        <v>0</v>
      </c>
      <c r="Q1978" s="6">
        <v>0</v>
      </c>
      <c r="R1978" s="6">
        <v>0</v>
      </c>
      <c r="S1978" s="6">
        <v>0</v>
      </c>
    </row>
    <row r="1979" spans="1:19" ht="15" x14ac:dyDescent="0.25">
      <c r="A1979" s="7" t="s">
        <v>16</v>
      </c>
      <c r="B1979" s="7" t="s">
        <v>65</v>
      </c>
      <c r="C1979" s="7" t="s">
        <v>66</v>
      </c>
      <c r="D1979" s="3">
        <v>382069000127</v>
      </c>
      <c r="E1979" s="8" t="s">
        <v>472</v>
      </c>
      <c r="F1979" s="8" t="s">
        <v>225</v>
      </c>
      <c r="G1979" s="8" t="s">
        <v>226</v>
      </c>
      <c r="H1979" s="8" t="s">
        <v>795</v>
      </c>
      <c r="I1979" s="3">
        <v>2</v>
      </c>
      <c r="J1979" s="8" t="s">
        <v>742</v>
      </c>
      <c r="K1979" s="8" t="s">
        <v>743</v>
      </c>
      <c r="L1979" s="8" t="s">
        <v>723</v>
      </c>
      <c r="M1979" s="1" t="s">
        <v>790</v>
      </c>
      <c r="N1979" s="8" t="s">
        <v>791</v>
      </c>
      <c r="O1979" s="6">
        <v>0</v>
      </c>
      <c r="P1979" s="6">
        <v>4</v>
      </c>
      <c r="Q1979" s="6">
        <v>0</v>
      </c>
      <c r="R1979" s="6">
        <v>0</v>
      </c>
      <c r="S1979" s="6">
        <v>0</v>
      </c>
    </row>
    <row r="1980" spans="1:19" ht="15" x14ac:dyDescent="0.25">
      <c r="A1980" s="7" t="s">
        <v>16</v>
      </c>
      <c r="B1980" s="7" t="s">
        <v>65</v>
      </c>
      <c r="C1980" s="7" t="s">
        <v>66</v>
      </c>
      <c r="D1980" s="3">
        <v>3568867000136</v>
      </c>
      <c r="E1980" s="8" t="s">
        <v>514</v>
      </c>
      <c r="F1980" s="8" t="s">
        <v>225</v>
      </c>
      <c r="G1980" s="8" t="s">
        <v>226</v>
      </c>
      <c r="H1980" s="8" t="s">
        <v>795</v>
      </c>
      <c r="I1980" s="3">
        <v>2</v>
      </c>
      <c r="J1980" s="8" t="s">
        <v>780</v>
      </c>
      <c r="K1980" s="8" t="s">
        <v>781</v>
      </c>
      <c r="L1980" s="8" t="s">
        <v>739</v>
      </c>
      <c r="M1980" s="1" t="s">
        <v>790</v>
      </c>
      <c r="N1980" s="8" t="s">
        <v>791</v>
      </c>
      <c r="O1980" s="6">
        <v>0</v>
      </c>
      <c r="P1980" s="6">
        <v>0</v>
      </c>
      <c r="Q1980" s="6">
        <v>0</v>
      </c>
      <c r="R1980" s="6">
        <v>0</v>
      </c>
      <c r="S1980" s="6">
        <v>430</v>
      </c>
    </row>
    <row r="1981" spans="1:19" ht="15" x14ac:dyDescent="0.25">
      <c r="A1981" s="7" t="s">
        <v>16</v>
      </c>
      <c r="B1981" s="7" t="s">
        <v>65</v>
      </c>
      <c r="C1981" s="7" t="s">
        <v>66</v>
      </c>
      <c r="D1981" s="3">
        <v>3568867000136</v>
      </c>
      <c r="E1981" s="8" t="s">
        <v>514</v>
      </c>
      <c r="F1981" s="8" t="s">
        <v>225</v>
      </c>
      <c r="G1981" s="8" t="s">
        <v>226</v>
      </c>
      <c r="H1981" s="8" t="s">
        <v>795</v>
      </c>
      <c r="I1981" s="3">
        <v>2</v>
      </c>
      <c r="J1981" s="8" t="s">
        <v>742</v>
      </c>
      <c r="K1981" s="8" t="s">
        <v>743</v>
      </c>
      <c r="L1981" s="8" t="s">
        <v>723</v>
      </c>
      <c r="M1981" s="1" t="s">
        <v>790</v>
      </c>
      <c r="N1981" s="8" t="s">
        <v>791</v>
      </c>
      <c r="O1981" s="6">
        <v>0</v>
      </c>
      <c r="P1981" s="6">
        <v>0</v>
      </c>
      <c r="Q1981" s="6">
        <v>0</v>
      </c>
      <c r="R1981" s="6">
        <v>0</v>
      </c>
      <c r="S1981" s="6">
        <v>430</v>
      </c>
    </row>
    <row r="1982" spans="1:19" ht="15" x14ac:dyDescent="0.25">
      <c r="A1982" s="7" t="s">
        <v>16</v>
      </c>
      <c r="B1982" s="7" t="s">
        <v>65</v>
      </c>
      <c r="C1982" s="7" t="s">
        <v>66</v>
      </c>
      <c r="D1982" s="3">
        <v>38000485000196</v>
      </c>
      <c r="E1982" s="8" t="s">
        <v>376</v>
      </c>
      <c r="F1982" s="8" t="s">
        <v>225</v>
      </c>
      <c r="G1982" s="8" t="s">
        <v>226</v>
      </c>
      <c r="H1982" s="8" t="s">
        <v>795</v>
      </c>
      <c r="I1982" s="3">
        <v>2</v>
      </c>
      <c r="J1982" s="8" t="s">
        <v>780</v>
      </c>
      <c r="K1982" s="8" t="s">
        <v>781</v>
      </c>
      <c r="L1982" s="8" t="s">
        <v>739</v>
      </c>
      <c r="M1982" s="1" t="s">
        <v>790</v>
      </c>
      <c r="N1982" s="8" t="s">
        <v>791</v>
      </c>
      <c r="O1982" s="6">
        <v>0</v>
      </c>
      <c r="P1982" s="6">
        <v>0</v>
      </c>
      <c r="Q1982" s="6">
        <v>0</v>
      </c>
      <c r="R1982" s="6">
        <v>0</v>
      </c>
      <c r="S1982" s="6">
        <v>0</v>
      </c>
    </row>
    <row r="1983" spans="1:19" ht="15" x14ac:dyDescent="0.25">
      <c r="A1983" s="7" t="s">
        <v>16</v>
      </c>
      <c r="B1983" s="7" t="s">
        <v>65</v>
      </c>
      <c r="C1983" s="7" t="s">
        <v>66</v>
      </c>
      <c r="D1983" s="3">
        <v>38000485000196</v>
      </c>
      <c r="E1983" s="8" t="s">
        <v>376</v>
      </c>
      <c r="F1983" s="8" t="s">
        <v>225</v>
      </c>
      <c r="G1983" s="8" t="s">
        <v>226</v>
      </c>
      <c r="H1983" s="8" t="s">
        <v>795</v>
      </c>
      <c r="I1983" s="3">
        <v>2</v>
      </c>
      <c r="J1983" s="8" t="s">
        <v>742</v>
      </c>
      <c r="K1983" s="8" t="s">
        <v>743</v>
      </c>
      <c r="L1983" s="8" t="s">
        <v>723</v>
      </c>
      <c r="M1983" s="1" t="s">
        <v>790</v>
      </c>
      <c r="N1983" s="8" t="s">
        <v>791</v>
      </c>
      <c r="O1983" s="6">
        <v>0</v>
      </c>
      <c r="P1983" s="6">
        <v>5</v>
      </c>
      <c r="Q1983" s="6">
        <v>0</v>
      </c>
      <c r="R1983" s="6">
        <v>0</v>
      </c>
      <c r="S1983" s="6">
        <v>0</v>
      </c>
    </row>
    <row r="1984" spans="1:19" ht="15" x14ac:dyDescent="0.25">
      <c r="A1984" s="7" t="s">
        <v>16</v>
      </c>
      <c r="B1984" s="7" t="s">
        <v>65</v>
      </c>
      <c r="C1984" s="7" t="s">
        <v>66</v>
      </c>
      <c r="D1984" s="3">
        <v>610980000144</v>
      </c>
      <c r="E1984" s="8" t="s">
        <v>244</v>
      </c>
      <c r="F1984" s="8" t="s">
        <v>225</v>
      </c>
      <c r="G1984" s="8" t="s">
        <v>226</v>
      </c>
      <c r="H1984" s="8" t="s">
        <v>795</v>
      </c>
      <c r="I1984" s="3">
        <v>2</v>
      </c>
      <c r="J1984" s="8" t="s">
        <v>780</v>
      </c>
      <c r="K1984" s="8" t="s">
        <v>781</v>
      </c>
      <c r="L1984" s="8" t="s">
        <v>739</v>
      </c>
      <c r="M1984" s="1" t="s">
        <v>790</v>
      </c>
      <c r="N1984" s="8" t="s">
        <v>791</v>
      </c>
      <c r="O1984" s="6">
        <v>0</v>
      </c>
      <c r="P1984" s="6">
        <v>0</v>
      </c>
      <c r="Q1984" s="6">
        <v>0</v>
      </c>
      <c r="R1984" s="6">
        <v>0</v>
      </c>
      <c r="S1984" s="6">
        <v>50</v>
      </c>
    </row>
    <row r="1985" spans="1:19" ht="15" x14ac:dyDescent="0.25">
      <c r="A1985" s="7" t="s">
        <v>16</v>
      </c>
      <c r="B1985" s="7" t="s">
        <v>65</v>
      </c>
      <c r="C1985" s="7" t="s">
        <v>66</v>
      </c>
      <c r="D1985" s="3">
        <v>610980000144</v>
      </c>
      <c r="E1985" s="8" t="s">
        <v>244</v>
      </c>
      <c r="F1985" s="8" t="s">
        <v>225</v>
      </c>
      <c r="G1985" s="8" t="s">
        <v>226</v>
      </c>
      <c r="H1985" s="8" t="s">
        <v>795</v>
      </c>
      <c r="I1985" s="3">
        <v>2</v>
      </c>
      <c r="J1985" s="8" t="s">
        <v>742</v>
      </c>
      <c r="K1985" s="8" t="s">
        <v>743</v>
      </c>
      <c r="L1985" s="8" t="s">
        <v>723</v>
      </c>
      <c r="M1985" s="1" t="s">
        <v>790</v>
      </c>
      <c r="N1985" s="8" t="s">
        <v>791</v>
      </c>
      <c r="O1985" s="6">
        <v>0</v>
      </c>
      <c r="P1985" s="6">
        <v>22</v>
      </c>
      <c r="Q1985" s="6">
        <v>0</v>
      </c>
      <c r="R1985" s="6">
        <v>0</v>
      </c>
      <c r="S1985" s="6">
        <v>50</v>
      </c>
    </row>
    <row r="1986" spans="1:19" ht="15" x14ac:dyDescent="0.25">
      <c r="A1986" s="7" t="s">
        <v>16</v>
      </c>
      <c r="B1986" s="7" t="s">
        <v>65</v>
      </c>
      <c r="C1986" s="7" t="s">
        <v>66</v>
      </c>
      <c r="D1986" s="3">
        <v>61590410000558</v>
      </c>
      <c r="E1986" s="8" t="s">
        <v>382</v>
      </c>
      <c r="F1986" s="8" t="s">
        <v>225</v>
      </c>
      <c r="G1986" s="8" t="s">
        <v>226</v>
      </c>
      <c r="H1986" s="8" t="s">
        <v>795</v>
      </c>
      <c r="I1986" s="3">
        <v>2</v>
      </c>
      <c r="J1986" s="8" t="s">
        <v>780</v>
      </c>
      <c r="K1986" s="8" t="s">
        <v>781</v>
      </c>
      <c r="L1986" s="8" t="s">
        <v>739</v>
      </c>
      <c r="M1986" s="1" t="s">
        <v>790</v>
      </c>
      <c r="N1986" s="8" t="s">
        <v>791</v>
      </c>
      <c r="O1986" s="6">
        <v>0</v>
      </c>
      <c r="P1986" s="6">
        <v>0</v>
      </c>
      <c r="Q1986" s="6">
        <v>0</v>
      </c>
      <c r="R1986" s="6">
        <v>16</v>
      </c>
      <c r="S1986" s="6">
        <v>0</v>
      </c>
    </row>
    <row r="1987" spans="1:19" ht="15" x14ac:dyDescent="0.25">
      <c r="A1987" s="7" t="s">
        <v>16</v>
      </c>
      <c r="B1987" s="7" t="s">
        <v>65</v>
      </c>
      <c r="C1987" s="7" t="s">
        <v>66</v>
      </c>
      <c r="D1987" s="3">
        <v>61590410000558</v>
      </c>
      <c r="E1987" s="8" t="s">
        <v>382</v>
      </c>
      <c r="F1987" s="8" t="s">
        <v>225</v>
      </c>
      <c r="G1987" s="8" t="s">
        <v>226</v>
      </c>
      <c r="H1987" s="8" t="s">
        <v>795</v>
      </c>
      <c r="I1987" s="3">
        <v>2</v>
      </c>
      <c r="J1987" s="8" t="s">
        <v>742</v>
      </c>
      <c r="K1987" s="8" t="s">
        <v>743</v>
      </c>
      <c r="L1987" s="8" t="s">
        <v>723</v>
      </c>
      <c r="M1987" s="1" t="s">
        <v>790</v>
      </c>
      <c r="N1987" s="8" t="s">
        <v>791</v>
      </c>
      <c r="O1987" s="6">
        <v>0</v>
      </c>
      <c r="P1987" s="6">
        <v>0</v>
      </c>
      <c r="Q1987" s="6">
        <v>0</v>
      </c>
      <c r="R1987" s="6">
        <v>0</v>
      </c>
      <c r="S1987" s="6">
        <v>0</v>
      </c>
    </row>
    <row r="1988" spans="1:19" ht="15" x14ac:dyDescent="0.25">
      <c r="A1988" s="7" t="s">
        <v>16</v>
      </c>
      <c r="B1988" s="7" t="s">
        <v>65</v>
      </c>
      <c r="C1988" s="7" t="s">
        <v>66</v>
      </c>
      <c r="D1988" s="3">
        <v>10942995000163</v>
      </c>
      <c r="E1988" s="8" t="s">
        <v>433</v>
      </c>
      <c r="F1988" s="8" t="s">
        <v>225</v>
      </c>
      <c r="G1988" s="8" t="s">
        <v>226</v>
      </c>
      <c r="H1988" s="8" t="s">
        <v>795</v>
      </c>
      <c r="I1988" s="3">
        <v>2</v>
      </c>
      <c r="J1988" s="8" t="s">
        <v>780</v>
      </c>
      <c r="K1988" s="8" t="s">
        <v>781</v>
      </c>
      <c r="L1988" s="8" t="s">
        <v>739</v>
      </c>
      <c r="M1988" s="1" t="s">
        <v>790</v>
      </c>
      <c r="N1988" s="8" t="s">
        <v>791</v>
      </c>
      <c r="O1988" s="6">
        <v>0</v>
      </c>
      <c r="P1988" s="6">
        <v>0</v>
      </c>
      <c r="Q1988" s="6">
        <v>0</v>
      </c>
      <c r="R1988" s="6">
        <v>0</v>
      </c>
      <c r="S1988" s="6">
        <v>350</v>
      </c>
    </row>
    <row r="1989" spans="1:19" ht="15" x14ac:dyDescent="0.25">
      <c r="A1989" s="7" t="s">
        <v>16</v>
      </c>
      <c r="B1989" s="7" t="s">
        <v>65</v>
      </c>
      <c r="C1989" s="7" t="s">
        <v>66</v>
      </c>
      <c r="D1989" s="3">
        <v>10942995000163</v>
      </c>
      <c r="E1989" s="8" t="s">
        <v>433</v>
      </c>
      <c r="F1989" s="8" t="s">
        <v>225</v>
      </c>
      <c r="G1989" s="8" t="s">
        <v>226</v>
      </c>
      <c r="H1989" s="8" t="s">
        <v>795</v>
      </c>
      <c r="I1989" s="3">
        <v>2</v>
      </c>
      <c r="J1989" s="8" t="s">
        <v>742</v>
      </c>
      <c r="K1989" s="8" t="s">
        <v>743</v>
      </c>
      <c r="L1989" s="8" t="s">
        <v>723</v>
      </c>
      <c r="M1989" s="1" t="s">
        <v>790</v>
      </c>
      <c r="N1989" s="8" t="s">
        <v>791</v>
      </c>
      <c r="O1989" s="6">
        <v>0</v>
      </c>
      <c r="P1989" s="6">
        <v>0</v>
      </c>
      <c r="Q1989" s="6">
        <v>0</v>
      </c>
      <c r="R1989" s="6">
        <v>0</v>
      </c>
      <c r="S1989" s="6">
        <v>350</v>
      </c>
    </row>
    <row r="1990" spans="1:19" ht="15" x14ac:dyDescent="0.25">
      <c r="A1990" s="7" t="s">
        <v>16</v>
      </c>
      <c r="B1990" s="7" t="s">
        <v>65</v>
      </c>
      <c r="C1990" s="7" t="s">
        <v>66</v>
      </c>
      <c r="D1990" s="3">
        <v>11859927000106</v>
      </c>
      <c r="E1990" s="8" t="s">
        <v>312</v>
      </c>
      <c r="F1990" s="8" t="s">
        <v>225</v>
      </c>
      <c r="G1990" s="8" t="s">
        <v>226</v>
      </c>
      <c r="H1990" s="8" t="s">
        <v>795</v>
      </c>
      <c r="I1990" s="3">
        <v>2</v>
      </c>
      <c r="J1990" s="8" t="s">
        <v>780</v>
      </c>
      <c r="K1990" s="8" t="s">
        <v>781</v>
      </c>
      <c r="L1990" s="8" t="s">
        <v>739</v>
      </c>
      <c r="M1990" s="1" t="s">
        <v>790</v>
      </c>
      <c r="N1990" s="8" t="s">
        <v>791</v>
      </c>
      <c r="O1990" s="6">
        <v>0</v>
      </c>
      <c r="P1990" s="6">
        <v>0</v>
      </c>
      <c r="Q1990" s="6">
        <v>0</v>
      </c>
      <c r="R1990" s="6">
        <v>26</v>
      </c>
      <c r="S1990" s="6">
        <v>0</v>
      </c>
    </row>
    <row r="1991" spans="1:19" ht="15" x14ac:dyDescent="0.25">
      <c r="A1991" s="7" t="s">
        <v>16</v>
      </c>
      <c r="B1991" s="7" t="s">
        <v>65</v>
      </c>
      <c r="C1991" s="7" t="s">
        <v>66</v>
      </c>
      <c r="D1991" s="3">
        <v>11859927000106</v>
      </c>
      <c r="E1991" s="8" t="s">
        <v>312</v>
      </c>
      <c r="F1991" s="8" t="s">
        <v>225</v>
      </c>
      <c r="G1991" s="8" t="s">
        <v>226</v>
      </c>
      <c r="H1991" s="8" t="s">
        <v>795</v>
      </c>
      <c r="I1991" s="3">
        <v>2</v>
      </c>
      <c r="J1991" s="8" t="s">
        <v>742</v>
      </c>
      <c r="K1991" s="8" t="s">
        <v>743</v>
      </c>
      <c r="L1991" s="8" t="s">
        <v>723</v>
      </c>
      <c r="M1991" s="1" t="s">
        <v>790</v>
      </c>
      <c r="N1991" s="8" t="s">
        <v>791</v>
      </c>
      <c r="O1991" s="6">
        <v>0</v>
      </c>
      <c r="P1991" s="6">
        <v>0</v>
      </c>
      <c r="Q1991" s="6">
        <v>0</v>
      </c>
      <c r="R1991" s="6">
        <v>0</v>
      </c>
      <c r="S1991" s="6">
        <v>0</v>
      </c>
    </row>
    <row r="1992" spans="1:19" ht="15" x14ac:dyDescent="0.25">
      <c r="A1992" s="7" t="s">
        <v>16</v>
      </c>
      <c r="B1992" s="7" t="s">
        <v>65</v>
      </c>
      <c r="C1992" s="7" t="s">
        <v>66</v>
      </c>
      <c r="D1992" s="3">
        <v>16739984000167</v>
      </c>
      <c r="E1992" s="8" t="s">
        <v>342</v>
      </c>
      <c r="F1992" s="8" t="s">
        <v>225</v>
      </c>
      <c r="G1992" s="8" t="s">
        <v>226</v>
      </c>
      <c r="H1992" s="8" t="s">
        <v>795</v>
      </c>
      <c r="I1992" s="3">
        <v>2</v>
      </c>
      <c r="J1992" s="8" t="s">
        <v>780</v>
      </c>
      <c r="K1992" s="8" t="s">
        <v>781</v>
      </c>
      <c r="L1992" s="8" t="s">
        <v>739</v>
      </c>
      <c r="M1992" s="1" t="s">
        <v>790</v>
      </c>
      <c r="N1992" s="8" t="s">
        <v>791</v>
      </c>
      <c r="O1992" s="6">
        <v>0</v>
      </c>
      <c r="P1992" s="6">
        <v>0</v>
      </c>
      <c r="Q1992" s="6">
        <v>0</v>
      </c>
      <c r="R1992" s="6">
        <v>24</v>
      </c>
      <c r="S1992" s="6">
        <v>0</v>
      </c>
    </row>
    <row r="1993" spans="1:19" ht="15" x14ac:dyDescent="0.25">
      <c r="A1993" s="7" t="s">
        <v>16</v>
      </c>
      <c r="B1993" s="7" t="s">
        <v>65</v>
      </c>
      <c r="C1993" s="7" t="s">
        <v>66</v>
      </c>
      <c r="D1993" s="3">
        <v>16739984000167</v>
      </c>
      <c r="E1993" s="8" t="s">
        <v>342</v>
      </c>
      <c r="F1993" s="8" t="s">
        <v>225</v>
      </c>
      <c r="G1993" s="8" t="s">
        <v>226</v>
      </c>
      <c r="H1993" s="8" t="s">
        <v>795</v>
      </c>
      <c r="I1993" s="3">
        <v>2</v>
      </c>
      <c r="J1993" s="8" t="s">
        <v>742</v>
      </c>
      <c r="K1993" s="8" t="s">
        <v>743</v>
      </c>
      <c r="L1993" s="8" t="s">
        <v>723</v>
      </c>
      <c r="M1993" s="1" t="s">
        <v>790</v>
      </c>
      <c r="N1993" s="8" t="s">
        <v>791</v>
      </c>
      <c r="O1993" s="6">
        <v>0</v>
      </c>
      <c r="P1993" s="6">
        <v>0</v>
      </c>
      <c r="Q1993" s="6">
        <v>0</v>
      </c>
      <c r="R1993" s="6">
        <v>0</v>
      </c>
      <c r="S1993" s="6">
        <v>0</v>
      </c>
    </row>
    <row r="1994" spans="1:19" ht="15" x14ac:dyDescent="0.25">
      <c r="A1994" s="7" t="s">
        <v>16</v>
      </c>
      <c r="B1994" s="7" t="s">
        <v>65</v>
      </c>
      <c r="C1994" s="7" t="s">
        <v>66</v>
      </c>
      <c r="D1994" s="3">
        <v>25841000153</v>
      </c>
      <c r="E1994" s="8" t="s">
        <v>467</v>
      </c>
      <c r="F1994" s="8" t="s">
        <v>225</v>
      </c>
      <c r="G1994" s="8" t="s">
        <v>226</v>
      </c>
      <c r="H1994" s="8" t="s">
        <v>795</v>
      </c>
      <c r="I1994" s="3">
        <v>2</v>
      </c>
      <c r="J1994" s="8" t="s">
        <v>780</v>
      </c>
      <c r="K1994" s="8" t="s">
        <v>781</v>
      </c>
      <c r="L1994" s="8" t="s">
        <v>739</v>
      </c>
      <c r="M1994" s="1" t="s">
        <v>790</v>
      </c>
      <c r="N1994" s="8" t="s">
        <v>791</v>
      </c>
      <c r="O1994" s="6">
        <v>0</v>
      </c>
      <c r="P1994" s="6">
        <v>0</v>
      </c>
      <c r="Q1994" s="6">
        <v>0</v>
      </c>
      <c r="R1994" s="6">
        <v>0</v>
      </c>
      <c r="S1994" s="6">
        <v>0</v>
      </c>
    </row>
    <row r="1995" spans="1:19" ht="15" x14ac:dyDescent="0.25">
      <c r="A1995" s="7" t="s">
        <v>16</v>
      </c>
      <c r="B1995" s="7" t="s">
        <v>65</v>
      </c>
      <c r="C1995" s="7" t="s">
        <v>66</v>
      </c>
      <c r="D1995" s="3">
        <v>25841000153</v>
      </c>
      <c r="E1995" s="8" t="s">
        <v>467</v>
      </c>
      <c r="F1995" s="8" t="s">
        <v>225</v>
      </c>
      <c r="G1995" s="8" t="s">
        <v>226</v>
      </c>
      <c r="H1995" s="8" t="s">
        <v>795</v>
      </c>
      <c r="I1995" s="3">
        <v>2</v>
      </c>
      <c r="J1995" s="8" t="s">
        <v>742</v>
      </c>
      <c r="K1995" s="8" t="s">
        <v>743</v>
      </c>
      <c r="L1995" s="8" t="s">
        <v>723</v>
      </c>
      <c r="M1995" s="1" t="s">
        <v>790</v>
      </c>
      <c r="N1995" s="8" t="s">
        <v>791</v>
      </c>
      <c r="O1995" s="6">
        <v>0</v>
      </c>
      <c r="P1995" s="6">
        <v>5</v>
      </c>
      <c r="Q1995" s="6">
        <v>6</v>
      </c>
      <c r="R1995" s="6">
        <v>0</v>
      </c>
      <c r="S1995" s="6">
        <v>0</v>
      </c>
    </row>
    <row r="1996" spans="1:19" ht="15" x14ac:dyDescent="0.25">
      <c r="A1996" s="7" t="s">
        <v>16</v>
      </c>
      <c r="B1996" s="7" t="s">
        <v>65</v>
      </c>
      <c r="C1996" s="7" t="s">
        <v>66</v>
      </c>
      <c r="D1996" s="3">
        <v>27578434001525</v>
      </c>
      <c r="E1996" s="8" t="s">
        <v>450</v>
      </c>
      <c r="F1996" s="8" t="s">
        <v>451</v>
      </c>
      <c r="G1996" s="8" t="s">
        <v>418</v>
      </c>
      <c r="H1996" s="8" t="s">
        <v>795</v>
      </c>
      <c r="I1996" s="3">
        <v>1</v>
      </c>
      <c r="J1996" s="8" t="s">
        <v>737</v>
      </c>
      <c r="K1996" s="8" t="s">
        <v>738</v>
      </c>
      <c r="L1996" s="8" t="s">
        <v>739</v>
      </c>
      <c r="M1996" s="1" t="s">
        <v>784</v>
      </c>
      <c r="N1996" s="8" t="s">
        <v>785</v>
      </c>
      <c r="O1996" s="6">
        <v>0</v>
      </c>
      <c r="P1996" s="6">
        <v>0</v>
      </c>
      <c r="Q1996" s="6">
        <v>0</v>
      </c>
      <c r="R1996" s="6">
        <v>0</v>
      </c>
      <c r="S1996" s="6">
        <v>1000</v>
      </c>
    </row>
    <row r="1997" spans="1:19" ht="15" x14ac:dyDescent="0.25">
      <c r="A1997" s="7" t="s">
        <v>16</v>
      </c>
      <c r="B1997" s="7" t="s">
        <v>65</v>
      </c>
      <c r="C1997" s="7" t="s">
        <v>66</v>
      </c>
      <c r="D1997" s="3">
        <v>28137925000106</v>
      </c>
      <c r="E1997" s="8" t="s">
        <v>575</v>
      </c>
      <c r="F1997" s="8" t="s">
        <v>451</v>
      </c>
      <c r="G1997" s="8" t="s">
        <v>418</v>
      </c>
      <c r="H1997" s="8" t="s">
        <v>795</v>
      </c>
      <c r="I1997" s="3">
        <v>1</v>
      </c>
      <c r="J1997" s="8" t="s">
        <v>737</v>
      </c>
      <c r="K1997" s="8" t="s">
        <v>738</v>
      </c>
      <c r="L1997" s="8" t="s">
        <v>739</v>
      </c>
      <c r="M1997" s="1" t="s">
        <v>784</v>
      </c>
      <c r="N1997" s="8" t="s">
        <v>785</v>
      </c>
      <c r="O1997" s="6">
        <v>0</v>
      </c>
      <c r="P1997" s="6">
        <v>0</v>
      </c>
      <c r="Q1997" s="6">
        <v>0</v>
      </c>
      <c r="R1997" s="6">
        <v>0</v>
      </c>
      <c r="S1997" s="6">
        <v>300</v>
      </c>
    </row>
    <row r="1998" spans="1:19" ht="15" x14ac:dyDescent="0.25">
      <c r="A1998" s="7" t="s">
        <v>16</v>
      </c>
      <c r="B1998" s="7" t="s">
        <v>65</v>
      </c>
      <c r="C1998" s="7" t="s">
        <v>66</v>
      </c>
      <c r="D1998" s="3">
        <v>1326206000179</v>
      </c>
      <c r="E1998" s="8" t="s">
        <v>254</v>
      </c>
      <c r="F1998" s="8" t="s">
        <v>255</v>
      </c>
      <c r="G1998" s="8" t="s">
        <v>238</v>
      </c>
      <c r="H1998" s="8" t="s">
        <v>795</v>
      </c>
      <c r="I1998" s="3">
        <v>2</v>
      </c>
      <c r="J1998" s="8" t="s">
        <v>766</v>
      </c>
      <c r="K1998" s="8" t="s">
        <v>767</v>
      </c>
      <c r="L1998" s="8" t="s">
        <v>730</v>
      </c>
      <c r="M1998" s="1" t="s">
        <v>790</v>
      </c>
      <c r="N1998" s="8" t="s">
        <v>791</v>
      </c>
      <c r="O1998" s="6">
        <v>0</v>
      </c>
      <c r="P1998" s="6">
        <v>0</v>
      </c>
      <c r="Q1998" s="6">
        <v>0</v>
      </c>
      <c r="R1998" s="6">
        <v>2</v>
      </c>
      <c r="S1998" s="6">
        <v>0</v>
      </c>
    </row>
    <row r="1999" spans="1:19" ht="15" x14ac:dyDescent="0.25">
      <c r="A1999" s="7" t="s">
        <v>16</v>
      </c>
      <c r="B1999" s="7" t="s">
        <v>65</v>
      </c>
      <c r="C1999" s="7" t="s">
        <v>66</v>
      </c>
      <c r="D1999" s="3">
        <v>1326206000179</v>
      </c>
      <c r="E1999" s="8" t="s">
        <v>254</v>
      </c>
      <c r="F1999" s="8" t="s">
        <v>255</v>
      </c>
      <c r="G1999" s="8" t="s">
        <v>238</v>
      </c>
      <c r="H1999" s="8" t="s">
        <v>795</v>
      </c>
      <c r="I1999" s="3">
        <v>2</v>
      </c>
      <c r="J1999" s="8" t="s">
        <v>742</v>
      </c>
      <c r="K1999" s="8" t="s">
        <v>743</v>
      </c>
      <c r="L1999" s="8" t="s">
        <v>723</v>
      </c>
      <c r="M1999" s="1" t="s">
        <v>790</v>
      </c>
      <c r="N1999" s="8" t="s">
        <v>791</v>
      </c>
      <c r="O1999" s="6">
        <v>0</v>
      </c>
      <c r="P1999" s="6">
        <v>0</v>
      </c>
      <c r="Q1999" s="6">
        <v>0</v>
      </c>
      <c r="R1999" s="6">
        <v>0</v>
      </c>
      <c r="S1999" s="6">
        <v>0</v>
      </c>
    </row>
    <row r="2000" spans="1:19" ht="15" x14ac:dyDescent="0.25">
      <c r="A2000" s="7" t="s">
        <v>16</v>
      </c>
      <c r="B2000" s="7" t="s">
        <v>65</v>
      </c>
      <c r="C2000" s="7" t="s">
        <v>66</v>
      </c>
      <c r="D2000" s="3">
        <v>2476067000394</v>
      </c>
      <c r="E2000" s="8" t="s">
        <v>537</v>
      </c>
      <c r="F2000" s="8" t="s">
        <v>237</v>
      </c>
      <c r="G2000" s="8" t="s">
        <v>238</v>
      </c>
      <c r="H2000" s="8" t="s">
        <v>795</v>
      </c>
      <c r="I2000" s="3">
        <v>2</v>
      </c>
      <c r="J2000" s="8" t="s">
        <v>766</v>
      </c>
      <c r="K2000" s="8" t="s">
        <v>767</v>
      </c>
      <c r="L2000" s="8" t="s">
        <v>730</v>
      </c>
      <c r="M2000" s="1" t="s">
        <v>790</v>
      </c>
      <c r="N2000" s="8" t="s">
        <v>791</v>
      </c>
      <c r="O2000" s="6">
        <v>0</v>
      </c>
      <c r="P2000" s="6">
        <v>0</v>
      </c>
      <c r="Q2000" s="6">
        <v>0</v>
      </c>
      <c r="R2000" s="6">
        <v>0</v>
      </c>
      <c r="S2000" s="6">
        <v>45</v>
      </c>
    </row>
    <row r="2001" spans="1:19" ht="15" x14ac:dyDescent="0.25">
      <c r="A2001" s="7" t="s">
        <v>16</v>
      </c>
      <c r="B2001" s="7" t="s">
        <v>65</v>
      </c>
      <c r="C2001" s="7" t="s">
        <v>66</v>
      </c>
      <c r="D2001" s="3">
        <v>2476067000394</v>
      </c>
      <c r="E2001" s="8" t="s">
        <v>537</v>
      </c>
      <c r="F2001" s="8" t="s">
        <v>237</v>
      </c>
      <c r="G2001" s="8" t="s">
        <v>238</v>
      </c>
      <c r="H2001" s="8" t="s">
        <v>795</v>
      </c>
      <c r="I2001" s="3">
        <v>2</v>
      </c>
      <c r="J2001" s="8" t="s">
        <v>742</v>
      </c>
      <c r="K2001" s="8" t="s">
        <v>743</v>
      </c>
      <c r="L2001" s="8" t="s">
        <v>723</v>
      </c>
      <c r="M2001" s="1" t="s">
        <v>790</v>
      </c>
      <c r="N2001" s="8" t="s">
        <v>791</v>
      </c>
      <c r="O2001" s="6">
        <v>0</v>
      </c>
      <c r="P2001" s="6">
        <v>0</v>
      </c>
      <c r="Q2001" s="6">
        <v>0</v>
      </c>
      <c r="R2001" s="6">
        <v>0</v>
      </c>
      <c r="S2001" s="6">
        <v>45</v>
      </c>
    </row>
    <row r="2002" spans="1:19" ht="15" x14ac:dyDescent="0.25">
      <c r="A2002" s="7" t="s">
        <v>16</v>
      </c>
      <c r="B2002" s="7" t="s">
        <v>65</v>
      </c>
      <c r="C2002" s="7" t="s">
        <v>66</v>
      </c>
      <c r="D2002" s="3">
        <v>1277573000120</v>
      </c>
      <c r="E2002" s="8" t="s">
        <v>474</v>
      </c>
      <c r="F2002" s="8" t="s">
        <v>237</v>
      </c>
      <c r="G2002" s="8" t="s">
        <v>238</v>
      </c>
      <c r="H2002" s="8" t="s">
        <v>795</v>
      </c>
      <c r="I2002" s="3">
        <v>2</v>
      </c>
      <c r="J2002" s="8" t="s">
        <v>766</v>
      </c>
      <c r="K2002" s="8" t="s">
        <v>767</v>
      </c>
      <c r="L2002" s="8" t="s">
        <v>730</v>
      </c>
      <c r="M2002" s="1" t="s">
        <v>790</v>
      </c>
      <c r="N2002" s="8" t="s">
        <v>791</v>
      </c>
      <c r="O2002" s="6">
        <v>0</v>
      </c>
      <c r="P2002" s="6">
        <v>0</v>
      </c>
      <c r="Q2002" s="6">
        <v>0</v>
      </c>
      <c r="R2002" s="6">
        <v>0</v>
      </c>
      <c r="S2002" s="6">
        <v>0</v>
      </c>
    </row>
    <row r="2003" spans="1:19" ht="15" x14ac:dyDescent="0.25">
      <c r="A2003" s="7" t="s">
        <v>16</v>
      </c>
      <c r="B2003" s="7" t="s">
        <v>65</v>
      </c>
      <c r="C2003" s="7" t="s">
        <v>66</v>
      </c>
      <c r="D2003" s="3">
        <v>1277573000120</v>
      </c>
      <c r="E2003" s="8" t="s">
        <v>474</v>
      </c>
      <c r="F2003" s="8" t="s">
        <v>237</v>
      </c>
      <c r="G2003" s="8" t="s">
        <v>238</v>
      </c>
      <c r="H2003" s="8" t="s">
        <v>795</v>
      </c>
      <c r="I2003" s="3">
        <v>2</v>
      </c>
      <c r="J2003" s="8" t="s">
        <v>742</v>
      </c>
      <c r="K2003" s="8" t="s">
        <v>743</v>
      </c>
      <c r="L2003" s="8" t="s">
        <v>723</v>
      </c>
      <c r="M2003" s="1" t="s">
        <v>790</v>
      </c>
      <c r="N2003" s="8" t="s">
        <v>791</v>
      </c>
      <c r="O2003" s="6">
        <v>0</v>
      </c>
      <c r="P2003" s="6">
        <v>6</v>
      </c>
      <c r="Q2003" s="6">
        <v>0</v>
      </c>
      <c r="R2003" s="6">
        <v>0</v>
      </c>
      <c r="S2003" s="6">
        <v>0</v>
      </c>
    </row>
    <row r="2004" spans="1:19" ht="15" x14ac:dyDescent="0.25">
      <c r="A2004" s="7" t="s">
        <v>16</v>
      </c>
      <c r="B2004" s="7" t="s">
        <v>65</v>
      </c>
      <c r="C2004" s="7" t="s">
        <v>66</v>
      </c>
      <c r="D2004" s="3">
        <v>1011865000116</v>
      </c>
      <c r="E2004" s="8" t="s">
        <v>528</v>
      </c>
      <c r="F2004" s="8" t="s">
        <v>237</v>
      </c>
      <c r="G2004" s="8" t="s">
        <v>238</v>
      </c>
      <c r="H2004" s="8" t="s">
        <v>795</v>
      </c>
      <c r="I2004" s="3">
        <v>2</v>
      </c>
      <c r="J2004" s="8" t="s">
        <v>766</v>
      </c>
      <c r="K2004" s="8" t="s">
        <v>767</v>
      </c>
      <c r="L2004" s="8" t="s">
        <v>730</v>
      </c>
      <c r="M2004" s="1" t="s">
        <v>790</v>
      </c>
      <c r="N2004" s="8" t="s">
        <v>791</v>
      </c>
      <c r="O2004" s="6">
        <v>0</v>
      </c>
      <c r="P2004" s="6">
        <v>0</v>
      </c>
      <c r="Q2004" s="6">
        <v>0</v>
      </c>
      <c r="R2004" s="6">
        <v>0</v>
      </c>
      <c r="S2004" s="6">
        <v>150</v>
      </c>
    </row>
    <row r="2005" spans="1:19" ht="15" x14ac:dyDescent="0.25">
      <c r="A2005" s="7" t="s">
        <v>16</v>
      </c>
      <c r="B2005" s="7" t="s">
        <v>65</v>
      </c>
      <c r="C2005" s="7" t="s">
        <v>66</v>
      </c>
      <c r="D2005" s="3">
        <v>1011865000116</v>
      </c>
      <c r="E2005" s="8" t="s">
        <v>528</v>
      </c>
      <c r="F2005" s="8" t="s">
        <v>237</v>
      </c>
      <c r="G2005" s="8" t="s">
        <v>238</v>
      </c>
      <c r="H2005" s="8" t="s">
        <v>795</v>
      </c>
      <c r="I2005" s="3">
        <v>2</v>
      </c>
      <c r="J2005" s="8" t="s">
        <v>742</v>
      </c>
      <c r="K2005" s="8" t="s">
        <v>743</v>
      </c>
      <c r="L2005" s="8" t="s">
        <v>723</v>
      </c>
      <c r="M2005" s="1" t="s">
        <v>790</v>
      </c>
      <c r="N2005" s="8" t="s">
        <v>791</v>
      </c>
      <c r="O2005" s="6">
        <v>0</v>
      </c>
      <c r="P2005" s="6">
        <v>0</v>
      </c>
      <c r="Q2005" s="6">
        <v>0</v>
      </c>
      <c r="R2005" s="6">
        <v>0</v>
      </c>
      <c r="S2005" s="6">
        <v>150</v>
      </c>
    </row>
    <row r="2006" spans="1:19" ht="15" x14ac:dyDescent="0.25">
      <c r="A2006" s="7" t="s">
        <v>16</v>
      </c>
      <c r="B2006" s="7" t="s">
        <v>65</v>
      </c>
      <c r="C2006" s="7" t="s">
        <v>66</v>
      </c>
      <c r="D2006" s="3">
        <v>2476067000203</v>
      </c>
      <c r="E2006" s="8" t="s">
        <v>269</v>
      </c>
      <c r="F2006" s="8" t="s">
        <v>237</v>
      </c>
      <c r="G2006" s="8" t="s">
        <v>238</v>
      </c>
      <c r="H2006" s="8" t="s">
        <v>795</v>
      </c>
      <c r="I2006" s="3">
        <v>2</v>
      </c>
      <c r="J2006" s="8" t="s">
        <v>766</v>
      </c>
      <c r="K2006" s="8" t="s">
        <v>767</v>
      </c>
      <c r="L2006" s="8" t="s">
        <v>730</v>
      </c>
      <c r="M2006" s="1" t="s">
        <v>790</v>
      </c>
      <c r="N2006" s="8" t="s">
        <v>791</v>
      </c>
      <c r="O2006" s="6">
        <v>0</v>
      </c>
      <c r="P2006" s="6">
        <v>0</v>
      </c>
      <c r="Q2006" s="6">
        <v>0</v>
      </c>
      <c r="R2006" s="6">
        <v>48</v>
      </c>
      <c r="S2006" s="6">
        <v>0</v>
      </c>
    </row>
    <row r="2007" spans="1:19" ht="15" x14ac:dyDescent="0.25">
      <c r="A2007" s="7" t="s">
        <v>16</v>
      </c>
      <c r="B2007" s="7" t="s">
        <v>65</v>
      </c>
      <c r="C2007" s="7" t="s">
        <v>66</v>
      </c>
      <c r="D2007" s="3">
        <v>2476067000203</v>
      </c>
      <c r="E2007" s="8" t="s">
        <v>269</v>
      </c>
      <c r="F2007" s="8" t="s">
        <v>237</v>
      </c>
      <c r="G2007" s="8" t="s">
        <v>238</v>
      </c>
      <c r="H2007" s="8" t="s">
        <v>795</v>
      </c>
      <c r="I2007" s="3">
        <v>2</v>
      </c>
      <c r="J2007" s="8" t="s">
        <v>742</v>
      </c>
      <c r="K2007" s="8" t="s">
        <v>743</v>
      </c>
      <c r="L2007" s="8" t="s">
        <v>723</v>
      </c>
      <c r="M2007" s="1" t="s">
        <v>790</v>
      </c>
      <c r="N2007" s="8" t="s">
        <v>791</v>
      </c>
      <c r="O2007" s="6">
        <v>0</v>
      </c>
      <c r="P2007" s="6">
        <v>0</v>
      </c>
      <c r="Q2007" s="6">
        <v>0</v>
      </c>
      <c r="R2007" s="6">
        <v>0</v>
      </c>
      <c r="S2007" s="6">
        <v>0</v>
      </c>
    </row>
    <row r="2008" spans="1:19" ht="15" x14ac:dyDescent="0.25">
      <c r="A2008" s="7" t="s">
        <v>16</v>
      </c>
      <c r="B2008" s="7" t="s">
        <v>65</v>
      </c>
      <c r="C2008" s="7" t="s">
        <v>66</v>
      </c>
      <c r="D2008" s="3">
        <v>1444455000169</v>
      </c>
      <c r="E2008" s="8" t="s">
        <v>1024</v>
      </c>
      <c r="F2008" s="8" t="s">
        <v>235</v>
      </c>
      <c r="G2008" s="8" t="s">
        <v>223</v>
      </c>
      <c r="H2008" s="8" t="s">
        <v>1014</v>
      </c>
      <c r="I2008" s="3">
        <v>0</v>
      </c>
      <c r="J2008" s="8"/>
      <c r="K2008" s="8"/>
      <c r="L2008" s="8"/>
      <c r="M2008" s="1"/>
      <c r="N2008" s="8"/>
      <c r="O2008" s="6">
        <v>0</v>
      </c>
      <c r="P2008" s="6">
        <v>0</v>
      </c>
      <c r="Q2008" s="6">
        <v>0</v>
      </c>
      <c r="R2008" s="6">
        <v>0</v>
      </c>
      <c r="S2008" s="6">
        <v>0</v>
      </c>
    </row>
    <row r="2009" spans="1:19" ht="15" x14ac:dyDescent="0.25">
      <c r="A2009" s="7" t="s">
        <v>16</v>
      </c>
      <c r="B2009" s="7" t="s">
        <v>65</v>
      </c>
      <c r="C2009" s="7" t="s">
        <v>66</v>
      </c>
      <c r="D2009" s="3">
        <v>132229000180</v>
      </c>
      <c r="E2009" s="8" t="s">
        <v>525</v>
      </c>
      <c r="F2009" s="8" t="s">
        <v>235</v>
      </c>
      <c r="G2009" s="8" t="s">
        <v>223</v>
      </c>
      <c r="H2009" s="8" t="s">
        <v>795</v>
      </c>
      <c r="I2009" s="3">
        <v>1</v>
      </c>
      <c r="J2009" s="8" t="s">
        <v>737</v>
      </c>
      <c r="K2009" s="8" t="s">
        <v>738</v>
      </c>
      <c r="L2009" s="8" t="s">
        <v>739</v>
      </c>
      <c r="M2009" s="1" t="s">
        <v>784</v>
      </c>
      <c r="N2009" s="8" t="s">
        <v>785</v>
      </c>
      <c r="O2009" s="6">
        <v>0</v>
      </c>
      <c r="P2009" s="6">
        <v>0</v>
      </c>
      <c r="Q2009" s="6">
        <v>0</v>
      </c>
      <c r="R2009" s="6">
        <v>0</v>
      </c>
      <c r="S2009" s="6">
        <v>105</v>
      </c>
    </row>
    <row r="2010" spans="1:19" ht="15" x14ac:dyDescent="0.25">
      <c r="A2010" s="7" t="s">
        <v>16</v>
      </c>
      <c r="B2010" s="7" t="s">
        <v>65</v>
      </c>
      <c r="C2010" s="7" t="s">
        <v>66</v>
      </c>
      <c r="D2010" s="3">
        <v>17689407000928</v>
      </c>
      <c r="E2010" s="8" t="s">
        <v>348</v>
      </c>
      <c r="F2010" s="8" t="s">
        <v>349</v>
      </c>
      <c r="G2010" s="8" t="s">
        <v>223</v>
      </c>
      <c r="H2010" s="8" t="s">
        <v>795</v>
      </c>
      <c r="I2010" s="3">
        <v>1</v>
      </c>
      <c r="J2010" s="8" t="s">
        <v>737</v>
      </c>
      <c r="K2010" s="8" t="s">
        <v>738</v>
      </c>
      <c r="L2010" s="8" t="s">
        <v>739</v>
      </c>
      <c r="M2010" s="1" t="s">
        <v>784</v>
      </c>
      <c r="N2010" s="8" t="s">
        <v>785</v>
      </c>
      <c r="O2010" s="6">
        <v>0</v>
      </c>
      <c r="P2010" s="6">
        <v>0</v>
      </c>
      <c r="Q2010" s="6">
        <v>0</v>
      </c>
      <c r="R2010" s="6">
        <v>5</v>
      </c>
      <c r="S2010" s="6">
        <v>0</v>
      </c>
    </row>
    <row r="2011" spans="1:19" ht="15" x14ac:dyDescent="0.25">
      <c r="A2011" s="7" t="s">
        <v>16</v>
      </c>
      <c r="B2011" s="7" t="s">
        <v>65</v>
      </c>
      <c r="C2011" s="7" t="s">
        <v>66</v>
      </c>
      <c r="D2011" s="3">
        <v>41781949000234</v>
      </c>
      <c r="E2011" s="8" t="s">
        <v>519</v>
      </c>
      <c r="F2011" s="8" t="s">
        <v>520</v>
      </c>
      <c r="G2011" s="8" t="s">
        <v>223</v>
      </c>
      <c r="H2011" s="8" t="s">
        <v>795</v>
      </c>
      <c r="I2011" s="3">
        <v>1</v>
      </c>
      <c r="J2011" s="8" t="s">
        <v>737</v>
      </c>
      <c r="K2011" s="8" t="s">
        <v>738</v>
      </c>
      <c r="L2011" s="8" t="s">
        <v>739</v>
      </c>
      <c r="M2011" s="1" t="s">
        <v>784</v>
      </c>
      <c r="N2011" s="8" t="s">
        <v>785</v>
      </c>
      <c r="O2011" s="6">
        <v>0</v>
      </c>
      <c r="P2011" s="6">
        <v>0</v>
      </c>
      <c r="Q2011" s="6">
        <v>0</v>
      </c>
      <c r="R2011" s="6">
        <v>0</v>
      </c>
      <c r="S2011" s="6">
        <v>40</v>
      </c>
    </row>
    <row r="2012" spans="1:19" ht="15" x14ac:dyDescent="0.25">
      <c r="A2012" s="7" t="s">
        <v>16</v>
      </c>
      <c r="B2012" s="7" t="s">
        <v>65</v>
      </c>
      <c r="C2012" s="7" t="s">
        <v>66</v>
      </c>
      <c r="D2012" s="3">
        <v>17087591000189</v>
      </c>
      <c r="E2012" s="8" t="s">
        <v>345</v>
      </c>
      <c r="F2012" s="8" t="s">
        <v>346</v>
      </c>
      <c r="G2012" s="8" t="s">
        <v>223</v>
      </c>
      <c r="H2012" s="8" t="s">
        <v>795</v>
      </c>
      <c r="I2012" s="3">
        <v>1</v>
      </c>
      <c r="J2012" s="8" t="s">
        <v>737</v>
      </c>
      <c r="K2012" s="8" t="s">
        <v>738</v>
      </c>
      <c r="L2012" s="8" t="s">
        <v>739</v>
      </c>
      <c r="M2012" s="1" t="s">
        <v>784</v>
      </c>
      <c r="N2012" s="8" t="s">
        <v>785</v>
      </c>
      <c r="O2012" s="6">
        <v>0</v>
      </c>
      <c r="P2012" s="6">
        <v>0</v>
      </c>
      <c r="Q2012" s="6">
        <v>3</v>
      </c>
      <c r="R2012" s="6">
        <v>0</v>
      </c>
      <c r="S2012" s="6">
        <v>0</v>
      </c>
    </row>
    <row r="2013" spans="1:19" ht="15" x14ac:dyDescent="0.25">
      <c r="A2013" s="7" t="s">
        <v>16</v>
      </c>
      <c r="B2013" s="7" t="s">
        <v>65</v>
      </c>
      <c r="C2013" s="7" t="s">
        <v>66</v>
      </c>
      <c r="D2013" s="3">
        <v>14408631000159</v>
      </c>
      <c r="E2013" s="8" t="s">
        <v>324</v>
      </c>
      <c r="F2013" s="8" t="s">
        <v>325</v>
      </c>
      <c r="G2013" s="8" t="s">
        <v>223</v>
      </c>
      <c r="H2013" s="8" t="s">
        <v>795</v>
      </c>
      <c r="I2013" s="3">
        <v>1</v>
      </c>
      <c r="J2013" s="8" t="s">
        <v>737</v>
      </c>
      <c r="K2013" s="8" t="s">
        <v>738</v>
      </c>
      <c r="L2013" s="8" t="s">
        <v>739</v>
      </c>
      <c r="M2013" s="1" t="s">
        <v>784</v>
      </c>
      <c r="N2013" s="8" t="s">
        <v>785</v>
      </c>
      <c r="O2013" s="6">
        <v>0</v>
      </c>
      <c r="P2013" s="6">
        <v>0</v>
      </c>
      <c r="Q2013" s="6">
        <v>0</v>
      </c>
      <c r="R2013" s="6">
        <v>4</v>
      </c>
      <c r="S2013" s="6">
        <v>0</v>
      </c>
    </row>
    <row r="2014" spans="1:19" ht="15" x14ac:dyDescent="0.25">
      <c r="A2014" s="7" t="s">
        <v>16</v>
      </c>
      <c r="B2014" s="7" t="s">
        <v>65</v>
      </c>
      <c r="C2014" s="7" t="s">
        <v>66</v>
      </c>
      <c r="D2014" s="3">
        <v>3925419000142</v>
      </c>
      <c r="E2014" s="8" t="s">
        <v>272</v>
      </c>
      <c r="F2014" s="8" t="s">
        <v>261</v>
      </c>
      <c r="G2014" s="8" t="s">
        <v>262</v>
      </c>
      <c r="H2014" s="8" t="s">
        <v>795</v>
      </c>
      <c r="I2014" s="3">
        <v>2</v>
      </c>
      <c r="J2014" s="8" t="s">
        <v>766</v>
      </c>
      <c r="K2014" s="8" t="s">
        <v>767</v>
      </c>
      <c r="L2014" s="8" t="s">
        <v>730</v>
      </c>
      <c r="M2014" s="1" t="s">
        <v>790</v>
      </c>
      <c r="N2014" s="8" t="s">
        <v>791</v>
      </c>
      <c r="O2014" s="6">
        <v>0</v>
      </c>
      <c r="P2014" s="6">
        <v>0</v>
      </c>
      <c r="Q2014" s="6">
        <v>0</v>
      </c>
      <c r="R2014" s="6">
        <v>0</v>
      </c>
      <c r="S2014" s="6">
        <v>0</v>
      </c>
    </row>
    <row r="2015" spans="1:19" ht="15" x14ac:dyDescent="0.25">
      <c r="A2015" s="7" t="s">
        <v>16</v>
      </c>
      <c r="B2015" s="7" t="s">
        <v>65</v>
      </c>
      <c r="C2015" s="7" t="s">
        <v>66</v>
      </c>
      <c r="D2015" s="3">
        <v>3925419000142</v>
      </c>
      <c r="E2015" s="8" t="s">
        <v>272</v>
      </c>
      <c r="F2015" s="8" t="s">
        <v>261</v>
      </c>
      <c r="G2015" s="8" t="s">
        <v>262</v>
      </c>
      <c r="H2015" s="8" t="s">
        <v>795</v>
      </c>
      <c r="I2015" s="3">
        <v>2</v>
      </c>
      <c r="J2015" s="8" t="s">
        <v>742</v>
      </c>
      <c r="K2015" s="8" t="s">
        <v>743</v>
      </c>
      <c r="L2015" s="8" t="s">
        <v>723</v>
      </c>
      <c r="M2015" s="1" t="s">
        <v>790</v>
      </c>
      <c r="N2015" s="8" t="s">
        <v>791</v>
      </c>
      <c r="O2015" s="6">
        <v>0</v>
      </c>
      <c r="P2015" s="6">
        <v>4</v>
      </c>
      <c r="Q2015" s="6">
        <v>0</v>
      </c>
      <c r="R2015" s="6">
        <v>0</v>
      </c>
      <c r="S2015" s="6">
        <v>0</v>
      </c>
    </row>
    <row r="2016" spans="1:19" ht="15" x14ac:dyDescent="0.25">
      <c r="A2016" s="7" t="s">
        <v>16</v>
      </c>
      <c r="B2016" s="7" t="s">
        <v>65</v>
      </c>
      <c r="C2016" s="7" t="s">
        <v>66</v>
      </c>
      <c r="D2016" s="3">
        <v>70524145000177</v>
      </c>
      <c r="E2016" s="8" t="s">
        <v>1013</v>
      </c>
      <c r="F2016" s="8" t="s">
        <v>261</v>
      </c>
      <c r="G2016" s="8" t="s">
        <v>262</v>
      </c>
      <c r="H2016" s="8" t="s">
        <v>1014</v>
      </c>
      <c r="I2016" s="3">
        <v>0</v>
      </c>
      <c r="J2016" s="8"/>
      <c r="K2016" s="8"/>
      <c r="L2016" s="8"/>
      <c r="M2016" s="1"/>
      <c r="N2016" s="8"/>
      <c r="O2016" s="6">
        <v>0</v>
      </c>
      <c r="P2016" s="6">
        <v>0</v>
      </c>
      <c r="Q2016" s="6">
        <v>0</v>
      </c>
      <c r="R2016" s="6">
        <v>0</v>
      </c>
      <c r="S2016" s="6">
        <v>0</v>
      </c>
    </row>
    <row r="2017" spans="1:19" ht="15" x14ac:dyDescent="0.25">
      <c r="A2017" s="7" t="s">
        <v>16</v>
      </c>
      <c r="B2017" s="7" t="s">
        <v>65</v>
      </c>
      <c r="C2017" s="7" t="s">
        <v>66</v>
      </c>
      <c r="D2017" s="3">
        <v>10892164000124</v>
      </c>
      <c r="E2017" s="8" t="s">
        <v>307</v>
      </c>
      <c r="F2017" s="8" t="s">
        <v>264</v>
      </c>
      <c r="G2017" s="8" t="s">
        <v>265</v>
      </c>
      <c r="H2017" s="8" t="s">
        <v>795</v>
      </c>
      <c r="I2017" s="3">
        <v>2</v>
      </c>
      <c r="J2017" s="8" t="s">
        <v>778</v>
      </c>
      <c r="K2017" s="8" t="s">
        <v>779</v>
      </c>
      <c r="L2017" s="8" t="s">
        <v>730</v>
      </c>
      <c r="M2017" s="1" t="s">
        <v>790</v>
      </c>
      <c r="N2017" s="8" t="s">
        <v>791</v>
      </c>
      <c r="O2017" s="6">
        <v>0</v>
      </c>
      <c r="P2017" s="6">
        <v>0</v>
      </c>
      <c r="Q2017" s="6">
        <v>0</v>
      </c>
      <c r="R2017" s="6">
        <v>0</v>
      </c>
      <c r="S2017" s="6">
        <v>0</v>
      </c>
    </row>
    <row r="2018" spans="1:19" ht="15" x14ac:dyDescent="0.25">
      <c r="A2018" s="7" t="s">
        <v>16</v>
      </c>
      <c r="B2018" s="7" t="s">
        <v>65</v>
      </c>
      <c r="C2018" s="7" t="s">
        <v>66</v>
      </c>
      <c r="D2018" s="3">
        <v>10892164000124</v>
      </c>
      <c r="E2018" s="8" t="s">
        <v>307</v>
      </c>
      <c r="F2018" s="8" t="s">
        <v>264</v>
      </c>
      <c r="G2018" s="8" t="s">
        <v>265</v>
      </c>
      <c r="H2018" s="8" t="s">
        <v>795</v>
      </c>
      <c r="I2018" s="3">
        <v>2</v>
      </c>
      <c r="J2018" s="8" t="s">
        <v>748</v>
      </c>
      <c r="K2018" s="8" t="s">
        <v>749</v>
      </c>
      <c r="L2018" s="8" t="s">
        <v>723</v>
      </c>
      <c r="M2018" s="1" t="s">
        <v>790</v>
      </c>
      <c r="N2018" s="8" t="s">
        <v>791</v>
      </c>
      <c r="O2018" s="6">
        <v>0</v>
      </c>
      <c r="P2018" s="6">
        <v>10</v>
      </c>
      <c r="Q2018" s="6">
        <v>0</v>
      </c>
      <c r="R2018" s="6">
        <v>0</v>
      </c>
      <c r="S2018" s="6">
        <v>0</v>
      </c>
    </row>
    <row r="2019" spans="1:19" ht="15" x14ac:dyDescent="0.25">
      <c r="A2019" s="7" t="s">
        <v>16</v>
      </c>
      <c r="B2019" s="7" t="s">
        <v>65</v>
      </c>
      <c r="C2019" s="7" t="s">
        <v>66</v>
      </c>
      <c r="D2019" s="3">
        <v>11214624000470</v>
      </c>
      <c r="E2019" s="8" t="s">
        <v>607</v>
      </c>
      <c r="F2019" s="8" t="s">
        <v>264</v>
      </c>
      <c r="G2019" s="8" t="s">
        <v>265</v>
      </c>
      <c r="H2019" s="8" t="s">
        <v>795</v>
      </c>
      <c r="I2019" s="3">
        <v>2</v>
      </c>
      <c r="J2019" s="8" t="s">
        <v>778</v>
      </c>
      <c r="K2019" s="8" t="s">
        <v>779</v>
      </c>
      <c r="L2019" s="8" t="s">
        <v>730</v>
      </c>
      <c r="M2019" s="1" t="s">
        <v>790</v>
      </c>
      <c r="N2019" s="8" t="s">
        <v>791</v>
      </c>
      <c r="O2019" s="6">
        <v>0</v>
      </c>
      <c r="P2019" s="6">
        <v>0</v>
      </c>
      <c r="Q2019" s="6">
        <v>0</v>
      </c>
      <c r="R2019" s="6">
        <v>96</v>
      </c>
      <c r="S2019" s="6">
        <v>0</v>
      </c>
    </row>
    <row r="2020" spans="1:19" ht="15" x14ac:dyDescent="0.25">
      <c r="A2020" s="7" t="s">
        <v>16</v>
      </c>
      <c r="B2020" s="7" t="s">
        <v>65</v>
      </c>
      <c r="C2020" s="7" t="s">
        <v>66</v>
      </c>
      <c r="D2020" s="3">
        <v>11214624000470</v>
      </c>
      <c r="E2020" s="8" t="s">
        <v>607</v>
      </c>
      <c r="F2020" s="8" t="s">
        <v>264</v>
      </c>
      <c r="G2020" s="8" t="s">
        <v>265</v>
      </c>
      <c r="H2020" s="8" t="s">
        <v>795</v>
      </c>
      <c r="I2020" s="3">
        <v>2</v>
      </c>
      <c r="J2020" s="8" t="s">
        <v>748</v>
      </c>
      <c r="K2020" s="8" t="s">
        <v>749</v>
      </c>
      <c r="L2020" s="8" t="s">
        <v>723</v>
      </c>
      <c r="M2020" s="1" t="s">
        <v>790</v>
      </c>
      <c r="N2020" s="8" t="s">
        <v>791</v>
      </c>
      <c r="O2020" s="6">
        <v>0</v>
      </c>
      <c r="P2020" s="6">
        <v>0</v>
      </c>
      <c r="Q2020" s="6">
        <v>0</v>
      </c>
      <c r="R2020" s="6">
        <v>0</v>
      </c>
      <c r="S2020" s="6">
        <v>0</v>
      </c>
    </row>
    <row r="2021" spans="1:19" ht="15" x14ac:dyDescent="0.25">
      <c r="A2021" s="7" t="s">
        <v>16</v>
      </c>
      <c r="B2021" s="7" t="s">
        <v>65</v>
      </c>
      <c r="C2021" s="7" t="s">
        <v>66</v>
      </c>
      <c r="D2021" s="3">
        <v>11022597001597</v>
      </c>
      <c r="E2021" s="8" t="s">
        <v>434</v>
      </c>
      <c r="F2021" s="8" t="s">
        <v>264</v>
      </c>
      <c r="G2021" s="8" t="s">
        <v>265</v>
      </c>
      <c r="H2021" s="8" t="s">
        <v>795</v>
      </c>
      <c r="I2021" s="3">
        <v>2</v>
      </c>
      <c r="J2021" s="8" t="s">
        <v>778</v>
      </c>
      <c r="K2021" s="8" t="s">
        <v>779</v>
      </c>
      <c r="L2021" s="8" t="s">
        <v>730</v>
      </c>
      <c r="M2021" s="1" t="s">
        <v>790</v>
      </c>
      <c r="N2021" s="8" t="s">
        <v>791</v>
      </c>
      <c r="O2021" s="6">
        <v>0</v>
      </c>
      <c r="P2021" s="6">
        <v>0</v>
      </c>
      <c r="Q2021" s="6">
        <v>0</v>
      </c>
      <c r="R2021" s="6">
        <v>0</v>
      </c>
      <c r="S2021" s="6">
        <v>0</v>
      </c>
    </row>
    <row r="2022" spans="1:19" ht="15" x14ac:dyDescent="0.25">
      <c r="A2022" s="7" t="s">
        <v>16</v>
      </c>
      <c r="B2022" s="7" t="s">
        <v>65</v>
      </c>
      <c r="C2022" s="7" t="s">
        <v>66</v>
      </c>
      <c r="D2022" s="3">
        <v>11022597001597</v>
      </c>
      <c r="E2022" s="8" t="s">
        <v>434</v>
      </c>
      <c r="F2022" s="8" t="s">
        <v>264</v>
      </c>
      <c r="G2022" s="8" t="s">
        <v>265</v>
      </c>
      <c r="H2022" s="8" t="s">
        <v>795</v>
      </c>
      <c r="I2022" s="3">
        <v>2</v>
      </c>
      <c r="J2022" s="8" t="s">
        <v>748</v>
      </c>
      <c r="K2022" s="8" t="s">
        <v>749</v>
      </c>
      <c r="L2022" s="8" t="s">
        <v>723</v>
      </c>
      <c r="M2022" s="1" t="s">
        <v>790</v>
      </c>
      <c r="N2022" s="8" t="s">
        <v>791</v>
      </c>
      <c r="O2022" s="6">
        <v>0</v>
      </c>
      <c r="P2022" s="6">
        <v>25</v>
      </c>
      <c r="Q2022" s="6">
        <v>0</v>
      </c>
      <c r="R2022" s="6">
        <v>0</v>
      </c>
      <c r="S2022" s="6">
        <v>0</v>
      </c>
    </row>
    <row r="2023" spans="1:19" ht="15" x14ac:dyDescent="0.25">
      <c r="A2023" s="7" t="s">
        <v>16</v>
      </c>
      <c r="B2023" s="7" t="s">
        <v>65</v>
      </c>
      <c r="C2023" s="7" t="s">
        <v>66</v>
      </c>
      <c r="D2023" s="3">
        <v>10839561000132</v>
      </c>
      <c r="E2023" s="8" t="s">
        <v>306</v>
      </c>
      <c r="F2023" s="8" t="s">
        <v>264</v>
      </c>
      <c r="G2023" s="8" t="s">
        <v>265</v>
      </c>
      <c r="H2023" s="8" t="s">
        <v>795</v>
      </c>
      <c r="I2023" s="3">
        <v>2</v>
      </c>
      <c r="J2023" s="8" t="s">
        <v>778</v>
      </c>
      <c r="K2023" s="8" t="s">
        <v>779</v>
      </c>
      <c r="L2023" s="8" t="s">
        <v>730</v>
      </c>
      <c r="M2023" s="1" t="s">
        <v>790</v>
      </c>
      <c r="N2023" s="8" t="s">
        <v>791</v>
      </c>
      <c r="O2023" s="6">
        <v>0</v>
      </c>
      <c r="P2023" s="6">
        <v>0</v>
      </c>
      <c r="Q2023" s="6">
        <v>0</v>
      </c>
      <c r="R2023" s="6">
        <v>0</v>
      </c>
      <c r="S2023" s="6">
        <v>175</v>
      </c>
    </row>
    <row r="2024" spans="1:19" ht="15" x14ac:dyDescent="0.25">
      <c r="A2024" s="7" t="s">
        <v>16</v>
      </c>
      <c r="B2024" s="7" t="s">
        <v>65</v>
      </c>
      <c r="C2024" s="7" t="s">
        <v>66</v>
      </c>
      <c r="D2024" s="3">
        <v>10839561000132</v>
      </c>
      <c r="E2024" s="8" t="s">
        <v>306</v>
      </c>
      <c r="F2024" s="8" t="s">
        <v>264</v>
      </c>
      <c r="G2024" s="8" t="s">
        <v>265</v>
      </c>
      <c r="H2024" s="8" t="s">
        <v>795</v>
      </c>
      <c r="I2024" s="3">
        <v>2</v>
      </c>
      <c r="J2024" s="8" t="s">
        <v>748</v>
      </c>
      <c r="K2024" s="8" t="s">
        <v>749</v>
      </c>
      <c r="L2024" s="8" t="s">
        <v>723</v>
      </c>
      <c r="M2024" s="1" t="s">
        <v>790</v>
      </c>
      <c r="N2024" s="8" t="s">
        <v>791</v>
      </c>
      <c r="O2024" s="6">
        <v>0</v>
      </c>
      <c r="P2024" s="6">
        <v>0</v>
      </c>
      <c r="Q2024" s="6">
        <v>8</v>
      </c>
      <c r="R2024" s="6">
        <v>0</v>
      </c>
      <c r="S2024" s="6">
        <v>175</v>
      </c>
    </row>
    <row r="2025" spans="1:19" ht="15" x14ac:dyDescent="0.25">
      <c r="A2025" s="7" t="s">
        <v>16</v>
      </c>
      <c r="B2025" s="7" t="s">
        <v>65</v>
      </c>
      <c r="C2025" s="7" t="s">
        <v>66</v>
      </c>
      <c r="D2025" s="3">
        <v>21998635000108</v>
      </c>
      <c r="E2025" s="8" t="s">
        <v>568</v>
      </c>
      <c r="F2025" s="8" t="s">
        <v>508</v>
      </c>
      <c r="G2025" s="8" t="s">
        <v>233</v>
      </c>
      <c r="H2025" s="8" t="s">
        <v>795</v>
      </c>
      <c r="I2025" s="3">
        <v>2</v>
      </c>
      <c r="J2025" s="8" t="s">
        <v>754</v>
      </c>
      <c r="K2025" s="8" t="s">
        <v>755</v>
      </c>
      <c r="L2025" s="8" t="s">
        <v>730</v>
      </c>
      <c r="M2025" s="1" t="s">
        <v>784</v>
      </c>
      <c r="N2025" s="8" t="s">
        <v>785</v>
      </c>
      <c r="O2025" s="6">
        <v>0</v>
      </c>
      <c r="P2025" s="6">
        <v>0</v>
      </c>
      <c r="Q2025" s="6">
        <v>0</v>
      </c>
      <c r="R2025" s="6">
        <v>0</v>
      </c>
      <c r="S2025" s="6">
        <v>10</v>
      </c>
    </row>
    <row r="2026" spans="1:19" ht="15" x14ac:dyDescent="0.25">
      <c r="A2026" s="7" t="s">
        <v>16</v>
      </c>
      <c r="B2026" s="7" t="s">
        <v>65</v>
      </c>
      <c r="C2026" s="7" t="s">
        <v>66</v>
      </c>
      <c r="D2026" s="3">
        <v>21998635000108</v>
      </c>
      <c r="E2026" s="8" t="s">
        <v>568</v>
      </c>
      <c r="F2026" s="8" t="s">
        <v>508</v>
      </c>
      <c r="G2026" s="8" t="s">
        <v>233</v>
      </c>
      <c r="H2026" s="8" t="s">
        <v>795</v>
      </c>
      <c r="I2026" s="3">
        <v>2</v>
      </c>
      <c r="J2026" s="8" t="s">
        <v>735</v>
      </c>
      <c r="K2026" s="8" t="s">
        <v>736</v>
      </c>
      <c r="L2026" s="8" t="s">
        <v>723</v>
      </c>
      <c r="M2026" s="1" t="s">
        <v>784</v>
      </c>
      <c r="N2026" s="8" t="s">
        <v>785</v>
      </c>
      <c r="O2026" s="6">
        <v>0</v>
      </c>
      <c r="P2026" s="6">
        <v>0</v>
      </c>
      <c r="Q2026" s="6">
        <v>0</v>
      </c>
      <c r="R2026" s="6">
        <v>0</v>
      </c>
      <c r="S2026" s="6">
        <v>10</v>
      </c>
    </row>
    <row r="2027" spans="1:19" ht="15" x14ac:dyDescent="0.25">
      <c r="A2027" s="7" t="s">
        <v>16</v>
      </c>
      <c r="B2027" s="7" t="s">
        <v>65</v>
      </c>
      <c r="C2027" s="7" t="s">
        <v>66</v>
      </c>
      <c r="D2027" s="3">
        <v>7734165000136</v>
      </c>
      <c r="E2027" s="8" t="s">
        <v>425</v>
      </c>
      <c r="F2027" s="8" t="s">
        <v>385</v>
      </c>
      <c r="G2027" s="8" t="s">
        <v>233</v>
      </c>
      <c r="H2027" s="8" t="s">
        <v>795</v>
      </c>
      <c r="I2027" s="3">
        <v>2</v>
      </c>
      <c r="J2027" s="8" t="s">
        <v>754</v>
      </c>
      <c r="K2027" s="8" t="s">
        <v>755</v>
      </c>
      <c r="L2027" s="8" t="s">
        <v>730</v>
      </c>
      <c r="M2027" s="1" t="s">
        <v>784</v>
      </c>
      <c r="N2027" s="8" t="s">
        <v>785</v>
      </c>
      <c r="O2027" s="6">
        <v>0</v>
      </c>
      <c r="P2027" s="6">
        <v>0</v>
      </c>
      <c r="Q2027" s="6">
        <v>0</v>
      </c>
      <c r="R2027" s="6">
        <v>0</v>
      </c>
      <c r="S2027" s="6">
        <v>2000</v>
      </c>
    </row>
    <row r="2028" spans="1:19" ht="15" x14ac:dyDescent="0.25">
      <c r="A2028" s="7" t="s">
        <v>16</v>
      </c>
      <c r="B2028" s="7" t="s">
        <v>65</v>
      </c>
      <c r="C2028" s="7" t="s">
        <v>66</v>
      </c>
      <c r="D2028" s="3">
        <v>7734165000136</v>
      </c>
      <c r="E2028" s="8" t="s">
        <v>425</v>
      </c>
      <c r="F2028" s="8" t="s">
        <v>385</v>
      </c>
      <c r="G2028" s="8" t="s">
        <v>233</v>
      </c>
      <c r="H2028" s="8" t="s">
        <v>795</v>
      </c>
      <c r="I2028" s="3">
        <v>2</v>
      </c>
      <c r="J2028" s="8" t="s">
        <v>735</v>
      </c>
      <c r="K2028" s="8" t="s">
        <v>736</v>
      </c>
      <c r="L2028" s="8" t="s">
        <v>723</v>
      </c>
      <c r="M2028" s="1" t="s">
        <v>784</v>
      </c>
      <c r="N2028" s="8" t="s">
        <v>785</v>
      </c>
      <c r="O2028" s="6">
        <v>0</v>
      </c>
      <c r="P2028" s="6">
        <v>0</v>
      </c>
      <c r="Q2028" s="6">
        <v>0</v>
      </c>
      <c r="R2028" s="6">
        <v>0</v>
      </c>
      <c r="S2028" s="6">
        <v>2000</v>
      </c>
    </row>
    <row r="2029" spans="1:19" ht="15" x14ac:dyDescent="0.25">
      <c r="A2029" s="7" t="s">
        <v>16</v>
      </c>
      <c r="B2029" s="7" t="s">
        <v>65</v>
      </c>
      <c r="C2029" s="7" t="s">
        <v>66</v>
      </c>
      <c r="D2029" s="3">
        <v>7404052000172</v>
      </c>
      <c r="E2029" s="8" t="s">
        <v>516</v>
      </c>
      <c r="F2029" s="8" t="s">
        <v>385</v>
      </c>
      <c r="G2029" s="8" t="s">
        <v>233</v>
      </c>
      <c r="H2029" s="8" t="s">
        <v>795</v>
      </c>
      <c r="I2029" s="3">
        <v>2</v>
      </c>
      <c r="J2029" s="8" t="s">
        <v>754</v>
      </c>
      <c r="K2029" s="8" t="s">
        <v>755</v>
      </c>
      <c r="L2029" s="8" t="s">
        <v>730</v>
      </c>
      <c r="M2029" s="1" t="s">
        <v>784</v>
      </c>
      <c r="N2029" s="8" t="s">
        <v>785</v>
      </c>
      <c r="O2029" s="6">
        <v>0</v>
      </c>
      <c r="P2029" s="6">
        <v>0</v>
      </c>
      <c r="Q2029" s="6">
        <v>0</v>
      </c>
      <c r="R2029" s="6">
        <v>0</v>
      </c>
      <c r="S2029" s="6">
        <v>45</v>
      </c>
    </row>
    <row r="2030" spans="1:19" ht="15" x14ac:dyDescent="0.25">
      <c r="A2030" s="7" t="s">
        <v>16</v>
      </c>
      <c r="B2030" s="7" t="s">
        <v>65</v>
      </c>
      <c r="C2030" s="7" t="s">
        <v>66</v>
      </c>
      <c r="D2030" s="3">
        <v>7404052000172</v>
      </c>
      <c r="E2030" s="8" t="s">
        <v>516</v>
      </c>
      <c r="F2030" s="8" t="s">
        <v>385</v>
      </c>
      <c r="G2030" s="8" t="s">
        <v>233</v>
      </c>
      <c r="H2030" s="8" t="s">
        <v>795</v>
      </c>
      <c r="I2030" s="3">
        <v>2</v>
      </c>
      <c r="J2030" s="8" t="s">
        <v>735</v>
      </c>
      <c r="K2030" s="8" t="s">
        <v>736</v>
      </c>
      <c r="L2030" s="8" t="s">
        <v>723</v>
      </c>
      <c r="M2030" s="1" t="s">
        <v>784</v>
      </c>
      <c r="N2030" s="8" t="s">
        <v>785</v>
      </c>
      <c r="O2030" s="6">
        <v>0</v>
      </c>
      <c r="P2030" s="6">
        <v>0</v>
      </c>
      <c r="Q2030" s="6">
        <v>0</v>
      </c>
      <c r="R2030" s="6">
        <v>0</v>
      </c>
      <c r="S2030" s="6">
        <v>45</v>
      </c>
    </row>
    <row r="2031" spans="1:19" ht="15" x14ac:dyDescent="0.25">
      <c r="A2031" s="7" t="s">
        <v>16</v>
      </c>
      <c r="B2031" s="7" t="s">
        <v>65</v>
      </c>
      <c r="C2031" s="7" t="s">
        <v>66</v>
      </c>
      <c r="D2031" s="3">
        <v>75095679000220</v>
      </c>
      <c r="E2031" s="8" t="s">
        <v>792</v>
      </c>
      <c r="F2031" s="8" t="s">
        <v>385</v>
      </c>
      <c r="G2031" s="8" t="s">
        <v>233</v>
      </c>
      <c r="H2031" s="8" t="s">
        <v>795</v>
      </c>
      <c r="I2031" s="3">
        <v>2</v>
      </c>
      <c r="J2031" s="8" t="s">
        <v>754</v>
      </c>
      <c r="K2031" s="8" t="s">
        <v>755</v>
      </c>
      <c r="L2031" s="8" t="s">
        <v>730</v>
      </c>
      <c r="M2031" s="1" t="s">
        <v>784</v>
      </c>
      <c r="N2031" s="8" t="s">
        <v>785</v>
      </c>
      <c r="O2031" s="6">
        <v>37</v>
      </c>
      <c r="P2031" s="6">
        <v>0</v>
      </c>
      <c r="Q2031" s="6">
        <v>0</v>
      </c>
      <c r="R2031" s="6">
        <v>0</v>
      </c>
      <c r="S2031" s="6">
        <v>0</v>
      </c>
    </row>
    <row r="2032" spans="1:19" ht="15" x14ac:dyDescent="0.25">
      <c r="A2032" s="7" t="s">
        <v>16</v>
      </c>
      <c r="B2032" s="7" t="s">
        <v>65</v>
      </c>
      <c r="C2032" s="7" t="s">
        <v>66</v>
      </c>
      <c r="D2032" s="3">
        <v>75095679000220</v>
      </c>
      <c r="E2032" s="8" t="s">
        <v>792</v>
      </c>
      <c r="F2032" s="8" t="s">
        <v>385</v>
      </c>
      <c r="G2032" s="8" t="s">
        <v>233</v>
      </c>
      <c r="H2032" s="8" t="s">
        <v>795</v>
      </c>
      <c r="I2032" s="3">
        <v>2</v>
      </c>
      <c r="J2032" s="8" t="s">
        <v>735</v>
      </c>
      <c r="K2032" s="8" t="s">
        <v>736</v>
      </c>
      <c r="L2032" s="8" t="s">
        <v>723</v>
      </c>
      <c r="M2032" s="1" t="s">
        <v>784</v>
      </c>
      <c r="N2032" s="8" t="s">
        <v>785</v>
      </c>
      <c r="O2032" s="6">
        <v>0</v>
      </c>
      <c r="P2032" s="6">
        <v>0</v>
      </c>
      <c r="Q2032" s="6">
        <v>0</v>
      </c>
      <c r="R2032" s="6">
        <v>0</v>
      </c>
      <c r="S2032" s="6">
        <v>0</v>
      </c>
    </row>
    <row r="2033" spans="1:19" ht="15" x14ac:dyDescent="0.25">
      <c r="A2033" s="7" t="s">
        <v>16</v>
      </c>
      <c r="B2033" s="7" t="s">
        <v>65</v>
      </c>
      <c r="C2033" s="7" t="s">
        <v>66</v>
      </c>
      <c r="D2033" s="3">
        <v>76659820002367</v>
      </c>
      <c r="E2033" s="8" t="s">
        <v>586</v>
      </c>
      <c r="F2033" s="8" t="s">
        <v>385</v>
      </c>
      <c r="G2033" s="8" t="s">
        <v>233</v>
      </c>
      <c r="H2033" s="8" t="s">
        <v>795</v>
      </c>
      <c r="I2033" s="3">
        <v>2</v>
      </c>
      <c r="J2033" s="8" t="s">
        <v>754</v>
      </c>
      <c r="K2033" s="8" t="s">
        <v>755</v>
      </c>
      <c r="L2033" s="8" t="s">
        <v>730</v>
      </c>
      <c r="M2033" s="1" t="s">
        <v>784</v>
      </c>
      <c r="N2033" s="8" t="s">
        <v>785</v>
      </c>
      <c r="O2033" s="6">
        <v>0</v>
      </c>
      <c r="P2033" s="6">
        <v>0</v>
      </c>
      <c r="Q2033" s="6">
        <v>0</v>
      </c>
      <c r="R2033" s="6">
        <v>0</v>
      </c>
      <c r="S2033" s="6">
        <v>120</v>
      </c>
    </row>
    <row r="2034" spans="1:19" ht="15" x14ac:dyDescent="0.25">
      <c r="A2034" s="7" t="s">
        <v>16</v>
      </c>
      <c r="B2034" s="7" t="s">
        <v>65</v>
      </c>
      <c r="C2034" s="7" t="s">
        <v>66</v>
      </c>
      <c r="D2034" s="3">
        <v>76659820002367</v>
      </c>
      <c r="E2034" s="8" t="s">
        <v>586</v>
      </c>
      <c r="F2034" s="8" t="s">
        <v>385</v>
      </c>
      <c r="G2034" s="8" t="s">
        <v>233</v>
      </c>
      <c r="H2034" s="8" t="s">
        <v>795</v>
      </c>
      <c r="I2034" s="3">
        <v>2</v>
      </c>
      <c r="J2034" s="8" t="s">
        <v>735</v>
      </c>
      <c r="K2034" s="8" t="s">
        <v>736</v>
      </c>
      <c r="L2034" s="8" t="s">
        <v>723</v>
      </c>
      <c r="M2034" s="1" t="s">
        <v>784</v>
      </c>
      <c r="N2034" s="8" t="s">
        <v>785</v>
      </c>
      <c r="O2034" s="6">
        <v>0</v>
      </c>
      <c r="P2034" s="6">
        <v>0</v>
      </c>
      <c r="Q2034" s="6">
        <v>0</v>
      </c>
      <c r="R2034" s="6">
        <v>0</v>
      </c>
      <c r="S2034" s="6">
        <v>120</v>
      </c>
    </row>
    <row r="2035" spans="1:19" ht="15" x14ac:dyDescent="0.25">
      <c r="A2035" s="7" t="s">
        <v>16</v>
      </c>
      <c r="B2035" s="7" t="s">
        <v>65</v>
      </c>
      <c r="C2035" s="7" t="s">
        <v>66</v>
      </c>
      <c r="D2035" s="3">
        <v>76498013000102</v>
      </c>
      <c r="E2035" s="8" t="s">
        <v>627</v>
      </c>
      <c r="F2035" s="8" t="s">
        <v>385</v>
      </c>
      <c r="G2035" s="8" t="s">
        <v>233</v>
      </c>
      <c r="H2035" s="8" t="s">
        <v>795</v>
      </c>
      <c r="I2035" s="3">
        <v>2</v>
      </c>
      <c r="J2035" s="8" t="s">
        <v>754</v>
      </c>
      <c r="K2035" s="8" t="s">
        <v>755</v>
      </c>
      <c r="L2035" s="8" t="s">
        <v>730</v>
      </c>
      <c r="M2035" s="1" t="s">
        <v>784</v>
      </c>
      <c r="N2035" s="8" t="s">
        <v>785</v>
      </c>
      <c r="O2035" s="6">
        <v>0</v>
      </c>
      <c r="P2035" s="6">
        <v>0</v>
      </c>
      <c r="Q2035" s="6">
        <v>0</v>
      </c>
      <c r="R2035" s="6">
        <v>0</v>
      </c>
      <c r="S2035" s="6">
        <v>175</v>
      </c>
    </row>
    <row r="2036" spans="1:19" ht="15" x14ac:dyDescent="0.25">
      <c r="A2036" s="7" t="s">
        <v>16</v>
      </c>
      <c r="B2036" s="7" t="s">
        <v>65</v>
      </c>
      <c r="C2036" s="7" t="s">
        <v>66</v>
      </c>
      <c r="D2036" s="3">
        <v>76498013000102</v>
      </c>
      <c r="E2036" s="8" t="s">
        <v>627</v>
      </c>
      <c r="F2036" s="8" t="s">
        <v>385</v>
      </c>
      <c r="G2036" s="8" t="s">
        <v>233</v>
      </c>
      <c r="H2036" s="8" t="s">
        <v>795</v>
      </c>
      <c r="I2036" s="3">
        <v>2</v>
      </c>
      <c r="J2036" s="8" t="s">
        <v>735</v>
      </c>
      <c r="K2036" s="8" t="s">
        <v>736</v>
      </c>
      <c r="L2036" s="8" t="s">
        <v>723</v>
      </c>
      <c r="M2036" s="1" t="s">
        <v>784</v>
      </c>
      <c r="N2036" s="8" t="s">
        <v>785</v>
      </c>
      <c r="O2036" s="6">
        <v>0</v>
      </c>
      <c r="P2036" s="6">
        <v>0</v>
      </c>
      <c r="Q2036" s="6">
        <v>0</v>
      </c>
      <c r="R2036" s="6">
        <v>0</v>
      </c>
      <c r="S2036" s="6">
        <v>175</v>
      </c>
    </row>
    <row r="2037" spans="1:19" ht="15" x14ac:dyDescent="0.25">
      <c r="A2037" s="7" t="s">
        <v>16</v>
      </c>
      <c r="B2037" s="7" t="s">
        <v>65</v>
      </c>
      <c r="C2037" s="7" t="s">
        <v>66</v>
      </c>
      <c r="D2037" s="3">
        <v>76555069000143</v>
      </c>
      <c r="E2037" s="8" t="s">
        <v>384</v>
      </c>
      <c r="F2037" s="8" t="s">
        <v>385</v>
      </c>
      <c r="G2037" s="8" t="s">
        <v>233</v>
      </c>
      <c r="H2037" s="8" t="s">
        <v>795</v>
      </c>
      <c r="I2037" s="3">
        <v>2</v>
      </c>
      <c r="J2037" s="8" t="s">
        <v>754</v>
      </c>
      <c r="K2037" s="8" t="s">
        <v>755</v>
      </c>
      <c r="L2037" s="8" t="s">
        <v>730</v>
      </c>
      <c r="M2037" s="1" t="s">
        <v>784</v>
      </c>
      <c r="N2037" s="8" t="s">
        <v>785</v>
      </c>
      <c r="O2037" s="6">
        <v>0</v>
      </c>
      <c r="P2037" s="6">
        <v>0</v>
      </c>
      <c r="Q2037" s="6">
        <v>0</v>
      </c>
      <c r="R2037" s="6">
        <v>0</v>
      </c>
      <c r="S2037" s="6">
        <v>0</v>
      </c>
    </row>
    <row r="2038" spans="1:19" ht="15" x14ac:dyDescent="0.25">
      <c r="A2038" s="7" t="s">
        <v>16</v>
      </c>
      <c r="B2038" s="7" t="s">
        <v>65</v>
      </c>
      <c r="C2038" s="7" t="s">
        <v>66</v>
      </c>
      <c r="D2038" s="3">
        <v>76555069000143</v>
      </c>
      <c r="E2038" s="8" t="s">
        <v>384</v>
      </c>
      <c r="F2038" s="8" t="s">
        <v>385</v>
      </c>
      <c r="G2038" s="8" t="s">
        <v>233</v>
      </c>
      <c r="H2038" s="8" t="s">
        <v>795</v>
      </c>
      <c r="I2038" s="3">
        <v>2</v>
      </c>
      <c r="J2038" s="8" t="s">
        <v>735</v>
      </c>
      <c r="K2038" s="8" t="s">
        <v>736</v>
      </c>
      <c r="L2038" s="8" t="s">
        <v>723</v>
      </c>
      <c r="M2038" s="1" t="s">
        <v>784</v>
      </c>
      <c r="N2038" s="8" t="s">
        <v>785</v>
      </c>
      <c r="O2038" s="6">
        <v>0</v>
      </c>
      <c r="P2038" s="6">
        <v>2</v>
      </c>
      <c r="Q2038" s="6">
        <v>3</v>
      </c>
      <c r="R2038" s="6">
        <v>0</v>
      </c>
      <c r="S2038" s="6">
        <v>0</v>
      </c>
    </row>
    <row r="2039" spans="1:19" ht="15" x14ac:dyDescent="0.25">
      <c r="A2039" s="7" t="s">
        <v>16</v>
      </c>
      <c r="B2039" s="7" t="s">
        <v>65</v>
      </c>
      <c r="C2039" s="7" t="s">
        <v>66</v>
      </c>
      <c r="D2039" s="3">
        <v>29435005005600</v>
      </c>
      <c r="E2039" s="8" t="s">
        <v>518</v>
      </c>
      <c r="F2039" s="8" t="s">
        <v>385</v>
      </c>
      <c r="G2039" s="8" t="s">
        <v>233</v>
      </c>
      <c r="H2039" s="8" t="s">
        <v>795</v>
      </c>
      <c r="I2039" s="3">
        <v>2</v>
      </c>
      <c r="J2039" s="8" t="s">
        <v>754</v>
      </c>
      <c r="K2039" s="8" t="s">
        <v>755</v>
      </c>
      <c r="L2039" s="8" t="s">
        <v>730</v>
      </c>
      <c r="M2039" s="1" t="s">
        <v>784</v>
      </c>
      <c r="N2039" s="8" t="s">
        <v>785</v>
      </c>
      <c r="O2039" s="6">
        <v>0</v>
      </c>
      <c r="P2039" s="6">
        <v>0</v>
      </c>
      <c r="Q2039" s="6">
        <v>0</v>
      </c>
      <c r="R2039" s="6">
        <v>0</v>
      </c>
      <c r="S2039" s="6">
        <v>150</v>
      </c>
    </row>
    <row r="2040" spans="1:19" ht="15" x14ac:dyDescent="0.25">
      <c r="A2040" s="7" t="s">
        <v>16</v>
      </c>
      <c r="B2040" s="7" t="s">
        <v>65</v>
      </c>
      <c r="C2040" s="7" t="s">
        <v>66</v>
      </c>
      <c r="D2040" s="3">
        <v>29435005005600</v>
      </c>
      <c r="E2040" s="8" t="s">
        <v>518</v>
      </c>
      <c r="F2040" s="8" t="s">
        <v>385</v>
      </c>
      <c r="G2040" s="8" t="s">
        <v>233</v>
      </c>
      <c r="H2040" s="8" t="s">
        <v>795</v>
      </c>
      <c r="I2040" s="3">
        <v>2</v>
      </c>
      <c r="J2040" s="8" t="s">
        <v>735</v>
      </c>
      <c r="K2040" s="8" t="s">
        <v>736</v>
      </c>
      <c r="L2040" s="8" t="s">
        <v>723</v>
      </c>
      <c r="M2040" s="1" t="s">
        <v>784</v>
      </c>
      <c r="N2040" s="8" t="s">
        <v>785</v>
      </c>
      <c r="O2040" s="6">
        <v>0</v>
      </c>
      <c r="P2040" s="6">
        <v>0</v>
      </c>
      <c r="Q2040" s="6">
        <v>0</v>
      </c>
      <c r="R2040" s="6">
        <v>0</v>
      </c>
      <c r="S2040" s="6">
        <v>150</v>
      </c>
    </row>
    <row r="2041" spans="1:19" ht="15" x14ac:dyDescent="0.25">
      <c r="A2041" s="7" t="s">
        <v>16</v>
      </c>
      <c r="B2041" s="7" t="s">
        <v>65</v>
      </c>
      <c r="C2041" s="7" t="s">
        <v>66</v>
      </c>
      <c r="D2041" s="3">
        <v>30117769000155</v>
      </c>
      <c r="E2041" s="8" t="s">
        <v>578</v>
      </c>
      <c r="F2041" s="8" t="s">
        <v>385</v>
      </c>
      <c r="G2041" s="8" t="s">
        <v>233</v>
      </c>
      <c r="H2041" s="8" t="s">
        <v>795</v>
      </c>
      <c r="I2041" s="3">
        <v>2</v>
      </c>
      <c r="J2041" s="8" t="s">
        <v>754</v>
      </c>
      <c r="K2041" s="8" t="s">
        <v>755</v>
      </c>
      <c r="L2041" s="8" t="s">
        <v>730</v>
      </c>
      <c r="M2041" s="1" t="s">
        <v>784</v>
      </c>
      <c r="N2041" s="8" t="s">
        <v>785</v>
      </c>
      <c r="O2041" s="6">
        <v>0</v>
      </c>
      <c r="P2041" s="6">
        <v>0</v>
      </c>
      <c r="Q2041" s="6">
        <v>0</v>
      </c>
      <c r="R2041" s="6">
        <v>0</v>
      </c>
      <c r="S2041" s="6">
        <v>350</v>
      </c>
    </row>
    <row r="2042" spans="1:19" ht="15" x14ac:dyDescent="0.25">
      <c r="A2042" s="7" t="s">
        <v>16</v>
      </c>
      <c r="B2042" s="7" t="s">
        <v>65</v>
      </c>
      <c r="C2042" s="7" t="s">
        <v>66</v>
      </c>
      <c r="D2042" s="3">
        <v>30117769000155</v>
      </c>
      <c r="E2042" s="8" t="s">
        <v>578</v>
      </c>
      <c r="F2042" s="8" t="s">
        <v>385</v>
      </c>
      <c r="G2042" s="8" t="s">
        <v>233</v>
      </c>
      <c r="H2042" s="8" t="s">
        <v>795</v>
      </c>
      <c r="I2042" s="3">
        <v>2</v>
      </c>
      <c r="J2042" s="8" t="s">
        <v>735</v>
      </c>
      <c r="K2042" s="8" t="s">
        <v>736</v>
      </c>
      <c r="L2042" s="8" t="s">
        <v>723</v>
      </c>
      <c r="M2042" s="1" t="s">
        <v>784</v>
      </c>
      <c r="N2042" s="8" t="s">
        <v>785</v>
      </c>
      <c r="O2042" s="6">
        <v>0</v>
      </c>
      <c r="P2042" s="6">
        <v>0</v>
      </c>
      <c r="Q2042" s="6">
        <v>0</v>
      </c>
      <c r="R2042" s="6">
        <v>0</v>
      </c>
      <c r="S2042" s="6">
        <v>350</v>
      </c>
    </row>
    <row r="2043" spans="1:19" ht="15" x14ac:dyDescent="0.25">
      <c r="A2043" s="7" t="s">
        <v>16</v>
      </c>
      <c r="B2043" s="7" t="s">
        <v>65</v>
      </c>
      <c r="C2043" s="7" t="s">
        <v>66</v>
      </c>
      <c r="D2043" s="3">
        <v>79115762000193</v>
      </c>
      <c r="E2043" s="8" t="s">
        <v>521</v>
      </c>
      <c r="F2043" s="8" t="s">
        <v>522</v>
      </c>
      <c r="G2043" s="8" t="s">
        <v>233</v>
      </c>
      <c r="H2043" s="8" t="s">
        <v>795</v>
      </c>
      <c r="I2043" s="3">
        <v>2</v>
      </c>
      <c r="J2043" s="8" t="s">
        <v>754</v>
      </c>
      <c r="K2043" s="8" t="s">
        <v>755</v>
      </c>
      <c r="L2043" s="8" t="s">
        <v>730</v>
      </c>
      <c r="M2043" s="1" t="s">
        <v>784</v>
      </c>
      <c r="N2043" s="8" t="s">
        <v>785</v>
      </c>
      <c r="O2043" s="6">
        <v>0</v>
      </c>
      <c r="P2043" s="6">
        <v>0</v>
      </c>
      <c r="Q2043" s="6">
        <v>0</v>
      </c>
      <c r="R2043" s="6">
        <v>0</v>
      </c>
      <c r="S2043" s="6">
        <v>25</v>
      </c>
    </row>
    <row r="2044" spans="1:19" ht="15" x14ac:dyDescent="0.25">
      <c r="A2044" s="7" t="s">
        <v>16</v>
      </c>
      <c r="B2044" s="7" t="s">
        <v>65</v>
      </c>
      <c r="C2044" s="7" t="s">
        <v>66</v>
      </c>
      <c r="D2044" s="3">
        <v>79115762000193</v>
      </c>
      <c r="E2044" s="8" t="s">
        <v>521</v>
      </c>
      <c r="F2044" s="8" t="s">
        <v>522</v>
      </c>
      <c r="G2044" s="8" t="s">
        <v>233</v>
      </c>
      <c r="H2044" s="8" t="s">
        <v>795</v>
      </c>
      <c r="I2044" s="3">
        <v>2</v>
      </c>
      <c r="J2044" s="8" t="s">
        <v>735</v>
      </c>
      <c r="K2044" s="8" t="s">
        <v>736</v>
      </c>
      <c r="L2044" s="8" t="s">
        <v>723</v>
      </c>
      <c r="M2044" s="1" t="s">
        <v>784</v>
      </c>
      <c r="N2044" s="8" t="s">
        <v>785</v>
      </c>
      <c r="O2044" s="6">
        <v>0</v>
      </c>
      <c r="P2044" s="6">
        <v>0</v>
      </c>
      <c r="Q2044" s="6">
        <v>0</v>
      </c>
      <c r="R2044" s="6">
        <v>0</v>
      </c>
      <c r="S2044" s="6">
        <v>25</v>
      </c>
    </row>
    <row r="2045" spans="1:19" ht="15" x14ac:dyDescent="0.25">
      <c r="A2045" s="7" t="s">
        <v>16</v>
      </c>
      <c r="B2045" s="7" t="s">
        <v>65</v>
      </c>
      <c r="C2045" s="7" t="s">
        <v>66</v>
      </c>
      <c r="D2045" s="3">
        <v>29435005003497</v>
      </c>
      <c r="E2045" s="8" t="s">
        <v>622</v>
      </c>
      <c r="F2045" s="8" t="s">
        <v>286</v>
      </c>
      <c r="G2045" s="8" t="s">
        <v>241</v>
      </c>
      <c r="H2045" s="8" t="s">
        <v>795</v>
      </c>
      <c r="I2045" s="3">
        <v>2</v>
      </c>
      <c r="J2045" s="8" t="s">
        <v>733</v>
      </c>
      <c r="K2045" s="8" t="s">
        <v>734</v>
      </c>
      <c r="L2045" s="8" t="s">
        <v>730</v>
      </c>
      <c r="M2045" s="1" t="s">
        <v>784</v>
      </c>
      <c r="N2045" s="8" t="s">
        <v>785</v>
      </c>
      <c r="O2045" s="6">
        <v>0</v>
      </c>
      <c r="P2045" s="6">
        <v>0</v>
      </c>
      <c r="Q2045" s="6">
        <v>0</v>
      </c>
      <c r="R2045" s="6">
        <v>0</v>
      </c>
      <c r="S2045" s="6">
        <v>0</v>
      </c>
    </row>
    <row r="2046" spans="1:19" ht="15" x14ac:dyDescent="0.25">
      <c r="A2046" s="7" t="s">
        <v>16</v>
      </c>
      <c r="B2046" s="7" t="s">
        <v>65</v>
      </c>
      <c r="C2046" s="7" t="s">
        <v>66</v>
      </c>
      <c r="D2046" s="3">
        <v>29435005003497</v>
      </c>
      <c r="E2046" s="8" t="s">
        <v>622</v>
      </c>
      <c r="F2046" s="8" t="s">
        <v>286</v>
      </c>
      <c r="G2046" s="8" t="s">
        <v>241</v>
      </c>
      <c r="H2046" s="8" t="s">
        <v>795</v>
      </c>
      <c r="I2046" s="3">
        <v>2</v>
      </c>
      <c r="J2046" s="8" t="s">
        <v>752</v>
      </c>
      <c r="K2046" s="8" t="s">
        <v>753</v>
      </c>
      <c r="L2046" s="8" t="s">
        <v>723</v>
      </c>
      <c r="M2046" s="1" t="s">
        <v>784</v>
      </c>
      <c r="N2046" s="8" t="s">
        <v>785</v>
      </c>
      <c r="O2046" s="6">
        <v>0</v>
      </c>
      <c r="P2046" s="6">
        <v>4</v>
      </c>
      <c r="Q2046" s="6">
        <v>0</v>
      </c>
      <c r="R2046" s="6">
        <v>0</v>
      </c>
      <c r="S2046" s="6">
        <v>0</v>
      </c>
    </row>
    <row r="2047" spans="1:19" ht="15" x14ac:dyDescent="0.25">
      <c r="A2047" s="7" t="s">
        <v>16</v>
      </c>
      <c r="B2047" s="7" t="s">
        <v>65</v>
      </c>
      <c r="C2047" s="7" t="s">
        <v>66</v>
      </c>
      <c r="D2047" s="3">
        <v>60884855001207</v>
      </c>
      <c r="E2047" s="8" t="s">
        <v>377</v>
      </c>
      <c r="F2047" s="8" t="s">
        <v>240</v>
      </c>
      <c r="G2047" s="8" t="s">
        <v>241</v>
      </c>
      <c r="H2047" s="8" t="s">
        <v>795</v>
      </c>
      <c r="I2047" s="3">
        <v>2</v>
      </c>
      <c r="J2047" s="8" t="s">
        <v>733</v>
      </c>
      <c r="K2047" s="8" t="s">
        <v>734</v>
      </c>
      <c r="L2047" s="8" t="s">
        <v>730</v>
      </c>
      <c r="M2047" s="1" t="s">
        <v>784</v>
      </c>
      <c r="N2047" s="8" t="s">
        <v>785</v>
      </c>
      <c r="O2047" s="6">
        <v>0</v>
      </c>
      <c r="P2047" s="6">
        <v>0</v>
      </c>
      <c r="Q2047" s="6">
        <v>0</v>
      </c>
      <c r="R2047" s="6">
        <v>19</v>
      </c>
      <c r="S2047" s="6">
        <v>40</v>
      </c>
    </row>
    <row r="2048" spans="1:19" ht="15" x14ac:dyDescent="0.25">
      <c r="A2048" s="7" t="s">
        <v>16</v>
      </c>
      <c r="B2048" s="7" t="s">
        <v>65</v>
      </c>
      <c r="C2048" s="7" t="s">
        <v>66</v>
      </c>
      <c r="D2048" s="3">
        <v>60884855001207</v>
      </c>
      <c r="E2048" s="8" t="s">
        <v>377</v>
      </c>
      <c r="F2048" s="8" t="s">
        <v>240</v>
      </c>
      <c r="G2048" s="8" t="s">
        <v>241</v>
      </c>
      <c r="H2048" s="8" t="s">
        <v>795</v>
      </c>
      <c r="I2048" s="3">
        <v>2</v>
      </c>
      <c r="J2048" s="8" t="s">
        <v>760</v>
      </c>
      <c r="K2048" s="8" t="s">
        <v>761</v>
      </c>
      <c r="L2048" s="8" t="s">
        <v>723</v>
      </c>
      <c r="M2048" s="1" t="s">
        <v>784</v>
      </c>
      <c r="N2048" s="8" t="s">
        <v>785</v>
      </c>
      <c r="O2048" s="6">
        <v>0</v>
      </c>
      <c r="P2048" s="6">
        <v>0</v>
      </c>
      <c r="Q2048" s="6">
        <v>2</v>
      </c>
      <c r="R2048" s="6">
        <v>0</v>
      </c>
      <c r="S2048" s="6">
        <v>40</v>
      </c>
    </row>
    <row r="2049" spans="1:19" ht="15" x14ac:dyDescent="0.25">
      <c r="A2049" s="7" t="s">
        <v>16</v>
      </c>
      <c r="B2049" s="7" t="s">
        <v>65</v>
      </c>
      <c r="C2049" s="7" t="s">
        <v>66</v>
      </c>
      <c r="D2049" s="3">
        <v>21265360000195</v>
      </c>
      <c r="E2049" s="8" t="s">
        <v>673</v>
      </c>
      <c r="F2049" s="8" t="s">
        <v>652</v>
      </c>
      <c r="G2049" s="8" t="s">
        <v>241</v>
      </c>
      <c r="H2049" s="8" t="s">
        <v>795</v>
      </c>
      <c r="I2049" s="3">
        <v>2</v>
      </c>
      <c r="J2049" s="8" t="s">
        <v>733</v>
      </c>
      <c r="K2049" s="8" t="s">
        <v>734</v>
      </c>
      <c r="L2049" s="8" t="s">
        <v>730</v>
      </c>
      <c r="M2049" s="1" t="s">
        <v>784</v>
      </c>
      <c r="N2049" s="8" t="s">
        <v>785</v>
      </c>
      <c r="O2049" s="6">
        <v>0</v>
      </c>
      <c r="P2049" s="6">
        <v>0</v>
      </c>
      <c r="Q2049" s="6">
        <v>0</v>
      </c>
      <c r="R2049" s="6">
        <v>16</v>
      </c>
      <c r="S2049" s="6">
        <v>0</v>
      </c>
    </row>
    <row r="2050" spans="1:19" ht="15" x14ac:dyDescent="0.25">
      <c r="A2050" s="7" t="s">
        <v>16</v>
      </c>
      <c r="B2050" s="7" t="s">
        <v>65</v>
      </c>
      <c r="C2050" s="7" t="s">
        <v>66</v>
      </c>
      <c r="D2050" s="3">
        <v>21265360000195</v>
      </c>
      <c r="E2050" s="8" t="s">
        <v>673</v>
      </c>
      <c r="F2050" s="8" t="s">
        <v>652</v>
      </c>
      <c r="G2050" s="8" t="s">
        <v>241</v>
      </c>
      <c r="H2050" s="8" t="s">
        <v>795</v>
      </c>
      <c r="I2050" s="3">
        <v>2</v>
      </c>
      <c r="J2050" s="8" t="s">
        <v>752</v>
      </c>
      <c r="K2050" s="8" t="s">
        <v>753</v>
      </c>
      <c r="L2050" s="8" t="s">
        <v>723</v>
      </c>
      <c r="M2050" s="1" t="s">
        <v>784</v>
      </c>
      <c r="N2050" s="8" t="s">
        <v>785</v>
      </c>
      <c r="O2050" s="6">
        <v>0</v>
      </c>
      <c r="P2050" s="6">
        <v>0</v>
      </c>
      <c r="Q2050" s="6">
        <v>0</v>
      </c>
      <c r="R2050" s="6">
        <v>0</v>
      </c>
      <c r="S2050" s="6">
        <v>0</v>
      </c>
    </row>
    <row r="2051" spans="1:19" ht="15" x14ac:dyDescent="0.25">
      <c r="A2051" s="7" t="s">
        <v>16</v>
      </c>
      <c r="B2051" s="7" t="s">
        <v>65</v>
      </c>
      <c r="C2051" s="7" t="s">
        <v>66</v>
      </c>
      <c r="D2051" s="3">
        <v>42297507000107</v>
      </c>
      <c r="E2051" s="8" t="s">
        <v>703</v>
      </c>
      <c r="F2051" s="8" t="s">
        <v>652</v>
      </c>
      <c r="G2051" s="8" t="s">
        <v>241</v>
      </c>
      <c r="H2051" s="8" t="s">
        <v>795</v>
      </c>
      <c r="I2051" s="3">
        <v>2</v>
      </c>
      <c r="J2051" s="8" t="s">
        <v>733</v>
      </c>
      <c r="K2051" s="8" t="s">
        <v>734</v>
      </c>
      <c r="L2051" s="8" t="s">
        <v>730</v>
      </c>
      <c r="M2051" s="1" t="s">
        <v>784</v>
      </c>
      <c r="N2051" s="8" t="s">
        <v>785</v>
      </c>
      <c r="O2051" s="6">
        <v>0</v>
      </c>
      <c r="P2051" s="6">
        <v>0</v>
      </c>
      <c r="Q2051" s="6">
        <v>0</v>
      </c>
      <c r="R2051" s="6">
        <v>0</v>
      </c>
      <c r="S2051" s="6">
        <v>0</v>
      </c>
    </row>
    <row r="2052" spans="1:19" ht="15" x14ac:dyDescent="0.25">
      <c r="A2052" s="7" t="s">
        <v>16</v>
      </c>
      <c r="B2052" s="7" t="s">
        <v>65</v>
      </c>
      <c r="C2052" s="7" t="s">
        <v>66</v>
      </c>
      <c r="D2052" s="3">
        <v>42297507000107</v>
      </c>
      <c r="E2052" s="8" t="s">
        <v>703</v>
      </c>
      <c r="F2052" s="8" t="s">
        <v>652</v>
      </c>
      <c r="G2052" s="8" t="s">
        <v>241</v>
      </c>
      <c r="H2052" s="8" t="s">
        <v>795</v>
      </c>
      <c r="I2052" s="3">
        <v>2</v>
      </c>
      <c r="J2052" s="8" t="s">
        <v>760</v>
      </c>
      <c r="K2052" s="8" t="s">
        <v>761</v>
      </c>
      <c r="L2052" s="8" t="s">
        <v>723</v>
      </c>
      <c r="M2052" s="1" t="s">
        <v>784</v>
      </c>
      <c r="N2052" s="8" t="s">
        <v>785</v>
      </c>
      <c r="O2052" s="6">
        <v>0</v>
      </c>
      <c r="P2052" s="6">
        <v>3</v>
      </c>
      <c r="Q2052" s="6">
        <v>0</v>
      </c>
      <c r="R2052" s="6">
        <v>0</v>
      </c>
      <c r="S2052" s="6">
        <v>0</v>
      </c>
    </row>
    <row r="2053" spans="1:19" ht="15" x14ac:dyDescent="0.25">
      <c r="A2053" s="7" t="s">
        <v>16</v>
      </c>
      <c r="B2053" s="7" t="s">
        <v>65</v>
      </c>
      <c r="C2053" s="7" t="s">
        <v>66</v>
      </c>
      <c r="D2053" s="3">
        <v>33722224000166</v>
      </c>
      <c r="E2053" s="8" t="s">
        <v>1026</v>
      </c>
      <c r="F2053" s="8" t="s">
        <v>652</v>
      </c>
      <c r="G2053" s="8" t="s">
        <v>241</v>
      </c>
      <c r="H2053" s="8" t="s">
        <v>1014</v>
      </c>
      <c r="I2053" s="3">
        <v>0</v>
      </c>
      <c r="J2053" s="8"/>
      <c r="K2053" s="8"/>
      <c r="L2053" s="8"/>
      <c r="M2053" s="1"/>
      <c r="N2053" s="8"/>
      <c r="O2053" s="6">
        <v>0</v>
      </c>
      <c r="P2053" s="6">
        <v>0</v>
      </c>
      <c r="Q2053" s="6">
        <v>0</v>
      </c>
      <c r="R2053" s="6">
        <v>0</v>
      </c>
      <c r="S2053" s="6">
        <v>0</v>
      </c>
    </row>
    <row r="2054" spans="1:19" ht="15" x14ac:dyDescent="0.25">
      <c r="A2054" s="7" t="s">
        <v>16</v>
      </c>
      <c r="B2054" s="7" t="s">
        <v>65</v>
      </c>
      <c r="C2054" s="7" t="s">
        <v>66</v>
      </c>
      <c r="D2054" s="3">
        <v>29435005005783</v>
      </c>
      <c r="E2054" s="8" t="s">
        <v>680</v>
      </c>
      <c r="F2054" s="8" t="s">
        <v>652</v>
      </c>
      <c r="G2054" s="8" t="s">
        <v>241</v>
      </c>
      <c r="H2054" s="8" t="s">
        <v>795</v>
      </c>
      <c r="I2054" s="3">
        <v>2</v>
      </c>
      <c r="J2054" s="8" t="s">
        <v>733</v>
      </c>
      <c r="K2054" s="8" t="s">
        <v>734</v>
      </c>
      <c r="L2054" s="8" t="s">
        <v>730</v>
      </c>
      <c r="M2054" s="1" t="s">
        <v>784</v>
      </c>
      <c r="N2054" s="8" t="s">
        <v>785</v>
      </c>
      <c r="O2054" s="6">
        <v>0</v>
      </c>
      <c r="P2054" s="6">
        <v>0</v>
      </c>
      <c r="Q2054" s="6">
        <v>0</v>
      </c>
      <c r="R2054" s="6">
        <v>0</v>
      </c>
      <c r="S2054" s="6">
        <v>205</v>
      </c>
    </row>
    <row r="2055" spans="1:19" ht="15" x14ac:dyDescent="0.25">
      <c r="A2055" s="7" t="s">
        <v>16</v>
      </c>
      <c r="B2055" s="7" t="s">
        <v>65</v>
      </c>
      <c r="C2055" s="7" t="s">
        <v>66</v>
      </c>
      <c r="D2055" s="3">
        <v>29435005005783</v>
      </c>
      <c r="E2055" s="8" t="s">
        <v>680</v>
      </c>
      <c r="F2055" s="8" t="s">
        <v>652</v>
      </c>
      <c r="G2055" s="8" t="s">
        <v>241</v>
      </c>
      <c r="H2055" s="8" t="s">
        <v>795</v>
      </c>
      <c r="I2055" s="3">
        <v>2</v>
      </c>
      <c r="J2055" s="8" t="s">
        <v>752</v>
      </c>
      <c r="K2055" s="8" t="s">
        <v>753</v>
      </c>
      <c r="L2055" s="8" t="s">
        <v>723</v>
      </c>
      <c r="M2055" s="1" t="s">
        <v>784</v>
      </c>
      <c r="N2055" s="8" t="s">
        <v>785</v>
      </c>
      <c r="O2055" s="6">
        <v>0</v>
      </c>
      <c r="P2055" s="6">
        <v>0</v>
      </c>
      <c r="Q2055" s="6">
        <v>0</v>
      </c>
      <c r="R2055" s="6">
        <v>0</v>
      </c>
      <c r="S2055" s="6">
        <v>205</v>
      </c>
    </row>
    <row r="2056" spans="1:19" ht="15" x14ac:dyDescent="0.25">
      <c r="A2056" s="7" t="s">
        <v>16</v>
      </c>
      <c r="B2056" s="7" t="s">
        <v>65</v>
      </c>
      <c r="C2056" s="7" t="s">
        <v>66</v>
      </c>
      <c r="D2056" s="3">
        <v>29435005005198</v>
      </c>
      <c r="E2056" s="8" t="s">
        <v>679</v>
      </c>
      <c r="F2056" s="8" t="s">
        <v>652</v>
      </c>
      <c r="G2056" s="8" t="s">
        <v>241</v>
      </c>
      <c r="H2056" s="8" t="s">
        <v>795</v>
      </c>
      <c r="I2056" s="3">
        <v>2</v>
      </c>
      <c r="J2056" s="8" t="s">
        <v>733</v>
      </c>
      <c r="K2056" s="8" t="s">
        <v>734</v>
      </c>
      <c r="L2056" s="8" t="s">
        <v>730</v>
      </c>
      <c r="M2056" s="1" t="s">
        <v>784</v>
      </c>
      <c r="N2056" s="8" t="s">
        <v>785</v>
      </c>
      <c r="O2056" s="6">
        <v>0</v>
      </c>
      <c r="P2056" s="6">
        <v>0</v>
      </c>
      <c r="Q2056" s="6">
        <v>0</v>
      </c>
      <c r="R2056" s="6">
        <v>0</v>
      </c>
      <c r="S2056" s="6">
        <v>0</v>
      </c>
    </row>
    <row r="2057" spans="1:19" ht="15" x14ac:dyDescent="0.25">
      <c r="A2057" s="7" t="s">
        <v>16</v>
      </c>
      <c r="B2057" s="7" t="s">
        <v>65</v>
      </c>
      <c r="C2057" s="7" t="s">
        <v>66</v>
      </c>
      <c r="D2057" s="3">
        <v>29435005005198</v>
      </c>
      <c r="E2057" s="8" t="s">
        <v>679</v>
      </c>
      <c r="F2057" s="8" t="s">
        <v>652</v>
      </c>
      <c r="G2057" s="8" t="s">
        <v>241</v>
      </c>
      <c r="H2057" s="8" t="s">
        <v>795</v>
      </c>
      <c r="I2057" s="3">
        <v>2</v>
      </c>
      <c r="J2057" s="8" t="s">
        <v>760</v>
      </c>
      <c r="K2057" s="8" t="s">
        <v>761</v>
      </c>
      <c r="L2057" s="8" t="s">
        <v>723</v>
      </c>
      <c r="M2057" s="1" t="s">
        <v>784</v>
      </c>
      <c r="N2057" s="8" t="s">
        <v>785</v>
      </c>
      <c r="O2057" s="6">
        <v>0</v>
      </c>
      <c r="P2057" s="6">
        <v>20</v>
      </c>
      <c r="Q2057" s="6">
        <v>31</v>
      </c>
      <c r="R2057" s="6">
        <v>0</v>
      </c>
      <c r="S2057" s="6">
        <v>0</v>
      </c>
    </row>
    <row r="2058" spans="1:19" ht="15" x14ac:dyDescent="0.25">
      <c r="A2058" s="7" t="s">
        <v>16</v>
      </c>
      <c r="B2058" s="7" t="s">
        <v>65</v>
      </c>
      <c r="C2058" s="7" t="s">
        <v>66</v>
      </c>
      <c r="D2058" s="3">
        <v>29259736000403</v>
      </c>
      <c r="E2058" s="8" t="s">
        <v>678</v>
      </c>
      <c r="F2058" s="8" t="s">
        <v>652</v>
      </c>
      <c r="G2058" s="8" t="s">
        <v>241</v>
      </c>
      <c r="H2058" s="8" t="s">
        <v>795</v>
      </c>
      <c r="I2058" s="3">
        <v>2</v>
      </c>
      <c r="J2058" s="8" t="s">
        <v>733</v>
      </c>
      <c r="K2058" s="8" t="s">
        <v>734</v>
      </c>
      <c r="L2058" s="8" t="s">
        <v>730</v>
      </c>
      <c r="M2058" s="1" t="s">
        <v>784</v>
      </c>
      <c r="N2058" s="8" t="s">
        <v>785</v>
      </c>
      <c r="O2058" s="6">
        <v>0</v>
      </c>
      <c r="P2058" s="6">
        <v>0</v>
      </c>
      <c r="Q2058" s="6">
        <v>0</v>
      </c>
      <c r="R2058" s="6">
        <v>12</v>
      </c>
      <c r="S2058" s="6">
        <v>0</v>
      </c>
    </row>
    <row r="2059" spans="1:19" ht="15" x14ac:dyDescent="0.25">
      <c r="A2059" s="7" t="s">
        <v>16</v>
      </c>
      <c r="B2059" s="7" t="s">
        <v>65</v>
      </c>
      <c r="C2059" s="7" t="s">
        <v>66</v>
      </c>
      <c r="D2059" s="3">
        <v>29259736000403</v>
      </c>
      <c r="E2059" s="8" t="s">
        <v>678</v>
      </c>
      <c r="F2059" s="8" t="s">
        <v>652</v>
      </c>
      <c r="G2059" s="8" t="s">
        <v>241</v>
      </c>
      <c r="H2059" s="8" t="s">
        <v>795</v>
      </c>
      <c r="I2059" s="3">
        <v>2</v>
      </c>
      <c r="J2059" s="8" t="s">
        <v>760</v>
      </c>
      <c r="K2059" s="8" t="s">
        <v>761</v>
      </c>
      <c r="L2059" s="8" t="s">
        <v>723</v>
      </c>
      <c r="M2059" s="1" t="s">
        <v>784</v>
      </c>
      <c r="N2059" s="8" t="s">
        <v>785</v>
      </c>
      <c r="O2059" s="6">
        <v>0</v>
      </c>
      <c r="P2059" s="6">
        <v>0</v>
      </c>
      <c r="Q2059" s="6">
        <v>0</v>
      </c>
      <c r="R2059" s="6">
        <v>0</v>
      </c>
      <c r="S2059" s="6">
        <v>0</v>
      </c>
    </row>
    <row r="2060" spans="1:19" ht="15" x14ac:dyDescent="0.25">
      <c r="A2060" s="7" t="s">
        <v>16</v>
      </c>
      <c r="B2060" s="7" t="s">
        <v>65</v>
      </c>
      <c r="C2060" s="7" t="s">
        <v>66</v>
      </c>
      <c r="D2060" s="3">
        <v>60884855001630</v>
      </c>
      <c r="E2060" s="8" t="s">
        <v>693</v>
      </c>
      <c r="F2060" s="8" t="s">
        <v>652</v>
      </c>
      <c r="G2060" s="8" t="s">
        <v>241</v>
      </c>
      <c r="H2060" s="8" t="s">
        <v>795</v>
      </c>
      <c r="I2060" s="3">
        <v>2</v>
      </c>
      <c r="J2060" s="8" t="s">
        <v>733</v>
      </c>
      <c r="K2060" s="8" t="s">
        <v>734</v>
      </c>
      <c r="L2060" s="8" t="s">
        <v>730</v>
      </c>
      <c r="M2060" s="1" t="s">
        <v>784</v>
      </c>
      <c r="N2060" s="8" t="s">
        <v>785</v>
      </c>
      <c r="O2060" s="6">
        <v>0</v>
      </c>
      <c r="P2060" s="6">
        <v>0</v>
      </c>
      <c r="Q2060" s="6">
        <v>0</v>
      </c>
      <c r="R2060" s="6">
        <v>0</v>
      </c>
      <c r="S2060" s="6">
        <v>0</v>
      </c>
    </row>
    <row r="2061" spans="1:19" ht="15" x14ac:dyDescent="0.25">
      <c r="A2061" s="7" t="s">
        <v>16</v>
      </c>
      <c r="B2061" s="7" t="s">
        <v>65</v>
      </c>
      <c r="C2061" s="7" t="s">
        <v>66</v>
      </c>
      <c r="D2061" s="3">
        <v>60884855001630</v>
      </c>
      <c r="E2061" s="8" t="s">
        <v>693</v>
      </c>
      <c r="F2061" s="8" t="s">
        <v>652</v>
      </c>
      <c r="G2061" s="8" t="s">
        <v>241</v>
      </c>
      <c r="H2061" s="8" t="s">
        <v>795</v>
      </c>
      <c r="I2061" s="3">
        <v>2</v>
      </c>
      <c r="J2061" s="8" t="s">
        <v>752</v>
      </c>
      <c r="K2061" s="8" t="s">
        <v>753</v>
      </c>
      <c r="L2061" s="8" t="s">
        <v>723</v>
      </c>
      <c r="M2061" s="1" t="s">
        <v>784</v>
      </c>
      <c r="N2061" s="8" t="s">
        <v>785</v>
      </c>
      <c r="O2061" s="6">
        <v>0</v>
      </c>
      <c r="P2061" s="6">
        <v>9</v>
      </c>
      <c r="Q2061" s="6">
        <v>13</v>
      </c>
      <c r="R2061" s="6">
        <v>0</v>
      </c>
      <c r="S2061" s="6">
        <v>0</v>
      </c>
    </row>
    <row r="2062" spans="1:19" ht="15" x14ac:dyDescent="0.25">
      <c r="A2062" s="7" t="s">
        <v>16</v>
      </c>
      <c r="B2062" s="7" t="s">
        <v>65</v>
      </c>
      <c r="C2062" s="7" t="s">
        <v>66</v>
      </c>
      <c r="D2062" s="3">
        <v>33419482000259</v>
      </c>
      <c r="E2062" s="8" t="s">
        <v>686</v>
      </c>
      <c r="F2062" s="8" t="s">
        <v>652</v>
      </c>
      <c r="G2062" s="8" t="s">
        <v>241</v>
      </c>
      <c r="H2062" s="8" t="s">
        <v>795</v>
      </c>
      <c r="I2062" s="3">
        <v>2</v>
      </c>
      <c r="J2062" s="8" t="s">
        <v>733</v>
      </c>
      <c r="K2062" s="8" t="s">
        <v>734</v>
      </c>
      <c r="L2062" s="8" t="s">
        <v>730</v>
      </c>
      <c r="M2062" s="1" t="s">
        <v>784</v>
      </c>
      <c r="N2062" s="8" t="s">
        <v>785</v>
      </c>
      <c r="O2062" s="6">
        <v>0</v>
      </c>
      <c r="P2062" s="6">
        <v>0</v>
      </c>
      <c r="Q2062" s="6">
        <v>0</v>
      </c>
      <c r="R2062" s="6">
        <v>0</v>
      </c>
      <c r="S2062" s="6">
        <v>20</v>
      </c>
    </row>
    <row r="2063" spans="1:19" ht="15" x14ac:dyDescent="0.25">
      <c r="A2063" s="7" t="s">
        <v>16</v>
      </c>
      <c r="B2063" s="7" t="s">
        <v>65</v>
      </c>
      <c r="C2063" s="7" t="s">
        <v>66</v>
      </c>
      <c r="D2063" s="3">
        <v>33419482000259</v>
      </c>
      <c r="E2063" s="8" t="s">
        <v>686</v>
      </c>
      <c r="F2063" s="8" t="s">
        <v>652</v>
      </c>
      <c r="G2063" s="8" t="s">
        <v>241</v>
      </c>
      <c r="H2063" s="8" t="s">
        <v>795</v>
      </c>
      <c r="I2063" s="3">
        <v>2</v>
      </c>
      <c r="J2063" s="8" t="s">
        <v>760</v>
      </c>
      <c r="K2063" s="8" t="s">
        <v>761</v>
      </c>
      <c r="L2063" s="8" t="s">
        <v>723</v>
      </c>
      <c r="M2063" s="1" t="s">
        <v>784</v>
      </c>
      <c r="N2063" s="8" t="s">
        <v>785</v>
      </c>
      <c r="O2063" s="6">
        <v>0</v>
      </c>
      <c r="P2063" s="6">
        <v>0</v>
      </c>
      <c r="Q2063" s="6">
        <v>0</v>
      </c>
      <c r="R2063" s="6">
        <v>0</v>
      </c>
      <c r="S2063" s="6">
        <v>20</v>
      </c>
    </row>
    <row r="2064" spans="1:19" ht="15" x14ac:dyDescent="0.25">
      <c r="A2064" s="7" t="s">
        <v>16</v>
      </c>
      <c r="B2064" s="7" t="s">
        <v>65</v>
      </c>
      <c r="C2064" s="7" t="s">
        <v>66</v>
      </c>
      <c r="D2064" s="3">
        <v>72101124000506</v>
      </c>
      <c r="E2064" s="8" t="s">
        <v>695</v>
      </c>
      <c r="F2064" s="8" t="s">
        <v>652</v>
      </c>
      <c r="G2064" s="8" t="s">
        <v>241</v>
      </c>
      <c r="H2064" s="8" t="s">
        <v>795</v>
      </c>
      <c r="I2064" s="3">
        <v>2</v>
      </c>
      <c r="J2064" s="8" t="s">
        <v>733</v>
      </c>
      <c r="K2064" s="8" t="s">
        <v>734</v>
      </c>
      <c r="L2064" s="8" t="s">
        <v>730</v>
      </c>
      <c r="M2064" s="1" t="s">
        <v>784</v>
      </c>
      <c r="N2064" s="8" t="s">
        <v>785</v>
      </c>
      <c r="O2064" s="6">
        <v>0</v>
      </c>
      <c r="P2064" s="6">
        <v>0</v>
      </c>
      <c r="Q2064" s="6">
        <v>0</v>
      </c>
      <c r="R2064" s="6">
        <v>0</v>
      </c>
      <c r="S2064" s="6">
        <v>25</v>
      </c>
    </row>
    <row r="2065" spans="1:19" ht="15" x14ac:dyDescent="0.25">
      <c r="A2065" s="7" t="s">
        <v>16</v>
      </c>
      <c r="B2065" s="7" t="s">
        <v>65</v>
      </c>
      <c r="C2065" s="7" t="s">
        <v>66</v>
      </c>
      <c r="D2065" s="3">
        <v>72101124000506</v>
      </c>
      <c r="E2065" s="8" t="s">
        <v>695</v>
      </c>
      <c r="F2065" s="8" t="s">
        <v>652</v>
      </c>
      <c r="G2065" s="8" t="s">
        <v>241</v>
      </c>
      <c r="H2065" s="8" t="s">
        <v>795</v>
      </c>
      <c r="I2065" s="3">
        <v>2</v>
      </c>
      <c r="J2065" s="8" t="s">
        <v>760</v>
      </c>
      <c r="K2065" s="8" t="s">
        <v>761</v>
      </c>
      <c r="L2065" s="8" t="s">
        <v>723</v>
      </c>
      <c r="M2065" s="1" t="s">
        <v>784</v>
      </c>
      <c r="N2065" s="8" t="s">
        <v>785</v>
      </c>
      <c r="O2065" s="6">
        <v>0</v>
      </c>
      <c r="P2065" s="6">
        <v>0</v>
      </c>
      <c r="Q2065" s="6">
        <v>0</v>
      </c>
      <c r="R2065" s="6">
        <v>0</v>
      </c>
      <c r="S2065" s="6">
        <v>25</v>
      </c>
    </row>
    <row r="2066" spans="1:19" ht="15" x14ac:dyDescent="0.25">
      <c r="A2066" s="7" t="s">
        <v>16</v>
      </c>
      <c r="B2066" s="7" t="s">
        <v>65</v>
      </c>
      <c r="C2066" s="7" t="s">
        <v>66</v>
      </c>
      <c r="D2066" s="3">
        <v>33000167000101</v>
      </c>
      <c r="E2066" s="8" t="s">
        <v>685</v>
      </c>
      <c r="F2066" s="8" t="s">
        <v>652</v>
      </c>
      <c r="G2066" s="8" t="s">
        <v>241</v>
      </c>
      <c r="H2066" s="8" t="s">
        <v>795</v>
      </c>
      <c r="I2066" s="3">
        <v>2</v>
      </c>
      <c r="J2066" s="8" t="s">
        <v>733</v>
      </c>
      <c r="K2066" s="8" t="s">
        <v>734</v>
      </c>
      <c r="L2066" s="8" t="s">
        <v>730</v>
      </c>
      <c r="M2066" s="1" t="s">
        <v>784</v>
      </c>
      <c r="N2066" s="8" t="s">
        <v>785</v>
      </c>
      <c r="O2066" s="6">
        <v>0</v>
      </c>
      <c r="P2066" s="6">
        <v>0</v>
      </c>
      <c r="Q2066" s="6">
        <v>0</v>
      </c>
      <c r="R2066" s="6">
        <v>0</v>
      </c>
      <c r="S2066" s="6">
        <v>20</v>
      </c>
    </row>
    <row r="2067" spans="1:19" ht="15" x14ac:dyDescent="0.25">
      <c r="A2067" s="7" t="s">
        <v>16</v>
      </c>
      <c r="B2067" s="7" t="s">
        <v>65</v>
      </c>
      <c r="C2067" s="7" t="s">
        <v>66</v>
      </c>
      <c r="D2067" s="3">
        <v>33000167000101</v>
      </c>
      <c r="E2067" s="8" t="s">
        <v>685</v>
      </c>
      <c r="F2067" s="8" t="s">
        <v>652</v>
      </c>
      <c r="G2067" s="8" t="s">
        <v>241</v>
      </c>
      <c r="H2067" s="8" t="s">
        <v>795</v>
      </c>
      <c r="I2067" s="3">
        <v>2</v>
      </c>
      <c r="J2067" s="8" t="s">
        <v>760</v>
      </c>
      <c r="K2067" s="8" t="s">
        <v>761</v>
      </c>
      <c r="L2067" s="8" t="s">
        <v>723</v>
      </c>
      <c r="M2067" s="1" t="s">
        <v>784</v>
      </c>
      <c r="N2067" s="8" t="s">
        <v>785</v>
      </c>
      <c r="O2067" s="6">
        <v>0</v>
      </c>
      <c r="P2067" s="6">
        <v>0</v>
      </c>
      <c r="Q2067" s="6">
        <v>0</v>
      </c>
      <c r="R2067" s="6">
        <v>0</v>
      </c>
      <c r="S2067" s="6">
        <v>20</v>
      </c>
    </row>
    <row r="2068" spans="1:19" ht="15" x14ac:dyDescent="0.25">
      <c r="A2068" s="7" t="s">
        <v>16</v>
      </c>
      <c r="B2068" s="7" t="s">
        <v>65</v>
      </c>
      <c r="C2068" s="7" t="s">
        <v>66</v>
      </c>
      <c r="D2068" s="3">
        <v>9219138000584</v>
      </c>
      <c r="E2068" s="8" t="s">
        <v>667</v>
      </c>
      <c r="F2068" s="8" t="s">
        <v>652</v>
      </c>
      <c r="G2068" s="8" t="s">
        <v>241</v>
      </c>
      <c r="H2068" s="8" t="s">
        <v>795</v>
      </c>
      <c r="I2068" s="3">
        <v>2</v>
      </c>
      <c r="J2068" s="8" t="s">
        <v>733</v>
      </c>
      <c r="K2068" s="8" t="s">
        <v>734</v>
      </c>
      <c r="L2068" s="8" t="s">
        <v>730</v>
      </c>
      <c r="M2068" s="1" t="s">
        <v>784</v>
      </c>
      <c r="N2068" s="8" t="s">
        <v>785</v>
      </c>
      <c r="O2068" s="6">
        <v>0</v>
      </c>
      <c r="P2068" s="6">
        <v>0</v>
      </c>
      <c r="Q2068" s="6">
        <v>0</v>
      </c>
      <c r="R2068" s="6">
        <v>0</v>
      </c>
      <c r="S2068" s="6">
        <v>50</v>
      </c>
    </row>
    <row r="2069" spans="1:19" ht="15" x14ac:dyDescent="0.25">
      <c r="A2069" s="7" t="s">
        <v>16</v>
      </c>
      <c r="B2069" s="7" t="s">
        <v>65</v>
      </c>
      <c r="C2069" s="7" t="s">
        <v>66</v>
      </c>
      <c r="D2069" s="3">
        <v>9219138000584</v>
      </c>
      <c r="E2069" s="8" t="s">
        <v>667</v>
      </c>
      <c r="F2069" s="8" t="s">
        <v>652</v>
      </c>
      <c r="G2069" s="8" t="s">
        <v>241</v>
      </c>
      <c r="H2069" s="8" t="s">
        <v>795</v>
      </c>
      <c r="I2069" s="3">
        <v>2</v>
      </c>
      <c r="J2069" s="8" t="s">
        <v>752</v>
      </c>
      <c r="K2069" s="8" t="s">
        <v>753</v>
      </c>
      <c r="L2069" s="8" t="s">
        <v>723</v>
      </c>
      <c r="M2069" s="1" t="s">
        <v>784</v>
      </c>
      <c r="N2069" s="8" t="s">
        <v>785</v>
      </c>
      <c r="O2069" s="6">
        <v>0</v>
      </c>
      <c r="P2069" s="6">
        <v>18</v>
      </c>
      <c r="Q2069" s="6">
        <v>0</v>
      </c>
      <c r="R2069" s="6">
        <v>0</v>
      </c>
      <c r="S2069" s="6">
        <v>50</v>
      </c>
    </row>
    <row r="2070" spans="1:19" ht="15" x14ac:dyDescent="0.25">
      <c r="A2070" s="7" t="s">
        <v>16</v>
      </c>
      <c r="B2070" s="7" t="s">
        <v>65</v>
      </c>
      <c r="C2070" s="7" t="s">
        <v>66</v>
      </c>
      <c r="D2070" s="3">
        <v>8319329000121</v>
      </c>
      <c r="E2070" s="8" t="s">
        <v>301</v>
      </c>
      <c r="F2070" s="8" t="s">
        <v>246</v>
      </c>
      <c r="G2070" s="8" t="s">
        <v>247</v>
      </c>
      <c r="H2070" s="8" t="s">
        <v>795</v>
      </c>
      <c r="I2070" s="3">
        <v>2</v>
      </c>
      <c r="J2070" s="8" t="s">
        <v>778</v>
      </c>
      <c r="K2070" s="8" t="s">
        <v>779</v>
      </c>
      <c r="L2070" s="8" t="s">
        <v>730</v>
      </c>
      <c r="M2070" s="1" t="s">
        <v>790</v>
      </c>
      <c r="N2070" s="8" t="s">
        <v>791</v>
      </c>
      <c r="O2070" s="6">
        <v>0</v>
      </c>
      <c r="P2070" s="6">
        <v>0</v>
      </c>
      <c r="Q2070" s="6">
        <v>0</v>
      </c>
      <c r="R2070" s="6">
        <v>0</v>
      </c>
      <c r="S2070" s="6">
        <v>0</v>
      </c>
    </row>
    <row r="2071" spans="1:19" ht="15" x14ac:dyDescent="0.25">
      <c r="A2071" s="7" t="s">
        <v>16</v>
      </c>
      <c r="B2071" s="7" t="s">
        <v>65</v>
      </c>
      <c r="C2071" s="7" t="s">
        <v>66</v>
      </c>
      <c r="D2071" s="3">
        <v>8319329000121</v>
      </c>
      <c r="E2071" s="8" t="s">
        <v>301</v>
      </c>
      <c r="F2071" s="8" t="s">
        <v>246</v>
      </c>
      <c r="G2071" s="8" t="s">
        <v>247</v>
      </c>
      <c r="H2071" s="8" t="s">
        <v>795</v>
      </c>
      <c r="I2071" s="3">
        <v>2</v>
      </c>
      <c r="J2071" s="8" t="s">
        <v>748</v>
      </c>
      <c r="K2071" s="8" t="s">
        <v>749</v>
      </c>
      <c r="L2071" s="8" t="s">
        <v>723</v>
      </c>
      <c r="M2071" s="1" t="s">
        <v>790</v>
      </c>
      <c r="N2071" s="8" t="s">
        <v>791</v>
      </c>
      <c r="O2071" s="6">
        <v>0</v>
      </c>
      <c r="P2071" s="6">
        <v>61</v>
      </c>
      <c r="Q2071" s="6">
        <v>0</v>
      </c>
      <c r="R2071" s="6">
        <v>0</v>
      </c>
      <c r="S2071" s="6">
        <v>0</v>
      </c>
    </row>
    <row r="2072" spans="1:19" ht="15" x14ac:dyDescent="0.25">
      <c r="A2072" s="7" t="s">
        <v>16</v>
      </c>
      <c r="B2072" s="7" t="s">
        <v>65</v>
      </c>
      <c r="C2072" s="7" t="s">
        <v>66</v>
      </c>
      <c r="D2072" s="3">
        <v>8337586000196</v>
      </c>
      <c r="E2072" s="8" t="s">
        <v>302</v>
      </c>
      <c r="F2072" s="8" t="s">
        <v>246</v>
      </c>
      <c r="G2072" s="8" t="s">
        <v>247</v>
      </c>
      <c r="H2072" s="8" t="s">
        <v>795</v>
      </c>
      <c r="I2072" s="3">
        <v>2</v>
      </c>
      <c r="J2072" s="8" t="s">
        <v>778</v>
      </c>
      <c r="K2072" s="8" t="s">
        <v>779</v>
      </c>
      <c r="L2072" s="8" t="s">
        <v>730</v>
      </c>
      <c r="M2072" s="1" t="s">
        <v>790</v>
      </c>
      <c r="N2072" s="8" t="s">
        <v>791</v>
      </c>
      <c r="O2072" s="6">
        <v>0</v>
      </c>
      <c r="P2072" s="6">
        <v>0</v>
      </c>
      <c r="Q2072" s="6">
        <v>0</v>
      </c>
      <c r="R2072" s="6">
        <v>0</v>
      </c>
      <c r="S2072" s="6">
        <v>0</v>
      </c>
    </row>
    <row r="2073" spans="1:19" ht="15" x14ac:dyDescent="0.25">
      <c r="A2073" s="7" t="s">
        <v>16</v>
      </c>
      <c r="B2073" s="7" t="s">
        <v>65</v>
      </c>
      <c r="C2073" s="7" t="s">
        <v>66</v>
      </c>
      <c r="D2073" s="3">
        <v>8337586000196</v>
      </c>
      <c r="E2073" s="8" t="s">
        <v>302</v>
      </c>
      <c r="F2073" s="8" t="s">
        <v>246</v>
      </c>
      <c r="G2073" s="8" t="s">
        <v>247</v>
      </c>
      <c r="H2073" s="8" t="s">
        <v>795</v>
      </c>
      <c r="I2073" s="3">
        <v>2</v>
      </c>
      <c r="J2073" s="8" t="s">
        <v>748</v>
      </c>
      <c r="K2073" s="8" t="s">
        <v>749</v>
      </c>
      <c r="L2073" s="8" t="s">
        <v>723</v>
      </c>
      <c r="M2073" s="1" t="s">
        <v>790</v>
      </c>
      <c r="N2073" s="8" t="s">
        <v>791</v>
      </c>
      <c r="O2073" s="6">
        <v>0</v>
      </c>
      <c r="P2073" s="6">
        <v>1</v>
      </c>
      <c r="Q2073" s="6">
        <v>0</v>
      </c>
      <c r="R2073" s="6">
        <v>0</v>
      </c>
      <c r="S2073" s="6">
        <v>0</v>
      </c>
    </row>
    <row r="2074" spans="1:19" ht="15" x14ac:dyDescent="0.25">
      <c r="A2074" s="7" t="s">
        <v>16</v>
      </c>
      <c r="B2074" s="7" t="s">
        <v>65</v>
      </c>
      <c r="C2074" s="7" t="s">
        <v>66</v>
      </c>
      <c r="D2074" s="3">
        <v>820737000150</v>
      </c>
      <c r="E2074" s="8" t="s">
        <v>245</v>
      </c>
      <c r="F2074" s="8" t="s">
        <v>246</v>
      </c>
      <c r="G2074" s="8" t="s">
        <v>247</v>
      </c>
      <c r="H2074" s="8" t="s">
        <v>795</v>
      </c>
      <c r="I2074" s="3">
        <v>2</v>
      </c>
      <c r="J2074" s="8" t="s">
        <v>778</v>
      </c>
      <c r="K2074" s="8" t="s">
        <v>779</v>
      </c>
      <c r="L2074" s="8" t="s">
        <v>730</v>
      </c>
      <c r="M2074" s="1" t="s">
        <v>790</v>
      </c>
      <c r="N2074" s="8" t="s">
        <v>791</v>
      </c>
      <c r="O2074" s="6">
        <v>0</v>
      </c>
      <c r="P2074" s="6">
        <v>0</v>
      </c>
      <c r="Q2074" s="6">
        <v>0</v>
      </c>
      <c r="R2074" s="6">
        <v>0</v>
      </c>
      <c r="S2074" s="6">
        <v>0</v>
      </c>
    </row>
    <row r="2075" spans="1:19" ht="15" x14ac:dyDescent="0.25">
      <c r="A2075" s="7" t="s">
        <v>16</v>
      </c>
      <c r="B2075" s="7" t="s">
        <v>65</v>
      </c>
      <c r="C2075" s="7" t="s">
        <v>66</v>
      </c>
      <c r="D2075" s="3">
        <v>820737000150</v>
      </c>
      <c r="E2075" s="8" t="s">
        <v>245</v>
      </c>
      <c r="F2075" s="8" t="s">
        <v>246</v>
      </c>
      <c r="G2075" s="8" t="s">
        <v>247</v>
      </c>
      <c r="H2075" s="8" t="s">
        <v>795</v>
      </c>
      <c r="I2075" s="3">
        <v>2</v>
      </c>
      <c r="J2075" s="8" t="s">
        <v>748</v>
      </c>
      <c r="K2075" s="8" t="s">
        <v>749</v>
      </c>
      <c r="L2075" s="8" t="s">
        <v>723</v>
      </c>
      <c r="M2075" s="1" t="s">
        <v>790</v>
      </c>
      <c r="N2075" s="8" t="s">
        <v>791</v>
      </c>
      <c r="O2075" s="6">
        <v>0</v>
      </c>
      <c r="P2075" s="6">
        <v>21</v>
      </c>
      <c r="Q2075" s="6">
        <v>0</v>
      </c>
      <c r="R2075" s="6">
        <v>0</v>
      </c>
      <c r="S2075" s="6">
        <v>0</v>
      </c>
    </row>
    <row r="2076" spans="1:19" ht="15" x14ac:dyDescent="0.25">
      <c r="A2076" s="7" t="s">
        <v>16</v>
      </c>
      <c r="B2076" s="7" t="s">
        <v>65</v>
      </c>
      <c r="C2076" s="7" t="s">
        <v>66</v>
      </c>
      <c r="D2076" s="3">
        <v>87827689002405</v>
      </c>
      <c r="E2076" s="8" t="s">
        <v>394</v>
      </c>
      <c r="F2076" s="8" t="s">
        <v>252</v>
      </c>
      <c r="G2076" s="8" t="s">
        <v>253</v>
      </c>
      <c r="H2076" s="8" t="s">
        <v>795</v>
      </c>
      <c r="I2076" s="3">
        <v>2</v>
      </c>
      <c r="J2076" s="8" t="s">
        <v>754</v>
      </c>
      <c r="K2076" s="8" t="s">
        <v>755</v>
      </c>
      <c r="L2076" s="8" t="s">
        <v>730</v>
      </c>
      <c r="M2076" s="1" t="s">
        <v>784</v>
      </c>
      <c r="N2076" s="8" t="s">
        <v>785</v>
      </c>
      <c r="O2076" s="6">
        <v>0</v>
      </c>
      <c r="P2076" s="6">
        <v>0</v>
      </c>
      <c r="Q2076" s="6">
        <v>0</v>
      </c>
      <c r="R2076" s="6">
        <v>0</v>
      </c>
      <c r="S2076" s="6">
        <v>90</v>
      </c>
    </row>
    <row r="2077" spans="1:19" ht="15" x14ac:dyDescent="0.25">
      <c r="A2077" s="7" t="s">
        <v>16</v>
      </c>
      <c r="B2077" s="7" t="s">
        <v>65</v>
      </c>
      <c r="C2077" s="7" t="s">
        <v>66</v>
      </c>
      <c r="D2077" s="3">
        <v>87827689002405</v>
      </c>
      <c r="E2077" s="8" t="s">
        <v>394</v>
      </c>
      <c r="F2077" s="8" t="s">
        <v>252</v>
      </c>
      <c r="G2077" s="8" t="s">
        <v>253</v>
      </c>
      <c r="H2077" s="8" t="s">
        <v>795</v>
      </c>
      <c r="I2077" s="3">
        <v>2</v>
      </c>
      <c r="J2077" s="8" t="s">
        <v>720</v>
      </c>
      <c r="K2077" s="8" t="s">
        <v>721</v>
      </c>
      <c r="L2077" s="8" t="s">
        <v>723</v>
      </c>
      <c r="M2077" s="1" t="s">
        <v>784</v>
      </c>
      <c r="N2077" s="8" t="s">
        <v>785</v>
      </c>
      <c r="O2077" s="6">
        <v>0</v>
      </c>
      <c r="P2077" s="6">
        <v>0</v>
      </c>
      <c r="Q2077" s="6">
        <v>0</v>
      </c>
      <c r="R2077" s="6">
        <v>0</v>
      </c>
      <c r="S2077" s="6">
        <v>90</v>
      </c>
    </row>
    <row r="2078" spans="1:19" ht="15" x14ac:dyDescent="0.25">
      <c r="A2078" s="7" t="s">
        <v>16</v>
      </c>
      <c r="B2078" s="7" t="s">
        <v>65</v>
      </c>
      <c r="C2078" s="7" t="s">
        <v>66</v>
      </c>
      <c r="D2078" s="3">
        <v>92685833000151</v>
      </c>
      <c r="E2078" s="8" t="s">
        <v>400</v>
      </c>
      <c r="F2078" s="8" t="s">
        <v>305</v>
      </c>
      <c r="G2078" s="8" t="s">
        <v>253</v>
      </c>
      <c r="H2078" s="8" t="s">
        <v>795</v>
      </c>
      <c r="I2078" s="3">
        <v>2</v>
      </c>
      <c r="J2078" s="8" t="s">
        <v>754</v>
      </c>
      <c r="K2078" s="8" t="s">
        <v>755</v>
      </c>
      <c r="L2078" s="8" t="s">
        <v>730</v>
      </c>
      <c r="M2078" s="1" t="s">
        <v>784</v>
      </c>
      <c r="N2078" s="8" t="s">
        <v>785</v>
      </c>
      <c r="O2078" s="6">
        <v>0</v>
      </c>
      <c r="P2078" s="6">
        <v>0</v>
      </c>
      <c r="Q2078" s="6">
        <v>0</v>
      </c>
      <c r="R2078" s="6">
        <v>8</v>
      </c>
      <c r="S2078" s="6">
        <v>0</v>
      </c>
    </row>
    <row r="2079" spans="1:19" ht="15" x14ac:dyDescent="0.25">
      <c r="A2079" s="7" t="s">
        <v>16</v>
      </c>
      <c r="B2079" s="7" t="s">
        <v>65</v>
      </c>
      <c r="C2079" s="7" t="s">
        <v>66</v>
      </c>
      <c r="D2079" s="3">
        <v>92685833000151</v>
      </c>
      <c r="E2079" s="8" t="s">
        <v>400</v>
      </c>
      <c r="F2079" s="8" t="s">
        <v>305</v>
      </c>
      <c r="G2079" s="8" t="s">
        <v>253</v>
      </c>
      <c r="H2079" s="8" t="s">
        <v>795</v>
      </c>
      <c r="I2079" s="3">
        <v>2</v>
      </c>
      <c r="J2079" s="8" t="s">
        <v>720</v>
      </c>
      <c r="K2079" s="8" t="s">
        <v>721</v>
      </c>
      <c r="L2079" s="8" t="s">
        <v>723</v>
      </c>
      <c r="M2079" s="1" t="s">
        <v>784</v>
      </c>
      <c r="N2079" s="8" t="s">
        <v>785</v>
      </c>
      <c r="O2079" s="6">
        <v>0</v>
      </c>
      <c r="P2079" s="6">
        <v>20</v>
      </c>
      <c r="Q2079" s="6">
        <v>6</v>
      </c>
      <c r="R2079" s="6">
        <v>0</v>
      </c>
      <c r="S2079" s="6">
        <v>0</v>
      </c>
    </row>
    <row r="2080" spans="1:19" ht="15" x14ac:dyDescent="0.25">
      <c r="A2080" s="7" t="s">
        <v>16</v>
      </c>
      <c r="B2080" s="7" t="s">
        <v>65</v>
      </c>
      <c r="C2080" s="7" t="s">
        <v>66</v>
      </c>
      <c r="D2080" s="3">
        <v>87020517000120</v>
      </c>
      <c r="E2080" s="8" t="s">
        <v>391</v>
      </c>
      <c r="F2080" s="8" t="s">
        <v>305</v>
      </c>
      <c r="G2080" s="8" t="s">
        <v>253</v>
      </c>
      <c r="H2080" s="8" t="s">
        <v>795</v>
      </c>
      <c r="I2080" s="3">
        <v>2</v>
      </c>
      <c r="J2080" s="8" t="s">
        <v>754</v>
      </c>
      <c r="K2080" s="8" t="s">
        <v>755</v>
      </c>
      <c r="L2080" s="8" t="s">
        <v>730</v>
      </c>
      <c r="M2080" s="1" t="s">
        <v>784</v>
      </c>
      <c r="N2080" s="8" t="s">
        <v>785</v>
      </c>
      <c r="O2080" s="6">
        <v>0</v>
      </c>
      <c r="P2080" s="6">
        <v>0</v>
      </c>
      <c r="Q2080" s="6">
        <v>0</v>
      </c>
      <c r="R2080" s="6">
        <v>0</v>
      </c>
      <c r="S2080" s="6">
        <v>0</v>
      </c>
    </row>
    <row r="2081" spans="1:19" ht="15" x14ac:dyDescent="0.25">
      <c r="A2081" s="7" t="s">
        <v>16</v>
      </c>
      <c r="B2081" s="7" t="s">
        <v>65</v>
      </c>
      <c r="C2081" s="7" t="s">
        <v>66</v>
      </c>
      <c r="D2081" s="3">
        <v>87020517000120</v>
      </c>
      <c r="E2081" s="8" t="s">
        <v>391</v>
      </c>
      <c r="F2081" s="8" t="s">
        <v>305</v>
      </c>
      <c r="G2081" s="8" t="s">
        <v>253</v>
      </c>
      <c r="H2081" s="8" t="s">
        <v>795</v>
      </c>
      <c r="I2081" s="3">
        <v>2</v>
      </c>
      <c r="J2081" s="8" t="s">
        <v>720</v>
      </c>
      <c r="K2081" s="8" t="s">
        <v>721</v>
      </c>
      <c r="L2081" s="8" t="s">
        <v>723</v>
      </c>
      <c r="M2081" s="1" t="s">
        <v>784</v>
      </c>
      <c r="N2081" s="8" t="s">
        <v>785</v>
      </c>
      <c r="O2081" s="6">
        <v>0</v>
      </c>
      <c r="P2081" s="6">
        <v>8</v>
      </c>
      <c r="Q2081" s="6">
        <v>0</v>
      </c>
      <c r="R2081" s="6">
        <v>0</v>
      </c>
      <c r="S2081" s="6">
        <v>0</v>
      </c>
    </row>
    <row r="2082" spans="1:19" ht="15" x14ac:dyDescent="0.25">
      <c r="A2082" s="7" t="s">
        <v>16</v>
      </c>
      <c r="B2082" s="7" t="s">
        <v>65</v>
      </c>
      <c r="C2082" s="7" t="s">
        <v>66</v>
      </c>
      <c r="D2082" s="3">
        <v>92815000000168</v>
      </c>
      <c r="E2082" s="8" t="s">
        <v>403</v>
      </c>
      <c r="F2082" s="8" t="s">
        <v>305</v>
      </c>
      <c r="G2082" s="8" t="s">
        <v>253</v>
      </c>
      <c r="H2082" s="8" t="s">
        <v>795</v>
      </c>
      <c r="I2082" s="3">
        <v>2</v>
      </c>
      <c r="J2082" s="8" t="s">
        <v>754</v>
      </c>
      <c r="K2082" s="8" t="s">
        <v>755</v>
      </c>
      <c r="L2082" s="8" t="s">
        <v>730</v>
      </c>
      <c r="M2082" s="1" t="s">
        <v>784</v>
      </c>
      <c r="N2082" s="8" t="s">
        <v>785</v>
      </c>
      <c r="O2082" s="6">
        <v>0</v>
      </c>
      <c r="P2082" s="6">
        <v>0</v>
      </c>
      <c r="Q2082" s="6">
        <v>0</v>
      </c>
      <c r="R2082" s="6">
        <v>25</v>
      </c>
      <c r="S2082" s="6">
        <v>0</v>
      </c>
    </row>
    <row r="2083" spans="1:19" ht="15" x14ac:dyDescent="0.25">
      <c r="A2083" s="7" t="s">
        <v>16</v>
      </c>
      <c r="B2083" s="7" t="s">
        <v>65</v>
      </c>
      <c r="C2083" s="7" t="s">
        <v>66</v>
      </c>
      <c r="D2083" s="3">
        <v>92815000000168</v>
      </c>
      <c r="E2083" s="8" t="s">
        <v>403</v>
      </c>
      <c r="F2083" s="8" t="s">
        <v>305</v>
      </c>
      <c r="G2083" s="8" t="s">
        <v>253</v>
      </c>
      <c r="H2083" s="8" t="s">
        <v>795</v>
      </c>
      <c r="I2083" s="3">
        <v>2</v>
      </c>
      <c r="J2083" s="8" t="s">
        <v>720</v>
      </c>
      <c r="K2083" s="8" t="s">
        <v>721</v>
      </c>
      <c r="L2083" s="8" t="s">
        <v>723</v>
      </c>
      <c r="M2083" s="1" t="s">
        <v>784</v>
      </c>
      <c r="N2083" s="8" t="s">
        <v>785</v>
      </c>
      <c r="O2083" s="6">
        <v>0</v>
      </c>
      <c r="P2083" s="6">
        <v>0</v>
      </c>
      <c r="Q2083" s="6">
        <v>0</v>
      </c>
      <c r="R2083" s="6">
        <v>0</v>
      </c>
      <c r="S2083" s="6">
        <v>0</v>
      </c>
    </row>
    <row r="2084" spans="1:19" ht="15" x14ac:dyDescent="0.25">
      <c r="A2084" s="7" t="s">
        <v>16</v>
      </c>
      <c r="B2084" s="7" t="s">
        <v>65</v>
      </c>
      <c r="C2084" s="7" t="s">
        <v>66</v>
      </c>
      <c r="D2084" s="3">
        <v>12508728000108</v>
      </c>
      <c r="E2084" s="8" t="s">
        <v>517</v>
      </c>
      <c r="F2084" s="8" t="s">
        <v>331</v>
      </c>
      <c r="G2084" s="8" t="s">
        <v>253</v>
      </c>
      <c r="H2084" s="8" t="s">
        <v>795</v>
      </c>
      <c r="I2084" s="3">
        <v>2</v>
      </c>
      <c r="J2084" s="8" t="s">
        <v>754</v>
      </c>
      <c r="K2084" s="8" t="s">
        <v>755</v>
      </c>
      <c r="L2084" s="8" t="s">
        <v>730</v>
      </c>
      <c r="M2084" s="1" t="s">
        <v>784</v>
      </c>
      <c r="N2084" s="8" t="s">
        <v>785</v>
      </c>
      <c r="O2084" s="6">
        <v>0</v>
      </c>
      <c r="P2084" s="6">
        <v>0</v>
      </c>
      <c r="Q2084" s="6">
        <v>0</v>
      </c>
      <c r="R2084" s="6">
        <v>0</v>
      </c>
      <c r="S2084" s="6">
        <v>20</v>
      </c>
    </row>
    <row r="2085" spans="1:19" ht="15" x14ac:dyDescent="0.25">
      <c r="A2085" s="7" t="s">
        <v>16</v>
      </c>
      <c r="B2085" s="7" t="s">
        <v>65</v>
      </c>
      <c r="C2085" s="7" t="s">
        <v>66</v>
      </c>
      <c r="D2085" s="3">
        <v>12508728000108</v>
      </c>
      <c r="E2085" s="8" t="s">
        <v>517</v>
      </c>
      <c r="F2085" s="8" t="s">
        <v>331</v>
      </c>
      <c r="G2085" s="8" t="s">
        <v>253</v>
      </c>
      <c r="H2085" s="8" t="s">
        <v>795</v>
      </c>
      <c r="I2085" s="3">
        <v>2</v>
      </c>
      <c r="J2085" s="8" t="s">
        <v>720</v>
      </c>
      <c r="K2085" s="8" t="s">
        <v>721</v>
      </c>
      <c r="L2085" s="8" t="s">
        <v>723</v>
      </c>
      <c r="M2085" s="1" t="s">
        <v>784</v>
      </c>
      <c r="N2085" s="8" t="s">
        <v>785</v>
      </c>
      <c r="O2085" s="6">
        <v>0</v>
      </c>
      <c r="P2085" s="6">
        <v>0</v>
      </c>
      <c r="Q2085" s="6">
        <v>0</v>
      </c>
      <c r="R2085" s="6">
        <v>0</v>
      </c>
      <c r="S2085" s="6">
        <v>20</v>
      </c>
    </row>
    <row r="2086" spans="1:19" ht="15" x14ac:dyDescent="0.25">
      <c r="A2086" s="7" t="s">
        <v>16</v>
      </c>
      <c r="B2086" s="7" t="s">
        <v>65</v>
      </c>
      <c r="C2086" s="7" t="s">
        <v>66</v>
      </c>
      <c r="D2086" s="3">
        <v>95610887000146</v>
      </c>
      <c r="E2086" s="8" t="s">
        <v>406</v>
      </c>
      <c r="F2086" s="8" t="s">
        <v>331</v>
      </c>
      <c r="G2086" s="8" t="s">
        <v>253</v>
      </c>
      <c r="H2086" s="8" t="s">
        <v>795</v>
      </c>
      <c r="I2086" s="3">
        <v>2</v>
      </c>
      <c r="J2086" s="8" t="s">
        <v>754</v>
      </c>
      <c r="K2086" s="8" t="s">
        <v>755</v>
      </c>
      <c r="L2086" s="8" t="s">
        <v>730</v>
      </c>
      <c r="M2086" s="1" t="s">
        <v>784</v>
      </c>
      <c r="N2086" s="8" t="s">
        <v>785</v>
      </c>
      <c r="O2086" s="6">
        <v>0</v>
      </c>
      <c r="P2086" s="6">
        <v>0</v>
      </c>
      <c r="Q2086" s="6">
        <v>0</v>
      </c>
      <c r="R2086" s="6">
        <v>0</v>
      </c>
      <c r="S2086" s="6">
        <v>150</v>
      </c>
    </row>
    <row r="2087" spans="1:19" ht="15" x14ac:dyDescent="0.25">
      <c r="A2087" s="7" t="s">
        <v>16</v>
      </c>
      <c r="B2087" s="7" t="s">
        <v>65</v>
      </c>
      <c r="C2087" s="7" t="s">
        <v>66</v>
      </c>
      <c r="D2087" s="3">
        <v>95610887000146</v>
      </c>
      <c r="E2087" s="8" t="s">
        <v>406</v>
      </c>
      <c r="F2087" s="8" t="s">
        <v>331</v>
      </c>
      <c r="G2087" s="8" t="s">
        <v>253</v>
      </c>
      <c r="H2087" s="8" t="s">
        <v>795</v>
      </c>
      <c r="I2087" s="3">
        <v>2</v>
      </c>
      <c r="J2087" s="8" t="s">
        <v>720</v>
      </c>
      <c r="K2087" s="8" t="s">
        <v>721</v>
      </c>
      <c r="L2087" s="8" t="s">
        <v>723</v>
      </c>
      <c r="M2087" s="1" t="s">
        <v>784</v>
      </c>
      <c r="N2087" s="8" t="s">
        <v>785</v>
      </c>
      <c r="O2087" s="6">
        <v>0</v>
      </c>
      <c r="P2087" s="6">
        <v>0</v>
      </c>
      <c r="Q2087" s="6">
        <v>0</v>
      </c>
      <c r="R2087" s="6">
        <v>0</v>
      </c>
      <c r="S2087" s="6">
        <v>150</v>
      </c>
    </row>
    <row r="2088" spans="1:19" ht="15" x14ac:dyDescent="0.25">
      <c r="A2088" s="7" t="s">
        <v>16</v>
      </c>
      <c r="B2088" s="7" t="s">
        <v>65</v>
      </c>
      <c r="C2088" s="7" t="s">
        <v>66</v>
      </c>
      <c r="D2088" s="3">
        <v>1880344000103</v>
      </c>
      <c r="E2088" s="8" t="s">
        <v>513</v>
      </c>
      <c r="F2088" s="8" t="s">
        <v>380</v>
      </c>
      <c r="G2088" s="8" t="s">
        <v>259</v>
      </c>
      <c r="H2088" s="8" t="s">
        <v>795</v>
      </c>
      <c r="I2088" s="3">
        <v>2</v>
      </c>
      <c r="J2088" s="8" t="s">
        <v>754</v>
      </c>
      <c r="K2088" s="8" t="s">
        <v>755</v>
      </c>
      <c r="L2088" s="8" t="s">
        <v>730</v>
      </c>
      <c r="M2088" s="1" t="s">
        <v>784</v>
      </c>
      <c r="N2088" s="8" t="s">
        <v>785</v>
      </c>
      <c r="O2088" s="6">
        <v>0</v>
      </c>
      <c r="P2088" s="6">
        <v>0</v>
      </c>
      <c r="Q2088" s="6">
        <v>0</v>
      </c>
      <c r="R2088" s="6">
        <v>0</v>
      </c>
      <c r="S2088" s="6">
        <v>240</v>
      </c>
    </row>
    <row r="2089" spans="1:19" ht="15" x14ac:dyDescent="0.25">
      <c r="A2089" s="7" t="s">
        <v>16</v>
      </c>
      <c r="B2089" s="7" t="s">
        <v>65</v>
      </c>
      <c r="C2089" s="7" t="s">
        <v>66</v>
      </c>
      <c r="D2089" s="3">
        <v>1880344000103</v>
      </c>
      <c r="E2089" s="8" t="s">
        <v>513</v>
      </c>
      <c r="F2089" s="8" t="s">
        <v>380</v>
      </c>
      <c r="G2089" s="8" t="s">
        <v>259</v>
      </c>
      <c r="H2089" s="8" t="s">
        <v>795</v>
      </c>
      <c r="I2089" s="3">
        <v>2</v>
      </c>
      <c r="J2089" s="8" t="s">
        <v>735</v>
      </c>
      <c r="K2089" s="8" t="s">
        <v>736</v>
      </c>
      <c r="L2089" s="8" t="s">
        <v>723</v>
      </c>
      <c r="M2089" s="1" t="s">
        <v>784</v>
      </c>
      <c r="N2089" s="8" t="s">
        <v>785</v>
      </c>
      <c r="O2089" s="6">
        <v>0</v>
      </c>
      <c r="P2089" s="6">
        <v>0</v>
      </c>
      <c r="Q2089" s="6">
        <v>0</v>
      </c>
      <c r="R2089" s="6">
        <v>0</v>
      </c>
      <c r="S2089" s="6">
        <v>240</v>
      </c>
    </row>
    <row r="2090" spans="1:19" ht="15" x14ac:dyDescent="0.25">
      <c r="A2090" s="7" t="s">
        <v>16</v>
      </c>
      <c r="B2090" s="7" t="s">
        <v>65</v>
      </c>
      <c r="C2090" s="7" t="s">
        <v>66</v>
      </c>
      <c r="D2090" s="3">
        <v>1554266000149</v>
      </c>
      <c r="E2090" s="8" t="s">
        <v>511</v>
      </c>
      <c r="F2090" s="8" t="s">
        <v>512</v>
      </c>
      <c r="G2090" s="8" t="s">
        <v>259</v>
      </c>
      <c r="H2090" s="8" t="s">
        <v>795</v>
      </c>
      <c r="I2090" s="3">
        <v>2</v>
      </c>
      <c r="J2090" s="8" t="s">
        <v>754</v>
      </c>
      <c r="K2090" s="8" t="s">
        <v>755</v>
      </c>
      <c r="L2090" s="8" t="s">
        <v>730</v>
      </c>
      <c r="M2090" s="1" t="s">
        <v>784</v>
      </c>
      <c r="N2090" s="8" t="s">
        <v>785</v>
      </c>
      <c r="O2090" s="6">
        <v>0</v>
      </c>
      <c r="P2090" s="6">
        <v>0</v>
      </c>
      <c r="Q2090" s="6">
        <v>0</v>
      </c>
      <c r="R2090" s="6">
        <v>0</v>
      </c>
      <c r="S2090" s="6">
        <v>70</v>
      </c>
    </row>
    <row r="2091" spans="1:19" ht="15" x14ac:dyDescent="0.25">
      <c r="A2091" s="7" t="s">
        <v>16</v>
      </c>
      <c r="B2091" s="7" t="s">
        <v>65</v>
      </c>
      <c r="C2091" s="7" t="s">
        <v>66</v>
      </c>
      <c r="D2091" s="3">
        <v>1554266000149</v>
      </c>
      <c r="E2091" s="8" t="s">
        <v>511</v>
      </c>
      <c r="F2091" s="8" t="s">
        <v>512</v>
      </c>
      <c r="G2091" s="8" t="s">
        <v>259</v>
      </c>
      <c r="H2091" s="8" t="s">
        <v>795</v>
      </c>
      <c r="I2091" s="3">
        <v>2</v>
      </c>
      <c r="J2091" s="8" t="s">
        <v>735</v>
      </c>
      <c r="K2091" s="8" t="s">
        <v>736</v>
      </c>
      <c r="L2091" s="8" t="s">
        <v>723</v>
      </c>
      <c r="M2091" s="1" t="s">
        <v>784</v>
      </c>
      <c r="N2091" s="8" t="s">
        <v>785</v>
      </c>
      <c r="O2091" s="6">
        <v>0</v>
      </c>
      <c r="P2091" s="6">
        <v>0</v>
      </c>
      <c r="Q2091" s="6">
        <v>0</v>
      </c>
      <c r="R2091" s="6">
        <v>0</v>
      </c>
      <c r="S2091" s="6">
        <v>70</v>
      </c>
    </row>
    <row r="2092" spans="1:19" ht="15" x14ac:dyDescent="0.25">
      <c r="A2092" s="7" t="s">
        <v>16</v>
      </c>
      <c r="B2092" s="7" t="s">
        <v>65</v>
      </c>
      <c r="C2092" s="7" t="s">
        <v>66</v>
      </c>
      <c r="D2092" s="3">
        <v>4670913000176</v>
      </c>
      <c r="E2092" s="8" t="s">
        <v>515</v>
      </c>
      <c r="F2092" s="8" t="s">
        <v>388</v>
      </c>
      <c r="G2092" s="8" t="s">
        <v>259</v>
      </c>
      <c r="H2092" s="8" t="s">
        <v>795</v>
      </c>
      <c r="I2092" s="3">
        <v>2</v>
      </c>
      <c r="J2092" s="8" t="s">
        <v>754</v>
      </c>
      <c r="K2092" s="8" t="s">
        <v>755</v>
      </c>
      <c r="L2092" s="8" t="s">
        <v>730</v>
      </c>
      <c r="M2092" s="1" t="s">
        <v>784</v>
      </c>
      <c r="N2092" s="8" t="s">
        <v>785</v>
      </c>
      <c r="O2092" s="6">
        <v>0</v>
      </c>
      <c r="P2092" s="6">
        <v>0</v>
      </c>
      <c r="Q2092" s="6">
        <v>0</v>
      </c>
      <c r="R2092" s="6">
        <v>0</v>
      </c>
      <c r="S2092" s="6">
        <v>265</v>
      </c>
    </row>
    <row r="2093" spans="1:19" ht="15" x14ac:dyDescent="0.25">
      <c r="A2093" s="7" t="s">
        <v>16</v>
      </c>
      <c r="B2093" s="7" t="s">
        <v>65</v>
      </c>
      <c r="C2093" s="7" t="s">
        <v>66</v>
      </c>
      <c r="D2093" s="3">
        <v>4670913000176</v>
      </c>
      <c r="E2093" s="8" t="s">
        <v>515</v>
      </c>
      <c r="F2093" s="8" t="s">
        <v>388</v>
      </c>
      <c r="G2093" s="8" t="s">
        <v>259</v>
      </c>
      <c r="H2093" s="8" t="s">
        <v>795</v>
      </c>
      <c r="I2093" s="3">
        <v>2</v>
      </c>
      <c r="J2093" s="8" t="s">
        <v>735</v>
      </c>
      <c r="K2093" s="8" t="s">
        <v>736</v>
      </c>
      <c r="L2093" s="8" t="s">
        <v>723</v>
      </c>
      <c r="M2093" s="1" t="s">
        <v>784</v>
      </c>
      <c r="N2093" s="8" t="s">
        <v>785</v>
      </c>
      <c r="O2093" s="6">
        <v>0</v>
      </c>
      <c r="P2093" s="6">
        <v>0</v>
      </c>
      <c r="Q2093" s="6">
        <v>0</v>
      </c>
      <c r="R2093" s="6">
        <v>0</v>
      </c>
      <c r="S2093" s="6">
        <v>265</v>
      </c>
    </row>
    <row r="2094" spans="1:19" ht="15" x14ac:dyDescent="0.25">
      <c r="A2094" s="7" t="s">
        <v>16</v>
      </c>
      <c r="B2094" s="7" t="s">
        <v>65</v>
      </c>
      <c r="C2094" s="7" t="s">
        <v>66</v>
      </c>
      <c r="D2094" s="3">
        <v>77858611001414</v>
      </c>
      <c r="E2094" s="8" t="s">
        <v>460</v>
      </c>
      <c r="F2094" s="8" t="s">
        <v>344</v>
      </c>
      <c r="G2094" s="8" t="s">
        <v>259</v>
      </c>
      <c r="H2094" s="8" t="s">
        <v>795</v>
      </c>
      <c r="I2094" s="3">
        <v>2</v>
      </c>
      <c r="J2094" s="8" t="s">
        <v>754</v>
      </c>
      <c r="K2094" s="8" t="s">
        <v>755</v>
      </c>
      <c r="L2094" s="8" t="s">
        <v>730</v>
      </c>
      <c r="M2094" s="1" t="s">
        <v>784</v>
      </c>
      <c r="N2094" s="8" t="s">
        <v>785</v>
      </c>
      <c r="O2094" s="6">
        <v>0</v>
      </c>
      <c r="P2094" s="6">
        <v>0</v>
      </c>
      <c r="Q2094" s="6">
        <v>0</v>
      </c>
      <c r="R2094" s="6">
        <v>0</v>
      </c>
      <c r="S2094" s="6">
        <v>140</v>
      </c>
    </row>
    <row r="2095" spans="1:19" ht="15" x14ac:dyDescent="0.25">
      <c r="A2095" s="7" t="s">
        <v>16</v>
      </c>
      <c r="B2095" s="7" t="s">
        <v>65</v>
      </c>
      <c r="C2095" s="7" t="s">
        <v>66</v>
      </c>
      <c r="D2095" s="3">
        <v>77858611001414</v>
      </c>
      <c r="E2095" s="8" t="s">
        <v>460</v>
      </c>
      <c r="F2095" s="8" t="s">
        <v>344</v>
      </c>
      <c r="G2095" s="8" t="s">
        <v>259</v>
      </c>
      <c r="H2095" s="8" t="s">
        <v>795</v>
      </c>
      <c r="I2095" s="3">
        <v>2</v>
      </c>
      <c r="J2095" s="8" t="s">
        <v>735</v>
      </c>
      <c r="K2095" s="8" t="s">
        <v>736</v>
      </c>
      <c r="L2095" s="8" t="s">
        <v>723</v>
      </c>
      <c r="M2095" s="1" t="s">
        <v>784</v>
      </c>
      <c r="N2095" s="8" t="s">
        <v>785</v>
      </c>
      <c r="O2095" s="6">
        <v>0</v>
      </c>
      <c r="P2095" s="6">
        <v>0</v>
      </c>
      <c r="Q2095" s="6">
        <v>0</v>
      </c>
      <c r="R2095" s="6">
        <v>0</v>
      </c>
      <c r="S2095" s="6">
        <v>140</v>
      </c>
    </row>
    <row r="2096" spans="1:19" ht="15" x14ac:dyDescent="0.25">
      <c r="A2096" s="7" t="s">
        <v>16</v>
      </c>
      <c r="B2096" s="7" t="s">
        <v>65</v>
      </c>
      <c r="C2096" s="7" t="s">
        <v>66</v>
      </c>
      <c r="D2096" s="3">
        <v>85241339000809</v>
      </c>
      <c r="E2096" s="8" t="s">
        <v>523</v>
      </c>
      <c r="F2096" s="8" t="s">
        <v>524</v>
      </c>
      <c r="G2096" s="8" t="s">
        <v>259</v>
      </c>
      <c r="H2096" s="8" t="s">
        <v>795</v>
      </c>
      <c r="I2096" s="3">
        <v>2</v>
      </c>
      <c r="J2096" s="8" t="s">
        <v>754</v>
      </c>
      <c r="K2096" s="8" t="s">
        <v>755</v>
      </c>
      <c r="L2096" s="8" t="s">
        <v>730</v>
      </c>
      <c r="M2096" s="1" t="s">
        <v>784</v>
      </c>
      <c r="N2096" s="8" t="s">
        <v>785</v>
      </c>
      <c r="O2096" s="6">
        <v>0</v>
      </c>
      <c r="P2096" s="6">
        <v>0</v>
      </c>
      <c r="Q2096" s="6">
        <v>0</v>
      </c>
      <c r="R2096" s="6">
        <v>0</v>
      </c>
      <c r="S2096" s="6">
        <v>260</v>
      </c>
    </row>
    <row r="2097" spans="1:19" ht="15" x14ac:dyDescent="0.25">
      <c r="A2097" s="7" t="s">
        <v>16</v>
      </c>
      <c r="B2097" s="7" t="s">
        <v>65</v>
      </c>
      <c r="C2097" s="7" t="s">
        <v>66</v>
      </c>
      <c r="D2097" s="3">
        <v>85241339000809</v>
      </c>
      <c r="E2097" s="8" t="s">
        <v>523</v>
      </c>
      <c r="F2097" s="8" t="s">
        <v>524</v>
      </c>
      <c r="G2097" s="8" t="s">
        <v>259</v>
      </c>
      <c r="H2097" s="8" t="s">
        <v>795</v>
      </c>
      <c r="I2097" s="3">
        <v>2</v>
      </c>
      <c r="J2097" s="8" t="s">
        <v>735</v>
      </c>
      <c r="K2097" s="8" t="s">
        <v>736</v>
      </c>
      <c r="L2097" s="8" t="s">
        <v>723</v>
      </c>
      <c r="M2097" s="1" t="s">
        <v>784</v>
      </c>
      <c r="N2097" s="8" t="s">
        <v>785</v>
      </c>
      <c r="O2097" s="6">
        <v>0</v>
      </c>
      <c r="P2097" s="6">
        <v>0</v>
      </c>
      <c r="Q2097" s="6">
        <v>0</v>
      </c>
      <c r="R2097" s="6">
        <v>0</v>
      </c>
      <c r="S2097" s="6">
        <v>260</v>
      </c>
    </row>
    <row r="2098" spans="1:19" ht="15" x14ac:dyDescent="0.25">
      <c r="A2098" s="7" t="s">
        <v>16</v>
      </c>
      <c r="B2098" s="7" t="s">
        <v>65</v>
      </c>
      <c r="C2098" s="7" t="s">
        <v>66</v>
      </c>
      <c r="D2098" s="3">
        <v>51093193000456</v>
      </c>
      <c r="E2098" s="8" t="s">
        <v>207</v>
      </c>
      <c r="F2098" s="8" t="s">
        <v>185</v>
      </c>
      <c r="G2098" s="8" t="s">
        <v>21</v>
      </c>
      <c r="H2098" s="8" t="s">
        <v>795</v>
      </c>
      <c r="I2098" s="3">
        <v>2</v>
      </c>
      <c r="J2098" s="8" t="s">
        <v>728</v>
      </c>
      <c r="K2098" s="8" t="s">
        <v>729</v>
      </c>
      <c r="L2098" s="8" t="s">
        <v>730</v>
      </c>
      <c r="M2098" s="1" t="s">
        <v>786</v>
      </c>
      <c r="N2098" s="8" t="s">
        <v>787</v>
      </c>
      <c r="O2098" s="6">
        <v>0</v>
      </c>
      <c r="P2098" s="6">
        <v>0</v>
      </c>
      <c r="Q2098" s="6">
        <v>0</v>
      </c>
      <c r="R2098" s="6">
        <v>0</v>
      </c>
      <c r="S2098" s="6">
        <v>20</v>
      </c>
    </row>
    <row r="2099" spans="1:19" ht="15" x14ac:dyDescent="0.25">
      <c r="A2099" s="7" t="s">
        <v>16</v>
      </c>
      <c r="B2099" s="7" t="s">
        <v>65</v>
      </c>
      <c r="C2099" s="7" t="s">
        <v>66</v>
      </c>
      <c r="D2099" s="3">
        <v>51093193000456</v>
      </c>
      <c r="E2099" s="8" t="s">
        <v>207</v>
      </c>
      <c r="F2099" s="8" t="s">
        <v>185</v>
      </c>
      <c r="G2099" s="8" t="s">
        <v>21</v>
      </c>
      <c r="H2099" s="8" t="s">
        <v>795</v>
      </c>
      <c r="I2099" s="3">
        <v>2</v>
      </c>
      <c r="J2099" s="8" t="s">
        <v>726</v>
      </c>
      <c r="K2099" s="8" t="s">
        <v>727</v>
      </c>
      <c r="L2099" s="8" t="s">
        <v>723</v>
      </c>
      <c r="M2099" s="1" t="s">
        <v>786</v>
      </c>
      <c r="N2099" s="8" t="s">
        <v>787</v>
      </c>
      <c r="O2099" s="6">
        <v>0</v>
      </c>
      <c r="P2099" s="6">
        <v>0</v>
      </c>
      <c r="Q2099" s="6">
        <v>0</v>
      </c>
      <c r="R2099" s="6">
        <v>0</v>
      </c>
      <c r="S2099" s="6">
        <v>20</v>
      </c>
    </row>
    <row r="2100" spans="1:19" ht="15" x14ac:dyDescent="0.25">
      <c r="A2100" s="7" t="s">
        <v>16</v>
      </c>
      <c r="B2100" s="7" t="s">
        <v>65</v>
      </c>
      <c r="C2100" s="7" t="s">
        <v>66</v>
      </c>
      <c r="D2100" s="3">
        <v>1613433010814</v>
      </c>
      <c r="E2100" s="8" t="s">
        <v>214</v>
      </c>
      <c r="F2100" s="8" t="s">
        <v>202</v>
      </c>
      <c r="G2100" s="8" t="s">
        <v>21</v>
      </c>
      <c r="H2100" s="8" t="s">
        <v>795</v>
      </c>
      <c r="I2100" s="3">
        <v>2</v>
      </c>
      <c r="J2100" s="8" t="s">
        <v>728</v>
      </c>
      <c r="K2100" s="8" t="s">
        <v>729</v>
      </c>
      <c r="L2100" s="8" t="s">
        <v>730</v>
      </c>
      <c r="M2100" s="1" t="s">
        <v>786</v>
      </c>
      <c r="N2100" s="8" t="s">
        <v>787</v>
      </c>
      <c r="O2100" s="6">
        <v>0</v>
      </c>
      <c r="P2100" s="6">
        <v>0</v>
      </c>
      <c r="Q2100" s="6">
        <v>0</v>
      </c>
      <c r="R2100" s="6">
        <v>0</v>
      </c>
      <c r="S2100" s="6">
        <v>50</v>
      </c>
    </row>
    <row r="2101" spans="1:19" ht="15" x14ac:dyDescent="0.25">
      <c r="A2101" s="7" t="s">
        <v>16</v>
      </c>
      <c r="B2101" s="7" t="s">
        <v>65</v>
      </c>
      <c r="C2101" s="7" t="s">
        <v>66</v>
      </c>
      <c r="D2101" s="3">
        <v>1613433010814</v>
      </c>
      <c r="E2101" s="8" t="s">
        <v>214</v>
      </c>
      <c r="F2101" s="8" t="s">
        <v>202</v>
      </c>
      <c r="G2101" s="8" t="s">
        <v>21</v>
      </c>
      <c r="H2101" s="8" t="s">
        <v>795</v>
      </c>
      <c r="I2101" s="3">
        <v>2</v>
      </c>
      <c r="J2101" s="8" t="s">
        <v>726</v>
      </c>
      <c r="K2101" s="8" t="s">
        <v>727</v>
      </c>
      <c r="L2101" s="8" t="s">
        <v>723</v>
      </c>
      <c r="M2101" s="1" t="s">
        <v>786</v>
      </c>
      <c r="N2101" s="8" t="s">
        <v>787</v>
      </c>
      <c r="O2101" s="6">
        <v>0</v>
      </c>
      <c r="P2101" s="6">
        <v>0</v>
      </c>
      <c r="Q2101" s="6">
        <v>0</v>
      </c>
      <c r="R2101" s="6">
        <v>0</v>
      </c>
      <c r="S2101" s="6">
        <v>50</v>
      </c>
    </row>
    <row r="2102" spans="1:19" ht="15" x14ac:dyDescent="0.25">
      <c r="A2102" s="7" t="s">
        <v>16</v>
      </c>
      <c r="B2102" s="7" t="s">
        <v>65</v>
      </c>
      <c r="C2102" s="7" t="s">
        <v>66</v>
      </c>
      <c r="D2102" s="3">
        <v>4275687000129</v>
      </c>
      <c r="E2102" s="8" t="s">
        <v>112</v>
      </c>
      <c r="F2102" s="8" t="s">
        <v>113</v>
      </c>
      <c r="G2102" s="8" t="s">
        <v>21</v>
      </c>
      <c r="H2102" s="8" t="s">
        <v>795</v>
      </c>
      <c r="I2102" s="3">
        <v>2</v>
      </c>
      <c r="J2102" s="8" t="s">
        <v>728</v>
      </c>
      <c r="K2102" s="8" t="s">
        <v>729</v>
      </c>
      <c r="L2102" s="8" t="s">
        <v>730</v>
      </c>
      <c r="M2102" s="1" t="s">
        <v>786</v>
      </c>
      <c r="N2102" s="8" t="s">
        <v>787</v>
      </c>
      <c r="O2102" s="6">
        <v>0</v>
      </c>
      <c r="P2102" s="6">
        <v>0</v>
      </c>
      <c r="Q2102" s="6">
        <v>0</v>
      </c>
      <c r="R2102" s="6">
        <v>20</v>
      </c>
      <c r="S2102" s="6">
        <v>0</v>
      </c>
    </row>
    <row r="2103" spans="1:19" ht="15" x14ac:dyDescent="0.25">
      <c r="A2103" s="7" t="s">
        <v>16</v>
      </c>
      <c r="B2103" s="7" t="s">
        <v>65</v>
      </c>
      <c r="C2103" s="7" t="s">
        <v>66</v>
      </c>
      <c r="D2103" s="3">
        <v>4275687000129</v>
      </c>
      <c r="E2103" s="8" t="s">
        <v>112</v>
      </c>
      <c r="F2103" s="8" t="s">
        <v>113</v>
      </c>
      <c r="G2103" s="8" t="s">
        <v>21</v>
      </c>
      <c r="H2103" s="8" t="s">
        <v>795</v>
      </c>
      <c r="I2103" s="3">
        <v>2</v>
      </c>
      <c r="J2103" s="8" t="s">
        <v>726</v>
      </c>
      <c r="K2103" s="8" t="s">
        <v>727</v>
      </c>
      <c r="L2103" s="8" t="s">
        <v>723</v>
      </c>
      <c r="M2103" s="1" t="s">
        <v>786</v>
      </c>
      <c r="N2103" s="8" t="s">
        <v>787</v>
      </c>
      <c r="O2103" s="6">
        <v>0</v>
      </c>
      <c r="P2103" s="6">
        <v>0</v>
      </c>
      <c r="Q2103" s="6">
        <v>0</v>
      </c>
      <c r="R2103" s="6">
        <v>0</v>
      </c>
      <c r="S2103" s="6">
        <v>0</v>
      </c>
    </row>
    <row r="2104" spans="1:19" ht="15" x14ac:dyDescent="0.25">
      <c r="A2104" s="7" t="s">
        <v>16</v>
      </c>
      <c r="B2104" s="7" t="s">
        <v>65</v>
      </c>
      <c r="C2104" s="7" t="s">
        <v>66</v>
      </c>
      <c r="D2104" s="3">
        <v>46020301000269</v>
      </c>
      <c r="E2104" s="8" t="s">
        <v>155</v>
      </c>
      <c r="F2104" s="8" t="s">
        <v>123</v>
      </c>
      <c r="G2104" s="8" t="s">
        <v>21</v>
      </c>
      <c r="H2104" s="8" t="s">
        <v>795</v>
      </c>
      <c r="I2104" s="3">
        <v>2</v>
      </c>
      <c r="J2104" s="8" t="s">
        <v>728</v>
      </c>
      <c r="K2104" s="8" t="s">
        <v>729</v>
      </c>
      <c r="L2104" s="8" t="s">
        <v>730</v>
      </c>
      <c r="M2104" s="1" t="s">
        <v>786</v>
      </c>
      <c r="N2104" s="8" t="s">
        <v>787</v>
      </c>
      <c r="O2104" s="6">
        <v>0</v>
      </c>
      <c r="P2104" s="6">
        <v>0</v>
      </c>
      <c r="Q2104" s="6">
        <v>0</v>
      </c>
      <c r="R2104" s="6">
        <v>20</v>
      </c>
      <c r="S2104" s="6">
        <v>0</v>
      </c>
    </row>
    <row r="2105" spans="1:19" ht="15" x14ac:dyDescent="0.25">
      <c r="A2105" s="7" t="s">
        <v>16</v>
      </c>
      <c r="B2105" s="7" t="s">
        <v>65</v>
      </c>
      <c r="C2105" s="7" t="s">
        <v>66</v>
      </c>
      <c r="D2105" s="3">
        <v>46020301000269</v>
      </c>
      <c r="E2105" s="8" t="s">
        <v>155</v>
      </c>
      <c r="F2105" s="8" t="s">
        <v>123</v>
      </c>
      <c r="G2105" s="8" t="s">
        <v>21</v>
      </c>
      <c r="H2105" s="8" t="s">
        <v>795</v>
      </c>
      <c r="I2105" s="3">
        <v>2</v>
      </c>
      <c r="J2105" s="8" t="s">
        <v>726</v>
      </c>
      <c r="K2105" s="8" t="s">
        <v>727</v>
      </c>
      <c r="L2105" s="8" t="s">
        <v>723</v>
      </c>
      <c r="M2105" s="1" t="s">
        <v>786</v>
      </c>
      <c r="N2105" s="8" t="s">
        <v>787</v>
      </c>
      <c r="O2105" s="6">
        <v>0</v>
      </c>
      <c r="P2105" s="6">
        <v>0</v>
      </c>
      <c r="Q2105" s="6">
        <v>0</v>
      </c>
      <c r="R2105" s="6">
        <v>0</v>
      </c>
      <c r="S2105" s="6">
        <v>0</v>
      </c>
    </row>
    <row r="2106" spans="1:19" ht="15" x14ac:dyDescent="0.25">
      <c r="A2106" s="7" t="s">
        <v>16</v>
      </c>
      <c r="B2106" s="7" t="s">
        <v>65</v>
      </c>
      <c r="C2106" s="7" t="s">
        <v>66</v>
      </c>
      <c r="D2106" s="3">
        <v>46124624000111</v>
      </c>
      <c r="E2106" s="8" t="s">
        <v>156</v>
      </c>
      <c r="F2106" s="8" t="s">
        <v>123</v>
      </c>
      <c r="G2106" s="8" t="s">
        <v>21</v>
      </c>
      <c r="H2106" s="8" t="s">
        <v>795</v>
      </c>
      <c r="I2106" s="3">
        <v>2</v>
      </c>
      <c r="J2106" s="8" t="s">
        <v>728</v>
      </c>
      <c r="K2106" s="8" t="s">
        <v>729</v>
      </c>
      <c r="L2106" s="8" t="s">
        <v>730</v>
      </c>
      <c r="M2106" s="1" t="s">
        <v>786</v>
      </c>
      <c r="N2106" s="8" t="s">
        <v>787</v>
      </c>
      <c r="O2106" s="6">
        <v>0</v>
      </c>
      <c r="P2106" s="6">
        <v>0</v>
      </c>
      <c r="Q2106" s="6">
        <v>0</v>
      </c>
      <c r="R2106" s="6">
        <v>24</v>
      </c>
      <c r="S2106" s="6">
        <v>450</v>
      </c>
    </row>
    <row r="2107" spans="1:19" ht="15" x14ac:dyDescent="0.25">
      <c r="A2107" s="7" t="s">
        <v>16</v>
      </c>
      <c r="B2107" s="7" t="s">
        <v>65</v>
      </c>
      <c r="C2107" s="7" t="s">
        <v>66</v>
      </c>
      <c r="D2107" s="3">
        <v>46124624000111</v>
      </c>
      <c r="E2107" s="8" t="s">
        <v>156</v>
      </c>
      <c r="F2107" s="8" t="s">
        <v>123</v>
      </c>
      <c r="G2107" s="8" t="s">
        <v>21</v>
      </c>
      <c r="H2107" s="8" t="s">
        <v>795</v>
      </c>
      <c r="I2107" s="3">
        <v>2</v>
      </c>
      <c r="J2107" s="8" t="s">
        <v>726</v>
      </c>
      <c r="K2107" s="8" t="s">
        <v>727</v>
      </c>
      <c r="L2107" s="8" t="s">
        <v>723</v>
      </c>
      <c r="M2107" s="1" t="s">
        <v>786</v>
      </c>
      <c r="N2107" s="8" t="s">
        <v>787</v>
      </c>
      <c r="O2107" s="6">
        <v>0</v>
      </c>
      <c r="P2107" s="6">
        <v>0</v>
      </c>
      <c r="Q2107" s="6">
        <v>0</v>
      </c>
      <c r="R2107" s="6">
        <v>0</v>
      </c>
      <c r="S2107" s="6">
        <v>450</v>
      </c>
    </row>
    <row r="2108" spans="1:19" ht="15" x14ac:dyDescent="0.25">
      <c r="A2108" s="7" t="s">
        <v>16</v>
      </c>
      <c r="B2108" s="7" t="s">
        <v>65</v>
      </c>
      <c r="C2108" s="7" t="s">
        <v>66</v>
      </c>
      <c r="D2108" s="3">
        <v>10447300000177</v>
      </c>
      <c r="E2108" s="8" t="s">
        <v>122</v>
      </c>
      <c r="F2108" s="8" t="s">
        <v>804</v>
      </c>
      <c r="G2108" s="8" t="s">
        <v>21</v>
      </c>
      <c r="H2108" s="8" t="s">
        <v>795</v>
      </c>
      <c r="I2108" s="3">
        <v>2</v>
      </c>
      <c r="J2108" s="8" t="s">
        <v>728</v>
      </c>
      <c r="K2108" s="8" t="s">
        <v>729</v>
      </c>
      <c r="L2108" s="8" t="s">
        <v>730</v>
      </c>
      <c r="M2108" s="1" t="s">
        <v>786</v>
      </c>
      <c r="N2108" s="8" t="s">
        <v>787</v>
      </c>
      <c r="O2108" s="6">
        <v>0</v>
      </c>
      <c r="P2108" s="6">
        <v>0</v>
      </c>
      <c r="Q2108" s="6">
        <v>0</v>
      </c>
      <c r="R2108" s="6">
        <v>8</v>
      </c>
      <c r="S2108" s="6">
        <v>0</v>
      </c>
    </row>
    <row r="2109" spans="1:19" ht="15" x14ac:dyDescent="0.25">
      <c r="A2109" s="7" t="s">
        <v>16</v>
      </c>
      <c r="B2109" s="7" t="s">
        <v>65</v>
      </c>
      <c r="C2109" s="7" t="s">
        <v>66</v>
      </c>
      <c r="D2109" s="3">
        <v>10447300000177</v>
      </c>
      <c r="E2109" s="8" t="s">
        <v>122</v>
      </c>
      <c r="F2109" s="8" t="s">
        <v>804</v>
      </c>
      <c r="G2109" s="8" t="s">
        <v>21</v>
      </c>
      <c r="H2109" s="8" t="s">
        <v>795</v>
      </c>
      <c r="I2109" s="3">
        <v>2</v>
      </c>
      <c r="J2109" s="8" t="s">
        <v>726</v>
      </c>
      <c r="K2109" s="8" t="s">
        <v>727</v>
      </c>
      <c r="L2109" s="8" t="s">
        <v>723</v>
      </c>
      <c r="M2109" s="1" t="s">
        <v>786</v>
      </c>
      <c r="N2109" s="8" t="s">
        <v>787</v>
      </c>
      <c r="O2109" s="6">
        <v>0</v>
      </c>
      <c r="P2109" s="6">
        <v>0</v>
      </c>
      <c r="Q2109" s="6">
        <v>0</v>
      </c>
      <c r="R2109" s="6">
        <v>0</v>
      </c>
      <c r="S2109" s="6">
        <v>0</v>
      </c>
    </row>
    <row r="2110" spans="1:19" ht="15" x14ac:dyDescent="0.25">
      <c r="A2110" s="7" t="s">
        <v>16</v>
      </c>
      <c r="B2110" s="7" t="s">
        <v>65</v>
      </c>
      <c r="C2110" s="7" t="s">
        <v>66</v>
      </c>
      <c r="D2110" s="3">
        <v>51722957014302</v>
      </c>
      <c r="E2110" s="8" t="s">
        <v>215</v>
      </c>
      <c r="F2110" s="8" t="s">
        <v>216</v>
      </c>
      <c r="G2110" s="8" t="s">
        <v>21</v>
      </c>
      <c r="H2110" s="8" t="s">
        <v>795</v>
      </c>
      <c r="I2110" s="3">
        <v>2</v>
      </c>
      <c r="J2110" s="8" t="s">
        <v>728</v>
      </c>
      <c r="K2110" s="8" t="s">
        <v>729</v>
      </c>
      <c r="L2110" s="8" t="s">
        <v>730</v>
      </c>
      <c r="M2110" s="1" t="s">
        <v>786</v>
      </c>
      <c r="N2110" s="8" t="s">
        <v>787</v>
      </c>
      <c r="O2110" s="6">
        <v>0</v>
      </c>
      <c r="P2110" s="6">
        <v>0</v>
      </c>
      <c r="Q2110" s="6">
        <v>0</v>
      </c>
      <c r="R2110" s="6">
        <v>0</v>
      </c>
      <c r="S2110" s="6">
        <v>75</v>
      </c>
    </row>
    <row r="2111" spans="1:19" ht="15" x14ac:dyDescent="0.25">
      <c r="A2111" s="7" t="s">
        <v>16</v>
      </c>
      <c r="B2111" s="7" t="s">
        <v>65</v>
      </c>
      <c r="C2111" s="7" t="s">
        <v>66</v>
      </c>
      <c r="D2111" s="3">
        <v>51722957014302</v>
      </c>
      <c r="E2111" s="8" t="s">
        <v>215</v>
      </c>
      <c r="F2111" s="8" t="s">
        <v>216</v>
      </c>
      <c r="G2111" s="8" t="s">
        <v>21</v>
      </c>
      <c r="H2111" s="8" t="s">
        <v>795</v>
      </c>
      <c r="I2111" s="3">
        <v>2</v>
      </c>
      <c r="J2111" s="8" t="s">
        <v>726</v>
      </c>
      <c r="K2111" s="8" t="s">
        <v>727</v>
      </c>
      <c r="L2111" s="8" t="s">
        <v>723</v>
      </c>
      <c r="M2111" s="1" t="s">
        <v>786</v>
      </c>
      <c r="N2111" s="8" t="s">
        <v>787</v>
      </c>
      <c r="O2111" s="6">
        <v>0</v>
      </c>
      <c r="P2111" s="6">
        <v>0</v>
      </c>
      <c r="Q2111" s="6">
        <v>0</v>
      </c>
      <c r="R2111" s="6">
        <v>0</v>
      </c>
      <c r="S2111" s="6">
        <v>75</v>
      </c>
    </row>
    <row r="2112" spans="1:19" ht="15" x14ac:dyDescent="0.25">
      <c r="A2112" s="7" t="s">
        <v>16</v>
      </c>
      <c r="B2112" s="7" t="s">
        <v>65</v>
      </c>
      <c r="C2112" s="7" t="s">
        <v>66</v>
      </c>
      <c r="D2112" s="3">
        <v>57722118000302</v>
      </c>
      <c r="E2112" s="8" t="s">
        <v>170</v>
      </c>
      <c r="F2112" s="8" t="s">
        <v>109</v>
      </c>
      <c r="G2112" s="8" t="s">
        <v>21</v>
      </c>
      <c r="H2112" s="8" t="s">
        <v>795</v>
      </c>
      <c r="I2112" s="3">
        <v>2</v>
      </c>
      <c r="J2112" s="8" t="s">
        <v>728</v>
      </c>
      <c r="K2112" s="8" t="s">
        <v>729</v>
      </c>
      <c r="L2112" s="8" t="s">
        <v>730</v>
      </c>
      <c r="M2112" s="1" t="s">
        <v>786</v>
      </c>
      <c r="N2112" s="8" t="s">
        <v>787</v>
      </c>
      <c r="O2112" s="6">
        <v>0</v>
      </c>
      <c r="P2112" s="6">
        <v>0</v>
      </c>
      <c r="Q2112" s="6">
        <v>0</v>
      </c>
      <c r="R2112" s="6">
        <v>18</v>
      </c>
      <c r="S2112" s="6">
        <v>0</v>
      </c>
    </row>
    <row r="2113" spans="1:19" ht="15" x14ac:dyDescent="0.25">
      <c r="A2113" s="7" t="s">
        <v>16</v>
      </c>
      <c r="B2113" s="7" t="s">
        <v>65</v>
      </c>
      <c r="C2113" s="7" t="s">
        <v>66</v>
      </c>
      <c r="D2113" s="3">
        <v>57722118000302</v>
      </c>
      <c r="E2113" s="8" t="s">
        <v>170</v>
      </c>
      <c r="F2113" s="8" t="s">
        <v>109</v>
      </c>
      <c r="G2113" s="8" t="s">
        <v>21</v>
      </c>
      <c r="H2113" s="8" t="s">
        <v>795</v>
      </c>
      <c r="I2113" s="3">
        <v>2</v>
      </c>
      <c r="J2113" s="8" t="s">
        <v>726</v>
      </c>
      <c r="K2113" s="8" t="s">
        <v>727</v>
      </c>
      <c r="L2113" s="8" t="s">
        <v>723</v>
      </c>
      <c r="M2113" s="1" t="s">
        <v>786</v>
      </c>
      <c r="N2113" s="8" t="s">
        <v>787</v>
      </c>
      <c r="O2113" s="6">
        <v>0</v>
      </c>
      <c r="P2113" s="6">
        <v>0</v>
      </c>
      <c r="Q2113" s="6">
        <v>0</v>
      </c>
      <c r="R2113" s="6">
        <v>0</v>
      </c>
      <c r="S2113" s="6">
        <v>0</v>
      </c>
    </row>
    <row r="2114" spans="1:19" ht="15" x14ac:dyDescent="0.25">
      <c r="A2114" s="7" t="s">
        <v>16</v>
      </c>
      <c r="B2114" s="7" t="s">
        <v>65</v>
      </c>
      <c r="C2114" s="7" t="s">
        <v>66</v>
      </c>
      <c r="D2114" s="3">
        <v>57723280000183</v>
      </c>
      <c r="E2114" s="8" t="s">
        <v>217</v>
      </c>
      <c r="F2114" s="8" t="s">
        <v>109</v>
      </c>
      <c r="G2114" s="8" t="s">
        <v>21</v>
      </c>
      <c r="H2114" s="8" t="s">
        <v>795</v>
      </c>
      <c r="I2114" s="3">
        <v>2</v>
      </c>
      <c r="J2114" s="8" t="s">
        <v>728</v>
      </c>
      <c r="K2114" s="8" t="s">
        <v>729</v>
      </c>
      <c r="L2114" s="8" t="s">
        <v>730</v>
      </c>
      <c r="M2114" s="1" t="s">
        <v>786</v>
      </c>
      <c r="N2114" s="8" t="s">
        <v>787</v>
      </c>
      <c r="O2114" s="6">
        <v>0</v>
      </c>
      <c r="P2114" s="6">
        <v>0</v>
      </c>
      <c r="Q2114" s="6">
        <v>0</v>
      </c>
      <c r="R2114" s="6">
        <v>0</v>
      </c>
      <c r="S2114" s="6">
        <v>5</v>
      </c>
    </row>
    <row r="2115" spans="1:19" ht="15" x14ac:dyDescent="0.25">
      <c r="A2115" s="7" t="s">
        <v>16</v>
      </c>
      <c r="B2115" s="7" t="s">
        <v>65</v>
      </c>
      <c r="C2115" s="7" t="s">
        <v>66</v>
      </c>
      <c r="D2115" s="3">
        <v>57723280000183</v>
      </c>
      <c r="E2115" s="8" t="s">
        <v>217</v>
      </c>
      <c r="F2115" s="8" t="s">
        <v>109</v>
      </c>
      <c r="G2115" s="8" t="s">
        <v>21</v>
      </c>
      <c r="H2115" s="8" t="s">
        <v>795</v>
      </c>
      <c r="I2115" s="3">
        <v>2</v>
      </c>
      <c r="J2115" s="8" t="s">
        <v>726</v>
      </c>
      <c r="K2115" s="8" t="s">
        <v>727</v>
      </c>
      <c r="L2115" s="8" t="s">
        <v>723</v>
      </c>
      <c r="M2115" s="1" t="s">
        <v>786</v>
      </c>
      <c r="N2115" s="8" t="s">
        <v>787</v>
      </c>
      <c r="O2115" s="6">
        <v>0</v>
      </c>
      <c r="P2115" s="6">
        <v>0</v>
      </c>
      <c r="Q2115" s="6">
        <v>0</v>
      </c>
      <c r="R2115" s="6">
        <v>0</v>
      </c>
      <c r="S2115" s="6">
        <v>5</v>
      </c>
    </row>
    <row r="2116" spans="1:19" ht="15" x14ac:dyDescent="0.25">
      <c r="A2116" s="7" t="s">
        <v>16</v>
      </c>
      <c r="B2116" s="7" t="s">
        <v>65</v>
      </c>
      <c r="C2116" s="7" t="s">
        <v>66</v>
      </c>
      <c r="D2116" s="3">
        <v>13718999001041</v>
      </c>
      <c r="E2116" s="8" t="s">
        <v>124</v>
      </c>
      <c r="F2116" s="8" t="s">
        <v>115</v>
      </c>
      <c r="G2116" s="8" t="s">
        <v>21</v>
      </c>
      <c r="H2116" s="8" t="s">
        <v>795</v>
      </c>
      <c r="I2116" s="3">
        <v>2</v>
      </c>
      <c r="J2116" s="8" t="s">
        <v>770</v>
      </c>
      <c r="K2116" s="8" t="s">
        <v>771</v>
      </c>
      <c r="L2116" s="8" t="s">
        <v>730</v>
      </c>
      <c r="M2116" s="1" t="s">
        <v>786</v>
      </c>
      <c r="N2116" s="8" t="s">
        <v>787</v>
      </c>
      <c r="O2116" s="6">
        <v>0</v>
      </c>
      <c r="P2116" s="6">
        <v>0</v>
      </c>
      <c r="Q2116" s="6">
        <v>0</v>
      </c>
      <c r="R2116" s="6">
        <v>4</v>
      </c>
      <c r="S2116" s="6">
        <v>0</v>
      </c>
    </row>
    <row r="2117" spans="1:19" ht="15" x14ac:dyDescent="0.25">
      <c r="A2117" s="7" t="s">
        <v>16</v>
      </c>
      <c r="B2117" s="7" t="s">
        <v>65</v>
      </c>
      <c r="C2117" s="7" t="s">
        <v>66</v>
      </c>
      <c r="D2117" s="3">
        <v>13718999001041</v>
      </c>
      <c r="E2117" s="8" t="s">
        <v>124</v>
      </c>
      <c r="F2117" s="8" t="s">
        <v>115</v>
      </c>
      <c r="G2117" s="8" t="s">
        <v>21</v>
      </c>
      <c r="H2117" s="8" t="s">
        <v>795</v>
      </c>
      <c r="I2117" s="3">
        <v>2</v>
      </c>
      <c r="J2117" s="8" t="s">
        <v>724</v>
      </c>
      <c r="K2117" s="8" t="s">
        <v>725</v>
      </c>
      <c r="L2117" s="8" t="s">
        <v>723</v>
      </c>
      <c r="M2117" s="1" t="s">
        <v>786</v>
      </c>
      <c r="N2117" s="8" t="s">
        <v>787</v>
      </c>
      <c r="O2117" s="6">
        <v>0</v>
      </c>
      <c r="P2117" s="6">
        <v>0</v>
      </c>
      <c r="Q2117" s="6">
        <v>0</v>
      </c>
      <c r="R2117" s="6">
        <v>0</v>
      </c>
      <c r="S2117" s="6">
        <v>0</v>
      </c>
    </row>
    <row r="2118" spans="1:19" ht="15" x14ac:dyDescent="0.25">
      <c r="A2118" s="7" t="s">
        <v>16</v>
      </c>
      <c r="B2118" s="7" t="s">
        <v>65</v>
      </c>
      <c r="C2118" s="7" t="s">
        <v>66</v>
      </c>
      <c r="D2118" s="3">
        <v>43293604002120</v>
      </c>
      <c r="E2118" s="8" t="s">
        <v>133</v>
      </c>
      <c r="F2118" s="8" t="s">
        <v>134</v>
      </c>
      <c r="G2118" s="8" t="s">
        <v>21</v>
      </c>
      <c r="H2118" s="8" t="s">
        <v>795</v>
      </c>
      <c r="I2118" s="3">
        <v>2</v>
      </c>
      <c r="J2118" s="8" t="s">
        <v>770</v>
      </c>
      <c r="K2118" s="8" t="s">
        <v>771</v>
      </c>
      <c r="L2118" s="8" t="s">
        <v>730</v>
      </c>
      <c r="M2118" s="1" t="s">
        <v>786</v>
      </c>
      <c r="N2118" s="8" t="s">
        <v>787</v>
      </c>
      <c r="O2118" s="6">
        <v>0</v>
      </c>
      <c r="P2118" s="6">
        <v>0</v>
      </c>
      <c r="Q2118" s="6">
        <v>0</v>
      </c>
      <c r="R2118" s="6">
        <v>0</v>
      </c>
      <c r="S2118" s="6">
        <v>50</v>
      </c>
    </row>
    <row r="2119" spans="1:19" ht="15" x14ac:dyDescent="0.25">
      <c r="A2119" s="7" t="s">
        <v>16</v>
      </c>
      <c r="B2119" s="7" t="s">
        <v>65</v>
      </c>
      <c r="C2119" s="7" t="s">
        <v>66</v>
      </c>
      <c r="D2119" s="3">
        <v>43293604002120</v>
      </c>
      <c r="E2119" s="8" t="s">
        <v>133</v>
      </c>
      <c r="F2119" s="8" t="s">
        <v>134</v>
      </c>
      <c r="G2119" s="8" t="s">
        <v>21</v>
      </c>
      <c r="H2119" s="8" t="s">
        <v>795</v>
      </c>
      <c r="I2119" s="3">
        <v>2</v>
      </c>
      <c r="J2119" s="8" t="s">
        <v>724</v>
      </c>
      <c r="K2119" s="8" t="s">
        <v>725</v>
      </c>
      <c r="L2119" s="8" t="s">
        <v>723</v>
      </c>
      <c r="M2119" s="1" t="s">
        <v>786</v>
      </c>
      <c r="N2119" s="8" t="s">
        <v>787</v>
      </c>
      <c r="O2119" s="6">
        <v>0</v>
      </c>
      <c r="P2119" s="6">
        <v>0</v>
      </c>
      <c r="Q2119" s="6">
        <v>0</v>
      </c>
      <c r="R2119" s="6">
        <v>0</v>
      </c>
      <c r="S2119" s="6">
        <v>50</v>
      </c>
    </row>
    <row r="2120" spans="1:19" ht="15" x14ac:dyDescent="0.25">
      <c r="A2120" s="7" t="s">
        <v>16</v>
      </c>
      <c r="B2120" s="7" t="s">
        <v>65</v>
      </c>
      <c r="C2120" s="7" t="s">
        <v>66</v>
      </c>
      <c r="D2120" s="3">
        <v>60003761000129</v>
      </c>
      <c r="E2120" s="8" t="s">
        <v>174</v>
      </c>
      <c r="F2120" s="8" t="s">
        <v>111</v>
      </c>
      <c r="G2120" s="8" t="s">
        <v>21</v>
      </c>
      <c r="H2120" s="8" t="s">
        <v>795</v>
      </c>
      <c r="I2120" s="3">
        <v>2</v>
      </c>
      <c r="J2120" s="8" t="s">
        <v>728</v>
      </c>
      <c r="K2120" s="8" t="s">
        <v>729</v>
      </c>
      <c r="L2120" s="8" t="s">
        <v>730</v>
      </c>
      <c r="M2120" s="1" t="s">
        <v>786</v>
      </c>
      <c r="N2120" s="8" t="s">
        <v>787</v>
      </c>
      <c r="O2120" s="6">
        <v>0</v>
      </c>
      <c r="P2120" s="6">
        <v>0</v>
      </c>
      <c r="Q2120" s="6">
        <v>0</v>
      </c>
      <c r="R2120" s="6">
        <v>0</v>
      </c>
      <c r="S2120" s="6">
        <v>0</v>
      </c>
    </row>
    <row r="2121" spans="1:19" ht="15" x14ac:dyDescent="0.25">
      <c r="A2121" s="7" t="s">
        <v>16</v>
      </c>
      <c r="B2121" s="7" t="s">
        <v>65</v>
      </c>
      <c r="C2121" s="7" t="s">
        <v>66</v>
      </c>
      <c r="D2121" s="3">
        <v>60003761000129</v>
      </c>
      <c r="E2121" s="8" t="s">
        <v>174</v>
      </c>
      <c r="F2121" s="8" t="s">
        <v>111</v>
      </c>
      <c r="G2121" s="8" t="s">
        <v>21</v>
      </c>
      <c r="H2121" s="8" t="s">
        <v>795</v>
      </c>
      <c r="I2121" s="3">
        <v>2</v>
      </c>
      <c r="J2121" s="8" t="s">
        <v>726</v>
      </c>
      <c r="K2121" s="8" t="s">
        <v>727</v>
      </c>
      <c r="L2121" s="8" t="s">
        <v>723</v>
      </c>
      <c r="M2121" s="1" t="s">
        <v>786</v>
      </c>
      <c r="N2121" s="8" t="s">
        <v>787</v>
      </c>
      <c r="O2121" s="6">
        <v>0</v>
      </c>
      <c r="P2121" s="6">
        <v>0</v>
      </c>
      <c r="Q2121" s="6">
        <v>12</v>
      </c>
      <c r="R2121" s="6">
        <v>0</v>
      </c>
      <c r="S2121" s="6">
        <v>0</v>
      </c>
    </row>
    <row r="2122" spans="1:19" ht="15" x14ac:dyDescent="0.25">
      <c r="A2122" s="7" t="s">
        <v>16</v>
      </c>
      <c r="B2122" s="7" t="s">
        <v>65</v>
      </c>
      <c r="C2122" s="7" t="s">
        <v>66</v>
      </c>
      <c r="D2122" s="3">
        <v>60214517001691</v>
      </c>
      <c r="E2122" s="8" t="s">
        <v>176</v>
      </c>
      <c r="F2122" s="8" t="s">
        <v>117</v>
      </c>
      <c r="G2122" s="8" t="s">
        <v>21</v>
      </c>
      <c r="H2122" s="8" t="s">
        <v>795</v>
      </c>
      <c r="I2122" s="3">
        <v>2</v>
      </c>
      <c r="J2122" s="8" t="s">
        <v>740</v>
      </c>
      <c r="K2122" s="8" t="s">
        <v>741</v>
      </c>
      <c r="L2122" s="8" t="s">
        <v>730</v>
      </c>
      <c r="M2122" s="1" t="s">
        <v>786</v>
      </c>
      <c r="N2122" s="8" t="s">
        <v>787</v>
      </c>
      <c r="O2122" s="6">
        <v>0</v>
      </c>
      <c r="P2122" s="6">
        <v>0</v>
      </c>
      <c r="Q2122" s="6">
        <v>0</v>
      </c>
      <c r="R2122" s="6">
        <v>0</v>
      </c>
      <c r="S2122" s="6">
        <v>450</v>
      </c>
    </row>
    <row r="2123" spans="1:19" ht="15" x14ac:dyDescent="0.25">
      <c r="A2123" s="7" t="s">
        <v>16</v>
      </c>
      <c r="B2123" s="7" t="s">
        <v>65</v>
      </c>
      <c r="C2123" s="7" t="s">
        <v>66</v>
      </c>
      <c r="D2123" s="3">
        <v>60214517001691</v>
      </c>
      <c r="E2123" s="8" t="s">
        <v>176</v>
      </c>
      <c r="F2123" s="8" t="s">
        <v>117</v>
      </c>
      <c r="G2123" s="8" t="s">
        <v>21</v>
      </c>
      <c r="H2123" s="8" t="s">
        <v>795</v>
      </c>
      <c r="I2123" s="3">
        <v>2</v>
      </c>
      <c r="J2123" s="8" t="s">
        <v>762</v>
      </c>
      <c r="K2123" s="8" t="s">
        <v>763</v>
      </c>
      <c r="L2123" s="8" t="s">
        <v>723</v>
      </c>
      <c r="M2123" s="1" t="s">
        <v>786</v>
      </c>
      <c r="N2123" s="8" t="s">
        <v>787</v>
      </c>
      <c r="O2123" s="6">
        <v>0</v>
      </c>
      <c r="P2123" s="6">
        <v>0</v>
      </c>
      <c r="Q2123" s="6">
        <v>0</v>
      </c>
      <c r="R2123" s="6">
        <v>0</v>
      </c>
      <c r="S2123" s="6">
        <v>450</v>
      </c>
    </row>
    <row r="2124" spans="1:19" ht="15" x14ac:dyDescent="0.25">
      <c r="A2124" s="7" t="s">
        <v>16</v>
      </c>
      <c r="B2124" s="7" t="s">
        <v>65</v>
      </c>
      <c r="C2124" s="7" t="s">
        <v>66</v>
      </c>
      <c r="D2124" s="3">
        <v>46643466000106</v>
      </c>
      <c r="E2124" s="8" t="s">
        <v>203</v>
      </c>
      <c r="F2124" s="8" t="s">
        <v>117</v>
      </c>
      <c r="G2124" s="8" t="s">
        <v>21</v>
      </c>
      <c r="H2124" s="8" t="s">
        <v>795</v>
      </c>
      <c r="I2124" s="3">
        <v>2</v>
      </c>
      <c r="J2124" s="8" t="s">
        <v>740</v>
      </c>
      <c r="K2124" s="8" t="s">
        <v>741</v>
      </c>
      <c r="L2124" s="8" t="s">
        <v>730</v>
      </c>
      <c r="M2124" s="1" t="s">
        <v>786</v>
      </c>
      <c r="N2124" s="8" t="s">
        <v>787</v>
      </c>
      <c r="O2124" s="6">
        <v>0</v>
      </c>
      <c r="P2124" s="6">
        <v>0</v>
      </c>
      <c r="Q2124" s="6">
        <v>0</v>
      </c>
      <c r="R2124" s="6">
        <v>0</v>
      </c>
      <c r="S2124" s="6">
        <v>700</v>
      </c>
    </row>
    <row r="2125" spans="1:19" ht="15" x14ac:dyDescent="0.25">
      <c r="A2125" s="7" t="s">
        <v>16</v>
      </c>
      <c r="B2125" s="7" t="s">
        <v>65</v>
      </c>
      <c r="C2125" s="7" t="s">
        <v>66</v>
      </c>
      <c r="D2125" s="3">
        <v>46643466000106</v>
      </c>
      <c r="E2125" s="8" t="s">
        <v>203</v>
      </c>
      <c r="F2125" s="8" t="s">
        <v>117</v>
      </c>
      <c r="G2125" s="8" t="s">
        <v>21</v>
      </c>
      <c r="H2125" s="8" t="s">
        <v>795</v>
      </c>
      <c r="I2125" s="3">
        <v>2</v>
      </c>
      <c r="J2125" s="8" t="s">
        <v>762</v>
      </c>
      <c r="K2125" s="8" t="s">
        <v>763</v>
      </c>
      <c r="L2125" s="8" t="s">
        <v>723</v>
      </c>
      <c r="M2125" s="1" t="s">
        <v>786</v>
      </c>
      <c r="N2125" s="8" t="s">
        <v>787</v>
      </c>
      <c r="O2125" s="6">
        <v>0</v>
      </c>
      <c r="P2125" s="6">
        <v>0</v>
      </c>
      <c r="Q2125" s="6">
        <v>0</v>
      </c>
      <c r="R2125" s="6">
        <v>0</v>
      </c>
      <c r="S2125" s="6">
        <v>700</v>
      </c>
    </row>
    <row r="2126" spans="1:19" ht="15" x14ac:dyDescent="0.25">
      <c r="A2126" s="7" t="s">
        <v>16</v>
      </c>
      <c r="B2126" s="7" t="s">
        <v>65</v>
      </c>
      <c r="C2126" s="7" t="s">
        <v>66</v>
      </c>
      <c r="D2126" s="3">
        <v>18321477000134</v>
      </c>
      <c r="E2126" s="8" t="s">
        <v>125</v>
      </c>
      <c r="F2126" s="8" t="s">
        <v>805</v>
      </c>
      <c r="G2126" s="8" t="s">
        <v>21</v>
      </c>
      <c r="H2126" s="8" t="s">
        <v>795</v>
      </c>
      <c r="I2126" s="3">
        <v>2</v>
      </c>
      <c r="J2126" s="8" t="s">
        <v>740</v>
      </c>
      <c r="K2126" s="8" t="s">
        <v>741</v>
      </c>
      <c r="L2126" s="8" t="s">
        <v>730</v>
      </c>
      <c r="M2126" s="1" t="s">
        <v>786</v>
      </c>
      <c r="N2126" s="8" t="s">
        <v>787</v>
      </c>
      <c r="O2126" s="6">
        <v>0</v>
      </c>
      <c r="P2126" s="6">
        <v>0</v>
      </c>
      <c r="Q2126" s="6">
        <v>0</v>
      </c>
      <c r="R2126" s="6">
        <v>48</v>
      </c>
      <c r="S2126" s="6">
        <v>0</v>
      </c>
    </row>
    <row r="2127" spans="1:19" ht="15" x14ac:dyDescent="0.25">
      <c r="A2127" s="7" t="s">
        <v>16</v>
      </c>
      <c r="B2127" s="7" t="s">
        <v>65</v>
      </c>
      <c r="C2127" s="7" t="s">
        <v>66</v>
      </c>
      <c r="D2127" s="3">
        <v>18321477000134</v>
      </c>
      <c r="E2127" s="8" t="s">
        <v>125</v>
      </c>
      <c r="F2127" s="8" t="s">
        <v>805</v>
      </c>
      <c r="G2127" s="8" t="s">
        <v>21</v>
      </c>
      <c r="H2127" s="8" t="s">
        <v>795</v>
      </c>
      <c r="I2127" s="3">
        <v>2</v>
      </c>
      <c r="J2127" s="8" t="s">
        <v>762</v>
      </c>
      <c r="K2127" s="8" t="s">
        <v>763</v>
      </c>
      <c r="L2127" s="8" t="s">
        <v>723</v>
      </c>
      <c r="M2127" s="1" t="s">
        <v>786</v>
      </c>
      <c r="N2127" s="8" t="s">
        <v>787</v>
      </c>
      <c r="O2127" s="6">
        <v>0</v>
      </c>
      <c r="P2127" s="6">
        <v>0</v>
      </c>
      <c r="Q2127" s="6">
        <v>0</v>
      </c>
      <c r="R2127" s="6">
        <v>0</v>
      </c>
      <c r="S2127" s="6">
        <v>0</v>
      </c>
    </row>
    <row r="2128" spans="1:19" ht="15" x14ac:dyDescent="0.25">
      <c r="A2128" s="7" t="s">
        <v>16</v>
      </c>
      <c r="B2128" s="7" t="s">
        <v>65</v>
      </c>
      <c r="C2128" s="7" t="s">
        <v>66</v>
      </c>
      <c r="D2128" s="3">
        <v>59481028000130</v>
      </c>
      <c r="E2128" s="8" t="s">
        <v>42</v>
      </c>
      <c r="F2128" s="8" t="s">
        <v>20</v>
      </c>
      <c r="G2128" s="8" t="s">
        <v>21</v>
      </c>
      <c r="H2128" s="8" t="s">
        <v>795</v>
      </c>
      <c r="I2128" s="3">
        <v>2</v>
      </c>
      <c r="J2128" s="8" t="s">
        <v>740</v>
      </c>
      <c r="K2128" s="8" t="s">
        <v>741</v>
      </c>
      <c r="L2128" s="8" t="s">
        <v>730</v>
      </c>
      <c r="M2128" s="1" t="s">
        <v>786</v>
      </c>
      <c r="N2128" s="8" t="s">
        <v>787</v>
      </c>
      <c r="O2128" s="6">
        <v>0</v>
      </c>
      <c r="P2128" s="6">
        <v>0</v>
      </c>
      <c r="Q2128" s="6">
        <v>0</v>
      </c>
      <c r="R2128" s="6">
        <v>0</v>
      </c>
      <c r="S2128" s="6">
        <v>30</v>
      </c>
    </row>
    <row r="2129" spans="1:19" ht="15" x14ac:dyDescent="0.25">
      <c r="A2129" s="7" t="s">
        <v>16</v>
      </c>
      <c r="B2129" s="7" t="s">
        <v>65</v>
      </c>
      <c r="C2129" s="7" t="s">
        <v>66</v>
      </c>
      <c r="D2129" s="3">
        <v>59481028000130</v>
      </c>
      <c r="E2129" s="8" t="s">
        <v>42</v>
      </c>
      <c r="F2129" s="8" t="s">
        <v>20</v>
      </c>
      <c r="G2129" s="8" t="s">
        <v>21</v>
      </c>
      <c r="H2129" s="8" t="s">
        <v>795</v>
      </c>
      <c r="I2129" s="3">
        <v>2</v>
      </c>
      <c r="J2129" s="8" t="s">
        <v>724</v>
      </c>
      <c r="K2129" s="8" t="s">
        <v>725</v>
      </c>
      <c r="L2129" s="8" t="s">
        <v>723</v>
      </c>
      <c r="M2129" s="1" t="s">
        <v>786</v>
      </c>
      <c r="N2129" s="8" t="s">
        <v>787</v>
      </c>
      <c r="O2129" s="6">
        <v>0</v>
      </c>
      <c r="P2129" s="6">
        <v>0</v>
      </c>
      <c r="Q2129" s="6">
        <v>0</v>
      </c>
      <c r="R2129" s="6">
        <v>0</v>
      </c>
      <c r="S2129" s="6">
        <v>30</v>
      </c>
    </row>
    <row r="2130" spans="1:19" ht="15" x14ac:dyDescent="0.25">
      <c r="A2130" s="7" t="s">
        <v>16</v>
      </c>
      <c r="B2130" s="7" t="s">
        <v>65</v>
      </c>
      <c r="C2130" s="7" t="s">
        <v>66</v>
      </c>
      <c r="D2130" s="3">
        <v>10468341000220</v>
      </c>
      <c r="E2130" s="8" t="s">
        <v>30</v>
      </c>
      <c r="F2130" s="8" t="s">
        <v>20</v>
      </c>
      <c r="G2130" s="8" t="s">
        <v>21</v>
      </c>
      <c r="H2130" s="8" t="s">
        <v>795</v>
      </c>
      <c r="I2130" s="3">
        <v>2</v>
      </c>
      <c r="J2130" s="8" t="s">
        <v>740</v>
      </c>
      <c r="K2130" s="8" t="s">
        <v>741</v>
      </c>
      <c r="L2130" s="8" t="s">
        <v>730</v>
      </c>
      <c r="M2130" s="1" t="s">
        <v>786</v>
      </c>
      <c r="N2130" s="8" t="s">
        <v>787</v>
      </c>
      <c r="O2130" s="6">
        <v>0</v>
      </c>
      <c r="P2130" s="6">
        <v>0</v>
      </c>
      <c r="Q2130" s="6">
        <v>0</v>
      </c>
      <c r="R2130" s="6">
        <v>0</v>
      </c>
      <c r="S2130" s="6">
        <v>310</v>
      </c>
    </row>
    <row r="2131" spans="1:19" ht="15" x14ac:dyDescent="0.25">
      <c r="A2131" s="7" t="s">
        <v>16</v>
      </c>
      <c r="B2131" s="7" t="s">
        <v>65</v>
      </c>
      <c r="C2131" s="7" t="s">
        <v>66</v>
      </c>
      <c r="D2131" s="3">
        <v>10468341000220</v>
      </c>
      <c r="E2131" s="8" t="s">
        <v>30</v>
      </c>
      <c r="F2131" s="8" t="s">
        <v>20</v>
      </c>
      <c r="G2131" s="8" t="s">
        <v>21</v>
      </c>
      <c r="H2131" s="8" t="s">
        <v>795</v>
      </c>
      <c r="I2131" s="3">
        <v>2</v>
      </c>
      <c r="J2131" s="8" t="s">
        <v>762</v>
      </c>
      <c r="K2131" s="8" t="s">
        <v>763</v>
      </c>
      <c r="L2131" s="8" t="s">
        <v>723</v>
      </c>
      <c r="M2131" s="1" t="s">
        <v>786</v>
      </c>
      <c r="N2131" s="8" t="s">
        <v>787</v>
      </c>
      <c r="O2131" s="6">
        <v>0</v>
      </c>
      <c r="P2131" s="6">
        <v>0</v>
      </c>
      <c r="Q2131" s="6">
        <v>0</v>
      </c>
      <c r="R2131" s="6">
        <v>0</v>
      </c>
      <c r="S2131" s="6">
        <v>310</v>
      </c>
    </row>
    <row r="2132" spans="1:19" ht="15" x14ac:dyDescent="0.25">
      <c r="A2132" s="7" t="s">
        <v>16</v>
      </c>
      <c r="B2132" s="7" t="s">
        <v>65</v>
      </c>
      <c r="C2132" s="7" t="s">
        <v>66</v>
      </c>
      <c r="D2132" s="3">
        <v>10468341000140</v>
      </c>
      <c r="E2132" s="8" t="s">
        <v>29</v>
      </c>
      <c r="F2132" s="8" t="s">
        <v>20</v>
      </c>
      <c r="G2132" s="8" t="s">
        <v>21</v>
      </c>
      <c r="H2132" s="8" t="s">
        <v>795</v>
      </c>
      <c r="I2132" s="3">
        <v>2</v>
      </c>
      <c r="J2132" s="8" t="s">
        <v>740</v>
      </c>
      <c r="K2132" s="8" t="s">
        <v>741</v>
      </c>
      <c r="L2132" s="8" t="s">
        <v>730</v>
      </c>
      <c r="M2132" s="1" t="s">
        <v>786</v>
      </c>
      <c r="N2132" s="8" t="s">
        <v>787</v>
      </c>
      <c r="O2132" s="6">
        <v>0</v>
      </c>
      <c r="P2132" s="6">
        <v>0</v>
      </c>
      <c r="Q2132" s="6">
        <v>0</v>
      </c>
      <c r="R2132" s="6">
        <v>0</v>
      </c>
      <c r="S2132" s="6">
        <v>350</v>
      </c>
    </row>
    <row r="2133" spans="1:19" ht="15" x14ac:dyDescent="0.25">
      <c r="A2133" s="7" t="s">
        <v>16</v>
      </c>
      <c r="B2133" s="7" t="s">
        <v>65</v>
      </c>
      <c r="C2133" s="7" t="s">
        <v>66</v>
      </c>
      <c r="D2133" s="3">
        <v>10468341000140</v>
      </c>
      <c r="E2133" s="8" t="s">
        <v>29</v>
      </c>
      <c r="F2133" s="8" t="s">
        <v>20</v>
      </c>
      <c r="G2133" s="8" t="s">
        <v>21</v>
      </c>
      <c r="H2133" s="8" t="s">
        <v>795</v>
      </c>
      <c r="I2133" s="3">
        <v>2</v>
      </c>
      <c r="J2133" s="8" t="s">
        <v>762</v>
      </c>
      <c r="K2133" s="8" t="s">
        <v>763</v>
      </c>
      <c r="L2133" s="8" t="s">
        <v>723</v>
      </c>
      <c r="M2133" s="1" t="s">
        <v>786</v>
      </c>
      <c r="N2133" s="8" t="s">
        <v>787</v>
      </c>
      <c r="O2133" s="6">
        <v>0</v>
      </c>
      <c r="P2133" s="6">
        <v>0</v>
      </c>
      <c r="Q2133" s="6">
        <v>0</v>
      </c>
      <c r="R2133" s="6">
        <v>0</v>
      </c>
      <c r="S2133" s="6">
        <v>350</v>
      </c>
    </row>
    <row r="2134" spans="1:19" ht="15" x14ac:dyDescent="0.25">
      <c r="A2134" s="7" t="s">
        <v>16</v>
      </c>
      <c r="B2134" s="7" t="s">
        <v>65</v>
      </c>
      <c r="C2134" s="7" t="s">
        <v>66</v>
      </c>
      <c r="D2134" s="3">
        <v>29435005009932</v>
      </c>
      <c r="E2134" s="8" t="s">
        <v>36</v>
      </c>
      <c r="F2134" s="8" t="s">
        <v>20</v>
      </c>
      <c r="G2134" s="8" t="s">
        <v>21</v>
      </c>
      <c r="H2134" s="8" t="s">
        <v>795</v>
      </c>
      <c r="I2134" s="3">
        <v>2</v>
      </c>
      <c r="J2134" s="8" t="s">
        <v>770</v>
      </c>
      <c r="K2134" s="8" t="s">
        <v>771</v>
      </c>
      <c r="L2134" s="8" t="s">
        <v>730</v>
      </c>
      <c r="M2134" s="1" t="s">
        <v>786</v>
      </c>
      <c r="N2134" s="8" t="s">
        <v>787</v>
      </c>
      <c r="O2134" s="6">
        <v>0</v>
      </c>
      <c r="P2134" s="6">
        <v>0</v>
      </c>
      <c r="Q2134" s="6">
        <v>0</v>
      </c>
      <c r="R2134" s="6">
        <v>0</v>
      </c>
      <c r="S2134" s="6">
        <v>0</v>
      </c>
    </row>
    <row r="2135" spans="1:19" ht="15" x14ac:dyDescent="0.25">
      <c r="A2135" s="7" t="s">
        <v>16</v>
      </c>
      <c r="B2135" s="7" t="s">
        <v>65</v>
      </c>
      <c r="C2135" s="7" t="s">
        <v>66</v>
      </c>
      <c r="D2135" s="3">
        <v>29435005009932</v>
      </c>
      <c r="E2135" s="8" t="s">
        <v>36</v>
      </c>
      <c r="F2135" s="8" t="s">
        <v>20</v>
      </c>
      <c r="G2135" s="8" t="s">
        <v>21</v>
      </c>
      <c r="H2135" s="8" t="s">
        <v>795</v>
      </c>
      <c r="I2135" s="3">
        <v>2</v>
      </c>
      <c r="J2135" s="8" t="s">
        <v>724</v>
      </c>
      <c r="K2135" s="8" t="s">
        <v>725</v>
      </c>
      <c r="L2135" s="8" t="s">
        <v>723</v>
      </c>
      <c r="M2135" s="1" t="s">
        <v>786</v>
      </c>
      <c r="N2135" s="8" t="s">
        <v>787</v>
      </c>
      <c r="O2135" s="6">
        <v>0</v>
      </c>
      <c r="P2135" s="6">
        <v>0</v>
      </c>
      <c r="Q2135" s="6">
        <v>9</v>
      </c>
      <c r="R2135" s="6">
        <v>0</v>
      </c>
      <c r="S2135" s="6">
        <v>0</v>
      </c>
    </row>
    <row r="2136" spans="1:19" ht="15" x14ac:dyDescent="0.25">
      <c r="A2136" s="7" t="s">
        <v>16</v>
      </c>
      <c r="B2136" s="7" t="s">
        <v>65</v>
      </c>
      <c r="C2136" s="7" t="s">
        <v>66</v>
      </c>
      <c r="D2136" s="3">
        <v>10475230000160</v>
      </c>
      <c r="E2136" s="8" t="s">
        <v>31</v>
      </c>
      <c r="F2136" s="8" t="s">
        <v>20</v>
      </c>
      <c r="G2136" s="8" t="s">
        <v>21</v>
      </c>
      <c r="H2136" s="8" t="s">
        <v>795</v>
      </c>
      <c r="I2136" s="3">
        <v>2</v>
      </c>
      <c r="J2136" s="8" t="s">
        <v>740</v>
      </c>
      <c r="K2136" s="8" t="s">
        <v>741</v>
      </c>
      <c r="L2136" s="8" t="s">
        <v>730</v>
      </c>
      <c r="M2136" s="1" t="s">
        <v>786</v>
      </c>
      <c r="N2136" s="8" t="s">
        <v>787</v>
      </c>
      <c r="O2136" s="6">
        <v>0</v>
      </c>
      <c r="P2136" s="6">
        <v>0</v>
      </c>
      <c r="Q2136" s="6">
        <v>0</v>
      </c>
      <c r="R2136" s="6">
        <v>0</v>
      </c>
      <c r="S2136" s="6">
        <v>25</v>
      </c>
    </row>
    <row r="2137" spans="1:19" ht="15" x14ac:dyDescent="0.25">
      <c r="A2137" s="7" t="s">
        <v>16</v>
      </c>
      <c r="B2137" s="7" t="s">
        <v>65</v>
      </c>
      <c r="C2137" s="7" t="s">
        <v>66</v>
      </c>
      <c r="D2137" s="3">
        <v>10475230000160</v>
      </c>
      <c r="E2137" s="8" t="s">
        <v>31</v>
      </c>
      <c r="F2137" s="8" t="s">
        <v>20</v>
      </c>
      <c r="G2137" s="8" t="s">
        <v>21</v>
      </c>
      <c r="H2137" s="8" t="s">
        <v>795</v>
      </c>
      <c r="I2137" s="3">
        <v>2</v>
      </c>
      <c r="J2137" s="8" t="s">
        <v>756</v>
      </c>
      <c r="K2137" s="8" t="s">
        <v>757</v>
      </c>
      <c r="L2137" s="8" t="s">
        <v>723</v>
      </c>
      <c r="M2137" s="1" t="s">
        <v>786</v>
      </c>
      <c r="N2137" s="8" t="s">
        <v>787</v>
      </c>
      <c r="O2137" s="6">
        <v>0</v>
      </c>
      <c r="P2137" s="6">
        <v>0</v>
      </c>
      <c r="Q2137" s="6">
        <v>0</v>
      </c>
      <c r="R2137" s="6">
        <v>0</v>
      </c>
      <c r="S2137" s="6">
        <v>25</v>
      </c>
    </row>
    <row r="2138" spans="1:19" ht="15" x14ac:dyDescent="0.25">
      <c r="A2138" s="7" t="s">
        <v>16</v>
      </c>
      <c r="B2138" s="7" t="s">
        <v>65</v>
      </c>
      <c r="C2138" s="7" t="s">
        <v>66</v>
      </c>
      <c r="D2138" s="3">
        <v>603226000187</v>
      </c>
      <c r="E2138" s="8" t="s">
        <v>103</v>
      </c>
      <c r="F2138" s="8" t="s">
        <v>20</v>
      </c>
      <c r="G2138" s="8" t="s">
        <v>21</v>
      </c>
      <c r="H2138" s="8" t="s">
        <v>795</v>
      </c>
      <c r="I2138" s="3">
        <v>2</v>
      </c>
      <c r="J2138" s="8" t="s">
        <v>740</v>
      </c>
      <c r="K2138" s="8" t="s">
        <v>741</v>
      </c>
      <c r="L2138" s="8" t="s">
        <v>730</v>
      </c>
      <c r="M2138" s="1" t="s">
        <v>786</v>
      </c>
      <c r="N2138" s="8" t="s">
        <v>787</v>
      </c>
      <c r="O2138" s="6">
        <v>0</v>
      </c>
      <c r="P2138" s="6">
        <v>0</v>
      </c>
      <c r="Q2138" s="6">
        <v>0</v>
      </c>
      <c r="R2138" s="6">
        <v>16</v>
      </c>
      <c r="S2138" s="6">
        <v>0</v>
      </c>
    </row>
    <row r="2139" spans="1:19" ht="15" x14ac:dyDescent="0.25">
      <c r="A2139" s="7" t="s">
        <v>16</v>
      </c>
      <c r="B2139" s="7" t="s">
        <v>65</v>
      </c>
      <c r="C2139" s="7" t="s">
        <v>66</v>
      </c>
      <c r="D2139" s="3">
        <v>603226000187</v>
      </c>
      <c r="E2139" s="8" t="s">
        <v>103</v>
      </c>
      <c r="F2139" s="8" t="s">
        <v>20</v>
      </c>
      <c r="G2139" s="8" t="s">
        <v>21</v>
      </c>
      <c r="H2139" s="8" t="s">
        <v>795</v>
      </c>
      <c r="I2139" s="3">
        <v>2</v>
      </c>
      <c r="J2139" s="8" t="s">
        <v>756</v>
      </c>
      <c r="K2139" s="8" t="s">
        <v>757</v>
      </c>
      <c r="L2139" s="8" t="s">
        <v>723</v>
      </c>
      <c r="M2139" s="1" t="s">
        <v>786</v>
      </c>
      <c r="N2139" s="8" t="s">
        <v>787</v>
      </c>
      <c r="O2139" s="6">
        <v>0</v>
      </c>
      <c r="P2139" s="6">
        <v>0</v>
      </c>
      <c r="Q2139" s="6">
        <v>0</v>
      </c>
      <c r="R2139" s="6">
        <v>0</v>
      </c>
      <c r="S2139" s="6">
        <v>0</v>
      </c>
    </row>
    <row r="2140" spans="1:19" ht="15" x14ac:dyDescent="0.25">
      <c r="A2140" s="7" t="s">
        <v>16</v>
      </c>
      <c r="B2140" s="7" t="s">
        <v>65</v>
      </c>
      <c r="C2140" s="7" t="s">
        <v>66</v>
      </c>
      <c r="D2140" s="3">
        <v>60884855000316</v>
      </c>
      <c r="E2140" s="8" t="s">
        <v>46</v>
      </c>
      <c r="F2140" s="8" t="s">
        <v>20</v>
      </c>
      <c r="G2140" s="8" t="s">
        <v>21</v>
      </c>
      <c r="H2140" s="8" t="s">
        <v>795</v>
      </c>
      <c r="I2140" s="3">
        <v>2</v>
      </c>
      <c r="J2140" s="8" t="s">
        <v>770</v>
      </c>
      <c r="K2140" s="8" t="s">
        <v>771</v>
      </c>
      <c r="L2140" s="8" t="s">
        <v>730</v>
      </c>
      <c r="M2140" s="1" t="s">
        <v>786</v>
      </c>
      <c r="N2140" s="8" t="s">
        <v>787</v>
      </c>
      <c r="O2140" s="6">
        <v>0</v>
      </c>
      <c r="P2140" s="6">
        <v>0</v>
      </c>
      <c r="Q2140" s="6">
        <v>0</v>
      </c>
      <c r="R2140" s="6">
        <v>0</v>
      </c>
      <c r="S2140" s="6">
        <v>1220</v>
      </c>
    </row>
    <row r="2141" spans="1:19" ht="15" x14ac:dyDescent="0.25">
      <c r="A2141" s="7" t="s">
        <v>16</v>
      </c>
      <c r="B2141" s="7" t="s">
        <v>65</v>
      </c>
      <c r="C2141" s="7" t="s">
        <v>66</v>
      </c>
      <c r="D2141" s="3">
        <v>60884855000316</v>
      </c>
      <c r="E2141" s="8" t="s">
        <v>46</v>
      </c>
      <c r="F2141" s="8" t="s">
        <v>20</v>
      </c>
      <c r="G2141" s="8" t="s">
        <v>21</v>
      </c>
      <c r="H2141" s="8" t="s">
        <v>795</v>
      </c>
      <c r="I2141" s="3">
        <v>2</v>
      </c>
      <c r="J2141" s="8" t="s">
        <v>762</v>
      </c>
      <c r="K2141" s="8" t="s">
        <v>763</v>
      </c>
      <c r="L2141" s="8" t="s">
        <v>723</v>
      </c>
      <c r="M2141" s="1" t="s">
        <v>786</v>
      </c>
      <c r="N2141" s="8" t="s">
        <v>787</v>
      </c>
      <c r="O2141" s="6">
        <v>0</v>
      </c>
      <c r="P2141" s="6">
        <v>0</v>
      </c>
      <c r="Q2141" s="6">
        <v>0</v>
      </c>
      <c r="R2141" s="6">
        <v>0</v>
      </c>
      <c r="S2141" s="6">
        <v>1220</v>
      </c>
    </row>
    <row r="2142" spans="1:19" ht="15" x14ac:dyDescent="0.25">
      <c r="A2142" s="7" t="s">
        <v>16</v>
      </c>
      <c r="B2142" s="7" t="s">
        <v>65</v>
      </c>
      <c r="C2142" s="7" t="s">
        <v>66</v>
      </c>
      <c r="D2142" s="3">
        <v>60448040000122</v>
      </c>
      <c r="E2142" s="8" t="s">
        <v>85</v>
      </c>
      <c r="F2142" s="8" t="s">
        <v>20</v>
      </c>
      <c r="G2142" s="8" t="s">
        <v>21</v>
      </c>
      <c r="H2142" s="8" t="s">
        <v>795</v>
      </c>
      <c r="I2142" s="3">
        <v>2</v>
      </c>
      <c r="J2142" s="8" t="s">
        <v>770</v>
      </c>
      <c r="K2142" s="8" t="s">
        <v>771</v>
      </c>
      <c r="L2142" s="8" t="s">
        <v>730</v>
      </c>
      <c r="M2142" s="1" t="s">
        <v>786</v>
      </c>
      <c r="N2142" s="8" t="s">
        <v>787</v>
      </c>
      <c r="O2142" s="6">
        <v>0</v>
      </c>
      <c r="P2142" s="6">
        <v>0</v>
      </c>
      <c r="Q2142" s="6">
        <v>0</v>
      </c>
      <c r="R2142" s="6">
        <v>0</v>
      </c>
      <c r="S2142" s="6">
        <v>0</v>
      </c>
    </row>
    <row r="2143" spans="1:19" ht="15" x14ac:dyDescent="0.25">
      <c r="A2143" s="7" t="s">
        <v>16</v>
      </c>
      <c r="B2143" s="7" t="s">
        <v>65</v>
      </c>
      <c r="C2143" s="7" t="s">
        <v>66</v>
      </c>
      <c r="D2143" s="3">
        <v>60448040000122</v>
      </c>
      <c r="E2143" s="8" t="s">
        <v>85</v>
      </c>
      <c r="F2143" s="8" t="s">
        <v>20</v>
      </c>
      <c r="G2143" s="8" t="s">
        <v>21</v>
      </c>
      <c r="H2143" s="8" t="s">
        <v>795</v>
      </c>
      <c r="I2143" s="3">
        <v>2</v>
      </c>
      <c r="J2143" s="8" t="s">
        <v>756</v>
      </c>
      <c r="K2143" s="8" t="s">
        <v>757</v>
      </c>
      <c r="L2143" s="8" t="s">
        <v>723</v>
      </c>
      <c r="M2143" s="1" t="s">
        <v>786</v>
      </c>
      <c r="N2143" s="8" t="s">
        <v>787</v>
      </c>
      <c r="O2143" s="6">
        <v>0</v>
      </c>
      <c r="P2143" s="6">
        <v>0</v>
      </c>
      <c r="Q2143" s="6">
        <v>66</v>
      </c>
      <c r="R2143" s="6">
        <v>0</v>
      </c>
      <c r="S2143" s="6">
        <v>0</v>
      </c>
    </row>
    <row r="2144" spans="1:19" ht="15" x14ac:dyDescent="0.25">
      <c r="A2144" s="7" t="s">
        <v>16</v>
      </c>
      <c r="B2144" s="7" t="s">
        <v>65</v>
      </c>
      <c r="C2144" s="7" t="s">
        <v>66</v>
      </c>
      <c r="D2144" s="3">
        <v>60453024000390</v>
      </c>
      <c r="E2144" s="8" t="s">
        <v>86</v>
      </c>
      <c r="F2144" s="8" t="s">
        <v>20</v>
      </c>
      <c r="G2144" s="8" t="s">
        <v>21</v>
      </c>
      <c r="H2144" s="8" t="s">
        <v>795</v>
      </c>
      <c r="I2144" s="3">
        <v>2</v>
      </c>
      <c r="J2144" s="8" t="s">
        <v>740</v>
      </c>
      <c r="K2144" s="8" t="s">
        <v>741</v>
      </c>
      <c r="L2144" s="8" t="s">
        <v>730</v>
      </c>
      <c r="M2144" s="1" t="s">
        <v>786</v>
      </c>
      <c r="N2144" s="8" t="s">
        <v>787</v>
      </c>
      <c r="O2144" s="6">
        <v>0</v>
      </c>
      <c r="P2144" s="6">
        <v>0</v>
      </c>
      <c r="Q2144" s="6">
        <v>0</v>
      </c>
      <c r="R2144" s="6">
        <v>0</v>
      </c>
      <c r="S2144" s="6">
        <v>0</v>
      </c>
    </row>
    <row r="2145" spans="1:19" ht="15" x14ac:dyDescent="0.25">
      <c r="A2145" s="7" t="s">
        <v>16</v>
      </c>
      <c r="B2145" s="7" t="s">
        <v>65</v>
      </c>
      <c r="C2145" s="7" t="s">
        <v>66</v>
      </c>
      <c r="D2145" s="3">
        <v>60453024000390</v>
      </c>
      <c r="E2145" s="8" t="s">
        <v>86</v>
      </c>
      <c r="F2145" s="8" t="s">
        <v>20</v>
      </c>
      <c r="G2145" s="8" t="s">
        <v>21</v>
      </c>
      <c r="H2145" s="8" t="s">
        <v>795</v>
      </c>
      <c r="I2145" s="3">
        <v>2</v>
      </c>
      <c r="J2145" s="8" t="s">
        <v>756</v>
      </c>
      <c r="K2145" s="8" t="s">
        <v>757</v>
      </c>
      <c r="L2145" s="8" t="s">
        <v>723</v>
      </c>
      <c r="M2145" s="1" t="s">
        <v>786</v>
      </c>
      <c r="N2145" s="8" t="s">
        <v>787</v>
      </c>
      <c r="O2145" s="6">
        <v>0</v>
      </c>
      <c r="P2145" s="6">
        <v>0</v>
      </c>
      <c r="Q2145" s="6">
        <v>10</v>
      </c>
      <c r="R2145" s="6">
        <v>0</v>
      </c>
      <c r="S2145" s="6">
        <v>0</v>
      </c>
    </row>
    <row r="2146" spans="1:19" ht="15" x14ac:dyDescent="0.25">
      <c r="A2146" s="7" t="s">
        <v>16</v>
      </c>
      <c r="B2146" s="7" t="s">
        <v>65</v>
      </c>
      <c r="C2146" s="7" t="s">
        <v>66</v>
      </c>
      <c r="D2146" s="3">
        <v>51722957012512</v>
      </c>
      <c r="E2146" s="8" t="s">
        <v>40</v>
      </c>
      <c r="F2146" s="8" t="s">
        <v>20</v>
      </c>
      <c r="G2146" s="8" t="s">
        <v>21</v>
      </c>
      <c r="H2146" s="8" t="s">
        <v>795</v>
      </c>
      <c r="I2146" s="3">
        <v>2</v>
      </c>
      <c r="J2146" s="8" t="s">
        <v>740</v>
      </c>
      <c r="K2146" s="8" t="s">
        <v>741</v>
      </c>
      <c r="L2146" s="8" t="s">
        <v>730</v>
      </c>
      <c r="M2146" s="1" t="s">
        <v>786</v>
      </c>
      <c r="N2146" s="8" t="s">
        <v>787</v>
      </c>
      <c r="O2146" s="6">
        <v>0</v>
      </c>
      <c r="P2146" s="6">
        <v>0</v>
      </c>
      <c r="Q2146" s="6">
        <v>0</v>
      </c>
      <c r="R2146" s="6">
        <v>0</v>
      </c>
      <c r="S2146" s="6">
        <v>280</v>
      </c>
    </row>
    <row r="2147" spans="1:19" ht="15" x14ac:dyDescent="0.25">
      <c r="A2147" s="7" t="s">
        <v>16</v>
      </c>
      <c r="B2147" s="7" t="s">
        <v>65</v>
      </c>
      <c r="C2147" s="7" t="s">
        <v>66</v>
      </c>
      <c r="D2147" s="3">
        <v>51722957012512</v>
      </c>
      <c r="E2147" s="8" t="s">
        <v>40</v>
      </c>
      <c r="F2147" s="8" t="s">
        <v>20</v>
      </c>
      <c r="G2147" s="8" t="s">
        <v>21</v>
      </c>
      <c r="H2147" s="8" t="s">
        <v>795</v>
      </c>
      <c r="I2147" s="3">
        <v>2</v>
      </c>
      <c r="J2147" s="8" t="s">
        <v>762</v>
      </c>
      <c r="K2147" s="8" t="s">
        <v>763</v>
      </c>
      <c r="L2147" s="8" t="s">
        <v>723</v>
      </c>
      <c r="M2147" s="1" t="s">
        <v>786</v>
      </c>
      <c r="N2147" s="8" t="s">
        <v>787</v>
      </c>
      <c r="O2147" s="6">
        <v>0</v>
      </c>
      <c r="P2147" s="6">
        <v>0</v>
      </c>
      <c r="Q2147" s="6">
        <v>0</v>
      </c>
      <c r="R2147" s="6">
        <v>0</v>
      </c>
      <c r="S2147" s="6">
        <v>280</v>
      </c>
    </row>
    <row r="2148" spans="1:19" ht="15" x14ac:dyDescent="0.25">
      <c r="A2148" s="7" t="s">
        <v>16</v>
      </c>
      <c r="B2148" s="7" t="s">
        <v>65</v>
      </c>
      <c r="C2148" s="7" t="s">
        <v>66</v>
      </c>
      <c r="D2148" s="3">
        <v>60678604000113</v>
      </c>
      <c r="E2148" s="8" t="s">
        <v>64</v>
      </c>
      <c r="F2148" s="8" t="s">
        <v>20</v>
      </c>
      <c r="G2148" s="8" t="s">
        <v>21</v>
      </c>
      <c r="H2148" s="8" t="s">
        <v>795</v>
      </c>
      <c r="I2148" s="3">
        <v>2</v>
      </c>
      <c r="J2148" s="8" t="s">
        <v>740</v>
      </c>
      <c r="K2148" s="8" t="s">
        <v>741</v>
      </c>
      <c r="L2148" s="8" t="s">
        <v>730</v>
      </c>
      <c r="M2148" s="1" t="s">
        <v>786</v>
      </c>
      <c r="N2148" s="8" t="s">
        <v>787</v>
      </c>
      <c r="O2148" s="6">
        <v>0</v>
      </c>
      <c r="P2148" s="6">
        <v>0</v>
      </c>
      <c r="Q2148" s="6">
        <v>0</v>
      </c>
      <c r="R2148" s="6">
        <v>0</v>
      </c>
      <c r="S2148" s="6">
        <v>0</v>
      </c>
    </row>
    <row r="2149" spans="1:19" ht="15" x14ac:dyDescent="0.25">
      <c r="A2149" s="7" t="s">
        <v>16</v>
      </c>
      <c r="B2149" s="7" t="s">
        <v>65</v>
      </c>
      <c r="C2149" s="7" t="s">
        <v>66</v>
      </c>
      <c r="D2149" s="3">
        <v>60678604000113</v>
      </c>
      <c r="E2149" s="8" t="s">
        <v>64</v>
      </c>
      <c r="F2149" s="8" t="s">
        <v>20</v>
      </c>
      <c r="G2149" s="8" t="s">
        <v>21</v>
      </c>
      <c r="H2149" s="8" t="s">
        <v>795</v>
      </c>
      <c r="I2149" s="3">
        <v>2</v>
      </c>
      <c r="J2149" s="8" t="s">
        <v>724</v>
      </c>
      <c r="K2149" s="8" t="s">
        <v>725</v>
      </c>
      <c r="L2149" s="8" t="s">
        <v>723</v>
      </c>
      <c r="M2149" s="1" t="s">
        <v>786</v>
      </c>
      <c r="N2149" s="8" t="s">
        <v>787</v>
      </c>
      <c r="O2149" s="6">
        <v>0</v>
      </c>
      <c r="P2149" s="6">
        <v>1</v>
      </c>
      <c r="Q2149" s="6">
        <v>0</v>
      </c>
      <c r="R2149" s="6">
        <v>0</v>
      </c>
      <c r="S2149" s="6">
        <v>0</v>
      </c>
    </row>
    <row r="2150" spans="1:19" ht="15" x14ac:dyDescent="0.25">
      <c r="A2150" s="7" t="s">
        <v>16</v>
      </c>
      <c r="B2150" s="7" t="s">
        <v>65</v>
      </c>
      <c r="C2150" s="7" t="s">
        <v>66</v>
      </c>
      <c r="D2150" s="3">
        <v>29435005004540</v>
      </c>
      <c r="E2150" s="8" t="s">
        <v>35</v>
      </c>
      <c r="F2150" s="8" t="s">
        <v>20</v>
      </c>
      <c r="G2150" s="8" t="s">
        <v>21</v>
      </c>
      <c r="H2150" s="8" t="s">
        <v>795</v>
      </c>
      <c r="I2150" s="3">
        <v>2</v>
      </c>
      <c r="J2150" s="8" t="s">
        <v>740</v>
      </c>
      <c r="K2150" s="8" t="s">
        <v>741</v>
      </c>
      <c r="L2150" s="8" t="s">
        <v>730</v>
      </c>
      <c r="M2150" s="1" t="s">
        <v>786</v>
      </c>
      <c r="N2150" s="8" t="s">
        <v>787</v>
      </c>
      <c r="O2150" s="6">
        <v>0</v>
      </c>
      <c r="P2150" s="6">
        <v>0</v>
      </c>
      <c r="Q2150" s="6">
        <v>0</v>
      </c>
      <c r="R2150" s="6">
        <v>0</v>
      </c>
      <c r="S2150" s="6">
        <v>100</v>
      </c>
    </row>
    <row r="2151" spans="1:19" ht="15" x14ac:dyDescent="0.25">
      <c r="A2151" s="7" t="s">
        <v>16</v>
      </c>
      <c r="B2151" s="7" t="s">
        <v>65</v>
      </c>
      <c r="C2151" s="7" t="s">
        <v>66</v>
      </c>
      <c r="D2151" s="3">
        <v>29435005004540</v>
      </c>
      <c r="E2151" s="8" t="s">
        <v>35</v>
      </c>
      <c r="F2151" s="8" t="s">
        <v>20</v>
      </c>
      <c r="G2151" s="8" t="s">
        <v>21</v>
      </c>
      <c r="H2151" s="8" t="s">
        <v>795</v>
      </c>
      <c r="I2151" s="3">
        <v>2</v>
      </c>
      <c r="J2151" s="8" t="s">
        <v>762</v>
      </c>
      <c r="K2151" s="8" t="s">
        <v>763</v>
      </c>
      <c r="L2151" s="8" t="s">
        <v>723</v>
      </c>
      <c r="M2151" s="1" t="s">
        <v>786</v>
      </c>
      <c r="N2151" s="8" t="s">
        <v>787</v>
      </c>
      <c r="O2151" s="6">
        <v>0</v>
      </c>
      <c r="P2151" s="6">
        <v>0</v>
      </c>
      <c r="Q2151" s="6">
        <v>0</v>
      </c>
      <c r="R2151" s="6">
        <v>0</v>
      </c>
      <c r="S2151" s="6">
        <v>100</v>
      </c>
    </row>
    <row r="2152" spans="1:19" ht="15" x14ac:dyDescent="0.25">
      <c r="A2152" s="7" t="s">
        <v>16</v>
      </c>
      <c r="B2152" s="7" t="s">
        <v>65</v>
      </c>
      <c r="C2152" s="7" t="s">
        <v>66</v>
      </c>
      <c r="D2152" s="3">
        <v>60777901000116</v>
      </c>
      <c r="E2152" s="8" t="s">
        <v>45</v>
      </c>
      <c r="F2152" s="8" t="s">
        <v>20</v>
      </c>
      <c r="G2152" s="8" t="s">
        <v>21</v>
      </c>
      <c r="H2152" s="8" t="s">
        <v>795</v>
      </c>
      <c r="I2152" s="3">
        <v>2</v>
      </c>
      <c r="J2152" s="8" t="s">
        <v>740</v>
      </c>
      <c r="K2152" s="8" t="s">
        <v>741</v>
      </c>
      <c r="L2152" s="8" t="s">
        <v>730</v>
      </c>
      <c r="M2152" s="1" t="s">
        <v>786</v>
      </c>
      <c r="N2152" s="8" t="s">
        <v>787</v>
      </c>
      <c r="O2152" s="6">
        <v>0</v>
      </c>
      <c r="P2152" s="6">
        <v>0</v>
      </c>
      <c r="Q2152" s="6">
        <v>0</v>
      </c>
      <c r="R2152" s="6">
        <v>0</v>
      </c>
      <c r="S2152" s="6">
        <v>750</v>
      </c>
    </row>
    <row r="2153" spans="1:19" ht="15" x14ac:dyDescent="0.25">
      <c r="A2153" s="7" t="s">
        <v>16</v>
      </c>
      <c r="B2153" s="7" t="s">
        <v>65</v>
      </c>
      <c r="C2153" s="7" t="s">
        <v>66</v>
      </c>
      <c r="D2153" s="3">
        <v>60777901000116</v>
      </c>
      <c r="E2153" s="8" t="s">
        <v>45</v>
      </c>
      <c r="F2153" s="8" t="s">
        <v>20</v>
      </c>
      <c r="G2153" s="8" t="s">
        <v>21</v>
      </c>
      <c r="H2153" s="8" t="s">
        <v>795</v>
      </c>
      <c r="I2153" s="3">
        <v>2</v>
      </c>
      <c r="J2153" s="8" t="s">
        <v>762</v>
      </c>
      <c r="K2153" s="8" t="s">
        <v>763</v>
      </c>
      <c r="L2153" s="8" t="s">
        <v>723</v>
      </c>
      <c r="M2153" s="1" t="s">
        <v>786</v>
      </c>
      <c r="N2153" s="8" t="s">
        <v>787</v>
      </c>
      <c r="O2153" s="6">
        <v>0</v>
      </c>
      <c r="P2153" s="6">
        <v>0</v>
      </c>
      <c r="Q2153" s="6">
        <v>0</v>
      </c>
      <c r="R2153" s="6">
        <v>0</v>
      </c>
      <c r="S2153" s="6">
        <v>750</v>
      </c>
    </row>
    <row r="2154" spans="1:19" ht="15" x14ac:dyDescent="0.25">
      <c r="A2154" s="7" t="s">
        <v>16</v>
      </c>
      <c r="B2154" s="7" t="s">
        <v>65</v>
      </c>
      <c r="C2154" s="7" t="s">
        <v>66</v>
      </c>
      <c r="D2154" s="3">
        <v>56577059000606</v>
      </c>
      <c r="E2154" s="8" t="s">
        <v>84</v>
      </c>
      <c r="F2154" s="8" t="s">
        <v>20</v>
      </c>
      <c r="G2154" s="8" t="s">
        <v>21</v>
      </c>
      <c r="H2154" s="8" t="s">
        <v>795</v>
      </c>
      <c r="I2154" s="3">
        <v>2</v>
      </c>
      <c r="J2154" s="8" t="s">
        <v>770</v>
      </c>
      <c r="K2154" s="8" t="s">
        <v>771</v>
      </c>
      <c r="L2154" s="8" t="s">
        <v>730</v>
      </c>
      <c r="M2154" s="1" t="s">
        <v>786</v>
      </c>
      <c r="N2154" s="8" t="s">
        <v>787</v>
      </c>
      <c r="O2154" s="6">
        <v>0</v>
      </c>
      <c r="P2154" s="6">
        <v>0</v>
      </c>
      <c r="Q2154" s="6">
        <v>0</v>
      </c>
      <c r="R2154" s="6">
        <v>0</v>
      </c>
      <c r="S2154" s="6">
        <v>0</v>
      </c>
    </row>
    <row r="2155" spans="1:19" ht="15" x14ac:dyDescent="0.25">
      <c r="A2155" s="7" t="s">
        <v>16</v>
      </c>
      <c r="B2155" s="7" t="s">
        <v>65</v>
      </c>
      <c r="C2155" s="7" t="s">
        <v>66</v>
      </c>
      <c r="D2155" s="3">
        <v>56577059000606</v>
      </c>
      <c r="E2155" s="8" t="s">
        <v>84</v>
      </c>
      <c r="F2155" s="8" t="s">
        <v>20</v>
      </c>
      <c r="G2155" s="8" t="s">
        <v>21</v>
      </c>
      <c r="H2155" s="8" t="s">
        <v>795</v>
      </c>
      <c r="I2155" s="3">
        <v>2</v>
      </c>
      <c r="J2155" s="8" t="s">
        <v>756</v>
      </c>
      <c r="K2155" s="8" t="s">
        <v>757</v>
      </c>
      <c r="L2155" s="8" t="s">
        <v>723</v>
      </c>
      <c r="M2155" s="1" t="s">
        <v>786</v>
      </c>
      <c r="N2155" s="8" t="s">
        <v>787</v>
      </c>
      <c r="O2155" s="6">
        <v>0</v>
      </c>
      <c r="P2155" s="6">
        <v>30</v>
      </c>
      <c r="Q2155" s="6">
        <v>0</v>
      </c>
      <c r="R2155" s="6">
        <v>0</v>
      </c>
      <c r="S2155" s="6">
        <v>0</v>
      </c>
    </row>
    <row r="2156" spans="1:19" ht="15" x14ac:dyDescent="0.25">
      <c r="A2156" s="7" t="s">
        <v>16</v>
      </c>
      <c r="B2156" s="7" t="s">
        <v>65</v>
      </c>
      <c r="C2156" s="7" t="s">
        <v>66</v>
      </c>
      <c r="D2156" s="3">
        <v>44649812005520</v>
      </c>
      <c r="E2156" s="8" t="s">
        <v>38</v>
      </c>
      <c r="F2156" s="8" t="s">
        <v>20</v>
      </c>
      <c r="G2156" s="8" t="s">
        <v>21</v>
      </c>
      <c r="H2156" s="8" t="s">
        <v>795</v>
      </c>
      <c r="I2156" s="3">
        <v>2</v>
      </c>
      <c r="J2156" s="8" t="s">
        <v>740</v>
      </c>
      <c r="K2156" s="8" t="s">
        <v>741</v>
      </c>
      <c r="L2156" s="8" t="s">
        <v>730</v>
      </c>
      <c r="M2156" s="1" t="s">
        <v>786</v>
      </c>
      <c r="N2156" s="8" t="s">
        <v>787</v>
      </c>
      <c r="O2156" s="6">
        <v>0</v>
      </c>
      <c r="P2156" s="6">
        <v>0</v>
      </c>
      <c r="Q2156" s="6">
        <v>0</v>
      </c>
      <c r="R2156" s="6">
        <v>0</v>
      </c>
      <c r="S2156" s="6">
        <v>70</v>
      </c>
    </row>
    <row r="2157" spans="1:19" ht="15" x14ac:dyDescent="0.25">
      <c r="A2157" s="7" t="s">
        <v>16</v>
      </c>
      <c r="B2157" s="7" t="s">
        <v>65</v>
      </c>
      <c r="C2157" s="7" t="s">
        <v>66</v>
      </c>
      <c r="D2157" s="3">
        <v>44649812005520</v>
      </c>
      <c r="E2157" s="8" t="s">
        <v>38</v>
      </c>
      <c r="F2157" s="8" t="s">
        <v>20</v>
      </c>
      <c r="G2157" s="8" t="s">
        <v>21</v>
      </c>
      <c r="H2157" s="8" t="s">
        <v>795</v>
      </c>
      <c r="I2157" s="3">
        <v>2</v>
      </c>
      <c r="J2157" s="8" t="s">
        <v>724</v>
      </c>
      <c r="K2157" s="8" t="s">
        <v>725</v>
      </c>
      <c r="L2157" s="8" t="s">
        <v>723</v>
      </c>
      <c r="M2157" s="1" t="s">
        <v>786</v>
      </c>
      <c r="N2157" s="8" t="s">
        <v>787</v>
      </c>
      <c r="O2157" s="6">
        <v>0</v>
      </c>
      <c r="P2157" s="6">
        <v>0</v>
      </c>
      <c r="Q2157" s="6">
        <v>0</v>
      </c>
      <c r="R2157" s="6">
        <v>0</v>
      </c>
      <c r="S2157" s="6">
        <v>70</v>
      </c>
    </row>
    <row r="2158" spans="1:19" ht="15" x14ac:dyDescent="0.25">
      <c r="A2158" s="7" t="s">
        <v>16</v>
      </c>
      <c r="B2158" s="7" t="s">
        <v>65</v>
      </c>
      <c r="C2158" s="7" t="s">
        <v>66</v>
      </c>
      <c r="D2158" s="3">
        <v>4036348000190</v>
      </c>
      <c r="E2158" s="8" t="s">
        <v>23</v>
      </c>
      <c r="F2158" s="8" t="s">
        <v>20</v>
      </c>
      <c r="G2158" s="8" t="s">
        <v>21</v>
      </c>
      <c r="H2158" s="8" t="s">
        <v>795</v>
      </c>
      <c r="I2158" s="3">
        <v>2</v>
      </c>
      <c r="J2158" s="8" t="s">
        <v>740</v>
      </c>
      <c r="K2158" s="8" t="s">
        <v>741</v>
      </c>
      <c r="L2158" s="8" t="s">
        <v>730</v>
      </c>
      <c r="M2158" s="1" t="s">
        <v>786</v>
      </c>
      <c r="N2158" s="8" t="s">
        <v>787</v>
      </c>
      <c r="O2158" s="6">
        <v>0</v>
      </c>
      <c r="P2158" s="6">
        <v>0</v>
      </c>
      <c r="Q2158" s="6">
        <v>0</v>
      </c>
      <c r="R2158" s="6">
        <v>0</v>
      </c>
      <c r="S2158" s="6">
        <v>15</v>
      </c>
    </row>
    <row r="2159" spans="1:19" ht="15" x14ac:dyDescent="0.25">
      <c r="A2159" s="7" t="s">
        <v>16</v>
      </c>
      <c r="B2159" s="7" t="s">
        <v>65</v>
      </c>
      <c r="C2159" s="7" t="s">
        <v>66</v>
      </c>
      <c r="D2159" s="3">
        <v>4036348000190</v>
      </c>
      <c r="E2159" s="8" t="s">
        <v>23</v>
      </c>
      <c r="F2159" s="8" t="s">
        <v>20</v>
      </c>
      <c r="G2159" s="8" t="s">
        <v>21</v>
      </c>
      <c r="H2159" s="8" t="s">
        <v>795</v>
      </c>
      <c r="I2159" s="3">
        <v>2</v>
      </c>
      <c r="J2159" s="8" t="s">
        <v>724</v>
      </c>
      <c r="K2159" s="8" t="s">
        <v>725</v>
      </c>
      <c r="L2159" s="8" t="s">
        <v>723</v>
      </c>
      <c r="M2159" s="1" t="s">
        <v>786</v>
      </c>
      <c r="N2159" s="8" t="s">
        <v>787</v>
      </c>
      <c r="O2159" s="6">
        <v>0</v>
      </c>
      <c r="P2159" s="6">
        <v>0</v>
      </c>
      <c r="Q2159" s="6">
        <v>0</v>
      </c>
      <c r="R2159" s="6">
        <v>0</v>
      </c>
      <c r="S2159" s="6">
        <v>15</v>
      </c>
    </row>
    <row r="2160" spans="1:19" ht="15" x14ac:dyDescent="0.25">
      <c r="A2160" s="7" t="s">
        <v>16</v>
      </c>
      <c r="B2160" s="7" t="s">
        <v>65</v>
      </c>
      <c r="C2160" s="7" t="s">
        <v>66</v>
      </c>
      <c r="D2160" s="3">
        <v>61599908000158</v>
      </c>
      <c r="E2160" s="8" t="s">
        <v>89</v>
      </c>
      <c r="F2160" s="8" t="s">
        <v>20</v>
      </c>
      <c r="G2160" s="8" t="s">
        <v>21</v>
      </c>
      <c r="H2160" s="8" t="s">
        <v>795</v>
      </c>
      <c r="I2160" s="3">
        <v>2</v>
      </c>
      <c r="J2160" s="8" t="s">
        <v>740</v>
      </c>
      <c r="K2160" s="8" t="s">
        <v>741</v>
      </c>
      <c r="L2160" s="8" t="s">
        <v>730</v>
      </c>
      <c r="M2160" s="1" t="s">
        <v>786</v>
      </c>
      <c r="N2160" s="8" t="s">
        <v>787</v>
      </c>
      <c r="O2160" s="6">
        <v>0</v>
      </c>
      <c r="P2160" s="6">
        <v>0</v>
      </c>
      <c r="Q2160" s="6">
        <v>0</v>
      </c>
      <c r="R2160" s="6">
        <v>0</v>
      </c>
      <c r="S2160" s="6">
        <v>0</v>
      </c>
    </row>
    <row r="2161" spans="1:19" ht="15" x14ac:dyDescent="0.25">
      <c r="A2161" s="7" t="s">
        <v>16</v>
      </c>
      <c r="B2161" s="7" t="s">
        <v>65</v>
      </c>
      <c r="C2161" s="7" t="s">
        <v>66</v>
      </c>
      <c r="D2161" s="3">
        <v>61599908000158</v>
      </c>
      <c r="E2161" s="8" t="s">
        <v>89</v>
      </c>
      <c r="F2161" s="8" t="s">
        <v>20</v>
      </c>
      <c r="G2161" s="8" t="s">
        <v>21</v>
      </c>
      <c r="H2161" s="8" t="s">
        <v>795</v>
      </c>
      <c r="I2161" s="3">
        <v>2</v>
      </c>
      <c r="J2161" s="8" t="s">
        <v>762</v>
      </c>
      <c r="K2161" s="8" t="s">
        <v>763</v>
      </c>
      <c r="L2161" s="8" t="s">
        <v>723</v>
      </c>
      <c r="M2161" s="1" t="s">
        <v>786</v>
      </c>
      <c r="N2161" s="8" t="s">
        <v>787</v>
      </c>
      <c r="O2161" s="6">
        <v>0</v>
      </c>
      <c r="P2161" s="6">
        <v>0</v>
      </c>
      <c r="Q2161" s="6">
        <v>10</v>
      </c>
      <c r="R2161" s="6">
        <v>0</v>
      </c>
      <c r="S2161" s="6">
        <v>0</v>
      </c>
    </row>
    <row r="2162" spans="1:19" ht="15" x14ac:dyDescent="0.25">
      <c r="A2162" s="7" t="s">
        <v>16</v>
      </c>
      <c r="B2162" s="7" t="s">
        <v>65</v>
      </c>
      <c r="C2162" s="7" t="s">
        <v>66</v>
      </c>
      <c r="D2162" s="3">
        <v>7045325000130</v>
      </c>
      <c r="E2162" s="8" t="s">
        <v>57</v>
      </c>
      <c r="F2162" s="8" t="s">
        <v>20</v>
      </c>
      <c r="G2162" s="8" t="s">
        <v>21</v>
      </c>
      <c r="H2162" s="8" t="s">
        <v>795</v>
      </c>
      <c r="I2162" s="3">
        <v>2</v>
      </c>
      <c r="J2162" s="8" t="s">
        <v>740</v>
      </c>
      <c r="K2162" s="8" t="s">
        <v>741</v>
      </c>
      <c r="L2162" s="8" t="s">
        <v>730</v>
      </c>
      <c r="M2162" s="1" t="s">
        <v>786</v>
      </c>
      <c r="N2162" s="8" t="s">
        <v>787</v>
      </c>
      <c r="O2162" s="6">
        <v>0</v>
      </c>
      <c r="P2162" s="6">
        <v>0</v>
      </c>
      <c r="Q2162" s="6">
        <v>0</v>
      </c>
      <c r="R2162" s="6">
        <v>40</v>
      </c>
      <c r="S2162" s="6">
        <v>0</v>
      </c>
    </row>
    <row r="2163" spans="1:19" ht="15" x14ac:dyDescent="0.25">
      <c r="A2163" s="7" t="s">
        <v>16</v>
      </c>
      <c r="B2163" s="7" t="s">
        <v>65</v>
      </c>
      <c r="C2163" s="7" t="s">
        <v>66</v>
      </c>
      <c r="D2163" s="3">
        <v>7045325000130</v>
      </c>
      <c r="E2163" s="8" t="s">
        <v>57</v>
      </c>
      <c r="F2163" s="8" t="s">
        <v>20</v>
      </c>
      <c r="G2163" s="8" t="s">
        <v>21</v>
      </c>
      <c r="H2163" s="8" t="s">
        <v>795</v>
      </c>
      <c r="I2163" s="3">
        <v>2</v>
      </c>
      <c r="J2163" s="8" t="s">
        <v>724</v>
      </c>
      <c r="K2163" s="8" t="s">
        <v>725</v>
      </c>
      <c r="L2163" s="8" t="s">
        <v>723</v>
      </c>
      <c r="M2163" s="1" t="s">
        <v>786</v>
      </c>
      <c r="N2163" s="8" t="s">
        <v>787</v>
      </c>
      <c r="O2163" s="6">
        <v>0</v>
      </c>
      <c r="P2163" s="6">
        <v>0</v>
      </c>
      <c r="Q2163" s="6">
        <v>0</v>
      </c>
      <c r="R2163" s="6">
        <v>0</v>
      </c>
      <c r="S2163" s="6">
        <v>0</v>
      </c>
    </row>
    <row r="2164" spans="1:19" ht="15" x14ac:dyDescent="0.25">
      <c r="A2164" s="7" t="s">
        <v>16</v>
      </c>
      <c r="B2164" s="7" t="s">
        <v>65</v>
      </c>
      <c r="C2164" s="7" t="s">
        <v>66</v>
      </c>
      <c r="D2164" s="3">
        <v>60961422000155</v>
      </c>
      <c r="E2164" s="8" t="s">
        <v>49</v>
      </c>
      <c r="F2164" s="8" t="s">
        <v>20</v>
      </c>
      <c r="G2164" s="8" t="s">
        <v>21</v>
      </c>
      <c r="H2164" s="8" t="s">
        <v>795</v>
      </c>
      <c r="I2164" s="3">
        <v>2</v>
      </c>
      <c r="J2164" s="8" t="s">
        <v>740</v>
      </c>
      <c r="K2164" s="8" t="s">
        <v>741</v>
      </c>
      <c r="L2164" s="8" t="s">
        <v>730</v>
      </c>
      <c r="M2164" s="1" t="s">
        <v>786</v>
      </c>
      <c r="N2164" s="8" t="s">
        <v>787</v>
      </c>
      <c r="O2164" s="6">
        <v>0</v>
      </c>
      <c r="P2164" s="6">
        <v>0</v>
      </c>
      <c r="Q2164" s="6">
        <v>0</v>
      </c>
      <c r="R2164" s="6">
        <v>0</v>
      </c>
      <c r="S2164" s="6">
        <v>0</v>
      </c>
    </row>
    <row r="2165" spans="1:19" ht="15" x14ac:dyDescent="0.25">
      <c r="A2165" s="7" t="s">
        <v>16</v>
      </c>
      <c r="B2165" s="7" t="s">
        <v>65</v>
      </c>
      <c r="C2165" s="7" t="s">
        <v>66</v>
      </c>
      <c r="D2165" s="3">
        <v>60961422000155</v>
      </c>
      <c r="E2165" s="8" t="s">
        <v>49</v>
      </c>
      <c r="F2165" s="8" t="s">
        <v>20</v>
      </c>
      <c r="G2165" s="8" t="s">
        <v>21</v>
      </c>
      <c r="H2165" s="8" t="s">
        <v>795</v>
      </c>
      <c r="I2165" s="3">
        <v>2</v>
      </c>
      <c r="J2165" s="8" t="s">
        <v>724</v>
      </c>
      <c r="K2165" s="8" t="s">
        <v>725</v>
      </c>
      <c r="L2165" s="8" t="s">
        <v>723</v>
      </c>
      <c r="M2165" s="1" t="s">
        <v>786</v>
      </c>
      <c r="N2165" s="8" t="s">
        <v>787</v>
      </c>
      <c r="O2165" s="6">
        <v>0</v>
      </c>
      <c r="P2165" s="6">
        <v>2</v>
      </c>
      <c r="Q2165" s="6">
        <v>4</v>
      </c>
      <c r="R2165" s="6">
        <v>0</v>
      </c>
      <c r="S2165" s="6">
        <v>0</v>
      </c>
    </row>
    <row r="2166" spans="1:19" ht="15" x14ac:dyDescent="0.25">
      <c r="A2166" s="7" t="s">
        <v>16</v>
      </c>
      <c r="B2166" s="7" t="s">
        <v>65</v>
      </c>
      <c r="C2166" s="7" t="s">
        <v>66</v>
      </c>
      <c r="D2166" s="3">
        <v>61590410000124</v>
      </c>
      <c r="E2166" s="8" t="s">
        <v>53</v>
      </c>
      <c r="F2166" s="8" t="s">
        <v>20</v>
      </c>
      <c r="G2166" s="8" t="s">
        <v>21</v>
      </c>
      <c r="H2166" s="8" t="s">
        <v>795</v>
      </c>
      <c r="I2166" s="3">
        <v>2</v>
      </c>
      <c r="J2166" s="8" t="s">
        <v>740</v>
      </c>
      <c r="K2166" s="8" t="s">
        <v>741</v>
      </c>
      <c r="L2166" s="8" t="s">
        <v>730</v>
      </c>
      <c r="M2166" s="1" t="s">
        <v>786</v>
      </c>
      <c r="N2166" s="8" t="s">
        <v>787</v>
      </c>
      <c r="O2166" s="6">
        <v>0</v>
      </c>
      <c r="P2166" s="6">
        <v>0</v>
      </c>
      <c r="Q2166" s="6">
        <v>0</v>
      </c>
      <c r="R2166" s="6">
        <v>0</v>
      </c>
      <c r="S2166" s="6">
        <v>0</v>
      </c>
    </row>
    <row r="2167" spans="1:19" ht="15" x14ac:dyDescent="0.25">
      <c r="A2167" s="7" t="s">
        <v>16</v>
      </c>
      <c r="B2167" s="7" t="s">
        <v>65</v>
      </c>
      <c r="C2167" s="7" t="s">
        <v>66</v>
      </c>
      <c r="D2167" s="3">
        <v>61590410000124</v>
      </c>
      <c r="E2167" s="8" t="s">
        <v>53</v>
      </c>
      <c r="F2167" s="8" t="s">
        <v>20</v>
      </c>
      <c r="G2167" s="8" t="s">
        <v>21</v>
      </c>
      <c r="H2167" s="8" t="s">
        <v>795</v>
      </c>
      <c r="I2167" s="3">
        <v>2</v>
      </c>
      <c r="J2167" s="8" t="s">
        <v>756</v>
      </c>
      <c r="K2167" s="8" t="s">
        <v>757</v>
      </c>
      <c r="L2167" s="8" t="s">
        <v>723</v>
      </c>
      <c r="M2167" s="1" t="s">
        <v>786</v>
      </c>
      <c r="N2167" s="8" t="s">
        <v>787</v>
      </c>
      <c r="O2167" s="6">
        <v>0</v>
      </c>
      <c r="P2167" s="6">
        <v>6</v>
      </c>
      <c r="Q2167" s="6">
        <v>7</v>
      </c>
      <c r="R2167" s="6">
        <v>0</v>
      </c>
      <c r="S2167" s="6">
        <v>0</v>
      </c>
    </row>
    <row r="2168" spans="1:19" ht="15" x14ac:dyDescent="0.25">
      <c r="A2168" s="7" t="s">
        <v>16</v>
      </c>
      <c r="B2168" s="7" t="s">
        <v>65</v>
      </c>
      <c r="C2168" s="7" t="s">
        <v>66</v>
      </c>
      <c r="D2168" s="3">
        <v>20812223000241</v>
      </c>
      <c r="E2168" s="8" t="s">
        <v>81</v>
      </c>
      <c r="F2168" s="8" t="s">
        <v>20</v>
      </c>
      <c r="G2168" s="8" t="s">
        <v>21</v>
      </c>
      <c r="H2168" s="8" t="s">
        <v>795</v>
      </c>
      <c r="I2168" s="3">
        <v>2</v>
      </c>
      <c r="J2168" s="8" t="s">
        <v>740</v>
      </c>
      <c r="K2168" s="8" t="s">
        <v>741</v>
      </c>
      <c r="L2168" s="8" t="s">
        <v>730</v>
      </c>
      <c r="M2168" s="1" t="s">
        <v>786</v>
      </c>
      <c r="N2168" s="8" t="s">
        <v>787</v>
      </c>
      <c r="O2168" s="6">
        <v>0</v>
      </c>
      <c r="P2168" s="6">
        <v>0</v>
      </c>
      <c r="Q2168" s="6">
        <v>0</v>
      </c>
      <c r="R2168" s="6">
        <v>20</v>
      </c>
      <c r="S2168" s="6">
        <v>0</v>
      </c>
    </row>
    <row r="2169" spans="1:19" ht="15" x14ac:dyDescent="0.25">
      <c r="A2169" s="7" t="s">
        <v>16</v>
      </c>
      <c r="B2169" s="7" t="s">
        <v>65</v>
      </c>
      <c r="C2169" s="7" t="s">
        <v>66</v>
      </c>
      <c r="D2169" s="3">
        <v>20812223000241</v>
      </c>
      <c r="E2169" s="8" t="s">
        <v>81</v>
      </c>
      <c r="F2169" s="8" t="s">
        <v>20</v>
      </c>
      <c r="G2169" s="8" t="s">
        <v>21</v>
      </c>
      <c r="H2169" s="8" t="s">
        <v>795</v>
      </c>
      <c r="I2169" s="3">
        <v>2</v>
      </c>
      <c r="J2169" s="8" t="s">
        <v>724</v>
      </c>
      <c r="K2169" s="8" t="s">
        <v>725</v>
      </c>
      <c r="L2169" s="8" t="s">
        <v>723</v>
      </c>
      <c r="M2169" s="1" t="s">
        <v>786</v>
      </c>
      <c r="N2169" s="8" t="s">
        <v>787</v>
      </c>
      <c r="O2169" s="6">
        <v>0</v>
      </c>
      <c r="P2169" s="6">
        <v>0</v>
      </c>
      <c r="Q2169" s="6">
        <v>0</v>
      </c>
      <c r="R2169" s="6">
        <v>0</v>
      </c>
      <c r="S2169" s="6">
        <v>0</v>
      </c>
    </row>
    <row r="2170" spans="1:19" ht="15" x14ac:dyDescent="0.25">
      <c r="A2170" s="7" t="s">
        <v>16</v>
      </c>
      <c r="B2170" s="7" t="s">
        <v>65</v>
      </c>
      <c r="C2170" s="7" t="s">
        <v>66</v>
      </c>
      <c r="D2170" s="3">
        <v>46124624002599</v>
      </c>
      <c r="E2170" s="8" t="s">
        <v>157</v>
      </c>
      <c r="F2170" s="8" t="s">
        <v>158</v>
      </c>
      <c r="G2170" s="8" t="s">
        <v>21</v>
      </c>
      <c r="H2170" s="8" t="s">
        <v>795</v>
      </c>
      <c r="I2170" s="3">
        <v>2</v>
      </c>
      <c r="J2170" s="8" t="s">
        <v>728</v>
      </c>
      <c r="K2170" s="8" t="s">
        <v>729</v>
      </c>
      <c r="L2170" s="8" t="s">
        <v>730</v>
      </c>
      <c r="M2170" s="1" t="s">
        <v>786</v>
      </c>
      <c r="N2170" s="8" t="s">
        <v>787</v>
      </c>
      <c r="O2170" s="6">
        <v>0</v>
      </c>
      <c r="P2170" s="6">
        <v>0</v>
      </c>
      <c r="Q2170" s="6">
        <v>0</v>
      </c>
      <c r="R2170" s="6">
        <v>120</v>
      </c>
      <c r="S2170" s="6">
        <v>0</v>
      </c>
    </row>
    <row r="2171" spans="1:19" ht="15" x14ac:dyDescent="0.25">
      <c r="A2171" s="7" t="s">
        <v>16</v>
      </c>
      <c r="B2171" s="7" t="s">
        <v>65</v>
      </c>
      <c r="C2171" s="7" t="s">
        <v>66</v>
      </c>
      <c r="D2171" s="3">
        <v>46124624002599</v>
      </c>
      <c r="E2171" s="8" t="s">
        <v>157</v>
      </c>
      <c r="F2171" s="8" t="s">
        <v>158</v>
      </c>
      <c r="G2171" s="8" t="s">
        <v>21</v>
      </c>
      <c r="H2171" s="8" t="s">
        <v>795</v>
      </c>
      <c r="I2171" s="3">
        <v>2</v>
      </c>
      <c r="J2171" s="8" t="s">
        <v>726</v>
      </c>
      <c r="K2171" s="8" t="s">
        <v>727</v>
      </c>
      <c r="L2171" s="8" t="s">
        <v>723</v>
      </c>
      <c r="M2171" s="1" t="s">
        <v>786</v>
      </c>
      <c r="N2171" s="8" t="s">
        <v>787</v>
      </c>
      <c r="O2171" s="6">
        <v>0</v>
      </c>
      <c r="P2171" s="6">
        <v>0</v>
      </c>
      <c r="Q2171" s="6">
        <v>0</v>
      </c>
      <c r="R2171" s="6">
        <v>0</v>
      </c>
      <c r="S2171" s="6">
        <v>0</v>
      </c>
    </row>
  </sheetData>
  <phoneticPr fontId="5" type="noConversion"/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9E803-6553-4232-8A1C-EC613EB345BC}">
  <sheetPr>
    <tabColor theme="4" tint="-0.249977111117893"/>
  </sheetPr>
  <dimension ref="A1:G433"/>
  <sheetViews>
    <sheetView showGridLines="0" workbookViewId="0">
      <pane ySplit="5" topLeftCell="A6" activePane="bottomLeft" state="frozen"/>
      <selection pane="bottomLeft" activeCell="G6" sqref="G6"/>
    </sheetView>
  </sheetViews>
  <sheetFormatPr defaultRowHeight="12.75" x14ac:dyDescent="0.2"/>
  <cols>
    <col min="1" max="1" width="11" style="11" bestFit="1" customWidth="1"/>
    <col min="2" max="2" width="11.140625" style="11" bestFit="1" customWidth="1"/>
    <col min="3" max="3" width="9.85546875" style="11" bestFit="1" customWidth="1"/>
    <col min="4" max="4" width="15.140625" style="11" bestFit="1" customWidth="1"/>
    <col min="5" max="5" width="67.5703125" style="11" bestFit="1" customWidth="1"/>
    <col min="6" max="6" width="18.5703125" style="11" bestFit="1" customWidth="1"/>
    <col min="7" max="7" width="14.42578125" style="11" bestFit="1" customWidth="1"/>
    <col min="8" max="8" width="14.85546875" style="11" bestFit="1" customWidth="1"/>
    <col min="9" max="9" width="17.42578125" style="11" bestFit="1" customWidth="1"/>
    <col min="10" max="10" width="13.7109375" style="11" bestFit="1" customWidth="1"/>
    <col min="11" max="11" width="12" style="11" bestFit="1" customWidth="1"/>
    <col min="12" max="12" width="67.5703125" style="11" bestFit="1" customWidth="1"/>
    <col min="13" max="13" width="18.5703125" style="11" bestFit="1" customWidth="1"/>
    <col min="14" max="14" width="6.140625" style="11" bestFit="1" customWidth="1"/>
    <col min="15" max="16384" width="9.140625" style="11"/>
  </cols>
  <sheetData>
    <row r="1" spans="1:7" s="158" customFormat="1" ht="18.75" x14ac:dyDescent="0.25">
      <c r="A1" s="48" t="s">
        <v>1148</v>
      </c>
    </row>
    <row r="2" spans="1:7" s="3" customFormat="1" x14ac:dyDescent="0.25"/>
    <row r="3" spans="1:7" s="3" customFormat="1" x14ac:dyDescent="0.25"/>
    <row r="4" spans="1:7" s="3" customFormat="1" x14ac:dyDescent="0.25"/>
    <row r="5" spans="1:7" x14ac:dyDescent="0.2">
      <c r="A5" s="11" t="s">
        <v>2</v>
      </c>
      <c r="B5" s="11" t="s">
        <v>3</v>
      </c>
      <c r="C5" s="11" t="s">
        <v>4</v>
      </c>
      <c r="D5" s="11" t="s">
        <v>9</v>
      </c>
      <c r="E5" s="11" t="s">
        <v>1027</v>
      </c>
      <c r="F5" s="11" t="s">
        <v>1028</v>
      </c>
      <c r="G5" s="11" t="s">
        <v>1029</v>
      </c>
    </row>
    <row r="6" spans="1:7" x14ac:dyDescent="0.2">
      <c r="A6" s="7" t="s">
        <v>16</v>
      </c>
      <c r="B6" s="7" t="s">
        <v>17</v>
      </c>
      <c r="C6" s="7" t="s">
        <v>18</v>
      </c>
      <c r="D6" s="159">
        <v>88317000121</v>
      </c>
      <c r="E6" s="47" t="s">
        <v>1030</v>
      </c>
      <c r="F6" s="47" t="s">
        <v>1031</v>
      </c>
      <c r="G6" s="160">
        <v>39454.839999999997</v>
      </c>
    </row>
    <row r="7" spans="1:7" x14ac:dyDescent="0.2">
      <c r="A7" s="7" t="s">
        <v>16</v>
      </c>
      <c r="B7" s="7" t="s">
        <v>17</v>
      </c>
      <c r="C7" s="7" t="s">
        <v>18</v>
      </c>
      <c r="D7" s="159">
        <v>88317000121</v>
      </c>
      <c r="E7" s="47" t="s">
        <v>1030</v>
      </c>
      <c r="F7" s="47" t="s">
        <v>1003</v>
      </c>
      <c r="G7" s="160">
        <v>28869.599999999999</v>
      </c>
    </row>
    <row r="8" spans="1:7" x14ac:dyDescent="0.2">
      <c r="A8" s="7" t="s">
        <v>16</v>
      </c>
      <c r="B8" s="7" t="s">
        <v>17</v>
      </c>
      <c r="C8" s="7" t="s">
        <v>18</v>
      </c>
      <c r="D8" s="159">
        <v>394544020100</v>
      </c>
      <c r="E8" s="47" t="s">
        <v>1032</v>
      </c>
      <c r="F8" s="47" t="s">
        <v>1002</v>
      </c>
      <c r="G8" s="160">
        <v>137824</v>
      </c>
    </row>
    <row r="9" spans="1:7" x14ac:dyDescent="0.2">
      <c r="A9" s="7" t="s">
        <v>16</v>
      </c>
      <c r="B9" s="7" t="s">
        <v>17</v>
      </c>
      <c r="C9" s="7" t="s">
        <v>18</v>
      </c>
      <c r="D9" s="159">
        <v>394544020291</v>
      </c>
      <c r="E9" s="47" t="s">
        <v>1033</v>
      </c>
      <c r="F9" s="47" t="s">
        <v>1002</v>
      </c>
      <c r="G9" s="160">
        <v>207680</v>
      </c>
    </row>
    <row r="10" spans="1:7" x14ac:dyDescent="0.2">
      <c r="A10" s="7" t="s">
        <v>16</v>
      </c>
      <c r="B10" s="7" t="s">
        <v>17</v>
      </c>
      <c r="C10" s="7" t="s">
        <v>18</v>
      </c>
      <c r="D10" s="159">
        <v>394544020291</v>
      </c>
      <c r="E10" s="47" t="s">
        <v>1033</v>
      </c>
      <c r="F10" s="47" t="s">
        <v>1031</v>
      </c>
      <c r="G10" s="160">
        <v>50880</v>
      </c>
    </row>
    <row r="11" spans="1:7" x14ac:dyDescent="0.2">
      <c r="A11" s="7" t="s">
        <v>16</v>
      </c>
      <c r="B11" s="7" t="s">
        <v>17</v>
      </c>
      <c r="C11" s="7" t="s">
        <v>18</v>
      </c>
      <c r="D11" s="159">
        <v>394544020372</v>
      </c>
      <c r="E11" s="47" t="s">
        <v>1034</v>
      </c>
      <c r="F11" s="47" t="s">
        <v>1002</v>
      </c>
      <c r="G11" s="160">
        <v>48000</v>
      </c>
    </row>
    <row r="12" spans="1:7" x14ac:dyDescent="0.2">
      <c r="A12" s="7" t="s">
        <v>16</v>
      </c>
      <c r="B12" s="7" t="s">
        <v>17</v>
      </c>
      <c r="C12" s="7" t="s">
        <v>18</v>
      </c>
      <c r="D12" s="159">
        <v>394544020372</v>
      </c>
      <c r="E12" s="47" t="s">
        <v>1034</v>
      </c>
      <c r="F12" s="47" t="s">
        <v>1031</v>
      </c>
      <c r="G12" s="160">
        <v>67056.600000000006</v>
      </c>
    </row>
    <row r="13" spans="1:7" x14ac:dyDescent="0.2">
      <c r="A13" s="7" t="s">
        <v>16</v>
      </c>
      <c r="B13" s="7" t="s">
        <v>17</v>
      </c>
      <c r="C13" s="7" t="s">
        <v>18</v>
      </c>
      <c r="D13" s="159">
        <v>394544020453</v>
      </c>
      <c r="E13" s="47" t="s">
        <v>1035</v>
      </c>
      <c r="F13" s="47" t="s">
        <v>1031</v>
      </c>
      <c r="G13" s="160">
        <v>103164</v>
      </c>
    </row>
    <row r="14" spans="1:7" x14ac:dyDescent="0.2">
      <c r="A14" s="7" t="s">
        <v>16</v>
      </c>
      <c r="B14" s="7" t="s">
        <v>17</v>
      </c>
      <c r="C14" s="7" t="s">
        <v>18</v>
      </c>
      <c r="D14" s="159">
        <v>394544021000</v>
      </c>
      <c r="E14" s="47" t="s">
        <v>1036</v>
      </c>
      <c r="F14" s="47" t="s">
        <v>1002</v>
      </c>
      <c r="G14" s="160">
        <v>14160</v>
      </c>
    </row>
    <row r="15" spans="1:7" x14ac:dyDescent="0.2">
      <c r="A15" s="7" t="s">
        <v>16</v>
      </c>
      <c r="B15" s="7" t="s">
        <v>17</v>
      </c>
      <c r="C15" s="7" t="s">
        <v>18</v>
      </c>
      <c r="D15" s="159">
        <v>394544021000</v>
      </c>
      <c r="E15" s="47" t="s">
        <v>1036</v>
      </c>
      <c r="F15" s="47" t="s">
        <v>1031</v>
      </c>
      <c r="G15" s="160">
        <v>25791</v>
      </c>
    </row>
    <row r="16" spans="1:7" x14ac:dyDescent="0.2">
      <c r="A16" s="7" t="s">
        <v>16</v>
      </c>
      <c r="B16" s="7" t="s">
        <v>17</v>
      </c>
      <c r="C16" s="7" t="s">
        <v>18</v>
      </c>
      <c r="D16" s="159">
        <v>394544021182</v>
      </c>
      <c r="E16" s="47" t="s">
        <v>1037</v>
      </c>
      <c r="F16" s="47" t="s">
        <v>1002</v>
      </c>
      <c r="G16" s="160">
        <v>276000</v>
      </c>
    </row>
    <row r="17" spans="1:7" x14ac:dyDescent="0.2">
      <c r="A17" s="7" t="s">
        <v>16</v>
      </c>
      <c r="B17" s="7" t="s">
        <v>17</v>
      </c>
      <c r="C17" s="7" t="s">
        <v>18</v>
      </c>
      <c r="D17" s="159">
        <v>394544021344</v>
      </c>
      <c r="E17" s="47" t="s">
        <v>1038</v>
      </c>
      <c r="F17" s="47" t="s">
        <v>1002</v>
      </c>
      <c r="G17" s="160">
        <v>29866.720000000001</v>
      </c>
    </row>
    <row r="18" spans="1:7" x14ac:dyDescent="0.2">
      <c r="A18" s="7" t="s">
        <v>16</v>
      </c>
      <c r="B18" s="7" t="s">
        <v>17</v>
      </c>
      <c r="C18" s="7" t="s">
        <v>18</v>
      </c>
      <c r="D18" s="159">
        <v>394544021344</v>
      </c>
      <c r="E18" s="47" t="s">
        <v>1038</v>
      </c>
      <c r="F18" s="47" t="s">
        <v>1031</v>
      </c>
      <c r="G18" s="160">
        <v>312906.8</v>
      </c>
    </row>
    <row r="19" spans="1:7" x14ac:dyDescent="0.2">
      <c r="A19" s="7" t="s">
        <v>16</v>
      </c>
      <c r="B19" s="7" t="s">
        <v>17</v>
      </c>
      <c r="C19" s="7" t="s">
        <v>18</v>
      </c>
      <c r="D19" s="159">
        <v>1479465000130</v>
      </c>
      <c r="E19" s="47" t="s">
        <v>1039</v>
      </c>
      <c r="F19" s="47" t="s">
        <v>1031</v>
      </c>
      <c r="G19" s="160">
        <v>540058.63</v>
      </c>
    </row>
    <row r="20" spans="1:7" x14ac:dyDescent="0.2">
      <c r="A20" s="7" t="s">
        <v>16</v>
      </c>
      <c r="B20" s="7" t="s">
        <v>17</v>
      </c>
      <c r="C20" s="7" t="s">
        <v>18</v>
      </c>
      <c r="D20" s="159">
        <v>2873606000167</v>
      </c>
      <c r="E20" s="47" t="s">
        <v>1040</v>
      </c>
      <c r="F20" s="47" t="s">
        <v>1031</v>
      </c>
      <c r="G20" s="160">
        <v>319755.27</v>
      </c>
    </row>
    <row r="21" spans="1:7" x14ac:dyDescent="0.2">
      <c r="A21" s="7" t="s">
        <v>16</v>
      </c>
      <c r="B21" s="7" t="s">
        <v>17</v>
      </c>
      <c r="C21" s="7" t="s">
        <v>18</v>
      </c>
      <c r="D21" s="159">
        <v>4027894000164</v>
      </c>
      <c r="E21" s="47" t="s">
        <v>1041</v>
      </c>
      <c r="F21" s="47" t="s">
        <v>1031</v>
      </c>
      <c r="G21" s="160">
        <v>45061.37</v>
      </c>
    </row>
    <row r="22" spans="1:7" x14ac:dyDescent="0.2">
      <c r="A22" s="7" t="s">
        <v>16</v>
      </c>
      <c r="B22" s="7" t="s">
        <v>17</v>
      </c>
      <c r="C22" s="7" t="s">
        <v>18</v>
      </c>
      <c r="D22" s="159">
        <v>4027894000326</v>
      </c>
      <c r="E22" s="47" t="s">
        <v>1041</v>
      </c>
      <c r="F22" s="47" t="s">
        <v>1031</v>
      </c>
      <c r="G22" s="160">
        <v>967412.94</v>
      </c>
    </row>
    <row r="23" spans="1:7" x14ac:dyDescent="0.2">
      <c r="A23" s="7" t="s">
        <v>16</v>
      </c>
      <c r="B23" s="7" t="s">
        <v>17</v>
      </c>
      <c r="C23" s="7" t="s">
        <v>18</v>
      </c>
      <c r="D23" s="159">
        <v>4307650001298</v>
      </c>
      <c r="E23" s="47" t="s">
        <v>1042</v>
      </c>
      <c r="F23" s="47" t="s">
        <v>1031</v>
      </c>
      <c r="G23" s="160">
        <v>756409.09</v>
      </c>
    </row>
    <row r="24" spans="1:7" x14ac:dyDescent="0.2">
      <c r="A24" s="7" t="s">
        <v>16</v>
      </c>
      <c r="B24" s="7" t="s">
        <v>17</v>
      </c>
      <c r="C24" s="7" t="s">
        <v>18</v>
      </c>
      <c r="D24" s="159">
        <v>4307650001298</v>
      </c>
      <c r="E24" s="47" t="s">
        <v>1042</v>
      </c>
      <c r="F24" s="47" t="s">
        <v>1003</v>
      </c>
      <c r="G24" s="160">
        <v>121974.04</v>
      </c>
    </row>
    <row r="25" spans="1:7" x14ac:dyDescent="0.2">
      <c r="A25" s="7" t="s">
        <v>16</v>
      </c>
      <c r="B25" s="7" t="s">
        <v>17</v>
      </c>
      <c r="C25" s="7" t="s">
        <v>18</v>
      </c>
      <c r="D25" s="159">
        <v>4355394000151</v>
      </c>
      <c r="E25" s="47" t="s">
        <v>1043</v>
      </c>
      <c r="F25" s="47" t="s">
        <v>1002</v>
      </c>
      <c r="G25" s="160">
        <v>123002.75</v>
      </c>
    </row>
    <row r="26" spans="1:7" x14ac:dyDescent="0.2">
      <c r="A26" s="7" t="s">
        <v>16</v>
      </c>
      <c r="B26" s="7" t="s">
        <v>17</v>
      </c>
      <c r="C26" s="7" t="s">
        <v>18</v>
      </c>
      <c r="D26" s="159">
        <v>4355394000151</v>
      </c>
      <c r="E26" s="47" t="s">
        <v>1043</v>
      </c>
      <c r="F26" s="47" t="s">
        <v>1031</v>
      </c>
      <c r="G26" s="160">
        <v>564689.51</v>
      </c>
    </row>
    <row r="27" spans="1:7" x14ac:dyDescent="0.2">
      <c r="A27" s="7" t="s">
        <v>16</v>
      </c>
      <c r="B27" s="7" t="s">
        <v>17</v>
      </c>
      <c r="C27" s="7" t="s">
        <v>18</v>
      </c>
      <c r="D27" s="159">
        <v>4355394000151</v>
      </c>
      <c r="E27" s="47" t="s">
        <v>1043</v>
      </c>
      <c r="F27" s="47" t="s">
        <v>1003</v>
      </c>
      <c r="G27" s="160">
        <v>674987.07</v>
      </c>
    </row>
    <row r="28" spans="1:7" x14ac:dyDescent="0.2">
      <c r="A28" s="7" t="s">
        <v>16</v>
      </c>
      <c r="B28" s="7" t="s">
        <v>17</v>
      </c>
      <c r="C28" s="7" t="s">
        <v>18</v>
      </c>
      <c r="D28" s="159">
        <v>5268490000125</v>
      </c>
      <c r="E28" s="47" t="s">
        <v>1044</v>
      </c>
      <c r="F28" s="47" t="s">
        <v>1002</v>
      </c>
      <c r="G28" s="160">
        <v>399721.79</v>
      </c>
    </row>
    <row r="29" spans="1:7" x14ac:dyDescent="0.2">
      <c r="A29" s="7" t="s">
        <v>16</v>
      </c>
      <c r="B29" s="7" t="s">
        <v>17</v>
      </c>
      <c r="C29" s="7" t="s">
        <v>18</v>
      </c>
      <c r="D29" s="159">
        <v>5268490000125</v>
      </c>
      <c r="E29" s="47" t="s">
        <v>1044</v>
      </c>
      <c r="F29" s="47" t="s">
        <v>1031</v>
      </c>
      <c r="G29" s="160">
        <v>336846.3</v>
      </c>
    </row>
    <row r="30" spans="1:7" x14ac:dyDescent="0.2">
      <c r="A30" s="7" t="s">
        <v>16</v>
      </c>
      <c r="B30" s="7" t="s">
        <v>17</v>
      </c>
      <c r="C30" s="7" t="s">
        <v>18</v>
      </c>
      <c r="D30" s="159">
        <v>5816630000152</v>
      </c>
      <c r="E30" s="47" t="s">
        <v>1045</v>
      </c>
      <c r="F30" s="47" t="s">
        <v>1031</v>
      </c>
      <c r="G30" s="160">
        <v>29420.400000000001</v>
      </c>
    </row>
    <row r="31" spans="1:7" x14ac:dyDescent="0.2">
      <c r="A31" s="7" t="s">
        <v>16</v>
      </c>
      <c r="B31" s="7" t="s">
        <v>17</v>
      </c>
      <c r="C31" s="7" t="s">
        <v>18</v>
      </c>
      <c r="D31" s="159">
        <v>6081203000136</v>
      </c>
      <c r="E31" s="47" t="s">
        <v>1042</v>
      </c>
      <c r="F31" s="47" t="s">
        <v>1031</v>
      </c>
      <c r="G31" s="160">
        <v>304505.59999999998</v>
      </c>
    </row>
    <row r="32" spans="1:7" x14ac:dyDescent="0.2">
      <c r="A32" s="7" t="s">
        <v>16</v>
      </c>
      <c r="B32" s="7" t="s">
        <v>17</v>
      </c>
      <c r="C32" s="7" t="s">
        <v>18</v>
      </c>
      <c r="D32" s="159">
        <v>6081203000136</v>
      </c>
      <c r="E32" s="47" t="s">
        <v>1042</v>
      </c>
      <c r="F32" s="47" t="s">
        <v>1003</v>
      </c>
      <c r="G32" s="160">
        <v>12991.32</v>
      </c>
    </row>
    <row r="33" spans="1:7" x14ac:dyDescent="0.2">
      <c r="A33" s="7" t="s">
        <v>16</v>
      </c>
      <c r="B33" s="7" t="s">
        <v>17</v>
      </c>
      <c r="C33" s="7" t="s">
        <v>18</v>
      </c>
      <c r="D33" s="159">
        <v>6234797000178</v>
      </c>
      <c r="E33" s="47" t="s">
        <v>1046</v>
      </c>
      <c r="F33" s="47" t="s">
        <v>1031</v>
      </c>
      <c r="G33" s="160">
        <v>218524.46</v>
      </c>
    </row>
    <row r="34" spans="1:7" x14ac:dyDescent="0.2">
      <c r="A34" s="7" t="s">
        <v>16</v>
      </c>
      <c r="B34" s="7" t="s">
        <v>17</v>
      </c>
      <c r="C34" s="7" t="s">
        <v>18</v>
      </c>
      <c r="D34" s="159">
        <v>6234797000178</v>
      </c>
      <c r="E34" s="47" t="s">
        <v>1046</v>
      </c>
      <c r="F34" s="47" t="s">
        <v>1003</v>
      </c>
      <c r="G34" s="160">
        <v>74814.5</v>
      </c>
    </row>
    <row r="35" spans="1:7" x14ac:dyDescent="0.2">
      <c r="A35" s="7" t="s">
        <v>16</v>
      </c>
      <c r="B35" s="7" t="s">
        <v>17</v>
      </c>
      <c r="C35" s="7" t="s">
        <v>18</v>
      </c>
      <c r="D35" s="159">
        <v>7224991001530</v>
      </c>
      <c r="E35" s="47" t="s">
        <v>1047</v>
      </c>
      <c r="F35" s="47" t="s">
        <v>1031</v>
      </c>
      <c r="G35" s="160">
        <v>4320.2299999999996</v>
      </c>
    </row>
    <row r="36" spans="1:7" x14ac:dyDescent="0.2">
      <c r="A36" s="7" t="s">
        <v>16</v>
      </c>
      <c r="B36" s="7" t="s">
        <v>17</v>
      </c>
      <c r="C36" s="7" t="s">
        <v>18</v>
      </c>
      <c r="D36" s="159">
        <v>7224991001530</v>
      </c>
      <c r="E36" s="47" t="s">
        <v>1047</v>
      </c>
      <c r="F36" s="47" t="s">
        <v>1003</v>
      </c>
      <c r="G36" s="160">
        <v>31686.14</v>
      </c>
    </row>
    <row r="37" spans="1:7" x14ac:dyDescent="0.2">
      <c r="A37" s="7" t="s">
        <v>16</v>
      </c>
      <c r="B37" s="7" t="s">
        <v>17</v>
      </c>
      <c r="C37" s="7" t="s">
        <v>18</v>
      </c>
      <c r="D37" s="159">
        <v>7272636000212</v>
      </c>
      <c r="E37" s="47" t="s">
        <v>1048</v>
      </c>
      <c r="F37" s="47" t="s">
        <v>1031</v>
      </c>
      <c r="G37" s="160">
        <v>39500.71</v>
      </c>
    </row>
    <row r="38" spans="1:7" x14ac:dyDescent="0.2">
      <c r="A38" s="7" t="s">
        <v>16</v>
      </c>
      <c r="B38" s="7" t="s">
        <v>17</v>
      </c>
      <c r="C38" s="7" t="s">
        <v>18</v>
      </c>
      <c r="D38" s="159">
        <v>7484373000124</v>
      </c>
      <c r="E38" s="47" t="s">
        <v>1049</v>
      </c>
      <c r="F38" s="47" t="s">
        <v>1002</v>
      </c>
      <c r="G38" s="160">
        <v>163569.01</v>
      </c>
    </row>
    <row r="39" spans="1:7" x14ac:dyDescent="0.2">
      <c r="A39" s="7" t="s">
        <v>16</v>
      </c>
      <c r="B39" s="7" t="s">
        <v>17</v>
      </c>
      <c r="C39" s="7" t="s">
        <v>18</v>
      </c>
      <c r="D39" s="159">
        <v>7484373000124</v>
      </c>
      <c r="E39" s="47" t="s">
        <v>1049</v>
      </c>
      <c r="F39" s="47" t="s">
        <v>1003</v>
      </c>
      <c r="G39" s="160">
        <v>88650.07</v>
      </c>
    </row>
    <row r="40" spans="1:7" x14ac:dyDescent="0.2">
      <c r="A40" s="7" t="s">
        <v>16</v>
      </c>
      <c r="B40" s="7" t="s">
        <v>17</v>
      </c>
      <c r="C40" s="7" t="s">
        <v>18</v>
      </c>
      <c r="D40" s="159">
        <v>7734165000136</v>
      </c>
      <c r="E40" s="47" t="s">
        <v>1050</v>
      </c>
      <c r="F40" s="47" t="s">
        <v>1031</v>
      </c>
      <c r="G40" s="160">
        <v>614961.56000000006</v>
      </c>
    </row>
    <row r="41" spans="1:7" x14ac:dyDescent="0.2">
      <c r="A41" s="7" t="s">
        <v>16</v>
      </c>
      <c r="B41" s="7" t="s">
        <v>17</v>
      </c>
      <c r="C41" s="7" t="s">
        <v>18</v>
      </c>
      <c r="D41" s="159">
        <v>7812105000194</v>
      </c>
      <c r="E41" s="47" t="s">
        <v>1051</v>
      </c>
      <c r="F41" s="47" t="s">
        <v>1031</v>
      </c>
      <c r="G41" s="160">
        <v>317153.93</v>
      </c>
    </row>
    <row r="42" spans="1:7" x14ac:dyDescent="0.2">
      <c r="A42" s="7" t="s">
        <v>16</v>
      </c>
      <c r="B42" s="7" t="s">
        <v>17</v>
      </c>
      <c r="C42" s="7" t="s">
        <v>18</v>
      </c>
      <c r="D42" s="159">
        <v>8563277000134</v>
      </c>
      <c r="E42" s="47" t="s">
        <v>1052</v>
      </c>
      <c r="F42" s="47" t="s">
        <v>1003</v>
      </c>
      <c r="G42" s="160">
        <v>14962.91</v>
      </c>
    </row>
    <row r="43" spans="1:7" x14ac:dyDescent="0.2">
      <c r="A43" s="7" t="s">
        <v>16</v>
      </c>
      <c r="B43" s="7" t="s">
        <v>17</v>
      </c>
      <c r="C43" s="7" t="s">
        <v>18</v>
      </c>
      <c r="D43" s="159">
        <v>8597121000174</v>
      </c>
      <c r="E43" s="47" t="s">
        <v>1053</v>
      </c>
      <c r="F43" s="47" t="s">
        <v>1031</v>
      </c>
      <c r="G43" s="160">
        <v>4544471.97</v>
      </c>
    </row>
    <row r="44" spans="1:7" x14ac:dyDescent="0.2">
      <c r="A44" s="7" t="s">
        <v>16</v>
      </c>
      <c r="B44" s="7" t="s">
        <v>17</v>
      </c>
      <c r="C44" s="7" t="s">
        <v>18</v>
      </c>
      <c r="D44" s="159">
        <v>8618022000121</v>
      </c>
      <c r="E44" s="47" t="s">
        <v>1054</v>
      </c>
      <c r="F44" s="47" t="s">
        <v>1002</v>
      </c>
      <c r="G44" s="160">
        <v>560914.75</v>
      </c>
    </row>
    <row r="45" spans="1:7" x14ac:dyDescent="0.2">
      <c r="A45" s="7" t="s">
        <v>16</v>
      </c>
      <c r="B45" s="7" t="s">
        <v>17</v>
      </c>
      <c r="C45" s="7" t="s">
        <v>18</v>
      </c>
      <c r="D45" s="159">
        <v>8618022000121</v>
      </c>
      <c r="E45" s="47" t="s">
        <v>1054</v>
      </c>
      <c r="F45" s="47" t="s">
        <v>1031</v>
      </c>
      <c r="G45" s="160">
        <v>872367.9</v>
      </c>
    </row>
    <row r="46" spans="1:7" x14ac:dyDescent="0.2">
      <c r="A46" s="7" t="s">
        <v>16</v>
      </c>
      <c r="B46" s="7" t="s">
        <v>17</v>
      </c>
      <c r="C46" s="7" t="s">
        <v>18</v>
      </c>
      <c r="D46" s="159">
        <v>8618022000121</v>
      </c>
      <c r="E46" s="47" t="s">
        <v>1054</v>
      </c>
      <c r="F46" s="47" t="s">
        <v>1003</v>
      </c>
      <c r="G46" s="160">
        <v>556267.81999999995</v>
      </c>
    </row>
    <row r="47" spans="1:7" x14ac:dyDescent="0.2">
      <c r="A47" s="7" t="s">
        <v>16</v>
      </c>
      <c r="B47" s="7" t="s">
        <v>17</v>
      </c>
      <c r="C47" s="7" t="s">
        <v>18</v>
      </c>
      <c r="D47" s="159">
        <v>8719794000150</v>
      </c>
      <c r="E47" s="47" t="s">
        <v>1051</v>
      </c>
      <c r="F47" s="47" t="s">
        <v>1003</v>
      </c>
      <c r="G47" s="160">
        <v>39607.699999999997</v>
      </c>
    </row>
    <row r="48" spans="1:7" x14ac:dyDescent="0.2">
      <c r="A48" s="7" t="s">
        <v>16</v>
      </c>
      <c r="B48" s="7" t="s">
        <v>17</v>
      </c>
      <c r="C48" s="7" t="s">
        <v>18</v>
      </c>
      <c r="D48" s="159">
        <v>9053134000226</v>
      </c>
      <c r="E48" s="47" t="s">
        <v>1055</v>
      </c>
      <c r="F48" s="47" t="s">
        <v>1002</v>
      </c>
      <c r="G48" s="160">
        <v>537513.76</v>
      </c>
    </row>
    <row r="49" spans="1:7" x14ac:dyDescent="0.2">
      <c r="A49" s="7" t="s">
        <v>16</v>
      </c>
      <c r="B49" s="7" t="s">
        <v>17</v>
      </c>
      <c r="C49" s="7" t="s">
        <v>18</v>
      </c>
      <c r="D49" s="159">
        <v>9053134000226</v>
      </c>
      <c r="E49" s="47" t="s">
        <v>1055</v>
      </c>
      <c r="F49" s="47" t="s">
        <v>1031</v>
      </c>
      <c r="G49" s="160">
        <v>263076.8</v>
      </c>
    </row>
    <row r="50" spans="1:7" x14ac:dyDescent="0.2">
      <c r="A50" s="7" t="s">
        <v>16</v>
      </c>
      <c r="B50" s="7" t="s">
        <v>17</v>
      </c>
      <c r="C50" s="7" t="s">
        <v>18</v>
      </c>
      <c r="D50" s="159">
        <v>9053134000226</v>
      </c>
      <c r="E50" s="47" t="s">
        <v>1055</v>
      </c>
      <c r="F50" s="47" t="s">
        <v>1003</v>
      </c>
      <c r="G50" s="160">
        <v>230023.84</v>
      </c>
    </row>
    <row r="51" spans="1:7" x14ac:dyDescent="0.2">
      <c r="A51" s="7" t="s">
        <v>16</v>
      </c>
      <c r="B51" s="7" t="s">
        <v>17</v>
      </c>
      <c r="C51" s="7" t="s">
        <v>18</v>
      </c>
      <c r="D51" s="159">
        <v>9613374000157</v>
      </c>
      <c r="E51" s="47" t="s">
        <v>1056</v>
      </c>
      <c r="F51" s="47" t="s">
        <v>1031</v>
      </c>
      <c r="G51" s="160">
        <v>476253.24</v>
      </c>
    </row>
    <row r="52" spans="1:7" x14ac:dyDescent="0.2">
      <c r="A52" s="7" t="s">
        <v>16</v>
      </c>
      <c r="B52" s="7" t="s">
        <v>17</v>
      </c>
      <c r="C52" s="7" t="s">
        <v>18</v>
      </c>
      <c r="D52" s="159">
        <v>9660958000345</v>
      </c>
      <c r="E52" s="47" t="s">
        <v>1057</v>
      </c>
      <c r="F52" s="47" t="s">
        <v>1002</v>
      </c>
      <c r="G52" s="160">
        <v>91148.18</v>
      </c>
    </row>
    <row r="53" spans="1:7" x14ac:dyDescent="0.2">
      <c r="A53" s="7" t="s">
        <v>16</v>
      </c>
      <c r="B53" s="7" t="s">
        <v>17</v>
      </c>
      <c r="C53" s="7" t="s">
        <v>18</v>
      </c>
      <c r="D53" s="159">
        <v>9660958000345</v>
      </c>
      <c r="E53" s="47" t="s">
        <v>1057</v>
      </c>
      <c r="F53" s="47" t="s">
        <v>1031</v>
      </c>
      <c r="G53" s="160">
        <v>301776.48</v>
      </c>
    </row>
    <row r="54" spans="1:7" x14ac:dyDescent="0.2">
      <c r="A54" s="7" t="s">
        <v>16</v>
      </c>
      <c r="B54" s="7" t="s">
        <v>17</v>
      </c>
      <c r="C54" s="7" t="s">
        <v>18</v>
      </c>
      <c r="D54" s="159">
        <v>9660958000345</v>
      </c>
      <c r="E54" s="47" t="s">
        <v>1057</v>
      </c>
      <c r="F54" s="47" t="s">
        <v>1003</v>
      </c>
      <c r="G54" s="160">
        <v>167683.16</v>
      </c>
    </row>
    <row r="55" spans="1:7" x14ac:dyDescent="0.2">
      <c r="A55" s="7" t="s">
        <v>16</v>
      </c>
      <c r="B55" s="7" t="s">
        <v>17</v>
      </c>
      <c r="C55" s="7" t="s">
        <v>18</v>
      </c>
      <c r="D55" s="159">
        <v>10572048000209</v>
      </c>
      <c r="E55" s="47" t="s">
        <v>1058</v>
      </c>
      <c r="F55" s="47" t="s">
        <v>1031</v>
      </c>
      <c r="G55" s="160">
        <v>247749</v>
      </c>
    </row>
    <row r="56" spans="1:7" x14ac:dyDescent="0.2">
      <c r="A56" s="7" t="s">
        <v>16</v>
      </c>
      <c r="B56" s="7" t="s">
        <v>17</v>
      </c>
      <c r="C56" s="7" t="s">
        <v>18</v>
      </c>
      <c r="D56" s="159">
        <v>11051186000124</v>
      </c>
      <c r="E56" s="47" t="s">
        <v>1051</v>
      </c>
      <c r="F56" s="47" t="s">
        <v>1003</v>
      </c>
      <c r="G56" s="160">
        <v>19803.84</v>
      </c>
    </row>
    <row r="57" spans="1:7" x14ac:dyDescent="0.2">
      <c r="A57" s="7" t="s">
        <v>16</v>
      </c>
      <c r="B57" s="7" t="s">
        <v>17</v>
      </c>
      <c r="C57" s="7" t="s">
        <v>18</v>
      </c>
      <c r="D57" s="159">
        <v>11059197000312</v>
      </c>
      <c r="E57" s="47" t="s">
        <v>1059</v>
      </c>
      <c r="F57" s="47" t="s">
        <v>1031</v>
      </c>
      <c r="G57" s="160">
        <v>56677.88</v>
      </c>
    </row>
    <row r="58" spans="1:7" x14ac:dyDescent="0.2">
      <c r="A58" s="7" t="s">
        <v>16</v>
      </c>
      <c r="B58" s="7" t="s">
        <v>17</v>
      </c>
      <c r="C58" s="7" t="s">
        <v>18</v>
      </c>
      <c r="D58" s="159">
        <v>12047164000315</v>
      </c>
      <c r="E58" s="47" t="s">
        <v>1060</v>
      </c>
      <c r="F58" s="47" t="s">
        <v>1003</v>
      </c>
      <c r="G58" s="160">
        <v>123928.01</v>
      </c>
    </row>
    <row r="59" spans="1:7" x14ac:dyDescent="0.2">
      <c r="A59" s="7" t="s">
        <v>16</v>
      </c>
      <c r="B59" s="7" t="s">
        <v>17</v>
      </c>
      <c r="C59" s="7" t="s">
        <v>18</v>
      </c>
      <c r="D59" s="159">
        <v>12420164000319</v>
      </c>
      <c r="E59" s="47" t="s">
        <v>1061</v>
      </c>
      <c r="F59" s="47" t="s">
        <v>1002</v>
      </c>
      <c r="G59" s="160">
        <v>1038426.58</v>
      </c>
    </row>
    <row r="60" spans="1:7" x14ac:dyDescent="0.2">
      <c r="A60" s="7" t="s">
        <v>16</v>
      </c>
      <c r="B60" s="7" t="s">
        <v>17</v>
      </c>
      <c r="C60" s="7" t="s">
        <v>18</v>
      </c>
      <c r="D60" s="159">
        <v>12420164000319</v>
      </c>
      <c r="E60" s="47" t="s">
        <v>1061</v>
      </c>
      <c r="F60" s="47" t="s">
        <v>1031</v>
      </c>
      <c r="G60" s="160">
        <v>1859924.23</v>
      </c>
    </row>
    <row r="61" spans="1:7" x14ac:dyDescent="0.2">
      <c r="A61" s="7" t="s">
        <v>16</v>
      </c>
      <c r="B61" s="7" t="s">
        <v>17</v>
      </c>
      <c r="C61" s="7" t="s">
        <v>18</v>
      </c>
      <c r="D61" s="159">
        <v>12420164000319</v>
      </c>
      <c r="E61" s="47" t="s">
        <v>1061</v>
      </c>
      <c r="F61" s="47" t="s">
        <v>1003</v>
      </c>
      <c r="G61" s="160">
        <v>134831.31</v>
      </c>
    </row>
    <row r="62" spans="1:7" x14ac:dyDescent="0.2">
      <c r="A62" s="7" t="s">
        <v>16</v>
      </c>
      <c r="B62" s="7" t="s">
        <v>17</v>
      </c>
      <c r="C62" s="7" t="s">
        <v>18</v>
      </c>
      <c r="D62" s="159">
        <v>12420164000904</v>
      </c>
      <c r="E62" s="47" t="s">
        <v>1061</v>
      </c>
      <c r="F62" s="47" t="s">
        <v>1002</v>
      </c>
      <c r="G62" s="160">
        <v>527702.6</v>
      </c>
    </row>
    <row r="63" spans="1:7" x14ac:dyDescent="0.2">
      <c r="A63" s="7" t="s">
        <v>16</v>
      </c>
      <c r="B63" s="7" t="s">
        <v>17</v>
      </c>
      <c r="C63" s="7" t="s">
        <v>18</v>
      </c>
      <c r="D63" s="159">
        <v>12420164000904</v>
      </c>
      <c r="E63" s="47" t="s">
        <v>1061</v>
      </c>
      <c r="F63" s="47" t="s">
        <v>1031</v>
      </c>
      <c r="G63" s="160">
        <v>1130814.2</v>
      </c>
    </row>
    <row r="64" spans="1:7" x14ac:dyDescent="0.2">
      <c r="A64" s="7" t="s">
        <v>16</v>
      </c>
      <c r="B64" s="7" t="s">
        <v>17</v>
      </c>
      <c r="C64" s="7" t="s">
        <v>18</v>
      </c>
      <c r="D64" s="159">
        <v>12420164000904</v>
      </c>
      <c r="E64" s="47" t="s">
        <v>1061</v>
      </c>
      <c r="F64" s="47" t="s">
        <v>1003</v>
      </c>
      <c r="G64" s="160">
        <v>59878.98</v>
      </c>
    </row>
    <row r="65" spans="1:7" x14ac:dyDescent="0.2">
      <c r="A65" s="7" t="s">
        <v>16</v>
      </c>
      <c r="B65" s="7" t="s">
        <v>17</v>
      </c>
      <c r="C65" s="7" t="s">
        <v>18</v>
      </c>
      <c r="D65" s="159">
        <v>12420164001048</v>
      </c>
      <c r="E65" s="47" t="s">
        <v>1061</v>
      </c>
      <c r="F65" s="47" t="s">
        <v>1002</v>
      </c>
      <c r="G65" s="160">
        <v>3259.3</v>
      </c>
    </row>
    <row r="66" spans="1:7" x14ac:dyDescent="0.2">
      <c r="A66" s="7" t="s">
        <v>16</v>
      </c>
      <c r="B66" s="7" t="s">
        <v>17</v>
      </c>
      <c r="C66" s="7" t="s">
        <v>18</v>
      </c>
      <c r="D66" s="159">
        <v>12420164001048</v>
      </c>
      <c r="E66" s="47" t="s">
        <v>1061</v>
      </c>
      <c r="F66" s="47" t="s">
        <v>1031</v>
      </c>
      <c r="G66" s="160">
        <v>71458.59</v>
      </c>
    </row>
    <row r="67" spans="1:7" x14ac:dyDescent="0.2">
      <c r="A67" s="7" t="s">
        <v>16</v>
      </c>
      <c r="B67" s="7" t="s">
        <v>17</v>
      </c>
      <c r="C67" s="7" t="s">
        <v>18</v>
      </c>
      <c r="D67" s="159">
        <v>12420164001048</v>
      </c>
      <c r="E67" s="47" t="s">
        <v>1061</v>
      </c>
      <c r="F67" s="47" t="s">
        <v>1003</v>
      </c>
      <c r="G67" s="160">
        <v>2308.33</v>
      </c>
    </row>
    <row r="68" spans="1:7" x14ac:dyDescent="0.2">
      <c r="A68" s="7" t="s">
        <v>16</v>
      </c>
      <c r="B68" s="7" t="s">
        <v>17</v>
      </c>
      <c r="C68" s="7" t="s">
        <v>18</v>
      </c>
      <c r="D68" s="159">
        <v>12474705000120</v>
      </c>
      <c r="E68" s="47" t="s">
        <v>1062</v>
      </c>
      <c r="F68" s="47" t="s">
        <v>1031</v>
      </c>
      <c r="G68" s="160">
        <v>26640</v>
      </c>
    </row>
    <row r="69" spans="1:7" x14ac:dyDescent="0.2">
      <c r="A69" s="7" t="s">
        <v>16</v>
      </c>
      <c r="B69" s="7" t="s">
        <v>17</v>
      </c>
      <c r="C69" s="7" t="s">
        <v>18</v>
      </c>
      <c r="D69" s="159">
        <v>14261377000109</v>
      </c>
      <c r="E69" s="47" t="s">
        <v>1063</v>
      </c>
      <c r="F69" s="47" t="s">
        <v>1002</v>
      </c>
      <c r="G69" s="160">
        <v>82001.83</v>
      </c>
    </row>
    <row r="70" spans="1:7" x14ac:dyDescent="0.2">
      <c r="A70" s="7" t="s">
        <v>16</v>
      </c>
      <c r="B70" s="7" t="s">
        <v>17</v>
      </c>
      <c r="C70" s="7" t="s">
        <v>18</v>
      </c>
      <c r="D70" s="159">
        <v>14261377000109</v>
      </c>
      <c r="E70" s="47" t="s">
        <v>1063</v>
      </c>
      <c r="F70" s="47" t="s">
        <v>1031</v>
      </c>
      <c r="G70" s="160">
        <v>266731.53000000003</v>
      </c>
    </row>
    <row r="71" spans="1:7" x14ac:dyDescent="0.2">
      <c r="A71" s="7" t="s">
        <v>16</v>
      </c>
      <c r="B71" s="7" t="s">
        <v>17</v>
      </c>
      <c r="C71" s="7" t="s">
        <v>18</v>
      </c>
      <c r="D71" s="159">
        <v>14261377000109</v>
      </c>
      <c r="E71" s="47" t="s">
        <v>1063</v>
      </c>
      <c r="F71" s="47" t="s">
        <v>1003</v>
      </c>
      <c r="G71" s="160">
        <v>53514.39</v>
      </c>
    </row>
    <row r="72" spans="1:7" x14ac:dyDescent="0.2">
      <c r="A72" s="7" t="s">
        <v>16</v>
      </c>
      <c r="B72" s="7" t="s">
        <v>17</v>
      </c>
      <c r="C72" s="7" t="s">
        <v>18</v>
      </c>
      <c r="D72" s="159">
        <v>15126437000739</v>
      </c>
      <c r="E72" s="47" t="s">
        <v>1064</v>
      </c>
      <c r="F72" s="47" t="s">
        <v>1031</v>
      </c>
      <c r="G72" s="160">
        <v>86920</v>
      </c>
    </row>
    <row r="73" spans="1:7" x14ac:dyDescent="0.2">
      <c r="A73" s="7" t="s">
        <v>16</v>
      </c>
      <c r="B73" s="7" t="s">
        <v>17</v>
      </c>
      <c r="C73" s="7" t="s">
        <v>18</v>
      </c>
      <c r="D73" s="159">
        <v>15126437001972</v>
      </c>
      <c r="E73" s="47" t="s">
        <v>1065</v>
      </c>
      <c r="F73" s="47" t="s">
        <v>1031</v>
      </c>
      <c r="G73" s="160">
        <v>12054</v>
      </c>
    </row>
    <row r="74" spans="1:7" x14ac:dyDescent="0.2">
      <c r="A74" s="7" t="s">
        <v>16</v>
      </c>
      <c r="B74" s="7" t="s">
        <v>17</v>
      </c>
      <c r="C74" s="7" t="s">
        <v>18</v>
      </c>
      <c r="D74" s="159">
        <v>15126437002278</v>
      </c>
      <c r="E74" s="47" t="s">
        <v>1066</v>
      </c>
      <c r="F74" s="47" t="s">
        <v>1002</v>
      </c>
      <c r="G74" s="160">
        <v>19106</v>
      </c>
    </row>
    <row r="75" spans="1:7" x14ac:dyDescent="0.2">
      <c r="A75" s="7" t="s">
        <v>16</v>
      </c>
      <c r="B75" s="7" t="s">
        <v>17</v>
      </c>
      <c r="C75" s="7" t="s">
        <v>18</v>
      </c>
      <c r="D75" s="159">
        <v>15145035000196</v>
      </c>
      <c r="E75" s="47" t="s">
        <v>1067</v>
      </c>
      <c r="F75" s="47" t="s">
        <v>1002</v>
      </c>
      <c r="G75" s="160">
        <v>28290.63</v>
      </c>
    </row>
    <row r="76" spans="1:7" x14ac:dyDescent="0.2">
      <c r="A76" s="7" t="s">
        <v>16</v>
      </c>
      <c r="B76" s="7" t="s">
        <v>17</v>
      </c>
      <c r="C76" s="7" t="s">
        <v>18</v>
      </c>
      <c r="D76" s="159">
        <v>15145035000196</v>
      </c>
      <c r="E76" s="47" t="s">
        <v>1067</v>
      </c>
      <c r="F76" s="47" t="s">
        <v>1003</v>
      </c>
      <c r="G76" s="160">
        <v>127919.27</v>
      </c>
    </row>
    <row r="77" spans="1:7" x14ac:dyDescent="0.2">
      <c r="A77" s="7" t="s">
        <v>16</v>
      </c>
      <c r="B77" s="7" t="s">
        <v>17</v>
      </c>
      <c r="C77" s="7" t="s">
        <v>18</v>
      </c>
      <c r="D77" s="159">
        <v>15180714000368</v>
      </c>
      <c r="E77" s="47" t="s">
        <v>1068</v>
      </c>
      <c r="F77" s="47" t="s">
        <v>1031</v>
      </c>
      <c r="G77" s="160">
        <v>11143.31</v>
      </c>
    </row>
    <row r="78" spans="1:7" x14ac:dyDescent="0.2">
      <c r="A78" s="7" t="s">
        <v>16</v>
      </c>
      <c r="B78" s="7" t="s">
        <v>17</v>
      </c>
      <c r="C78" s="7" t="s">
        <v>18</v>
      </c>
      <c r="D78" s="159">
        <v>17700763000300</v>
      </c>
      <c r="E78" s="47" t="s">
        <v>1069</v>
      </c>
      <c r="F78" s="47" t="s">
        <v>1002</v>
      </c>
      <c r="G78" s="160">
        <v>224334.2</v>
      </c>
    </row>
    <row r="79" spans="1:7" x14ac:dyDescent="0.2">
      <c r="A79" s="7" t="s">
        <v>16</v>
      </c>
      <c r="B79" s="7" t="s">
        <v>17</v>
      </c>
      <c r="C79" s="7" t="s">
        <v>18</v>
      </c>
      <c r="D79" s="159">
        <v>17700763000300</v>
      </c>
      <c r="E79" s="47" t="s">
        <v>1069</v>
      </c>
      <c r="F79" s="47" t="s">
        <v>1031</v>
      </c>
      <c r="G79" s="160">
        <v>1004478.49</v>
      </c>
    </row>
    <row r="80" spans="1:7" x14ac:dyDescent="0.2">
      <c r="A80" s="7" t="s">
        <v>16</v>
      </c>
      <c r="B80" s="7" t="s">
        <v>17</v>
      </c>
      <c r="C80" s="7" t="s">
        <v>18</v>
      </c>
      <c r="D80" s="159">
        <v>17700763000300</v>
      </c>
      <c r="E80" s="47" t="s">
        <v>1069</v>
      </c>
      <c r="F80" s="47" t="s">
        <v>1003</v>
      </c>
      <c r="G80" s="160">
        <v>140827.29999999999</v>
      </c>
    </row>
    <row r="81" spans="1:7" x14ac:dyDescent="0.2">
      <c r="A81" s="7" t="s">
        <v>16</v>
      </c>
      <c r="B81" s="7" t="s">
        <v>17</v>
      </c>
      <c r="C81" s="7" t="s">
        <v>18</v>
      </c>
      <c r="D81" s="159">
        <v>18269125000187</v>
      </c>
      <c r="E81" s="47" t="s">
        <v>1070</v>
      </c>
      <c r="F81" s="47" t="s">
        <v>1002</v>
      </c>
      <c r="G81" s="160">
        <v>754416.85</v>
      </c>
    </row>
    <row r="82" spans="1:7" x14ac:dyDescent="0.2">
      <c r="A82" s="7" t="s">
        <v>16</v>
      </c>
      <c r="B82" s="7" t="s">
        <v>17</v>
      </c>
      <c r="C82" s="7" t="s">
        <v>18</v>
      </c>
      <c r="D82" s="159">
        <v>18269125000187</v>
      </c>
      <c r="E82" s="47" t="s">
        <v>1070</v>
      </c>
      <c r="F82" s="47" t="s">
        <v>1031</v>
      </c>
      <c r="G82" s="160">
        <v>796153.23</v>
      </c>
    </row>
    <row r="83" spans="1:7" x14ac:dyDescent="0.2">
      <c r="A83" s="7" t="s">
        <v>16</v>
      </c>
      <c r="B83" s="7" t="s">
        <v>17</v>
      </c>
      <c r="C83" s="7" t="s">
        <v>18</v>
      </c>
      <c r="D83" s="159">
        <v>18269125000187</v>
      </c>
      <c r="E83" s="47" t="s">
        <v>1070</v>
      </c>
      <c r="F83" s="47" t="s">
        <v>1003</v>
      </c>
      <c r="G83" s="160">
        <v>216521.99</v>
      </c>
    </row>
    <row r="84" spans="1:7" x14ac:dyDescent="0.2">
      <c r="A84" s="7" t="s">
        <v>16</v>
      </c>
      <c r="B84" s="7" t="s">
        <v>17</v>
      </c>
      <c r="C84" s="7" t="s">
        <v>18</v>
      </c>
      <c r="D84" s="159">
        <v>21895020000148</v>
      </c>
      <c r="E84" s="47" t="s">
        <v>1051</v>
      </c>
      <c r="F84" s="47" t="s">
        <v>1003</v>
      </c>
      <c r="G84" s="160">
        <v>26405.13</v>
      </c>
    </row>
    <row r="85" spans="1:7" x14ac:dyDescent="0.2">
      <c r="A85" s="7" t="s">
        <v>16</v>
      </c>
      <c r="B85" s="7" t="s">
        <v>17</v>
      </c>
      <c r="C85" s="7" t="s">
        <v>18</v>
      </c>
      <c r="D85" s="159">
        <v>25211499000107</v>
      </c>
      <c r="E85" s="47" t="s">
        <v>1059</v>
      </c>
      <c r="F85" s="47" t="s">
        <v>1031</v>
      </c>
      <c r="G85" s="160">
        <v>29101</v>
      </c>
    </row>
    <row r="86" spans="1:7" x14ac:dyDescent="0.2">
      <c r="A86" s="7" t="s">
        <v>16</v>
      </c>
      <c r="B86" s="7" t="s">
        <v>17</v>
      </c>
      <c r="C86" s="7" t="s">
        <v>18</v>
      </c>
      <c r="D86" s="159">
        <v>25211499000107</v>
      </c>
      <c r="E86" s="47" t="s">
        <v>1059</v>
      </c>
      <c r="F86" s="47" t="s">
        <v>1003</v>
      </c>
      <c r="G86" s="160">
        <v>20331.939999999999</v>
      </c>
    </row>
    <row r="87" spans="1:7" x14ac:dyDescent="0.2">
      <c r="A87" s="7" t="s">
        <v>16</v>
      </c>
      <c r="B87" s="7" t="s">
        <v>17</v>
      </c>
      <c r="C87" s="7" t="s">
        <v>18</v>
      </c>
      <c r="D87" s="159">
        <v>25437484000242</v>
      </c>
      <c r="E87" s="47" t="s">
        <v>1071</v>
      </c>
      <c r="F87" s="47" t="s">
        <v>1002</v>
      </c>
      <c r="G87" s="160">
        <v>20960.84</v>
      </c>
    </row>
    <row r="88" spans="1:7" x14ac:dyDescent="0.2">
      <c r="A88" s="7" t="s">
        <v>16</v>
      </c>
      <c r="B88" s="7" t="s">
        <v>17</v>
      </c>
      <c r="C88" s="7" t="s">
        <v>18</v>
      </c>
      <c r="D88" s="159">
        <v>25648387000207</v>
      </c>
      <c r="E88" s="47" t="s">
        <v>1072</v>
      </c>
      <c r="F88" s="47" t="s">
        <v>1002</v>
      </c>
      <c r="G88" s="160">
        <v>47970</v>
      </c>
    </row>
    <row r="89" spans="1:7" x14ac:dyDescent="0.2">
      <c r="A89" s="7" t="s">
        <v>16</v>
      </c>
      <c r="B89" s="7" t="s">
        <v>17</v>
      </c>
      <c r="C89" s="7" t="s">
        <v>18</v>
      </c>
      <c r="D89" s="159">
        <v>25648387000207</v>
      </c>
      <c r="E89" s="47" t="s">
        <v>1072</v>
      </c>
      <c r="F89" s="47" t="s">
        <v>1031</v>
      </c>
      <c r="G89" s="160">
        <v>65513.81</v>
      </c>
    </row>
    <row r="90" spans="1:7" x14ac:dyDescent="0.2">
      <c r="A90" s="7" t="s">
        <v>16</v>
      </c>
      <c r="B90" s="7" t="s">
        <v>17</v>
      </c>
      <c r="C90" s="7" t="s">
        <v>18</v>
      </c>
      <c r="D90" s="159">
        <v>25648387000207</v>
      </c>
      <c r="E90" s="47" t="s">
        <v>1072</v>
      </c>
      <c r="F90" s="47" t="s">
        <v>1003</v>
      </c>
      <c r="G90" s="160">
        <v>2886.4</v>
      </c>
    </row>
    <row r="91" spans="1:7" x14ac:dyDescent="0.2">
      <c r="A91" s="7" t="s">
        <v>16</v>
      </c>
      <c r="B91" s="7" t="s">
        <v>17</v>
      </c>
      <c r="C91" s="7" t="s">
        <v>18</v>
      </c>
      <c r="D91" s="159">
        <v>27080605001591</v>
      </c>
      <c r="E91" s="47" t="s">
        <v>1073</v>
      </c>
      <c r="F91" s="47" t="s">
        <v>1031</v>
      </c>
      <c r="G91" s="160">
        <v>182234</v>
      </c>
    </row>
    <row r="92" spans="1:7" x14ac:dyDescent="0.2">
      <c r="A92" s="7" t="s">
        <v>16</v>
      </c>
      <c r="B92" s="7" t="s">
        <v>17</v>
      </c>
      <c r="C92" s="7" t="s">
        <v>18</v>
      </c>
      <c r="D92" s="159">
        <v>27191294000132</v>
      </c>
      <c r="E92" s="47" t="s">
        <v>1074</v>
      </c>
      <c r="F92" s="47" t="s">
        <v>1031</v>
      </c>
      <c r="G92" s="160">
        <v>8778.51</v>
      </c>
    </row>
    <row r="93" spans="1:7" x14ac:dyDescent="0.2">
      <c r="A93" s="7" t="s">
        <v>16</v>
      </c>
      <c r="B93" s="7" t="s">
        <v>17</v>
      </c>
      <c r="C93" s="7" t="s">
        <v>18</v>
      </c>
      <c r="D93" s="159">
        <v>33663683002674</v>
      </c>
      <c r="E93" s="47" t="s">
        <v>1075</v>
      </c>
      <c r="F93" s="47" t="s">
        <v>1031</v>
      </c>
      <c r="G93" s="160">
        <v>1811.92</v>
      </c>
    </row>
    <row r="94" spans="1:7" x14ac:dyDescent="0.2">
      <c r="A94" s="7" t="s">
        <v>16</v>
      </c>
      <c r="B94" s="7" t="s">
        <v>17</v>
      </c>
      <c r="C94" s="7" t="s">
        <v>18</v>
      </c>
      <c r="D94" s="159">
        <v>33663683005347</v>
      </c>
      <c r="E94" s="47" t="s">
        <v>1076</v>
      </c>
      <c r="F94" s="47" t="s">
        <v>1031</v>
      </c>
      <c r="G94" s="160">
        <v>137552</v>
      </c>
    </row>
    <row r="95" spans="1:7" x14ac:dyDescent="0.2">
      <c r="A95" s="7" t="s">
        <v>16</v>
      </c>
      <c r="B95" s="7" t="s">
        <v>17</v>
      </c>
      <c r="C95" s="7" t="s">
        <v>18</v>
      </c>
      <c r="D95" s="159">
        <v>33781055000216</v>
      </c>
      <c r="E95" s="47" t="s">
        <v>1077</v>
      </c>
      <c r="F95" s="47" t="s">
        <v>1002</v>
      </c>
      <c r="G95" s="160">
        <v>7283.83</v>
      </c>
    </row>
    <row r="96" spans="1:7" x14ac:dyDescent="0.2">
      <c r="A96" s="7" t="s">
        <v>16</v>
      </c>
      <c r="B96" s="7" t="s">
        <v>17</v>
      </c>
      <c r="C96" s="7" t="s">
        <v>18</v>
      </c>
      <c r="D96" s="159">
        <v>33781055000216</v>
      </c>
      <c r="E96" s="47" t="s">
        <v>1077</v>
      </c>
      <c r="F96" s="47" t="s">
        <v>1031</v>
      </c>
      <c r="G96" s="160">
        <v>46980</v>
      </c>
    </row>
    <row r="97" spans="1:7" x14ac:dyDescent="0.2">
      <c r="A97" s="7" t="s">
        <v>16</v>
      </c>
      <c r="B97" s="7" t="s">
        <v>17</v>
      </c>
      <c r="C97" s="7" t="s">
        <v>18</v>
      </c>
      <c r="D97" s="159">
        <v>33781055000216</v>
      </c>
      <c r="E97" s="47" t="s">
        <v>1077</v>
      </c>
      <c r="F97" s="47" t="s">
        <v>1003</v>
      </c>
      <c r="G97" s="160">
        <v>5596.8</v>
      </c>
    </row>
    <row r="98" spans="1:7" x14ac:dyDescent="0.2">
      <c r="A98" s="7" t="s">
        <v>16</v>
      </c>
      <c r="B98" s="7" t="s">
        <v>17</v>
      </c>
      <c r="C98" s="7" t="s">
        <v>18</v>
      </c>
      <c r="D98" s="159">
        <v>34973438000178</v>
      </c>
      <c r="E98" s="47" t="s">
        <v>1078</v>
      </c>
      <c r="F98" s="47" t="s">
        <v>1003</v>
      </c>
      <c r="G98" s="160">
        <v>5237.0200000000004</v>
      </c>
    </row>
    <row r="99" spans="1:7" x14ac:dyDescent="0.2">
      <c r="A99" s="7" t="s">
        <v>16</v>
      </c>
      <c r="B99" s="7" t="s">
        <v>17</v>
      </c>
      <c r="C99" s="7" t="s">
        <v>18</v>
      </c>
      <c r="D99" s="159">
        <v>37396017000624</v>
      </c>
      <c r="E99" s="47" t="s">
        <v>1059</v>
      </c>
      <c r="F99" s="47" t="s">
        <v>1031</v>
      </c>
      <c r="G99" s="160">
        <v>232470.35</v>
      </c>
    </row>
    <row r="100" spans="1:7" x14ac:dyDescent="0.2">
      <c r="A100" s="7" t="s">
        <v>16</v>
      </c>
      <c r="B100" s="7" t="s">
        <v>17</v>
      </c>
      <c r="C100" s="7" t="s">
        <v>18</v>
      </c>
      <c r="D100" s="159">
        <v>37396017000624</v>
      </c>
      <c r="E100" s="47" t="s">
        <v>1059</v>
      </c>
      <c r="F100" s="47" t="s">
        <v>1003</v>
      </c>
      <c r="G100" s="160">
        <v>22356.68</v>
      </c>
    </row>
    <row r="101" spans="1:7" x14ac:dyDescent="0.2">
      <c r="A101" s="7" t="s">
        <v>16</v>
      </c>
      <c r="B101" s="7" t="s">
        <v>17</v>
      </c>
      <c r="C101" s="7" t="s">
        <v>18</v>
      </c>
      <c r="D101" s="159">
        <v>45780103000150</v>
      </c>
      <c r="E101" s="47" t="s">
        <v>1079</v>
      </c>
      <c r="F101" s="47" t="s">
        <v>1031</v>
      </c>
      <c r="G101" s="160">
        <v>143395.35999999999</v>
      </c>
    </row>
    <row r="102" spans="1:7" x14ac:dyDescent="0.2">
      <c r="A102" s="7" t="s">
        <v>16</v>
      </c>
      <c r="B102" s="7" t="s">
        <v>17</v>
      </c>
      <c r="C102" s="7" t="s">
        <v>18</v>
      </c>
      <c r="D102" s="159">
        <v>46068425000133</v>
      </c>
      <c r="E102" s="47" t="s">
        <v>1080</v>
      </c>
      <c r="F102" s="47" t="s">
        <v>1002</v>
      </c>
      <c r="G102" s="160">
        <v>24796.799999999999</v>
      </c>
    </row>
    <row r="103" spans="1:7" x14ac:dyDescent="0.2">
      <c r="A103" s="7" t="s">
        <v>16</v>
      </c>
      <c r="B103" s="7" t="s">
        <v>17</v>
      </c>
      <c r="C103" s="7" t="s">
        <v>18</v>
      </c>
      <c r="D103" s="159">
        <v>46374500001670</v>
      </c>
      <c r="E103" s="47" t="s">
        <v>1081</v>
      </c>
      <c r="F103" s="47" t="s">
        <v>1003</v>
      </c>
      <c r="G103" s="160">
        <v>6074.28</v>
      </c>
    </row>
    <row r="104" spans="1:7" x14ac:dyDescent="0.2">
      <c r="A104" s="7" t="s">
        <v>16</v>
      </c>
      <c r="B104" s="7" t="s">
        <v>17</v>
      </c>
      <c r="C104" s="7" t="s">
        <v>18</v>
      </c>
      <c r="D104" s="159">
        <v>46374500003533</v>
      </c>
      <c r="E104" s="47" t="s">
        <v>1082</v>
      </c>
      <c r="F104" s="47" t="s">
        <v>1031</v>
      </c>
      <c r="G104" s="160">
        <v>204938</v>
      </c>
    </row>
    <row r="105" spans="1:7" x14ac:dyDescent="0.2">
      <c r="A105" s="7" t="s">
        <v>16</v>
      </c>
      <c r="B105" s="7" t="s">
        <v>17</v>
      </c>
      <c r="C105" s="7" t="s">
        <v>18</v>
      </c>
      <c r="D105" s="159">
        <v>46374500011129</v>
      </c>
      <c r="E105" s="47" t="s">
        <v>1083</v>
      </c>
      <c r="F105" s="47" t="s">
        <v>1003</v>
      </c>
      <c r="G105" s="160">
        <v>13498.4</v>
      </c>
    </row>
    <row r="106" spans="1:7" x14ac:dyDescent="0.2">
      <c r="A106" s="7" t="s">
        <v>16</v>
      </c>
      <c r="B106" s="7" t="s">
        <v>17</v>
      </c>
      <c r="C106" s="7" t="s">
        <v>18</v>
      </c>
      <c r="D106" s="159">
        <v>46374500011200</v>
      </c>
      <c r="E106" s="47" t="s">
        <v>1084</v>
      </c>
      <c r="F106" s="47" t="s">
        <v>1003</v>
      </c>
      <c r="G106" s="160">
        <v>6749.2</v>
      </c>
    </row>
    <row r="107" spans="1:7" x14ac:dyDescent="0.2">
      <c r="A107" s="7" t="s">
        <v>16</v>
      </c>
      <c r="B107" s="7" t="s">
        <v>17</v>
      </c>
      <c r="C107" s="7" t="s">
        <v>18</v>
      </c>
      <c r="D107" s="159">
        <v>46374500011390</v>
      </c>
      <c r="E107" s="47" t="s">
        <v>1085</v>
      </c>
      <c r="F107" s="47" t="s">
        <v>1003</v>
      </c>
      <c r="G107" s="160">
        <v>7592.85</v>
      </c>
    </row>
    <row r="108" spans="1:7" x14ac:dyDescent="0.2">
      <c r="A108" s="7" t="s">
        <v>16</v>
      </c>
      <c r="B108" s="7" t="s">
        <v>17</v>
      </c>
      <c r="C108" s="7" t="s">
        <v>18</v>
      </c>
      <c r="D108" s="159">
        <v>46374500011714</v>
      </c>
      <c r="E108" s="47" t="s">
        <v>1086</v>
      </c>
      <c r="F108" s="47" t="s">
        <v>1003</v>
      </c>
      <c r="G108" s="160">
        <v>16198.08</v>
      </c>
    </row>
    <row r="109" spans="1:7" x14ac:dyDescent="0.2">
      <c r="A109" s="7" t="s">
        <v>16</v>
      </c>
      <c r="B109" s="7" t="s">
        <v>17</v>
      </c>
      <c r="C109" s="7" t="s">
        <v>18</v>
      </c>
      <c r="D109" s="159">
        <v>46374500012605</v>
      </c>
      <c r="E109" s="47" t="s">
        <v>1087</v>
      </c>
      <c r="F109" s="47" t="s">
        <v>1003</v>
      </c>
      <c r="G109" s="160">
        <v>8099.04</v>
      </c>
    </row>
    <row r="110" spans="1:7" x14ac:dyDescent="0.2">
      <c r="A110" s="7" t="s">
        <v>16</v>
      </c>
      <c r="B110" s="7" t="s">
        <v>17</v>
      </c>
      <c r="C110" s="7" t="s">
        <v>18</v>
      </c>
      <c r="D110" s="159">
        <v>46854998000192</v>
      </c>
      <c r="E110" s="47" t="s">
        <v>1088</v>
      </c>
      <c r="F110" s="47" t="s">
        <v>1002</v>
      </c>
      <c r="G110" s="160">
        <v>54434.879999999997</v>
      </c>
    </row>
    <row r="111" spans="1:7" x14ac:dyDescent="0.2">
      <c r="A111" s="7" t="s">
        <v>16</v>
      </c>
      <c r="B111" s="7" t="s">
        <v>17</v>
      </c>
      <c r="C111" s="7" t="s">
        <v>18</v>
      </c>
      <c r="D111" s="159">
        <v>48468284000171</v>
      </c>
      <c r="E111" s="47" t="s">
        <v>1089</v>
      </c>
      <c r="F111" s="47" t="s">
        <v>1031</v>
      </c>
      <c r="G111" s="160">
        <v>20493.8</v>
      </c>
    </row>
    <row r="112" spans="1:7" x14ac:dyDescent="0.2">
      <c r="A112" s="7" t="s">
        <v>16</v>
      </c>
      <c r="B112" s="7" t="s">
        <v>17</v>
      </c>
      <c r="C112" s="7" t="s">
        <v>18</v>
      </c>
      <c r="D112" s="159">
        <v>51885242000140</v>
      </c>
      <c r="E112" s="47" t="s">
        <v>1090</v>
      </c>
      <c r="F112" s="47" t="s">
        <v>1031</v>
      </c>
      <c r="G112" s="160">
        <v>38330.74</v>
      </c>
    </row>
    <row r="113" spans="1:7" x14ac:dyDescent="0.2">
      <c r="A113" s="7" t="s">
        <v>16</v>
      </c>
      <c r="B113" s="7" t="s">
        <v>17</v>
      </c>
      <c r="C113" s="7" t="s">
        <v>18</v>
      </c>
      <c r="D113" s="159">
        <v>56577059000606</v>
      </c>
      <c r="E113" s="47" t="s">
        <v>1091</v>
      </c>
      <c r="F113" s="47" t="s">
        <v>1002</v>
      </c>
      <c r="G113" s="160">
        <v>87699</v>
      </c>
    </row>
    <row r="114" spans="1:7" x14ac:dyDescent="0.2">
      <c r="A114" s="7" t="s">
        <v>16</v>
      </c>
      <c r="B114" s="7" t="s">
        <v>17</v>
      </c>
      <c r="C114" s="7" t="s">
        <v>18</v>
      </c>
      <c r="D114" s="159">
        <v>57722118000302</v>
      </c>
      <c r="E114" s="47" t="s">
        <v>1092</v>
      </c>
      <c r="F114" s="47" t="s">
        <v>1031</v>
      </c>
      <c r="G114" s="160">
        <v>338147.7</v>
      </c>
    </row>
    <row r="115" spans="1:7" x14ac:dyDescent="0.2">
      <c r="A115" s="7" t="s">
        <v>16</v>
      </c>
      <c r="B115" s="7" t="s">
        <v>17</v>
      </c>
      <c r="C115" s="7" t="s">
        <v>18</v>
      </c>
      <c r="D115" s="159">
        <v>60003761000129</v>
      </c>
      <c r="E115" s="47" t="s">
        <v>1093</v>
      </c>
      <c r="F115" s="47" t="s">
        <v>1002</v>
      </c>
      <c r="G115" s="160">
        <v>38950</v>
      </c>
    </row>
    <row r="116" spans="1:7" x14ac:dyDescent="0.2">
      <c r="A116" s="7" t="s">
        <v>16</v>
      </c>
      <c r="B116" s="7" t="s">
        <v>17</v>
      </c>
      <c r="C116" s="7" t="s">
        <v>18</v>
      </c>
      <c r="D116" s="159">
        <v>60003761000129</v>
      </c>
      <c r="E116" s="47" t="s">
        <v>1093</v>
      </c>
      <c r="F116" s="47" t="s">
        <v>1031</v>
      </c>
      <c r="G116" s="160">
        <v>7970.4</v>
      </c>
    </row>
    <row r="117" spans="1:7" x14ac:dyDescent="0.2">
      <c r="A117" s="7" t="s">
        <v>16</v>
      </c>
      <c r="B117" s="7" t="s">
        <v>17</v>
      </c>
      <c r="C117" s="7" t="s">
        <v>18</v>
      </c>
      <c r="D117" s="159">
        <v>60448040000122</v>
      </c>
      <c r="E117" s="47" t="s">
        <v>1094</v>
      </c>
      <c r="F117" s="47" t="s">
        <v>1002</v>
      </c>
      <c r="G117" s="160">
        <v>305976</v>
      </c>
    </row>
    <row r="118" spans="1:7" x14ac:dyDescent="0.2">
      <c r="A118" s="7" t="s">
        <v>16</v>
      </c>
      <c r="B118" s="7" t="s">
        <v>17</v>
      </c>
      <c r="C118" s="7" t="s">
        <v>18</v>
      </c>
      <c r="D118" s="159">
        <v>60448040000122</v>
      </c>
      <c r="E118" s="47" t="s">
        <v>1094</v>
      </c>
      <c r="F118" s="47" t="s">
        <v>1031</v>
      </c>
      <c r="G118" s="160">
        <v>129403.4</v>
      </c>
    </row>
    <row r="119" spans="1:7" x14ac:dyDescent="0.2">
      <c r="A119" s="7" t="s">
        <v>16</v>
      </c>
      <c r="B119" s="7" t="s">
        <v>17</v>
      </c>
      <c r="C119" s="7" t="s">
        <v>18</v>
      </c>
      <c r="D119" s="159">
        <v>60448040000122</v>
      </c>
      <c r="E119" s="47" t="s">
        <v>1094</v>
      </c>
      <c r="F119" s="47" t="s">
        <v>1003</v>
      </c>
      <c r="G119" s="160">
        <v>3543.33</v>
      </c>
    </row>
    <row r="120" spans="1:7" x14ac:dyDescent="0.2">
      <c r="A120" s="7" t="s">
        <v>16</v>
      </c>
      <c r="B120" s="7" t="s">
        <v>17</v>
      </c>
      <c r="C120" s="7" t="s">
        <v>18</v>
      </c>
      <c r="D120" s="159">
        <v>60747318000162</v>
      </c>
      <c r="E120" s="47" t="s">
        <v>1095</v>
      </c>
      <c r="F120" s="47" t="s">
        <v>1003</v>
      </c>
      <c r="G120" s="160">
        <v>8436.5</v>
      </c>
    </row>
    <row r="121" spans="1:7" x14ac:dyDescent="0.2">
      <c r="A121" s="7" t="s">
        <v>16</v>
      </c>
      <c r="B121" s="7" t="s">
        <v>17</v>
      </c>
      <c r="C121" s="7" t="s">
        <v>18</v>
      </c>
      <c r="D121" s="159">
        <v>61590410000124</v>
      </c>
      <c r="E121" s="47" t="s">
        <v>1096</v>
      </c>
      <c r="F121" s="47" t="s">
        <v>1031</v>
      </c>
      <c r="G121" s="160">
        <v>241884.88</v>
      </c>
    </row>
    <row r="122" spans="1:7" x14ac:dyDescent="0.2">
      <c r="A122" s="7" t="s">
        <v>16</v>
      </c>
      <c r="B122" s="7" t="s">
        <v>17</v>
      </c>
      <c r="C122" s="7" t="s">
        <v>18</v>
      </c>
      <c r="D122" s="159">
        <v>61590410000124</v>
      </c>
      <c r="E122" s="47" t="s">
        <v>1096</v>
      </c>
      <c r="F122" s="47" t="s">
        <v>1003</v>
      </c>
      <c r="G122" s="160">
        <v>688.82</v>
      </c>
    </row>
    <row r="123" spans="1:7" x14ac:dyDescent="0.2">
      <c r="A123" s="7" t="s">
        <v>16</v>
      </c>
      <c r="B123" s="7" t="s">
        <v>17</v>
      </c>
      <c r="C123" s="7" t="s">
        <v>18</v>
      </c>
      <c r="D123" s="159">
        <v>61590410001287</v>
      </c>
      <c r="E123" s="47" t="s">
        <v>580</v>
      </c>
      <c r="F123" s="47" t="s">
        <v>1031</v>
      </c>
      <c r="G123" s="160">
        <v>112750</v>
      </c>
    </row>
    <row r="124" spans="1:7" x14ac:dyDescent="0.2">
      <c r="A124" s="7" t="s">
        <v>16</v>
      </c>
      <c r="B124" s="7" t="s">
        <v>17</v>
      </c>
      <c r="C124" s="7" t="s">
        <v>18</v>
      </c>
      <c r="D124" s="159">
        <v>61599908000158</v>
      </c>
      <c r="E124" s="47" t="s">
        <v>1097</v>
      </c>
      <c r="F124" s="47" t="s">
        <v>1031</v>
      </c>
      <c r="G124" s="160">
        <v>79089</v>
      </c>
    </row>
    <row r="125" spans="1:7" x14ac:dyDescent="0.2">
      <c r="A125" s="7" t="s">
        <v>16</v>
      </c>
      <c r="B125" s="7" t="s">
        <v>17</v>
      </c>
      <c r="C125" s="7" t="s">
        <v>18</v>
      </c>
      <c r="D125" s="159">
        <v>61599908000158</v>
      </c>
      <c r="E125" s="47" t="s">
        <v>1097</v>
      </c>
      <c r="F125" s="47" t="s">
        <v>1003</v>
      </c>
      <c r="G125" s="160">
        <v>5405.55</v>
      </c>
    </row>
    <row r="126" spans="1:7" x14ac:dyDescent="0.2">
      <c r="A126" s="7" t="s">
        <v>16</v>
      </c>
      <c r="B126" s="7" t="s">
        <v>17</v>
      </c>
      <c r="C126" s="7" t="s">
        <v>18</v>
      </c>
      <c r="D126" s="159">
        <v>79250676000193</v>
      </c>
      <c r="E126" s="47" t="s">
        <v>1055</v>
      </c>
      <c r="F126" s="47" t="s">
        <v>1002</v>
      </c>
      <c r="G126" s="160">
        <v>47151.05</v>
      </c>
    </row>
    <row r="127" spans="1:7" x14ac:dyDescent="0.2">
      <c r="A127" s="7" t="s">
        <v>16</v>
      </c>
      <c r="B127" s="7" t="s">
        <v>17</v>
      </c>
      <c r="C127" s="7" t="s">
        <v>18</v>
      </c>
      <c r="D127" s="159">
        <v>79250676000193</v>
      </c>
      <c r="E127" s="47" t="s">
        <v>1055</v>
      </c>
      <c r="F127" s="47" t="s">
        <v>1031</v>
      </c>
      <c r="G127" s="160">
        <v>49199.74</v>
      </c>
    </row>
    <row r="128" spans="1:7" x14ac:dyDescent="0.2">
      <c r="A128" s="7" t="s">
        <v>16</v>
      </c>
      <c r="B128" s="7" t="s">
        <v>17</v>
      </c>
      <c r="C128" s="7" t="s">
        <v>18</v>
      </c>
      <c r="D128" s="159">
        <v>79250676000193</v>
      </c>
      <c r="E128" s="47" t="s">
        <v>1055</v>
      </c>
      <c r="F128" s="47" t="s">
        <v>1003</v>
      </c>
      <c r="G128" s="160">
        <v>9671.31</v>
      </c>
    </row>
    <row r="129" spans="1:7" x14ac:dyDescent="0.2">
      <c r="A129" s="7" t="s">
        <v>16</v>
      </c>
      <c r="B129" s="7" t="s">
        <v>17</v>
      </c>
      <c r="C129" s="7" t="s">
        <v>18</v>
      </c>
      <c r="D129" s="159">
        <v>81887838000736</v>
      </c>
      <c r="E129" s="47" t="s">
        <v>1098</v>
      </c>
      <c r="F129" s="47" t="s">
        <v>1031</v>
      </c>
      <c r="G129" s="160">
        <v>199921.93</v>
      </c>
    </row>
    <row r="130" spans="1:7" x14ac:dyDescent="0.2">
      <c r="A130" s="7" t="s">
        <v>16</v>
      </c>
      <c r="B130" s="7" t="s">
        <v>17</v>
      </c>
      <c r="C130" s="7" t="s">
        <v>18</v>
      </c>
      <c r="D130" s="159">
        <v>81887838000736</v>
      </c>
      <c r="E130" s="47" t="s">
        <v>1098</v>
      </c>
      <c r="F130" s="47" t="s">
        <v>1003</v>
      </c>
      <c r="G130" s="160">
        <v>23915.119999999999</v>
      </c>
    </row>
    <row r="131" spans="1:7" x14ac:dyDescent="0.2">
      <c r="A131" s="7" t="s">
        <v>16</v>
      </c>
      <c r="B131" s="7" t="s">
        <v>17</v>
      </c>
      <c r="C131" s="7" t="s">
        <v>18</v>
      </c>
      <c r="D131" s="159">
        <v>82873068000140</v>
      </c>
      <c r="E131" s="47" t="s">
        <v>1099</v>
      </c>
      <c r="F131" s="47" t="s">
        <v>1031</v>
      </c>
      <c r="G131" s="160">
        <v>2981.85</v>
      </c>
    </row>
    <row r="132" spans="1:7" x14ac:dyDescent="0.2">
      <c r="A132" s="7" t="s">
        <v>16</v>
      </c>
      <c r="B132" s="7" t="s">
        <v>17</v>
      </c>
      <c r="C132" s="7" t="s">
        <v>18</v>
      </c>
      <c r="D132" s="159">
        <v>82873068000140</v>
      </c>
      <c r="E132" s="47" t="s">
        <v>1099</v>
      </c>
      <c r="F132" s="47" t="s">
        <v>1003</v>
      </c>
      <c r="G132" s="160">
        <v>65572.710000000006</v>
      </c>
    </row>
    <row r="133" spans="1:7" x14ac:dyDescent="0.2">
      <c r="A133" s="7" t="s">
        <v>16</v>
      </c>
      <c r="B133" s="7" t="s">
        <v>17</v>
      </c>
      <c r="C133" s="7" t="s">
        <v>18</v>
      </c>
      <c r="D133" s="159">
        <v>82873068000573</v>
      </c>
      <c r="E133" s="47" t="s">
        <v>1099</v>
      </c>
      <c r="F133" s="47" t="s">
        <v>1031</v>
      </c>
      <c r="G133" s="160">
        <v>2762.98</v>
      </c>
    </row>
    <row r="134" spans="1:7" x14ac:dyDescent="0.2">
      <c r="A134" s="7" t="s">
        <v>16</v>
      </c>
      <c r="B134" s="7" t="s">
        <v>17</v>
      </c>
      <c r="C134" s="7" t="s">
        <v>18</v>
      </c>
      <c r="D134" s="159">
        <v>82873068000573</v>
      </c>
      <c r="E134" s="47" t="s">
        <v>1099</v>
      </c>
      <c r="F134" s="47" t="s">
        <v>1003</v>
      </c>
      <c r="G134" s="160">
        <v>22444.36</v>
      </c>
    </row>
    <row r="135" spans="1:7" x14ac:dyDescent="0.2">
      <c r="A135" s="7" t="s">
        <v>16</v>
      </c>
      <c r="B135" s="7" t="s">
        <v>17</v>
      </c>
      <c r="C135" s="7" t="s">
        <v>18</v>
      </c>
      <c r="D135" s="159">
        <v>82873068000654</v>
      </c>
      <c r="E135" s="47" t="s">
        <v>1099</v>
      </c>
      <c r="F135" s="47" t="s">
        <v>1003</v>
      </c>
      <c r="G135" s="160">
        <v>102099.81</v>
      </c>
    </row>
    <row r="136" spans="1:7" x14ac:dyDescent="0.2">
      <c r="A136" s="7" t="s">
        <v>16</v>
      </c>
      <c r="B136" s="7" t="s">
        <v>17</v>
      </c>
      <c r="C136" s="7" t="s">
        <v>18</v>
      </c>
      <c r="D136" s="159">
        <v>87020517000120</v>
      </c>
      <c r="E136" s="47" t="s">
        <v>1100</v>
      </c>
      <c r="F136" s="47" t="s">
        <v>1031</v>
      </c>
      <c r="G136" s="160">
        <v>9610.4</v>
      </c>
    </row>
    <row r="137" spans="1:7" x14ac:dyDescent="0.2">
      <c r="A137" s="7" t="s">
        <v>16</v>
      </c>
      <c r="B137" s="7" t="s">
        <v>17</v>
      </c>
      <c r="C137" s="7" t="s">
        <v>18</v>
      </c>
      <c r="D137" s="159">
        <v>92787118000391</v>
      </c>
      <c r="E137" s="47" t="s">
        <v>1101</v>
      </c>
      <c r="F137" s="47" t="s">
        <v>1031</v>
      </c>
      <c r="G137" s="160">
        <v>8885.52</v>
      </c>
    </row>
    <row r="138" spans="1:7" x14ac:dyDescent="0.2">
      <c r="A138" s="7" t="s">
        <v>16</v>
      </c>
      <c r="B138" s="7" t="s">
        <v>17</v>
      </c>
      <c r="C138" s="7" t="s">
        <v>18</v>
      </c>
      <c r="D138" s="159">
        <v>94516671000153</v>
      </c>
      <c r="E138" s="47" t="s">
        <v>1102</v>
      </c>
      <c r="F138" s="47" t="s">
        <v>1002</v>
      </c>
      <c r="G138" s="160">
        <v>83641.87</v>
      </c>
    </row>
    <row r="139" spans="1:7" x14ac:dyDescent="0.2">
      <c r="A139" s="7" t="s">
        <v>16</v>
      </c>
      <c r="B139" s="7" t="s">
        <v>17</v>
      </c>
      <c r="C139" s="7" t="s">
        <v>18</v>
      </c>
      <c r="D139" s="159">
        <v>94516671000153</v>
      </c>
      <c r="E139" s="47" t="s">
        <v>1102</v>
      </c>
      <c r="F139" s="47" t="s">
        <v>1031</v>
      </c>
      <c r="G139" s="160">
        <v>130288.35</v>
      </c>
    </row>
    <row r="140" spans="1:7" x14ac:dyDescent="0.2">
      <c r="A140" s="7" t="s">
        <v>16</v>
      </c>
      <c r="B140" s="7" t="s">
        <v>17</v>
      </c>
      <c r="C140" s="7" t="s">
        <v>18</v>
      </c>
      <c r="D140" s="159">
        <v>94516671000153</v>
      </c>
      <c r="E140" s="47" t="s">
        <v>1102</v>
      </c>
      <c r="F140" s="47" t="s">
        <v>1003</v>
      </c>
      <c r="G140" s="160">
        <v>56330.93</v>
      </c>
    </row>
    <row r="141" spans="1:7" x14ac:dyDescent="0.2">
      <c r="A141" s="7" t="s">
        <v>16</v>
      </c>
      <c r="B141" s="7" t="s">
        <v>17</v>
      </c>
      <c r="C141" s="7" t="s">
        <v>18</v>
      </c>
      <c r="D141" s="159">
        <v>94516671000234</v>
      </c>
      <c r="E141" s="47" t="s">
        <v>1102</v>
      </c>
      <c r="F141" s="47" t="s">
        <v>1002</v>
      </c>
      <c r="G141" s="160">
        <v>73801.649999999994</v>
      </c>
    </row>
    <row r="142" spans="1:7" x14ac:dyDescent="0.2">
      <c r="A142" s="7" t="s">
        <v>16</v>
      </c>
      <c r="B142" s="7" t="s">
        <v>17</v>
      </c>
      <c r="C142" s="7" t="s">
        <v>18</v>
      </c>
      <c r="D142" s="159">
        <v>94516671000234</v>
      </c>
      <c r="E142" s="47" t="s">
        <v>1102</v>
      </c>
      <c r="F142" s="47" t="s">
        <v>1031</v>
      </c>
      <c r="G142" s="160">
        <v>191784.51</v>
      </c>
    </row>
    <row r="143" spans="1:7" x14ac:dyDescent="0.2">
      <c r="A143" s="7" t="s">
        <v>16</v>
      </c>
      <c r="B143" s="7" t="s">
        <v>17</v>
      </c>
      <c r="C143" s="7" t="s">
        <v>18</v>
      </c>
      <c r="D143" s="159">
        <v>94516671000234</v>
      </c>
      <c r="E143" s="47" t="s">
        <v>1102</v>
      </c>
      <c r="F143" s="47" t="s">
        <v>1003</v>
      </c>
      <c r="G143" s="160">
        <v>56330.93</v>
      </c>
    </row>
    <row r="144" spans="1:7" x14ac:dyDescent="0.2">
      <c r="A144" s="7" t="s">
        <v>16</v>
      </c>
      <c r="B144" s="7" t="s">
        <v>55</v>
      </c>
      <c r="C144" s="7" t="s">
        <v>18</v>
      </c>
      <c r="D144" s="159">
        <v>394544000851</v>
      </c>
      <c r="E144" s="47" t="s">
        <v>1103</v>
      </c>
      <c r="F144" s="47" t="s">
        <v>1031</v>
      </c>
      <c r="G144" s="160">
        <v>137247.73000000001</v>
      </c>
    </row>
    <row r="145" spans="1:7" x14ac:dyDescent="0.2">
      <c r="A145" s="7" t="s">
        <v>16</v>
      </c>
      <c r="B145" s="7" t="s">
        <v>55</v>
      </c>
      <c r="C145" s="7" t="s">
        <v>18</v>
      </c>
      <c r="D145" s="159">
        <v>394544017150</v>
      </c>
      <c r="E145" s="47" t="s">
        <v>1104</v>
      </c>
      <c r="F145" s="47" t="s">
        <v>1031</v>
      </c>
      <c r="G145" s="160">
        <v>17600</v>
      </c>
    </row>
    <row r="146" spans="1:7" x14ac:dyDescent="0.2">
      <c r="A146" s="7" t="s">
        <v>16</v>
      </c>
      <c r="B146" s="7" t="s">
        <v>55</v>
      </c>
      <c r="C146" s="7" t="s">
        <v>18</v>
      </c>
      <c r="D146" s="159">
        <v>735260000105</v>
      </c>
      <c r="E146" s="47" t="s">
        <v>1105</v>
      </c>
      <c r="F146" s="47" t="s">
        <v>1003</v>
      </c>
      <c r="G146" s="160">
        <v>5985.15</v>
      </c>
    </row>
    <row r="147" spans="1:7" x14ac:dyDescent="0.2">
      <c r="A147" s="7" t="s">
        <v>16</v>
      </c>
      <c r="B147" s="7" t="s">
        <v>55</v>
      </c>
      <c r="C147" s="7" t="s">
        <v>18</v>
      </c>
      <c r="D147" s="159">
        <v>1479465000130</v>
      </c>
      <c r="E147" s="47" t="s">
        <v>1039</v>
      </c>
      <c r="F147" s="47" t="s">
        <v>1031</v>
      </c>
      <c r="G147" s="160">
        <v>540058.64</v>
      </c>
    </row>
    <row r="148" spans="1:7" x14ac:dyDescent="0.2">
      <c r="A148" s="7" t="s">
        <v>16</v>
      </c>
      <c r="B148" s="7" t="s">
        <v>55</v>
      </c>
      <c r="C148" s="7" t="s">
        <v>18</v>
      </c>
      <c r="D148" s="159">
        <v>2873606000167</v>
      </c>
      <c r="E148" s="47" t="s">
        <v>1040</v>
      </c>
      <c r="F148" s="47" t="s">
        <v>1031</v>
      </c>
      <c r="G148" s="160">
        <v>23453.46</v>
      </c>
    </row>
    <row r="149" spans="1:7" x14ac:dyDescent="0.2">
      <c r="A149" s="7" t="s">
        <v>16</v>
      </c>
      <c r="B149" s="7" t="s">
        <v>55</v>
      </c>
      <c r="C149" s="7" t="s">
        <v>18</v>
      </c>
      <c r="D149" s="159">
        <v>2873606000167</v>
      </c>
      <c r="E149" s="47" t="s">
        <v>1040</v>
      </c>
      <c r="F149" s="47" t="s">
        <v>1003</v>
      </c>
      <c r="G149" s="160">
        <v>50956.61</v>
      </c>
    </row>
    <row r="150" spans="1:7" x14ac:dyDescent="0.2">
      <c r="A150" s="7" t="s">
        <v>16</v>
      </c>
      <c r="B150" s="7" t="s">
        <v>55</v>
      </c>
      <c r="C150" s="7" t="s">
        <v>18</v>
      </c>
      <c r="D150" s="159">
        <v>3866223000124</v>
      </c>
      <c r="E150" s="47" t="s">
        <v>1106</v>
      </c>
      <c r="F150" s="47" t="s">
        <v>1031</v>
      </c>
      <c r="G150" s="160">
        <v>229191.12</v>
      </c>
    </row>
    <row r="151" spans="1:7" x14ac:dyDescent="0.2">
      <c r="A151" s="7" t="s">
        <v>16</v>
      </c>
      <c r="B151" s="7" t="s">
        <v>55</v>
      </c>
      <c r="C151" s="7" t="s">
        <v>18</v>
      </c>
      <c r="D151" s="159">
        <v>4027894000326</v>
      </c>
      <c r="E151" s="47" t="s">
        <v>1041</v>
      </c>
      <c r="F151" s="47" t="s">
        <v>1002</v>
      </c>
      <c r="G151" s="160">
        <v>208715.05</v>
      </c>
    </row>
    <row r="152" spans="1:7" x14ac:dyDescent="0.2">
      <c r="A152" s="7" t="s">
        <v>16</v>
      </c>
      <c r="B152" s="7" t="s">
        <v>55</v>
      </c>
      <c r="C152" s="7" t="s">
        <v>18</v>
      </c>
      <c r="D152" s="159">
        <v>4027894000326</v>
      </c>
      <c r="E152" s="47" t="s">
        <v>1041</v>
      </c>
      <c r="F152" s="47" t="s">
        <v>1031</v>
      </c>
      <c r="G152" s="160">
        <v>762983.1</v>
      </c>
    </row>
    <row r="153" spans="1:7" x14ac:dyDescent="0.2">
      <c r="A153" s="7" t="s">
        <v>16</v>
      </c>
      <c r="B153" s="7" t="s">
        <v>55</v>
      </c>
      <c r="C153" s="7" t="s">
        <v>18</v>
      </c>
      <c r="D153" s="159">
        <v>4027894000326</v>
      </c>
      <c r="E153" s="47" t="s">
        <v>1041</v>
      </c>
      <c r="F153" s="47" t="s">
        <v>1003</v>
      </c>
      <c r="G153" s="160">
        <v>172161.46</v>
      </c>
    </row>
    <row r="154" spans="1:7" x14ac:dyDescent="0.2">
      <c r="A154" s="7" t="s">
        <v>16</v>
      </c>
      <c r="B154" s="7" t="s">
        <v>55</v>
      </c>
      <c r="C154" s="7" t="s">
        <v>18</v>
      </c>
      <c r="D154" s="159">
        <v>4307650001298</v>
      </c>
      <c r="E154" s="47" t="s">
        <v>1042</v>
      </c>
      <c r="F154" s="47" t="s">
        <v>1031</v>
      </c>
      <c r="G154" s="160">
        <v>639187.74</v>
      </c>
    </row>
    <row r="155" spans="1:7" x14ac:dyDescent="0.2">
      <c r="A155" s="7" t="s">
        <v>16</v>
      </c>
      <c r="B155" s="7" t="s">
        <v>55</v>
      </c>
      <c r="C155" s="7" t="s">
        <v>18</v>
      </c>
      <c r="D155" s="159">
        <v>4307650001298</v>
      </c>
      <c r="E155" s="47" t="s">
        <v>1042</v>
      </c>
      <c r="F155" s="47" t="s">
        <v>1003</v>
      </c>
      <c r="G155" s="160">
        <v>103508.06</v>
      </c>
    </row>
    <row r="156" spans="1:7" x14ac:dyDescent="0.2">
      <c r="A156" s="7" t="s">
        <v>16</v>
      </c>
      <c r="B156" s="7" t="s">
        <v>55</v>
      </c>
      <c r="C156" s="7" t="s">
        <v>18</v>
      </c>
      <c r="D156" s="159">
        <v>4355394000151</v>
      </c>
      <c r="E156" s="47" t="s">
        <v>1043</v>
      </c>
      <c r="F156" s="47" t="s">
        <v>1002</v>
      </c>
      <c r="G156" s="160">
        <v>145126.54999999999</v>
      </c>
    </row>
    <row r="157" spans="1:7" x14ac:dyDescent="0.2">
      <c r="A157" s="7" t="s">
        <v>16</v>
      </c>
      <c r="B157" s="7" t="s">
        <v>55</v>
      </c>
      <c r="C157" s="7" t="s">
        <v>18</v>
      </c>
      <c r="D157" s="159">
        <v>4355394000151</v>
      </c>
      <c r="E157" s="47" t="s">
        <v>1043</v>
      </c>
      <c r="F157" s="47" t="s">
        <v>1031</v>
      </c>
      <c r="G157" s="160">
        <v>781027.64</v>
      </c>
    </row>
    <row r="158" spans="1:7" x14ac:dyDescent="0.2">
      <c r="A158" s="7" t="s">
        <v>16</v>
      </c>
      <c r="B158" s="7" t="s">
        <v>55</v>
      </c>
      <c r="C158" s="7" t="s">
        <v>18</v>
      </c>
      <c r="D158" s="159">
        <v>4355394000151</v>
      </c>
      <c r="E158" s="47" t="s">
        <v>1043</v>
      </c>
      <c r="F158" s="47" t="s">
        <v>1003</v>
      </c>
      <c r="G158" s="160">
        <v>72174</v>
      </c>
    </row>
    <row r="159" spans="1:7" x14ac:dyDescent="0.2">
      <c r="A159" s="7" t="s">
        <v>16</v>
      </c>
      <c r="B159" s="7" t="s">
        <v>55</v>
      </c>
      <c r="C159" s="7" t="s">
        <v>18</v>
      </c>
      <c r="D159" s="159">
        <v>5268490000125</v>
      </c>
      <c r="E159" s="47" t="s">
        <v>1044</v>
      </c>
      <c r="F159" s="47" t="s">
        <v>1002</v>
      </c>
      <c r="G159" s="160">
        <v>31570.7</v>
      </c>
    </row>
    <row r="160" spans="1:7" x14ac:dyDescent="0.2">
      <c r="A160" s="7" t="s">
        <v>16</v>
      </c>
      <c r="B160" s="7" t="s">
        <v>55</v>
      </c>
      <c r="C160" s="7" t="s">
        <v>18</v>
      </c>
      <c r="D160" s="159">
        <v>5268490000125</v>
      </c>
      <c r="E160" s="47" t="s">
        <v>1044</v>
      </c>
      <c r="F160" s="47" t="s">
        <v>1031</v>
      </c>
      <c r="G160" s="160">
        <v>158778.78</v>
      </c>
    </row>
    <row r="161" spans="1:7" x14ac:dyDescent="0.2">
      <c r="A161" s="7" t="s">
        <v>16</v>
      </c>
      <c r="B161" s="7" t="s">
        <v>55</v>
      </c>
      <c r="C161" s="7" t="s">
        <v>18</v>
      </c>
      <c r="D161" s="159">
        <v>5816630000152</v>
      </c>
      <c r="E161" s="47" t="s">
        <v>1045</v>
      </c>
      <c r="F161" s="47" t="s">
        <v>1031</v>
      </c>
      <c r="G161" s="160">
        <v>600583</v>
      </c>
    </row>
    <row r="162" spans="1:7" x14ac:dyDescent="0.2">
      <c r="A162" s="7" t="s">
        <v>16</v>
      </c>
      <c r="B162" s="7" t="s">
        <v>55</v>
      </c>
      <c r="C162" s="7" t="s">
        <v>18</v>
      </c>
      <c r="D162" s="159">
        <v>6081203000136</v>
      </c>
      <c r="E162" s="47" t="s">
        <v>1042</v>
      </c>
      <c r="F162" s="47" t="s">
        <v>1031</v>
      </c>
      <c r="G162" s="160">
        <v>654865.91</v>
      </c>
    </row>
    <row r="163" spans="1:7" x14ac:dyDescent="0.2">
      <c r="A163" s="7" t="s">
        <v>16</v>
      </c>
      <c r="B163" s="7" t="s">
        <v>55</v>
      </c>
      <c r="C163" s="7" t="s">
        <v>18</v>
      </c>
      <c r="D163" s="159">
        <v>6081203000136</v>
      </c>
      <c r="E163" s="47" t="s">
        <v>1042</v>
      </c>
      <c r="F163" s="47" t="s">
        <v>1003</v>
      </c>
      <c r="G163" s="160">
        <v>44360.62</v>
      </c>
    </row>
    <row r="164" spans="1:7" x14ac:dyDescent="0.2">
      <c r="A164" s="7" t="s">
        <v>16</v>
      </c>
      <c r="B164" s="7" t="s">
        <v>55</v>
      </c>
      <c r="C164" s="7" t="s">
        <v>18</v>
      </c>
      <c r="D164" s="159">
        <v>6234797000178</v>
      </c>
      <c r="E164" s="47" t="s">
        <v>1046</v>
      </c>
      <c r="F164" s="47" t="s">
        <v>1002</v>
      </c>
      <c r="G164" s="160">
        <v>18860.419999999998</v>
      </c>
    </row>
    <row r="165" spans="1:7" x14ac:dyDescent="0.2">
      <c r="A165" s="7" t="s">
        <v>16</v>
      </c>
      <c r="B165" s="7" t="s">
        <v>55</v>
      </c>
      <c r="C165" s="7" t="s">
        <v>18</v>
      </c>
      <c r="D165" s="159">
        <v>6234797000178</v>
      </c>
      <c r="E165" s="47" t="s">
        <v>1046</v>
      </c>
      <c r="F165" s="47" t="s">
        <v>1031</v>
      </c>
      <c r="G165" s="160">
        <v>259722.96</v>
      </c>
    </row>
    <row r="166" spans="1:7" x14ac:dyDescent="0.2">
      <c r="A166" s="7" t="s">
        <v>16</v>
      </c>
      <c r="B166" s="7" t="s">
        <v>55</v>
      </c>
      <c r="C166" s="7" t="s">
        <v>18</v>
      </c>
      <c r="D166" s="159">
        <v>6234797000178</v>
      </c>
      <c r="E166" s="47" t="s">
        <v>1046</v>
      </c>
      <c r="F166" s="47" t="s">
        <v>1003</v>
      </c>
      <c r="G166" s="160">
        <v>119703.2</v>
      </c>
    </row>
    <row r="167" spans="1:7" x14ac:dyDescent="0.2">
      <c r="A167" s="7" t="s">
        <v>16</v>
      </c>
      <c r="B167" s="7" t="s">
        <v>55</v>
      </c>
      <c r="C167" s="7" t="s">
        <v>18</v>
      </c>
      <c r="D167" s="159">
        <v>7224991001530</v>
      </c>
      <c r="E167" s="47" t="s">
        <v>1047</v>
      </c>
      <c r="F167" s="47" t="s">
        <v>1031</v>
      </c>
      <c r="G167" s="160">
        <v>44331.4</v>
      </c>
    </row>
    <row r="168" spans="1:7" x14ac:dyDescent="0.2">
      <c r="A168" s="7" t="s">
        <v>16</v>
      </c>
      <c r="B168" s="7" t="s">
        <v>55</v>
      </c>
      <c r="C168" s="7" t="s">
        <v>18</v>
      </c>
      <c r="D168" s="159">
        <v>7224991001530</v>
      </c>
      <c r="E168" s="47" t="s">
        <v>1047</v>
      </c>
      <c r="F168" s="47" t="s">
        <v>1003</v>
      </c>
      <c r="G168" s="160">
        <v>57492.74</v>
      </c>
    </row>
    <row r="169" spans="1:7" x14ac:dyDescent="0.2">
      <c r="A169" s="7" t="s">
        <v>16</v>
      </c>
      <c r="B169" s="7" t="s">
        <v>55</v>
      </c>
      <c r="C169" s="7" t="s">
        <v>18</v>
      </c>
      <c r="D169" s="159">
        <v>7484373000124</v>
      </c>
      <c r="E169" s="47" t="s">
        <v>1049</v>
      </c>
      <c r="F169" s="47" t="s">
        <v>1002</v>
      </c>
      <c r="G169" s="160">
        <v>9922.2199999999993</v>
      </c>
    </row>
    <row r="170" spans="1:7" x14ac:dyDescent="0.2">
      <c r="A170" s="7" t="s">
        <v>16</v>
      </c>
      <c r="B170" s="7" t="s">
        <v>55</v>
      </c>
      <c r="C170" s="7" t="s">
        <v>18</v>
      </c>
      <c r="D170" s="159">
        <v>7484373000124</v>
      </c>
      <c r="E170" s="47" t="s">
        <v>1049</v>
      </c>
      <c r="F170" s="47" t="s">
        <v>1003</v>
      </c>
      <c r="G170" s="160">
        <v>85781.77</v>
      </c>
    </row>
    <row r="171" spans="1:7" x14ac:dyDescent="0.2">
      <c r="A171" s="7" t="s">
        <v>16</v>
      </c>
      <c r="B171" s="7" t="s">
        <v>55</v>
      </c>
      <c r="C171" s="7" t="s">
        <v>18</v>
      </c>
      <c r="D171" s="159">
        <v>7734165000136</v>
      </c>
      <c r="E171" s="47" t="s">
        <v>1050</v>
      </c>
      <c r="F171" s="47" t="s">
        <v>1031</v>
      </c>
      <c r="G171" s="160">
        <v>409974.38</v>
      </c>
    </row>
    <row r="172" spans="1:7" x14ac:dyDescent="0.2">
      <c r="A172" s="7" t="s">
        <v>16</v>
      </c>
      <c r="B172" s="7" t="s">
        <v>55</v>
      </c>
      <c r="C172" s="7" t="s">
        <v>18</v>
      </c>
      <c r="D172" s="159">
        <v>7812105000194</v>
      </c>
      <c r="E172" s="47" t="s">
        <v>1051</v>
      </c>
      <c r="F172" s="47" t="s">
        <v>1031</v>
      </c>
      <c r="G172" s="160">
        <v>416532.63</v>
      </c>
    </row>
    <row r="173" spans="1:7" x14ac:dyDescent="0.2">
      <c r="A173" s="7" t="s">
        <v>16</v>
      </c>
      <c r="B173" s="7" t="s">
        <v>55</v>
      </c>
      <c r="C173" s="7" t="s">
        <v>18</v>
      </c>
      <c r="D173" s="159">
        <v>8597121000174</v>
      </c>
      <c r="E173" s="47" t="s">
        <v>1053</v>
      </c>
      <c r="F173" s="47" t="s">
        <v>1031</v>
      </c>
      <c r="G173" s="160">
        <v>-1912472</v>
      </c>
    </row>
    <row r="174" spans="1:7" x14ac:dyDescent="0.2">
      <c r="A174" s="7" t="s">
        <v>16</v>
      </c>
      <c r="B174" s="7" t="s">
        <v>55</v>
      </c>
      <c r="C174" s="7" t="s">
        <v>18</v>
      </c>
      <c r="D174" s="159">
        <v>8618022000121</v>
      </c>
      <c r="E174" s="47" t="s">
        <v>1054</v>
      </c>
      <c r="F174" s="47" t="s">
        <v>1002</v>
      </c>
      <c r="G174" s="160">
        <v>237796.02</v>
      </c>
    </row>
    <row r="175" spans="1:7" x14ac:dyDescent="0.2">
      <c r="A175" s="7" t="s">
        <v>16</v>
      </c>
      <c r="B175" s="7" t="s">
        <v>55</v>
      </c>
      <c r="C175" s="7" t="s">
        <v>18</v>
      </c>
      <c r="D175" s="159">
        <v>8618022000121</v>
      </c>
      <c r="E175" s="47" t="s">
        <v>1054</v>
      </c>
      <c r="F175" s="47" t="s">
        <v>1031</v>
      </c>
      <c r="G175" s="160">
        <v>1975285.99</v>
      </c>
    </row>
    <row r="176" spans="1:7" x14ac:dyDescent="0.2">
      <c r="A176" s="7" t="s">
        <v>16</v>
      </c>
      <c r="B176" s="7" t="s">
        <v>55</v>
      </c>
      <c r="C176" s="7" t="s">
        <v>18</v>
      </c>
      <c r="D176" s="159">
        <v>8719794000150</v>
      </c>
      <c r="E176" s="47" t="s">
        <v>1051</v>
      </c>
      <c r="F176" s="47" t="s">
        <v>1031</v>
      </c>
      <c r="G176" s="160">
        <v>51775.45</v>
      </c>
    </row>
    <row r="177" spans="1:7" x14ac:dyDescent="0.2">
      <c r="A177" s="7" t="s">
        <v>16</v>
      </c>
      <c r="B177" s="7" t="s">
        <v>55</v>
      </c>
      <c r="C177" s="7" t="s">
        <v>18</v>
      </c>
      <c r="D177" s="159">
        <v>9053134000226</v>
      </c>
      <c r="E177" s="47" t="s">
        <v>1055</v>
      </c>
      <c r="F177" s="47" t="s">
        <v>1031</v>
      </c>
      <c r="G177" s="160">
        <v>5858.07</v>
      </c>
    </row>
    <row r="178" spans="1:7" x14ac:dyDescent="0.2">
      <c r="A178" s="7" t="s">
        <v>16</v>
      </c>
      <c r="B178" s="7" t="s">
        <v>55</v>
      </c>
      <c r="C178" s="7" t="s">
        <v>18</v>
      </c>
      <c r="D178" s="159">
        <v>9579964000291</v>
      </c>
      <c r="E178" s="47" t="s">
        <v>1107</v>
      </c>
      <c r="F178" s="47" t="s">
        <v>1031</v>
      </c>
      <c r="G178" s="160">
        <v>245540</v>
      </c>
    </row>
    <row r="179" spans="1:7" x14ac:dyDescent="0.2">
      <c r="A179" s="7" t="s">
        <v>16</v>
      </c>
      <c r="B179" s="7" t="s">
        <v>55</v>
      </c>
      <c r="C179" s="7" t="s">
        <v>18</v>
      </c>
      <c r="D179" s="159">
        <v>9660958000345</v>
      </c>
      <c r="E179" s="47" t="s">
        <v>1057</v>
      </c>
      <c r="F179" s="47" t="s">
        <v>1002</v>
      </c>
      <c r="G179" s="160">
        <v>134995.89000000001</v>
      </c>
    </row>
    <row r="180" spans="1:7" x14ac:dyDescent="0.2">
      <c r="A180" s="7" t="s">
        <v>16</v>
      </c>
      <c r="B180" s="7" t="s">
        <v>55</v>
      </c>
      <c r="C180" s="7" t="s">
        <v>18</v>
      </c>
      <c r="D180" s="159">
        <v>9660958000345</v>
      </c>
      <c r="E180" s="47" t="s">
        <v>1057</v>
      </c>
      <c r="F180" s="47" t="s">
        <v>1031</v>
      </c>
      <c r="G180" s="160">
        <v>204103.33</v>
      </c>
    </row>
    <row r="181" spans="1:7" x14ac:dyDescent="0.2">
      <c r="A181" s="7" t="s">
        <v>16</v>
      </c>
      <c r="B181" s="7" t="s">
        <v>55</v>
      </c>
      <c r="C181" s="7" t="s">
        <v>18</v>
      </c>
      <c r="D181" s="159">
        <v>9660958000345</v>
      </c>
      <c r="E181" s="47" t="s">
        <v>1057</v>
      </c>
      <c r="F181" s="47" t="s">
        <v>1003</v>
      </c>
      <c r="G181" s="160">
        <v>125709.55</v>
      </c>
    </row>
    <row r="182" spans="1:7" x14ac:dyDescent="0.2">
      <c r="A182" s="7" t="s">
        <v>16</v>
      </c>
      <c r="B182" s="7" t="s">
        <v>55</v>
      </c>
      <c r="C182" s="7" t="s">
        <v>18</v>
      </c>
      <c r="D182" s="159">
        <v>10942995000163</v>
      </c>
      <c r="E182" s="47" t="s">
        <v>1108</v>
      </c>
      <c r="F182" s="47" t="s">
        <v>1031</v>
      </c>
      <c r="G182" s="160">
        <v>7383.28</v>
      </c>
    </row>
    <row r="183" spans="1:7" x14ac:dyDescent="0.2">
      <c r="A183" s="7" t="s">
        <v>16</v>
      </c>
      <c r="B183" s="7" t="s">
        <v>55</v>
      </c>
      <c r="C183" s="7" t="s">
        <v>18</v>
      </c>
      <c r="D183" s="159">
        <v>11022597001597</v>
      </c>
      <c r="E183" s="47" t="s">
        <v>1109</v>
      </c>
      <c r="F183" s="47" t="s">
        <v>1031</v>
      </c>
      <c r="G183" s="160">
        <v>21422.5</v>
      </c>
    </row>
    <row r="184" spans="1:7" x14ac:dyDescent="0.2">
      <c r="A184" s="7" t="s">
        <v>16</v>
      </c>
      <c r="B184" s="7" t="s">
        <v>55</v>
      </c>
      <c r="C184" s="7" t="s">
        <v>18</v>
      </c>
      <c r="D184" s="159">
        <v>11206099000107</v>
      </c>
      <c r="E184" s="47" t="s">
        <v>1110</v>
      </c>
      <c r="F184" s="47" t="s">
        <v>1002</v>
      </c>
      <c r="G184" s="160">
        <v>196804.4</v>
      </c>
    </row>
    <row r="185" spans="1:7" x14ac:dyDescent="0.2">
      <c r="A185" s="7" t="s">
        <v>16</v>
      </c>
      <c r="B185" s="7" t="s">
        <v>55</v>
      </c>
      <c r="C185" s="7" t="s">
        <v>18</v>
      </c>
      <c r="D185" s="159">
        <v>11206099000107</v>
      </c>
      <c r="E185" s="47" t="s">
        <v>1110</v>
      </c>
      <c r="F185" s="47" t="s">
        <v>1031</v>
      </c>
      <c r="G185" s="160">
        <v>245998.74</v>
      </c>
    </row>
    <row r="186" spans="1:7" x14ac:dyDescent="0.2">
      <c r="A186" s="7" t="s">
        <v>16</v>
      </c>
      <c r="B186" s="7" t="s">
        <v>55</v>
      </c>
      <c r="C186" s="7" t="s">
        <v>18</v>
      </c>
      <c r="D186" s="159">
        <v>11206099000107</v>
      </c>
      <c r="E186" s="47" t="s">
        <v>1110</v>
      </c>
      <c r="F186" s="47" t="s">
        <v>1003</v>
      </c>
      <c r="G186" s="160">
        <v>177442.42</v>
      </c>
    </row>
    <row r="187" spans="1:7" x14ac:dyDescent="0.2">
      <c r="A187" s="7" t="s">
        <v>16</v>
      </c>
      <c r="B187" s="7" t="s">
        <v>55</v>
      </c>
      <c r="C187" s="7" t="s">
        <v>18</v>
      </c>
      <c r="D187" s="159">
        <v>11273170000166</v>
      </c>
      <c r="E187" s="47" t="s">
        <v>1111</v>
      </c>
      <c r="F187" s="47" t="s">
        <v>1031</v>
      </c>
      <c r="G187" s="160">
        <v>98216</v>
      </c>
    </row>
    <row r="188" spans="1:7" x14ac:dyDescent="0.2">
      <c r="A188" s="7" t="s">
        <v>16</v>
      </c>
      <c r="B188" s="7" t="s">
        <v>55</v>
      </c>
      <c r="C188" s="7" t="s">
        <v>18</v>
      </c>
      <c r="D188" s="159">
        <v>12420164000319</v>
      </c>
      <c r="E188" s="47" t="s">
        <v>1061</v>
      </c>
      <c r="F188" s="47" t="s">
        <v>1002</v>
      </c>
      <c r="G188" s="160">
        <v>615674.61</v>
      </c>
    </row>
    <row r="189" spans="1:7" x14ac:dyDescent="0.2">
      <c r="A189" s="7" t="s">
        <v>16</v>
      </c>
      <c r="B189" s="7" t="s">
        <v>55</v>
      </c>
      <c r="C189" s="7" t="s">
        <v>18</v>
      </c>
      <c r="D189" s="159">
        <v>12420164000319</v>
      </c>
      <c r="E189" s="47" t="s">
        <v>1061</v>
      </c>
      <c r="F189" s="47" t="s">
        <v>1031</v>
      </c>
      <c r="G189" s="160">
        <v>1753095.09</v>
      </c>
    </row>
    <row r="190" spans="1:7" x14ac:dyDescent="0.2">
      <c r="A190" s="7" t="s">
        <v>16</v>
      </c>
      <c r="B190" s="7" t="s">
        <v>55</v>
      </c>
      <c r="C190" s="7" t="s">
        <v>18</v>
      </c>
      <c r="D190" s="159">
        <v>12420164000319</v>
      </c>
      <c r="E190" s="47" t="s">
        <v>1061</v>
      </c>
      <c r="F190" s="47" t="s">
        <v>1003</v>
      </c>
      <c r="G190" s="160">
        <v>18396.18</v>
      </c>
    </row>
    <row r="191" spans="1:7" x14ac:dyDescent="0.2">
      <c r="A191" s="7" t="s">
        <v>16</v>
      </c>
      <c r="B191" s="7" t="s">
        <v>55</v>
      </c>
      <c r="C191" s="7" t="s">
        <v>18</v>
      </c>
      <c r="D191" s="159">
        <v>12420164000904</v>
      </c>
      <c r="E191" s="47" t="s">
        <v>1061</v>
      </c>
      <c r="F191" s="47" t="s">
        <v>1002</v>
      </c>
      <c r="G191" s="160">
        <v>215796.59</v>
      </c>
    </row>
    <row r="192" spans="1:7" x14ac:dyDescent="0.2">
      <c r="A192" s="7" t="s">
        <v>16</v>
      </c>
      <c r="B192" s="7" t="s">
        <v>55</v>
      </c>
      <c r="C192" s="7" t="s">
        <v>18</v>
      </c>
      <c r="D192" s="159">
        <v>12420164000904</v>
      </c>
      <c r="E192" s="47" t="s">
        <v>1061</v>
      </c>
      <c r="F192" s="47" t="s">
        <v>1031</v>
      </c>
      <c r="G192" s="160">
        <v>887425.81</v>
      </c>
    </row>
    <row r="193" spans="1:7" x14ac:dyDescent="0.2">
      <c r="A193" s="7" t="s">
        <v>16</v>
      </c>
      <c r="B193" s="7" t="s">
        <v>55</v>
      </c>
      <c r="C193" s="7" t="s">
        <v>18</v>
      </c>
      <c r="D193" s="159">
        <v>12420164000904</v>
      </c>
      <c r="E193" s="47" t="s">
        <v>1061</v>
      </c>
      <c r="F193" s="47" t="s">
        <v>1003</v>
      </c>
      <c r="G193" s="160">
        <v>12434.57</v>
      </c>
    </row>
    <row r="194" spans="1:7" x14ac:dyDescent="0.2">
      <c r="A194" s="7" t="s">
        <v>16</v>
      </c>
      <c r="B194" s="7" t="s">
        <v>55</v>
      </c>
      <c r="C194" s="7" t="s">
        <v>18</v>
      </c>
      <c r="D194" s="159">
        <v>12420164001048</v>
      </c>
      <c r="E194" s="47" t="s">
        <v>1061</v>
      </c>
      <c r="F194" s="47" t="s">
        <v>1002</v>
      </c>
      <c r="G194" s="160">
        <v>57396.08</v>
      </c>
    </row>
    <row r="195" spans="1:7" x14ac:dyDescent="0.2">
      <c r="A195" s="7" t="s">
        <v>16</v>
      </c>
      <c r="B195" s="7" t="s">
        <v>55</v>
      </c>
      <c r="C195" s="7" t="s">
        <v>18</v>
      </c>
      <c r="D195" s="159">
        <v>12420164001048</v>
      </c>
      <c r="E195" s="47" t="s">
        <v>1061</v>
      </c>
      <c r="F195" s="47" t="s">
        <v>1031</v>
      </c>
      <c r="G195" s="160">
        <v>489250.48</v>
      </c>
    </row>
    <row r="196" spans="1:7" x14ac:dyDescent="0.2">
      <c r="A196" s="7" t="s">
        <v>16</v>
      </c>
      <c r="B196" s="7" t="s">
        <v>55</v>
      </c>
      <c r="C196" s="7" t="s">
        <v>18</v>
      </c>
      <c r="D196" s="159">
        <v>12420164001048</v>
      </c>
      <c r="E196" s="47" t="s">
        <v>1061</v>
      </c>
      <c r="F196" s="47" t="s">
        <v>1003</v>
      </c>
      <c r="G196" s="160">
        <v>897.69</v>
      </c>
    </row>
    <row r="197" spans="1:7" x14ac:dyDescent="0.2">
      <c r="A197" s="7" t="s">
        <v>16</v>
      </c>
      <c r="B197" s="7" t="s">
        <v>55</v>
      </c>
      <c r="C197" s="7" t="s">
        <v>18</v>
      </c>
      <c r="D197" s="159">
        <v>12474705000120</v>
      </c>
      <c r="E197" s="47" t="s">
        <v>1062</v>
      </c>
      <c r="F197" s="47" t="s">
        <v>1031</v>
      </c>
      <c r="G197" s="160">
        <v>26640</v>
      </c>
    </row>
    <row r="198" spans="1:7" x14ac:dyDescent="0.2">
      <c r="A198" s="7" t="s">
        <v>16</v>
      </c>
      <c r="B198" s="7" t="s">
        <v>55</v>
      </c>
      <c r="C198" s="7" t="s">
        <v>18</v>
      </c>
      <c r="D198" s="159">
        <v>12474705000120</v>
      </c>
      <c r="E198" s="47" t="s">
        <v>1062</v>
      </c>
      <c r="F198" s="47" t="s">
        <v>1003</v>
      </c>
      <c r="G198" s="160">
        <v>18560.3</v>
      </c>
    </row>
    <row r="199" spans="1:7" x14ac:dyDescent="0.2">
      <c r="A199" s="7" t="s">
        <v>16</v>
      </c>
      <c r="B199" s="7" t="s">
        <v>55</v>
      </c>
      <c r="C199" s="7" t="s">
        <v>18</v>
      </c>
      <c r="D199" s="159">
        <v>12891935000194</v>
      </c>
      <c r="E199" s="47" t="s">
        <v>1112</v>
      </c>
      <c r="F199" s="47" t="s">
        <v>1031</v>
      </c>
      <c r="G199" s="160">
        <v>5913.87</v>
      </c>
    </row>
    <row r="200" spans="1:7" x14ac:dyDescent="0.2">
      <c r="A200" s="7" t="s">
        <v>16</v>
      </c>
      <c r="B200" s="7" t="s">
        <v>55</v>
      </c>
      <c r="C200" s="7" t="s">
        <v>18</v>
      </c>
      <c r="D200" s="159">
        <v>14261377000109</v>
      </c>
      <c r="E200" s="47" t="s">
        <v>1063</v>
      </c>
      <c r="F200" s="47" t="s">
        <v>1002</v>
      </c>
      <c r="G200" s="160">
        <v>82001.83</v>
      </c>
    </row>
    <row r="201" spans="1:7" x14ac:dyDescent="0.2">
      <c r="A201" s="7" t="s">
        <v>16</v>
      </c>
      <c r="B201" s="7" t="s">
        <v>55</v>
      </c>
      <c r="C201" s="7" t="s">
        <v>18</v>
      </c>
      <c r="D201" s="159">
        <v>14261377000109</v>
      </c>
      <c r="E201" s="47" t="s">
        <v>1063</v>
      </c>
      <c r="F201" s="47" t="s">
        <v>1031</v>
      </c>
      <c r="G201" s="160">
        <v>45686.03</v>
      </c>
    </row>
    <row r="202" spans="1:7" x14ac:dyDescent="0.2">
      <c r="A202" s="7" t="s">
        <v>16</v>
      </c>
      <c r="B202" s="7" t="s">
        <v>55</v>
      </c>
      <c r="C202" s="7" t="s">
        <v>18</v>
      </c>
      <c r="D202" s="159">
        <v>14261377000109</v>
      </c>
      <c r="E202" s="47" t="s">
        <v>1063</v>
      </c>
      <c r="F202" s="47" t="s">
        <v>1003</v>
      </c>
      <c r="G202" s="160">
        <v>28746.37</v>
      </c>
    </row>
    <row r="203" spans="1:7" x14ac:dyDescent="0.2">
      <c r="A203" s="7" t="s">
        <v>16</v>
      </c>
      <c r="B203" s="7" t="s">
        <v>55</v>
      </c>
      <c r="C203" s="7" t="s">
        <v>18</v>
      </c>
      <c r="D203" s="159">
        <v>15126437000305</v>
      </c>
      <c r="E203" s="47" t="s">
        <v>1113</v>
      </c>
      <c r="F203" s="47" t="s">
        <v>1031</v>
      </c>
      <c r="G203" s="160">
        <v>108037.6</v>
      </c>
    </row>
    <row r="204" spans="1:7" x14ac:dyDescent="0.2">
      <c r="A204" s="7" t="s">
        <v>16</v>
      </c>
      <c r="B204" s="7" t="s">
        <v>55</v>
      </c>
      <c r="C204" s="7" t="s">
        <v>18</v>
      </c>
      <c r="D204" s="159">
        <v>15126437001468</v>
      </c>
      <c r="E204" s="47" t="s">
        <v>1114</v>
      </c>
      <c r="F204" s="47" t="s">
        <v>1031</v>
      </c>
      <c r="G204" s="160">
        <v>18572.18</v>
      </c>
    </row>
    <row r="205" spans="1:7" x14ac:dyDescent="0.2">
      <c r="A205" s="7" t="s">
        <v>16</v>
      </c>
      <c r="B205" s="7" t="s">
        <v>55</v>
      </c>
      <c r="C205" s="7" t="s">
        <v>18</v>
      </c>
      <c r="D205" s="159">
        <v>15126437002278</v>
      </c>
      <c r="E205" s="47" t="s">
        <v>1066</v>
      </c>
      <c r="F205" s="47" t="s">
        <v>1002</v>
      </c>
      <c r="G205" s="160">
        <v>23882.5</v>
      </c>
    </row>
    <row r="206" spans="1:7" x14ac:dyDescent="0.2">
      <c r="A206" s="7" t="s">
        <v>16</v>
      </c>
      <c r="B206" s="7" t="s">
        <v>55</v>
      </c>
      <c r="C206" s="7" t="s">
        <v>18</v>
      </c>
      <c r="D206" s="159">
        <v>15145035000196</v>
      </c>
      <c r="E206" s="47" t="s">
        <v>1067</v>
      </c>
      <c r="F206" s="47" t="s">
        <v>1002</v>
      </c>
      <c r="G206" s="160">
        <v>20500.45</v>
      </c>
    </row>
    <row r="207" spans="1:7" x14ac:dyDescent="0.2">
      <c r="A207" s="7" t="s">
        <v>16</v>
      </c>
      <c r="B207" s="7" t="s">
        <v>55</v>
      </c>
      <c r="C207" s="7" t="s">
        <v>18</v>
      </c>
      <c r="D207" s="159">
        <v>15145035000196</v>
      </c>
      <c r="E207" s="47" t="s">
        <v>1067</v>
      </c>
      <c r="F207" s="47" t="s">
        <v>1031</v>
      </c>
      <c r="G207" s="160">
        <v>3727.33</v>
      </c>
    </row>
    <row r="208" spans="1:7" x14ac:dyDescent="0.2">
      <c r="A208" s="7" t="s">
        <v>16</v>
      </c>
      <c r="B208" s="7" t="s">
        <v>55</v>
      </c>
      <c r="C208" s="7" t="s">
        <v>18</v>
      </c>
      <c r="D208" s="159">
        <v>15145035000196</v>
      </c>
      <c r="E208" s="47" t="s">
        <v>1067</v>
      </c>
      <c r="F208" s="47" t="s">
        <v>1003</v>
      </c>
      <c r="G208" s="160">
        <v>29925.82</v>
      </c>
    </row>
    <row r="209" spans="1:7" x14ac:dyDescent="0.2">
      <c r="A209" s="7" t="s">
        <v>16</v>
      </c>
      <c r="B209" s="7" t="s">
        <v>55</v>
      </c>
      <c r="C209" s="7" t="s">
        <v>18</v>
      </c>
      <c r="D209" s="159">
        <v>17700763000300</v>
      </c>
      <c r="E209" s="47" t="s">
        <v>1069</v>
      </c>
      <c r="F209" s="47" t="s">
        <v>1002</v>
      </c>
      <c r="G209" s="160">
        <v>322294.09999999998</v>
      </c>
    </row>
    <row r="210" spans="1:7" x14ac:dyDescent="0.2">
      <c r="A210" s="7" t="s">
        <v>16</v>
      </c>
      <c r="B210" s="7" t="s">
        <v>55</v>
      </c>
      <c r="C210" s="7" t="s">
        <v>18</v>
      </c>
      <c r="D210" s="159">
        <v>17700763000300</v>
      </c>
      <c r="E210" s="47" t="s">
        <v>1069</v>
      </c>
      <c r="F210" s="47" t="s">
        <v>1031</v>
      </c>
      <c r="G210" s="160">
        <v>881297.81</v>
      </c>
    </row>
    <row r="211" spans="1:7" x14ac:dyDescent="0.2">
      <c r="A211" s="7" t="s">
        <v>16</v>
      </c>
      <c r="B211" s="7" t="s">
        <v>55</v>
      </c>
      <c r="C211" s="7" t="s">
        <v>18</v>
      </c>
      <c r="D211" s="159">
        <v>17700763000300</v>
      </c>
      <c r="E211" s="47" t="s">
        <v>1069</v>
      </c>
      <c r="F211" s="47" t="s">
        <v>1003</v>
      </c>
      <c r="G211" s="160">
        <v>72173.990000000005</v>
      </c>
    </row>
    <row r="212" spans="1:7" x14ac:dyDescent="0.2">
      <c r="A212" s="7" t="s">
        <v>16</v>
      </c>
      <c r="B212" s="7" t="s">
        <v>55</v>
      </c>
      <c r="C212" s="7" t="s">
        <v>18</v>
      </c>
      <c r="D212" s="159">
        <v>18269125000187</v>
      </c>
      <c r="E212" s="47" t="s">
        <v>1070</v>
      </c>
      <c r="F212" s="47" t="s">
        <v>1031</v>
      </c>
      <c r="G212" s="160">
        <v>106263.46</v>
      </c>
    </row>
    <row r="213" spans="1:7" x14ac:dyDescent="0.2">
      <c r="A213" s="7" t="s">
        <v>16</v>
      </c>
      <c r="B213" s="7" t="s">
        <v>55</v>
      </c>
      <c r="C213" s="7" t="s">
        <v>18</v>
      </c>
      <c r="D213" s="159">
        <v>21895020000148</v>
      </c>
      <c r="E213" s="47" t="s">
        <v>1051</v>
      </c>
      <c r="F213" s="47" t="s">
        <v>1031</v>
      </c>
      <c r="G213" s="160">
        <v>10000.459999999999</v>
      </c>
    </row>
    <row r="214" spans="1:7" x14ac:dyDescent="0.2">
      <c r="A214" s="7" t="s">
        <v>16</v>
      </c>
      <c r="B214" s="7" t="s">
        <v>55</v>
      </c>
      <c r="C214" s="7" t="s">
        <v>18</v>
      </c>
      <c r="D214" s="159">
        <v>24082016000159</v>
      </c>
      <c r="E214" s="47" t="s">
        <v>1115</v>
      </c>
      <c r="F214" s="47" t="s">
        <v>1031</v>
      </c>
      <c r="G214" s="160">
        <v>368000</v>
      </c>
    </row>
    <row r="215" spans="1:7" x14ac:dyDescent="0.2">
      <c r="A215" s="7" t="s">
        <v>16</v>
      </c>
      <c r="B215" s="7" t="s">
        <v>55</v>
      </c>
      <c r="C215" s="7" t="s">
        <v>18</v>
      </c>
      <c r="D215" s="159">
        <v>25211499000107</v>
      </c>
      <c r="E215" s="47" t="s">
        <v>1059</v>
      </c>
      <c r="F215" s="47" t="s">
        <v>1002</v>
      </c>
      <c r="G215" s="160">
        <v>2838.53</v>
      </c>
    </row>
    <row r="216" spans="1:7" x14ac:dyDescent="0.2">
      <c r="A216" s="7" t="s">
        <v>16</v>
      </c>
      <c r="B216" s="7" t="s">
        <v>55</v>
      </c>
      <c r="C216" s="7" t="s">
        <v>18</v>
      </c>
      <c r="D216" s="159">
        <v>25211499000107</v>
      </c>
      <c r="E216" s="47" t="s">
        <v>1059</v>
      </c>
      <c r="F216" s="47" t="s">
        <v>1031</v>
      </c>
      <c r="G216" s="160">
        <v>7978.76</v>
      </c>
    </row>
    <row r="217" spans="1:7" x14ac:dyDescent="0.2">
      <c r="A217" s="7" t="s">
        <v>16</v>
      </c>
      <c r="B217" s="7" t="s">
        <v>55</v>
      </c>
      <c r="C217" s="7" t="s">
        <v>18</v>
      </c>
      <c r="D217" s="159">
        <v>25211499000107</v>
      </c>
      <c r="E217" s="47" t="s">
        <v>1059</v>
      </c>
      <c r="F217" s="47" t="s">
        <v>1003</v>
      </c>
      <c r="G217" s="160">
        <v>15491.01</v>
      </c>
    </row>
    <row r="218" spans="1:7" x14ac:dyDescent="0.2">
      <c r="A218" s="7" t="s">
        <v>16</v>
      </c>
      <c r="B218" s="7" t="s">
        <v>55</v>
      </c>
      <c r="C218" s="7" t="s">
        <v>18</v>
      </c>
      <c r="D218" s="159">
        <v>27080605000358</v>
      </c>
      <c r="E218" s="47" t="s">
        <v>1116</v>
      </c>
      <c r="F218" s="47" t="s">
        <v>1031</v>
      </c>
      <c r="G218" s="160">
        <v>54670.2</v>
      </c>
    </row>
    <row r="219" spans="1:7" x14ac:dyDescent="0.2">
      <c r="A219" s="7" t="s">
        <v>16</v>
      </c>
      <c r="B219" s="7" t="s">
        <v>55</v>
      </c>
      <c r="C219" s="7" t="s">
        <v>18</v>
      </c>
      <c r="D219" s="159">
        <v>33663683005347</v>
      </c>
      <c r="E219" s="47" t="s">
        <v>1076</v>
      </c>
      <c r="F219" s="47" t="s">
        <v>1031</v>
      </c>
      <c r="G219" s="160">
        <v>137552</v>
      </c>
    </row>
    <row r="220" spans="1:7" x14ac:dyDescent="0.2">
      <c r="A220" s="7" t="s">
        <v>16</v>
      </c>
      <c r="B220" s="7" t="s">
        <v>55</v>
      </c>
      <c r="C220" s="7" t="s">
        <v>18</v>
      </c>
      <c r="D220" s="159">
        <v>34023077000280</v>
      </c>
      <c r="E220" s="47" t="s">
        <v>1117</v>
      </c>
      <c r="F220" s="47" t="s">
        <v>1002</v>
      </c>
      <c r="G220" s="160">
        <v>963.37</v>
      </c>
    </row>
    <row r="221" spans="1:7" x14ac:dyDescent="0.2">
      <c r="A221" s="7" t="s">
        <v>16</v>
      </c>
      <c r="B221" s="7" t="s">
        <v>55</v>
      </c>
      <c r="C221" s="7" t="s">
        <v>18</v>
      </c>
      <c r="D221" s="159">
        <v>34973438000178</v>
      </c>
      <c r="E221" s="47" t="s">
        <v>1078</v>
      </c>
      <c r="F221" s="47" t="s">
        <v>1002</v>
      </c>
      <c r="G221" s="160">
        <v>3198.07</v>
      </c>
    </row>
    <row r="222" spans="1:7" x14ac:dyDescent="0.2">
      <c r="A222" s="7" t="s">
        <v>16</v>
      </c>
      <c r="B222" s="7" t="s">
        <v>55</v>
      </c>
      <c r="C222" s="7" t="s">
        <v>18</v>
      </c>
      <c r="D222" s="159">
        <v>34973438000178</v>
      </c>
      <c r="E222" s="47" t="s">
        <v>1078</v>
      </c>
      <c r="F222" s="47" t="s">
        <v>1003</v>
      </c>
      <c r="G222" s="160">
        <v>2244.4299999999998</v>
      </c>
    </row>
    <row r="223" spans="1:7" x14ac:dyDescent="0.2">
      <c r="A223" s="7" t="s">
        <v>16</v>
      </c>
      <c r="B223" s="7" t="s">
        <v>55</v>
      </c>
      <c r="C223" s="7" t="s">
        <v>18</v>
      </c>
      <c r="D223" s="159">
        <v>37396017000624</v>
      </c>
      <c r="E223" s="47" t="s">
        <v>1059</v>
      </c>
      <c r="F223" s="47" t="s">
        <v>1002</v>
      </c>
      <c r="G223" s="160">
        <v>378469.96</v>
      </c>
    </row>
    <row r="224" spans="1:7" x14ac:dyDescent="0.2">
      <c r="A224" s="7" t="s">
        <v>16</v>
      </c>
      <c r="B224" s="7" t="s">
        <v>55</v>
      </c>
      <c r="C224" s="7" t="s">
        <v>18</v>
      </c>
      <c r="D224" s="159">
        <v>37396017000624</v>
      </c>
      <c r="E224" s="47" t="s">
        <v>1059</v>
      </c>
      <c r="F224" s="47" t="s">
        <v>1031</v>
      </c>
      <c r="G224" s="160">
        <v>168614.95</v>
      </c>
    </row>
    <row r="225" spans="1:7" x14ac:dyDescent="0.2">
      <c r="A225" s="7" t="s">
        <v>16</v>
      </c>
      <c r="B225" s="7" t="s">
        <v>55</v>
      </c>
      <c r="C225" s="7" t="s">
        <v>18</v>
      </c>
      <c r="D225" s="159">
        <v>37396017000624</v>
      </c>
      <c r="E225" s="47" t="s">
        <v>1059</v>
      </c>
      <c r="F225" s="47" t="s">
        <v>1003</v>
      </c>
      <c r="G225" s="160">
        <v>24996.86</v>
      </c>
    </row>
    <row r="226" spans="1:7" x14ac:dyDescent="0.2">
      <c r="A226" s="7" t="s">
        <v>16</v>
      </c>
      <c r="B226" s="7" t="s">
        <v>55</v>
      </c>
      <c r="C226" s="7" t="s">
        <v>18</v>
      </c>
      <c r="D226" s="159">
        <v>46068425000133</v>
      </c>
      <c r="E226" s="47" t="s">
        <v>1080</v>
      </c>
      <c r="F226" s="47" t="s">
        <v>1002</v>
      </c>
      <c r="G226" s="160">
        <v>55792.800000000003</v>
      </c>
    </row>
    <row r="227" spans="1:7" x14ac:dyDescent="0.2">
      <c r="A227" s="7" t="s">
        <v>16</v>
      </c>
      <c r="B227" s="7" t="s">
        <v>55</v>
      </c>
      <c r="C227" s="7" t="s">
        <v>18</v>
      </c>
      <c r="D227" s="159">
        <v>46374500001247</v>
      </c>
      <c r="E227" s="47" t="s">
        <v>1118</v>
      </c>
      <c r="F227" s="47" t="s">
        <v>1003</v>
      </c>
      <c r="G227" s="160">
        <v>3458.96</v>
      </c>
    </row>
    <row r="228" spans="1:7" x14ac:dyDescent="0.2">
      <c r="A228" s="7" t="s">
        <v>16</v>
      </c>
      <c r="B228" s="7" t="s">
        <v>55</v>
      </c>
      <c r="C228" s="7" t="s">
        <v>18</v>
      </c>
      <c r="D228" s="159">
        <v>46374500003886</v>
      </c>
      <c r="E228" s="47" t="s">
        <v>1119</v>
      </c>
      <c r="F228" s="47" t="s">
        <v>1031</v>
      </c>
      <c r="G228" s="160">
        <v>24410.36</v>
      </c>
    </row>
    <row r="229" spans="1:7" x14ac:dyDescent="0.2">
      <c r="A229" s="7" t="s">
        <v>16</v>
      </c>
      <c r="B229" s="7" t="s">
        <v>55</v>
      </c>
      <c r="C229" s="7" t="s">
        <v>18</v>
      </c>
      <c r="D229" s="159">
        <v>46374500009060</v>
      </c>
      <c r="E229" s="47" t="s">
        <v>1120</v>
      </c>
      <c r="F229" s="47" t="s">
        <v>1031</v>
      </c>
      <c r="G229" s="160">
        <v>61481.4</v>
      </c>
    </row>
    <row r="230" spans="1:7" x14ac:dyDescent="0.2">
      <c r="A230" s="7" t="s">
        <v>16</v>
      </c>
      <c r="B230" s="7" t="s">
        <v>55</v>
      </c>
      <c r="C230" s="7" t="s">
        <v>18</v>
      </c>
      <c r="D230" s="159">
        <v>46374500026231</v>
      </c>
      <c r="E230" s="47" t="s">
        <v>1121</v>
      </c>
      <c r="F230" s="47" t="s">
        <v>1031</v>
      </c>
      <c r="G230" s="160">
        <v>3651300</v>
      </c>
    </row>
    <row r="231" spans="1:7" x14ac:dyDescent="0.2">
      <c r="A231" s="7" t="s">
        <v>16</v>
      </c>
      <c r="B231" s="7" t="s">
        <v>55</v>
      </c>
      <c r="C231" s="7" t="s">
        <v>18</v>
      </c>
      <c r="D231" s="159">
        <v>46374500026231</v>
      </c>
      <c r="E231" s="47" t="s">
        <v>1121</v>
      </c>
      <c r="F231" s="47" t="s">
        <v>1003</v>
      </c>
      <c r="G231" s="160">
        <v>1053212.6599999999</v>
      </c>
    </row>
    <row r="232" spans="1:7" x14ac:dyDescent="0.2">
      <c r="A232" s="7" t="s">
        <v>16</v>
      </c>
      <c r="B232" s="7" t="s">
        <v>55</v>
      </c>
      <c r="C232" s="7" t="s">
        <v>18</v>
      </c>
      <c r="D232" s="159">
        <v>50311620000209</v>
      </c>
      <c r="E232" s="47" t="s">
        <v>1122</v>
      </c>
      <c r="F232" s="47" t="s">
        <v>1002</v>
      </c>
      <c r="G232" s="160">
        <v>78721.759999999995</v>
      </c>
    </row>
    <row r="233" spans="1:7" x14ac:dyDescent="0.2">
      <c r="A233" s="7" t="s">
        <v>16</v>
      </c>
      <c r="B233" s="7" t="s">
        <v>55</v>
      </c>
      <c r="C233" s="7" t="s">
        <v>18</v>
      </c>
      <c r="D233" s="159">
        <v>50311620000209</v>
      </c>
      <c r="E233" s="47" t="s">
        <v>1122</v>
      </c>
      <c r="F233" s="47" t="s">
        <v>1031</v>
      </c>
      <c r="G233" s="160">
        <v>196798.99</v>
      </c>
    </row>
    <row r="234" spans="1:7" x14ac:dyDescent="0.2">
      <c r="A234" s="7" t="s">
        <v>16</v>
      </c>
      <c r="B234" s="7" t="s">
        <v>55</v>
      </c>
      <c r="C234" s="7" t="s">
        <v>18</v>
      </c>
      <c r="D234" s="159">
        <v>50311620000209</v>
      </c>
      <c r="E234" s="47" t="s">
        <v>1122</v>
      </c>
      <c r="F234" s="47" t="s">
        <v>1003</v>
      </c>
      <c r="G234" s="160">
        <v>73934.33</v>
      </c>
    </row>
    <row r="235" spans="1:7" x14ac:dyDescent="0.2">
      <c r="A235" s="7" t="s">
        <v>16</v>
      </c>
      <c r="B235" s="7" t="s">
        <v>55</v>
      </c>
      <c r="C235" s="7" t="s">
        <v>18</v>
      </c>
      <c r="D235" s="159">
        <v>57722118000302</v>
      </c>
      <c r="E235" s="47" t="s">
        <v>1092</v>
      </c>
      <c r="F235" s="47" t="s">
        <v>1003</v>
      </c>
      <c r="G235" s="160">
        <v>8436.5</v>
      </c>
    </row>
    <row r="236" spans="1:7" x14ac:dyDescent="0.2">
      <c r="A236" s="7" t="s">
        <v>16</v>
      </c>
      <c r="B236" s="7" t="s">
        <v>55</v>
      </c>
      <c r="C236" s="7" t="s">
        <v>18</v>
      </c>
      <c r="D236" s="159">
        <v>60003761000129</v>
      </c>
      <c r="E236" s="47" t="s">
        <v>1093</v>
      </c>
      <c r="F236" s="47" t="s">
        <v>1002</v>
      </c>
      <c r="G236" s="160">
        <v>75440</v>
      </c>
    </row>
    <row r="237" spans="1:7" x14ac:dyDescent="0.2">
      <c r="A237" s="7" t="s">
        <v>16</v>
      </c>
      <c r="B237" s="7" t="s">
        <v>55</v>
      </c>
      <c r="C237" s="7" t="s">
        <v>18</v>
      </c>
      <c r="D237" s="159">
        <v>60003761000129</v>
      </c>
      <c r="E237" s="47" t="s">
        <v>1093</v>
      </c>
      <c r="F237" s="47" t="s">
        <v>1031</v>
      </c>
      <c r="G237" s="160">
        <v>15338.68</v>
      </c>
    </row>
    <row r="238" spans="1:7" x14ac:dyDescent="0.2">
      <c r="A238" s="7" t="s">
        <v>16</v>
      </c>
      <c r="B238" s="7" t="s">
        <v>55</v>
      </c>
      <c r="C238" s="7" t="s">
        <v>18</v>
      </c>
      <c r="D238" s="159">
        <v>60448040000122</v>
      </c>
      <c r="E238" s="47" t="s">
        <v>1094</v>
      </c>
      <c r="F238" s="47" t="s">
        <v>1002</v>
      </c>
      <c r="G238" s="160">
        <v>361680</v>
      </c>
    </row>
    <row r="239" spans="1:7" x14ac:dyDescent="0.2">
      <c r="A239" s="7" t="s">
        <v>16</v>
      </c>
      <c r="B239" s="7" t="s">
        <v>55</v>
      </c>
      <c r="C239" s="7" t="s">
        <v>18</v>
      </c>
      <c r="D239" s="159">
        <v>60448040000122</v>
      </c>
      <c r="E239" s="47" t="s">
        <v>1094</v>
      </c>
      <c r="F239" s="47" t="s">
        <v>1031</v>
      </c>
      <c r="G239" s="160">
        <v>170832.63</v>
      </c>
    </row>
    <row r="240" spans="1:7" x14ac:dyDescent="0.2">
      <c r="A240" s="7" t="s">
        <v>16</v>
      </c>
      <c r="B240" s="7" t="s">
        <v>55</v>
      </c>
      <c r="C240" s="7" t="s">
        <v>18</v>
      </c>
      <c r="D240" s="159">
        <v>60765823000130</v>
      </c>
      <c r="E240" s="47" t="s">
        <v>1123</v>
      </c>
      <c r="F240" s="47" t="s">
        <v>1031</v>
      </c>
      <c r="G240" s="160">
        <v>77818</v>
      </c>
    </row>
    <row r="241" spans="1:7" x14ac:dyDescent="0.2">
      <c r="A241" s="7" t="s">
        <v>16</v>
      </c>
      <c r="B241" s="7" t="s">
        <v>55</v>
      </c>
      <c r="C241" s="7" t="s">
        <v>18</v>
      </c>
      <c r="D241" s="159">
        <v>61590410000124</v>
      </c>
      <c r="E241" s="47" t="s">
        <v>1096</v>
      </c>
      <c r="F241" s="47" t="s">
        <v>1031</v>
      </c>
      <c r="G241" s="160">
        <v>589888.77</v>
      </c>
    </row>
    <row r="242" spans="1:7" x14ac:dyDescent="0.2">
      <c r="A242" s="7" t="s">
        <v>16</v>
      </c>
      <c r="B242" s="7" t="s">
        <v>55</v>
      </c>
      <c r="C242" s="7" t="s">
        <v>18</v>
      </c>
      <c r="D242" s="159">
        <v>61590410001287</v>
      </c>
      <c r="E242" s="47" t="s">
        <v>580</v>
      </c>
      <c r="F242" s="47" t="s">
        <v>1031</v>
      </c>
      <c r="G242" s="160">
        <v>461250</v>
      </c>
    </row>
    <row r="243" spans="1:7" x14ac:dyDescent="0.2">
      <c r="A243" s="7" t="s">
        <v>16</v>
      </c>
      <c r="B243" s="7" t="s">
        <v>55</v>
      </c>
      <c r="C243" s="7" t="s">
        <v>18</v>
      </c>
      <c r="D243" s="159">
        <v>61599908000158</v>
      </c>
      <c r="E243" s="47" t="s">
        <v>1097</v>
      </c>
      <c r="F243" s="47" t="s">
        <v>1031</v>
      </c>
      <c r="G243" s="160">
        <v>111192</v>
      </c>
    </row>
    <row r="244" spans="1:7" x14ac:dyDescent="0.2">
      <c r="A244" s="7" t="s">
        <v>16</v>
      </c>
      <c r="B244" s="7" t="s">
        <v>55</v>
      </c>
      <c r="C244" s="7" t="s">
        <v>18</v>
      </c>
      <c r="D244" s="159">
        <v>61599908000158</v>
      </c>
      <c r="E244" s="47" t="s">
        <v>1097</v>
      </c>
      <c r="F244" s="47" t="s">
        <v>1003</v>
      </c>
      <c r="G244" s="160">
        <v>5405.44</v>
      </c>
    </row>
    <row r="245" spans="1:7" x14ac:dyDescent="0.2">
      <c r="A245" s="7" t="s">
        <v>16</v>
      </c>
      <c r="B245" s="7" t="s">
        <v>55</v>
      </c>
      <c r="C245" s="7" t="s">
        <v>18</v>
      </c>
      <c r="D245" s="159">
        <v>61699567000192</v>
      </c>
      <c r="E245" s="47" t="s">
        <v>1124</v>
      </c>
      <c r="F245" s="47" t="s">
        <v>1031</v>
      </c>
      <c r="G245" s="160">
        <v>0</v>
      </c>
    </row>
    <row r="246" spans="1:7" x14ac:dyDescent="0.2">
      <c r="A246" s="7" t="s">
        <v>16</v>
      </c>
      <c r="B246" s="7" t="s">
        <v>55</v>
      </c>
      <c r="C246" s="7" t="s">
        <v>18</v>
      </c>
      <c r="D246" s="159">
        <v>74031865000151</v>
      </c>
      <c r="E246" s="47" t="s">
        <v>1125</v>
      </c>
      <c r="F246" s="47" t="s">
        <v>1031</v>
      </c>
      <c r="G246" s="160">
        <v>808651.2</v>
      </c>
    </row>
    <row r="247" spans="1:7" x14ac:dyDescent="0.2">
      <c r="A247" s="7" t="s">
        <v>16</v>
      </c>
      <c r="B247" s="7" t="s">
        <v>55</v>
      </c>
      <c r="C247" s="7" t="s">
        <v>18</v>
      </c>
      <c r="D247" s="159">
        <v>81887838000736</v>
      </c>
      <c r="E247" s="47" t="s">
        <v>1098</v>
      </c>
      <c r="F247" s="47" t="s">
        <v>1002</v>
      </c>
      <c r="G247" s="160">
        <v>246005.48</v>
      </c>
    </row>
    <row r="248" spans="1:7" x14ac:dyDescent="0.2">
      <c r="A248" s="7" t="s">
        <v>16</v>
      </c>
      <c r="B248" s="7" t="s">
        <v>55</v>
      </c>
      <c r="C248" s="7" t="s">
        <v>18</v>
      </c>
      <c r="D248" s="159">
        <v>81887838000736</v>
      </c>
      <c r="E248" s="47" t="s">
        <v>1098</v>
      </c>
      <c r="F248" s="47" t="s">
        <v>1031</v>
      </c>
      <c r="G248" s="160">
        <v>1531926.94</v>
      </c>
    </row>
    <row r="249" spans="1:7" x14ac:dyDescent="0.2">
      <c r="A249" s="7" t="s">
        <v>16</v>
      </c>
      <c r="B249" s="7" t="s">
        <v>55</v>
      </c>
      <c r="C249" s="7" t="s">
        <v>18</v>
      </c>
      <c r="D249" s="159">
        <v>81887838000736</v>
      </c>
      <c r="E249" s="47" t="s">
        <v>1098</v>
      </c>
      <c r="F249" s="47" t="s">
        <v>1003</v>
      </c>
      <c r="G249" s="160">
        <v>139638.23000000001</v>
      </c>
    </row>
    <row r="250" spans="1:7" x14ac:dyDescent="0.2">
      <c r="A250" s="7" t="s">
        <v>16</v>
      </c>
      <c r="B250" s="7" t="s">
        <v>55</v>
      </c>
      <c r="C250" s="7" t="s">
        <v>18</v>
      </c>
      <c r="D250" s="159">
        <v>82873068000140</v>
      </c>
      <c r="E250" s="47" t="s">
        <v>1099</v>
      </c>
      <c r="F250" s="47" t="s">
        <v>1031</v>
      </c>
      <c r="G250" s="160">
        <v>597693</v>
      </c>
    </row>
    <row r="251" spans="1:7" x14ac:dyDescent="0.2">
      <c r="A251" s="7" t="s">
        <v>16</v>
      </c>
      <c r="B251" s="7" t="s">
        <v>55</v>
      </c>
      <c r="C251" s="7" t="s">
        <v>18</v>
      </c>
      <c r="D251" s="159">
        <v>82873068000140</v>
      </c>
      <c r="E251" s="47" t="s">
        <v>1099</v>
      </c>
      <c r="F251" s="47" t="s">
        <v>1003</v>
      </c>
      <c r="G251" s="160">
        <v>64956.6</v>
      </c>
    </row>
    <row r="252" spans="1:7" x14ac:dyDescent="0.2">
      <c r="A252" s="7" t="s">
        <v>16</v>
      </c>
      <c r="B252" s="7" t="s">
        <v>55</v>
      </c>
      <c r="C252" s="7" t="s">
        <v>18</v>
      </c>
      <c r="D252" s="159">
        <v>82873068000573</v>
      </c>
      <c r="E252" s="47" t="s">
        <v>1099</v>
      </c>
      <c r="F252" s="47" t="s">
        <v>1002</v>
      </c>
      <c r="G252" s="160">
        <v>9675.11</v>
      </c>
    </row>
    <row r="253" spans="1:7" x14ac:dyDescent="0.2">
      <c r="A253" s="7" t="s">
        <v>16</v>
      </c>
      <c r="B253" s="7" t="s">
        <v>55</v>
      </c>
      <c r="C253" s="7" t="s">
        <v>18</v>
      </c>
      <c r="D253" s="159">
        <v>82873068000573</v>
      </c>
      <c r="E253" s="47" t="s">
        <v>1099</v>
      </c>
      <c r="F253" s="47" t="s">
        <v>1031</v>
      </c>
      <c r="G253" s="160">
        <v>7296.05</v>
      </c>
    </row>
    <row r="254" spans="1:7" x14ac:dyDescent="0.2">
      <c r="A254" s="7" t="s">
        <v>16</v>
      </c>
      <c r="B254" s="7" t="s">
        <v>55</v>
      </c>
      <c r="C254" s="7" t="s">
        <v>18</v>
      </c>
      <c r="D254" s="159">
        <v>82873068000573</v>
      </c>
      <c r="E254" s="47" t="s">
        <v>1099</v>
      </c>
      <c r="F254" s="47" t="s">
        <v>1003</v>
      </c>
      <c r="G254" s="160">
        <v>36087</v>
      </c>
    </row>
    <row r="255" spans="1:7" x14ac:dyDescent="0.2">
      <c r="A255" s="7" t="s">
        <v>16</v>
      </c>
      <c r="B255" s="7" t="s">
        <v>55</v>
      </c>
      <c r="C255" s="7" t="s">
        <v>18</v>
      </c>
      <c r="D255" s="159">
        <v>82873068000654</v>
      </c>
      <c r="E255" s="47" t="s">
        <v>1099</v>
      </c>
      <c r="F255" s="47" t="s">
        <v>1002</v>
      </c>
      <c r="G255" s="160">
        <v>135451.43</v>
      </c>
    </row>
    <row r="256" spans="1:7" x14ac:dyDescent="0.2">
      <c r="A256" s="7" t="s">
        <v>16</v>
      </c>
      <c r="B256" s="7" t="s">
        <v>55</v>
      </c>
      <c r="C256" s="7" t="s">
        <v>18</v>
      </c>
      <c r="D256" s="159">
        <v>82873068000654</v>
      </c>
      <c r="E256" s="47" t="s">
        <v>1099</v>
      </c>
      <c r="F256" s="47" t="s">
        <v>1031</v>
      </c>
      <c r="G256" s="160">
        <v>400894.04</v>
      </c>
    </row>
    <row r="257" spans="1:7" x14ac:dyDescent="0.2">
      <c r="A257" s="7" t="s">
        <v>16</v>
      </c>
      <c r="B257" s="7" t="s">
        <v>55</v>
      </c>
      <c r="C257" s="7" t="s">
        <v>18</v>
      </c>
      <c r="D257" s="159">
        <v>82873068000654</v>
      </c>
      <c r="E257" s="47" t="s">
        <v>1099</v>
      </c>
      <c r="F257" s="47" t="s">
        <v>1003</v>
      </c>
      <c r="G257" s="160">
        <v>72173.990000000005</v>
      </c>
    </row>
    <row r="258" spans="1:7" x14ac:dyDescent="0.2">
      <c r="A258" s="7" t="s">
        <v>16</v>
      </c>
      <c r="B258" s="7" t="s">
        <v>55</v>
      </c>
      <c r="C258" s="7" t="s">
        <v>18</v>
      </c>
      <c r="D258" s="159">
        <v>87020517000120</v>
      </c>
      <c r="E258" s="47" t="s">
        <v>1100</v>
      </c>
      <c r="F258" s="47" t="s">
        <v>1031</v>
      </c>
      <c r="G258" s="160">
        <v>7688.32</v>
      </c>
    </row>
    <row r="259" spans="1:7" x14ac:dyDescent="0.2">
      <c r="A259" s="7" t="s">
        <v>16</v>
      </c>
      <c r="B259" s="7" t="s">
        <v>60</v>
      </c>
      <c r="C259" s="7" t="s">
        <v>18</v>
      </c>
      <c r="D259" s="159">
        <v>394544000851</v>
      </c>
      <c r="E259" s="47" t="s">
        <v>1103</v>
      </c>
      <c r="F259" s="47" t="s">
        <v>1031</v>
      </c>
      <c r="G259" s="160">
        <v>1085548.56</v>
      </c>
    </row>
    <row r="260" spans="1:7" x14ac:dyDescent="0.2">
      <c r="A260" s="7" t="s">
        <v>16</v>
      </c>
      <c r="B260" s="7" t="s">
        <v>60</v>
      </c>
      <c r="C260" s="7" t="s">
        <v>18</v>
      </c>
      <c r="D260" s="159">
        <v>394544011110</v>
      </c>
      <c r="E260" s="47" t="s">
        <v>1126</v>
      </c>
      <c r="F260" s="47" t="s">
        <v>1031</v>
      </c>
      <c r="G260" s="160">
        <v>-190972.08</v>
      </c>
    </row>
    <row r="261" spans="1:7" x14ac:dyDescent="0.2">
      <c r="A261" s="7" t="s">
        <v>16</v>
      </c>
      <c r="B261" s="7" t="s">
        <v>60</v>
      </c>
      <c r="C261" s="7" t="s">
        <v>18</v>
      </c>
      <c r="D261" s="159">
        <v>394544017150</v>
      </c>
      <c r="E261" s="47" t="s">
        <v>1104</v>
      </c>
      <c r="F261" s="47" t="s">
        <v>1031</v>
      </c>
      <c r="G261" s="160">
        <v>17600</v>
      </c>
    </row>
    <row r="262" spans="1:7" x14ac:dyDescent="0.2">
      <c r="A262" s="7" t="s">
        <v>16</v>
      </c>
      <c r="B262" s="7" t="s">
        <v>60</v>
      </c>
      <c r="C262" s="7" t="s">
        <v>18</v>
      </c>
      <c r="D262" s="159">
        <v>394544019870</v>
      </c>
      <c r="E262" s="47" t="s">
        <v>1127</v>
      </c>
      <c r="F262" s="47" t="s">
        <v>1031</v>
      </c>
      <c r="G262" s="160">
        <v>0</v>
      </c>
    </row>
    <row r="263" spans="1:7" x14ac:dyDescent="0.2">
      <c r="A263" s="7" t="s">
        <v>16</v>
      </c>
      <c r="B263" s="7" t="s">
        <v>60</v>
      </c>
      <c r="C263" s="7" t="s">
        <v>18</v>
      </c>
      <c r="D263" s="159">
        <v>394544020453</v>
      </c>
      <c r="E263" s="47" t="s">
        <v>1035</v>
      </c>
      <c r="F263" s="47" t="s">
        <v>1031</v>
      </c>
      <c r="G263" s="160">
        <v>34388</v>
      </c>
    </row>
    <row r="264" spans="1:7" x14ac:dyDescent="0.2">
      <c r="A264" s="7" t="s">
        <v>16</v>
      </c>
      <c r="B264" s="7" t="s">
        <v>60</v>
      </c>
      <c r="C264" s="7" t="s">
        <v>18</v>
      </c>
      <c r="D264" s="159">
        <v>394544021344</v>
      </c>
      <c r="E264" s="47" t="s">
        <v>1038</v>
      </c>
      <c r="F264" s="47" t="s">
        <v>1002</v>
      </c>
      <c r="G264" s="160">
        <v>103584</v>
      </c>
    </row>
    <row r="265" spans="1:7" x14ac:dyDescent="0.2">
      <c r="A265" s="7" t="s">
        <v>16</v>
      </c>
      <c r="B265" s="7" t="s">
        <v>60</v>
      </c>
      <c r="C265" s="7" t="s">
        <v>18</v>
      </c>
      <c r="D265" s="159">
        <v>394544021344</v>
      </c>
      <c r="E265" s="47" t="s">
        <v>1038</v>
      </c>
      <c r="F265" s="47" t="s">
        <v>1031</v>
      </c>
      <c r="G265" s="160">
        <v>509583.66</v>
      </c>
    </row>
    <row r="266" spans="1:7" x14ac:dyDescent="0.2">
      <c r="A266" s="7" t="s">
        <v>16</v>
      </c>
      <c r="B266" s="7" t="s">
        <v>60</v>
      </c>
      <c r="C266" s="7" t="s">
        <v>18</v>
      </c>
      <c r="D266" s="159">
        <v>1479465000130</v>
      </c>
      <c r="E266" s="47" t="s">
        <v>1039</v>
      </c>
      <c r="F266" s="47" t="s">
        <v>1002</v>
      </c>
      <c r="G266" s="160">
        <v>-11100</v>
      </c>
    </row>
    <row r="267" spans="1:7" x14ac:dyDescent="0.2">
      <c r="A267" s="7" t="s">
        <v>16</v>
      </c>
      <c r="B267" s="7" t="s">
        <v>60</v>
      </c>
      <c r="C267" s="7" t="s">
        <v>18</v>
      </c>
      <c r="D267" s="159">
        <v>1479465000130</v>
      </c>
      <c r="E267" s="47" t="s">
        <v>1039</v>
      </c>
      <c r="F267" s="47" t="s">
        <v>1031</v>
      </c>
      <c r="G267" s="160">
        <v>299819.53999999998</v>
      </c>
    </row>
    <row r="268" spans="1:7" x14ac:dyDescent="0.2">
      <c r="A268" s="7" t="s">
        <v>16</v>
      </c>
      <c r="B268" s="7" t="s">
        <v>60</v>
      </c>
      <c r="C268" s="7" t="s">
        <v>18</v>
      </c>
      <c r="D268" s="159">
        <v>1479465000130</v>
      </c>
      <c r="E268" s="47" t="s">
        <v>1039</v>
      </c>
      <c r="F268" s="47" t="s">
        <v>1003</v>
      </c>
      <c r="G268" s="160">
        <v>-3155.43</v>
      </c>
    </row>
    <row r="269" spans="1:7" x14ac:dyDescent="0.2">
      <c r="A269" s="7" t="s">
        <v>16</v>
      </c>
      <c r="B269" s="7" t="s">
        <v>60</v>
      </c>
      <c r="C269" s="7" t="s">
        <v>18</v>
      </c>
      <c r="D269" s="159">
        <v>2873606000167</v>
      </c>
      <c r="E269" s="47" t="s">
        <v>1040</v>
      </c>
      <c r="F269" s="47" t="s">
        <v>1031</v>
      </c>
      <c r="G269" s="160">
        <v>944706.37</v>
      </c>
    </row>
    <row r="270" spans="1:7" x14ac:dyDescent="0.2">
      <c r="A270" s="7" t="s">
        <v>16</v>
      </c>
      <c r="B270" s="7" t="s">
        <v>60</v>
      </c>
      <c r="C270" s="7" t="s">
        <v>18</v>
      </c>
      <c r="D270" s="159">
        <v>2873606000167</v>
      </c>
      <c r="E270" s="47" t="s">
        <v>1040</v>
      </c>
      <c r="F270" s="47" t="s">
        <v>1003</v>
      </c>
      <c r="G270" s="160">
        <v>36087.22</v>
      </c>
    </row>
    <row r="271" spans="1:7" x14ac:dyDescent="0.2">
      <c r="A271" s="7" t="s">
        <v>16</v>
      </c>
      <c r="B271" s="7" t="s">
        <v>60</v>
      </c>
      <c r="C271" s="7" t="s">
        <v>18</v>
      </c>
      <c r="D271" s="159">
        <v>4027894000326</v>
      </c>
      <c r="E271" s="47" t="s">
        <v>1041</v>
      </c>
      <c r="F271" s="47" t="s">
        <v>1002</v>
      </c>
      <c r="G271" s="160">
        <v>208028.16</v>
      </c>
    </row>
    <row r="272" spans="1:7" x14ac:dyDescent="0.2">
      <c r="A272" s="7" t="s">
        <v>16</v>
      </c>
      <c r="B272" s="7" t="s">
        <v>60</v>
      </c>
      <c r="C272" s="7" t="s">
        <v>18</v>
      </c>
      <c r="D272" s="159">
        <v>4027894000326</v>
      </c>
      <c r="E272" s="47" t="s">
        <v>1041</v>
      </c>
      <c r="F272" s="47" t="s">
        <v>1031</v>
      </c>
      <c r="G272" s="160">
        <v>585219.52</v>
      </c>
    </row>
    <row r="273" spans="1:7" x14ac:dyDescent="0.2">
      <c r="A273" s="7" t="s">
        <v>16</v>
      </c>
      <c r="B273" s="7" t="s">
        <v>60</v>
      </c>
      <c r="C273" s="7" t="s">
        <v>18</v>
      </c>
      <c r="D273" s="159">
        <v>4027894000326</v>
      </c>
      <c r="E273" s="47" t="s">
        <v>1041</v>
      </c>
      <c r="F273" s="47" t="s">
        <v>1003</v>
      </c>
      <c r="G273" s="160">
        <v>111834.43</v>
      </c>
    </row>
    <row r="274" spans="1:7" x14ac:dyDescent="0.2">
      <c r="A274" s="7" t="s">
        <v>16</v>
      </c>
      <c r="B274" s="7" t="s">
        <v>60</v>
      </c>
      <c r="C274" s="7" t="s">
        <v>18</v>
      </c>
      <c r="D274" s="159">
        <v>4307650001298</v>
      </c>
      <c r="E274" s="47" t="s">
        <v>1042</v>
      </c>
      <c r="F274" s="47" t="s">
        <v>1031</v>
      </c>
      <c r="G274" s="160">
        <v>528480.93999999994</v>
      </c>
    </row>
    <row r="275" spans="1:7" x14ac:dyDescent="0.2">
      <c r="A275" s="7" t="s">
        <v>16</v>
      </c>
      <c r="B275" s="7" t="s">
        <v>60</v>
      </c>
      <c r="C275" s="7" t="s">
        <v>18</v>
      </c>
      <c r="D275" s="159">
        <v>4307650001298</v>
      </c>
      <c r="E275" s="47" t="s">
        <v>1042</v>
      </c>
      <c r="F275" s="47" t="s">
        <v>1003</v>
      </c>
      <c r="G275" s="160">
        <v>149961.37</v>
      </c>
    </row>
    <row r="276" spans="1:7" x14ac:dyDescent="0.2">
      <c r="A276" s="7" t="s">
        <v>16</v>
      </c>
      <c r="B276" s="7" t="s">
        <v>60</v>
      </c>
      <c r="C276" s="7" t="s">
        <v>18</v>
      </c>
      <c r="D276" s="159">
        <v>4355394000151</v>
      </c>
      <c r="E276" s="47" t="s">
        <v>1043</v>
      </c>
      <c r="F276" s="47" t="s">
        <v>1002</v>
      </c>
      <c r="G276" s="160">
        <v>145131.16</v>
      </c>
    </row>
    <row r="277" spans="1:7" x14ac:dyDescent="0.2">
      <c r="A277" s="7" t="s">
        <v>16</v>
      </c>
      <c r="B277" s="7" t="s">
        <v>60</v>
      </c>
      <c r="C277" s="7" t="s">
        <v>18</v>
      </c>
      <c r="D277" s="159">
        <v>4355394000151</v>
      </c>
      <c r="E277" s="47" t="s">
        <v>1043</v>
      </c>
      <c r="F277" s="47" t="s">
        <v>1031</v>
      </c>
      <c r="G277" s="160">
        <v>688807.27</v>
      </c>
    </row>
    <row r="278" spans="1:7" x14ac:dyDescent="0.2">
      <c r="A278" s="7" t="s">
        <v>16</v>
      </c>
      <c r="B278" s="7" t="s">
        <v>60</v>
      </c>
      <c r="C278" s="7" t="s">
        <v>18</v>
      </c>
      <c r="D278" s="159">
        <v>4355394000151</v>
      </c>
      <c r="E278" s="47" t="s">
        <v>1043</v>
      </c>
      <c r="F278" s="47" t="s">
        <v>1003</v>
      </c>
      <c r="G278" s="160">
        <v>803595.4</v>
      </c>
    </row>
    <row r="279" spans="1:7" x14ac:dyDescent="0.2">
      <c r="A279" s="7" t="s">
        <v>16</v>
      </c>
      <c r="B279" s="7" t="s">
        <v>60</v>
      </c>
      <c r="C279" s="7" t="s">
        <v>18</v>
      </c>
      <c r="D279" s="159">
        <v>4949905000163</v>
      </c>
      <c r="E279" s="47" t="s">
        <v>1128</v>
      </c>
      <c r="F279" s="47" t="s">
        <v>1002</v>
      </c>
      <c r="G279" s="160">
        <v>58125.2</v>
      </c>
    </row>
    <row r="280" spans="1:7" x14ac:dyDescent="0.2">
      <c r="A280" s="7" t="s">
        <v>16</v>
      </c>
      <c r="B280" s="7" t="s">
        <v>60</v>
      </c>
      <c r="C280" s="7" t="s">
        <v>18</v>
      </c>
      <c r="D280" s="159">
        <v>4949905000163</v>
      </c>
      <c r="E280" s="47" t="s">
        <v>1128</v>
      </c>
      <c r="F280" s="47" t="s">
        <v>1031</v>
      </c>
      <c r="G280" s="160">
        <v>1118.28</v>
      </c>
    </row>
    <row r="281" spans="1:7" x14ac:dyDescent="0.2">
      <c r="A281" s="7" t="s">
        <v>16</v>
      </c>
      <c r="B281" s="7" t="s">
        <v>60</v>
      </c>
      <c r="C281" s="7" t="s">
        <v>18</v>
      </c>
      <c r="D281" s="159">
        <v>4949905000163</v>
      </c>
      <c r="E281" s="47" t="s">
        <v>1128</v>
      </c>
      <c r="F281" s="47" t="s">
        <v>1003</v>
      </c>
      <c r="G281" s="160">
        <v>29926.75</v>
      </c>
    </row>
    <row r="282" spans="1:7" x14ac:dyDescent="0.2">
      <c r="A282" s="7" t="s">
        <v>16</v>
      </c>
      <c r="B282" s="7" t="s">
        <v>60</v>
      </c>
      <c r="C282" s="7" t="s">
        <v>18</v>
      </c>
      <c r="D282" s="159">
        <v>5055128000257</v>
      </c>
      <c r="E282" s="47" t="s">
        <v>1129</v>
      </c>
      <c r="F282" s="47" t="s">
        <v>1031</v>
      </c>
      <c r="G282" s="160">
        <v>14732.1</v>
      </c>
    </row>
    <row r="283" spans="1:7" x14ac:dyDescent="0.2">
      <c r="A283" s="7" t="s">
        <v>16</v>
      </c>
      <c r="B283" s="7" t="s">
        <v>60</v>
      </c>
      <c r="C283" s="7" t="s">
        <v>18</v>
      </c>
      <c r="D283" s="159">
        <v>5268490000125</v>
      </c>
      <c r="E283" s="47" t="s">
        <v>1044</v>
      </c>
      <c r="F283" s="47" t="s">
        <v>1002</v>
      </c>
      <c r="G283" s="160">
        <v>63141.82</v>
      </c>
    </row>
    <row r="284" spans="1:7" x14ac:dyDescent="0.2">
      <c r="A284" s="7" t="s">
        <v>16</v>
      </c>
      <c r="B284" s="7" t="s">
        <v>60</v>
      </c>
      <c r="C284" s="7" t="s">
        <v>18</v>
      </c>
      <c r="D284" s="159">
        <v>5268490000125</v>
      </c>
      <c r="E284" s="47" t="s">
        <v>1044</v>
      </c>
      <c r="F284" s="47" t="s">
        <v>1031</v>
      </c>
      <c r="G284" s="160">
        <v>396013.5</v>
      </c>
    </row>
    <row r="285" spans="1:7" x14ac:dyDescent="0.2">
      <c r="A285" s="7" t="s">
        <v>16</v>
      </c>
      <c r="B285" s="7" t="s">
        <v>60</v>
      </c>
      <c r="C285" s="7" t="s">
        <v>18</v>
      </c>
      <c r="D285" s="159">
        <v>5816630000152</v>
      </c>
      <c r="E285" s="47" t="s">
        <v>1045</v>
      </c>
      <c r="F285" s="47" t="s">
        <v>1031</v>
      </c>
      <c r="G285" s="160">
        <v>132273.4</v>
      </c>
    </row>
    <row r="286" spans="1:7" x14ac:dyDescent="0.2">
      <c r="A286" s="7" t="s">
        <v>16</v>
      </c>
      <c r="B286" s="7" t="s">
        <v>60</v>
      </c>
      <c r="C286" s="7" t="s">
        <v>18</v>
      </c>
      <c r="D286" s="159">
        <v>6081203000136</v>
      </c>
      <c r="E286" s="47" t="s">
        <v>1042</v>
      </c>
      <c r="F286" s="47" t="s">
        <v>1031</v>
      </c>
      <c r="G286" s="160">
        <v>392289.04</v>
      </c>
    </row>
    <row r="287" spans="1:7" x14ac:dyDescent="0.2">
      <c r="A287" s="7" t="s">
        <v>16</v>
      </c>
      <c r="B287" s="7" t="s">
        <v>60</v>
      </c>
      <c r="C287" s="7" t="s">
        <v>18</v>
      </c>
      <c r="D287" s="159">
        <v>6081203000136</v>
      </c>
      <c r="E287" s="47" t="s">
        <v>1042</v>
      </c>
      <c r="F287" s="47" t="s">
        <v>1003</v>
      </c>
      <c r="G287" s="160">
        <v>82809.070000000007</v>
      </c>
    </row>
    <row r="288" spans="1:7" x14ac:dyDescent="0.2">
      <c r="A288" s="7" t="s">
        <v>16</v>
      </c>
      <c r="B288" s="7" t="s">
        <v>60</v>
      </c>
      <c r="C288" s="7" t="s">
        <v>18</v>
      </c>
      <c r="D288" s="159">
        <v>6234797000178</v>
      </c>
      <c r="E288" s="47" t="s">
        <v>1046</v>
      </c>
      <c r="F288" s="47" t="s">
        <v>1031</v>
      </c>
      <c r="G288" s="160">
        <v>71416.55</v>
      </c>
    </row>
    <row r="289" spans="1:7" x14ac:dyDescent="0.2">
      <c r="A289" s="7" t="s">
        <v>16</v>
      </c>
      <c r="B289" s="7" t="s">
        <v>60</v>
      </c>
      <c r="C289" s="7" t="s">
        <v>18</v>
      </c>
      <c r="D289" s="159">
        <v>6234797000178</v>
      </c>
      <c r="E289" s="47" t="s">
        <v>1046</v>
      </c>
      <c r="F289" s="47" t="s">
        <v>1003</v>
      </c>
      <c r="G289" s="160">
        <v>19452.38</v>
      </c>
    </row>
    <row r="290" spans="1:7" x14ac:dyDescent="0.2">
      <c r="A290" s="7" t="s">
        <v>16</v>
      </c>
      <c r="B290" s="7" t="s">
        <v>60</v>
      </c>
      <c r="C290" s="7" t="s">
        <v>18</v>
      </c>
      <c r="D290" s="159">
        <v>7224991001530</v>
      </c>
      <c r="E290" s="47" t="s">
        <v>1047</v>
      </c>
      <c r="F290" s="47" t="s">
        <v>1002</v>
      </c>
      <c r="G290" s="160">
        <v>77593.63</v>
      </c>
    </row>
    <row r="291" spans="1:7" x14ac:dyDescent="0.2">
      <c r="A291" s="7" t="s">
        <v>16</v>
      </c>
      <c r="B291" s="7" t="s">
        <v>60</v>
      </c>
      <c r="C291" s="7" t="s">
        <v>18</v>
      </c>
      <c r="D291" s="159">
        <v>7224991001530</v>
      </c>
      <c r="E291" s="47" t="s">
        <v>1047</v>
      </c>
      <c r="F291" s="47" t="s">
        <v>1031</v>
      </c>
      <c r="G291" s="160">
        <v>9290.81</v>
      </c>
    </row>
    <row r="292" spans="1:7" x14ac:dyDescent="0.2">
      <c r="A292" s="7" t="s">
        <v>16</v>
      </c>
      <c r="B292" s="7" t="s">
        <v>60</v>
      </c>
      <c r="C292" s="7" t="s">
        <v>18</v>
      </c>
      <c r="D292" s="159">
        <v>7224991001530</v>
      </c>
      <c r="E292" s="47" t="s">
        <v>1047</v>
      </c>
      <c r="F292" s="47" t="s">
        <v>1003</v>
      </c>
      <c r="G292" s="160">
        <v>16087.76</v>
      </c>
    </row>
    <row r="293" spans="1:7" x14ac:dyDescent="0.2">
      <c r="A293" s="7" t="s">
        <v>16</v>
      </c>
      <c r="B293" s="7" t="s">
        <v>60</v>
      </c>
      <c r="C293" s="7" t="s">
        <v>18</v>
      </c>
      <c r="D293" s="159">
        <v>7272636000212</v>
      </c>
      <c r="E293" s="47" t="s">
        <v>1048</v>
      </c>
      <c r="F293" s="47" t="s">
        <v>1031</v>
      </c>
      <c r="G293" s="160">
        <v>142664.71</v>
      </c>
    </row>
    <row r="294" spans="1:7" x14ac:dyDescent="0.2">
      <c r="A294" s="7" t="s">
        <v>16</v>
      </c>
      <c r="B294" s="7" t="s">
        <v>60</v>
      </c>
      <c r="C294" s="7" t="s">
        <v>18</v>
      </c>
      <c r="D294" s="159">
        <v>7484373000124</v>
      </c>
      <c r="E294" s="47" t="s">
        <v>1049</v>
      </c>
      <c r="F294" s="47" t="s">
        <v>1002</v>
      </c>
      <c r="G294" s="160">
        <v>90407.6</v>
      </c>
    </row>
    <row r="295" spans="1:7" x14ac:dyDescent="0.2">
      <c r="A295" s="7" t="s">
        <v>16</v>
      </c>
      <c r="B295" s="7" t="s">
        <v>60</v>
      </c>
      <c r="C295" s="7" t="s">
        <v>18</v>
      </c>
      <c r="D295" s="159">
        <v>7484373000124</v>
      </c>
      <c r="E295" s="47" t="s">
        <v>1049</v>
      </c>
      <c r="F295" s="47" t="s">
        <v>1003</v>
      </c>
      <c r="G295" s="160">
        <v>10967.62</v>
      </c>
    </row>
    <row r="296" spans="1:7" x14ac:dyDescent="0.2">
      <c r="A296" s="7" t="s">
        <v>16</v>
      </c>
      <c r="B296" s="7" t="s">
        <v>60</v>
      </c>
      <c r="C296" s="7" t="s">
        <v>18</v>
      </c>
      <c r="D296" s="159">
        <v>7734165000136</v>
      </c>
      <c r="E296" s="47" t="s">
        <v>1050</v>
      </c>
      <c r="F296" s="47" t="s">
        <v>1031</v>
      </c>
      <c r="G296" s="160">
        <v>374982.24</v>
      </c>
    </row>
    <row r="297" spans="1:7" x14ac:dyDescent="0.2">
      <c r="A297" s="7" t="s">
        <v>16</v>
      </c>
      <c r="B297" s="7" t="s">
        <v>60</v>
      </c>
      <c r="C297" s="7" t="s">
        <v>18</v>
      </c>
      <c r="D297" s="159">
        <v>7812105000194</v>
      </c>
      <c r="E297" s="47" t="s">
        <v>1051</v>
      </c>
      <c r="F297" s="47" t="s">
        <v>1031</v>
      </c>
      <c r="G297" s="160">
        <v>23769.94</v>
      </c>
    </row>
    <row r="298" spans="1:7" x14ac:dyDescent="0.2">
      <c r="A298" s="7" t="s">
        <v>16</v>
      </c>
      <c r="B298" s="7" t="s">
        <v>60</v>
      </c>
      <c r="C298" s="7" t="s">
        <v>18</v>
      </c>
      <c r="D298" s="159">
        <v>8597121000174</v>
      </c>
      <c r="E298" s="47" t="s">
        <v>1053</v>
      </c>
      <c r="F298" s="47" t="s">
        <v>1031</v>
      </c>
      <c r="G298" s="160">
        <v>114765.28</v>
      </c>
    </row>
    <row r="299" spans="1:7" x14ac:dyDescent="0.2">
      <c r="A299" s="7" t="s">
        <v>16</v>
      </c>
      <c r="B299" s="7" t="s">
        <v>60</v>
      </c>
      <c r="C299" s="7" t="s">
        <v>18</v>
      </c>
      <c r="D299" s="159">
        <v>8618022000121</v>
      </c>
      <c r="E299" s="47" t="s">
        <v>1054</v>
      </c>
      <c r="F299" s="47" t="s">
        <v>1002</v>
      </c>
      <c r="G299" s="160">
        <v>282800.11</v>
      </c>
    </row>
    <row r="300" spans="1:7" x14ac:dyDescent="0.2">
      <c r="A300" s="7" t="s">
        <v>16</v>
      </c>
      <c r="B300" s="7" t="s">
        <v>60</v>
      </c>
      <c r="C300" s="7" t="s">
        <v>18</v>
      </c>
      <c r="D300" s="159">
        <v>8618022000121</v>
      </c>
      <c r="E300" s="47" t="s">
        <v>1054</v>
      </c>
      <c r="F300" s="47" t="s">
        <v>1031</v>
      </c>
      <c r="G300" s="160">
        <v>1010515.38</v>
      </c>
    </row>
    <row r="301" spans="1:7" x14ac:dyDescent="0.2">
      <c r="A301" s="7" t="s">
        <v>16</v>
      </c>
      <c r="B301" s="7" t="s">
        <v>60</v>
      </c>
      <c r="C301" s="7" t="s">
        <v>18</v>
      </c>
      <c r="D301" s="159">
        <v>8618022000121</v>
      </c>
      <c r="E301" s="47" t="s">
        <v>1054</v>
      </c>
      <c r="F301" s="47" t="s">
        <v>1003</v>
      </c>
      <c r="G301" s="160">
        <v>176793.08</v>
      </c>
    </row>
    <row r="302" spans="1:7" x14ac:dyDescent="0.2">
      <c r="A302" s="7" t="s">
        <v>16</v>
      </c>
      <c r="B302" s="7" t="s">
        <v>60</v>
      </c>
      <c r="C302" s="7" t="s">
        <v>18</v>
      </c>
      <c r="D302" s="159">
        <v>8719794000150</v>
      </c>
      <c r="E302" s="47" t="s">
        <v>1051</v>
      </c>
      <c r="F302" s="47" t="s">
        <v>1031</v>
      </c>
      <c r="G302" s="160">
        <v>167119.59</v>
      </c>
    </row>
    <row r="303" spans="1:7" x14ac:dyDescent="0.2">
      <c r="A303" s="7" t="s">
        <v>16</v>
      </c>
      <c r="B303" s="7" t="s">
        <v>60</v>
      </c>
      <c r="C303" s="7" t="s">
        <v>18</v>
      </c>
      <c r="D303" s="159">
        <v>9007162000126</v>
      </c>
      <c r="E303" s="47" t="s">
        <v>1130</v>
      </c>
      <c r="F303" s="47" t="s">
        <v>1002</v>
      </c>
      <c r="G303" s="160">
        <v>51251.47</v>
      </c>
    </row>
    <row r="304" spans="1:7" x14ac:dyDescent="0.2">
      <c r="A304" s="7" t="s">
        <v>16</v>
      </c>
      <c r="B304" s="7" t="s">
        <v>60</v>
      </c>
      <c r="C304" s="7" t="s">
        <v>18</v>
      </c>
      <c r="D304" s="159">
        <v>9007162000126</v>
      </c>
      <c r="E304" s="47" t="s">
        <v>1130</v>
      </c>
      <c r="F304" s="47" t="s">
        <v>1003</v>
      </c>
      <c r="G304" s="160">
        <v>132029.76999999999</v>
      </c>
    </row>
    <row r="305" spans="1:7" x14ac:dyDescent="0.2">
      <c r="A305" s="7" t="s">
        <v>16</v>
      </c>
      <c r="B305" s="7" t="s">
        <v>60</v>
      </c>
      <c r="C305" s="7" t="s">
        <v>18</v>
      </c>
      <c r="D305" s="159">
        <v>9053134000226</v>
      </c>
      <c r="E305" s="47" t="s">
        <v>1055</v>
      </c>
      <c r="F305" s="47" t="s">
        <v>1031</v>
      </c>
      <c r="G305" s="160">
        <v>11716.17</v>
      </c>
    </row>
    <row r="306" spans="1:7" x14ac:dyDescent="0.2">
      <c r="A306" s="7" t="s">
        <v>16</v>
      </c>
      <c r="B306" s="7" t="s">
        <v>60</v>
      </c>
      <c r="C306" s="7" t="s">
        <v>18</v>
      </c>
      <c r="D306" s="159">
        <v>9613374000157</v>
      </c>
      <c r="E306" s="47" t="s">
        <v>1056</v>
      </c>
      <c r="F306" s="47" t="s">
        <v>1031</v>
      </c>
      <c r="G306" s="160">
        <v>158751.44</v>
      </c>
    </row>
    <row r="307" spans="1:7" x14ac:dyDescent="0.2">
      <c r="A307" s="7" t="s">
        <v>16</v>
      </c>
      <c r="B307" s="7" t="s">
        <v>60</v>
      </c>
      <c r="C307" s="7" t="s">
        <v>18</v>
      </c>
      <c r="D307" s="159">
        <v>9660958000345</v>
      </c>
      <c r="E307" s="47" t="s">
        <v>1057</v>
      </c>
      <c r="F307" s="47" t="s">
        <v>1002</v>
      </c>
      <c r="G307" s="160">
        <v>331147.63</v>
      </c>
    </row>
    <row r="308" spans="1:7" x14ac:dyDescent="0.2">
      <c r="A308" s="7" t="s">
        <v>16</v>
      </c>
      <c r="B308" s="7" t="s">
        <v>60</v>
      </c>
      <c r="C308" s="7" t="s">
        <v>18</v>
      </c>
      <c r="D308" s="159">
        <v>9660958000345</v>
      </c>
      <c r="E308" s="47" t="s">
        <v>1057</v>
      </c>
      <c r="F308" s="47" t="s">
        <v>1031</v>
      </c>
      <c r="G308" s="160">
        <v>115094.17</v>
      </c>
    </row>
    <row r="309" spans="1:7" x14ac:dyDescent="0.2">
      <c r="A309" s="7" t="s">
        <v>16</v>
      </c>
      <c r="B309" s="7" t="s">
        <v>60</v>
      </c>
      <c r="C309" s="7" t="s">
        <v>18</v>
      </c>
      <c r="D309" s="159">
        <v>9660958000345</v>
      </c>
      <c r="E309" s="47" t="s">
        <v>1057</v>
      </c>
      <c r="F309" s="47" t="s">
        <v>1003</v>
      </c>
      <c r="G309" s="160">
        <v>45077.52</v>
      </c>
    </row>
    <row r="310" spans="1:7" x14ac:dyDescent="0.2">
      <c r="A310" s="7" t="s">
        <v>16</v>
      </c>
      <c r="B310" s="7" t="s">
        <v>60</v>
      </c>
      <c r="C310" s="7" t="s">
        <v>18</v>
      </c>
      <c r="D310" s="159">
        <v>10586940000168</v>
      </c>
      <c r="E310" s="47" t="s">
        <v>1131</v>
      </c>
      <c r="F310" s="47" t="s">
        <v>1002</v>
      </c>
      <c r="G310" s="160">
        <v>50700.38</v>
      </c>
    </row>
    <row r="311" spans="1:7" x14ac:dyDescent="0.2">
      <c r="A311" s="7" t="s">
        <v>16</v>
      </c>
      <c r="B311" s="7" t="s">
        <v>60</v>
      </c>
      <c r="C311" s="7" t="s">
        <v>18</v>
      </c>
      <c r="D311" s="159">
        <v>10586940000168</v>
      </c>
      <c r="E311" s="47" t="s">
        <v>1131</v>
      </c>
      <c r="F311" s="47" t="s">
        <v>1031</v>
      </c>
      <c r="G311" s="160">
        <v>313509.48</v>
      </c>
    </row>
    <row r="312" spans="1:7" x14ac:dyDescent="0.2">
      <c r="A312" s="7" t="s">
        <v>16</v>
      </c>
      <c r="B312" s="7" t="s">
        <v>60</v>
      </c>
      <c r="C312" s="7" t="s">
        <v>18</v>
      </c>
      <c r="D312" s="159">
        <v>10586940000168</v>
      </c>
      <c r="E312" s="47" t="s">
        <v>1131</v>
      </c>
      <c r="F312" s="47" t="s">
        <v>1003</v>
      </c>
      <c r="G312" s="160">
        <v>15521.78</v>
      </c>
    </row>
    <row r="313" spans="1:7" x14ac:dyDescent="0.2">
      <c r="A313" s="7" t="s">
        <v>16</v>
      </c>
      <c r="B313" s="7" t="s">
        <v>60</v>
      </c>
      <c r="C313" s="7" t="s">
        <v>18</v>
      </c>
      <c r="D313" s="159">
        <v>10942995000163</v>
      </c>
      <c r="E313" s="47" t="s">
        <v>1108</v>
      </c>
      <c r="F313" s="47" t="s">
        <v>1031</v>
      </c>
      <c r="G313" s="160">
        <v>36016</v>
      </c>
    </row>
    <row r="314" spans="1:7" x14ac:dyDescent="0.2">
      <c r="A314" s="7" t="s">
        <v>16</v>
      </c>
      <c r="B314" s="7" t="s">
        <v>60</v>
      </c>
      <c r="C314" s="7" t="s">
        <v>18</v>
      </c>
      <c r="D314" s="159">
        <v>11022597001597</v>
      </c>
      <c r="E314" s="47" t="s">
        <v>1109</v>
      </c>
      <c r="F314" s="47" t="s">
        <v>1031</v>
      </c>
      <c r="G314" s="160">
        <v>93125</v>
      </c>
    </row>
    <row r="315" spans="1:7" x14ac:dyDescent="0.2">
      <c r="A315" s="7" t="s">
        <v>16</v>
      </c>
      <c r="B315" s="7" t="s">
        <v>60</v>
      </c>
      <c r="C315" s="7" t="s">
        <v>18</v>
      </c>
      <c r="D315" s="159">
        <v>11206099000107</v>
      </c>
      <c r="E315" s="47" t="s">
        <v>1110</v>
      </c>
      <c r="F315" s="47" t="s">
        <v>1002</v>
      </c>
      <c r="G315" s="160">
        <v>196810.64</v>
      </c>
    </row>
    <row r="316" spans="1:7" x14ac:dyDescent="0.2">
      <c r="A316" s="7" t="s">
        <v>16</v>
      </c>
      <c r="B316" s="7" t="s">
        <v>60</v>
      </c>
      <c r="C316" s="7" t="s">
        <v>18</v>
      </c>
      <c r="D316" s="159">
        <v>12420164000319</v>
      </c>
      <c r="E316" s="47" t="s">
        <v>1061</v>
      </c>
      <c r="F316" s="47" t="s">
        <v>1002</v>
      </c>
      <c r="G316" s="160">
        <v>278374.63</v>
      </c>
    </row>
    <row r="317" spans="1:7" x14ac:dyDescent="0.2">
      <c r="A317" s="7" t="s">
        <v>16</v>
      </c>
      <c r="B317" s="7" t="s">
        <v>60</v>
      </c>
      <c r="C317" s="7" t="s">
        <v>18</v>
      </c>
      <c r="D317" s="159">
        <v>12420164000319</v>
      </c>
      <c r="E317" s="47" t="s">
        <v>1061</v>
      </c>
      <c r="F317" s="47" t="s">
        <v>1031</v>
      </c>
      <c r="G317" s="160">
        <v>1609821.48</v>
      </c>
    </row>
    <row r="318" spans="1:7" x14ac:dyDescent="0.2">
      <c r="A318" s="7" t="s">
        <v>16</v>
      </c>
      <c r="B318" s="7" t="s">
        <v>60</v>
      </c>
      <c r="C318" s="7" t="s">
        <v>18</v>
      </c>
      <c r="D318" s="159">
        <v>12420164000319</v>
      </c>
      <c r="E318" s="47" t="s">
        <v>1061</v>
      </c>
      <c r="F318" s="47" t="s">
        <v>1003</v>
      </c>
      <c r="G318" s="160">
        <v>19153.150000000001</v>
      </c>
    </row>
    <row r="319" spans="1:7" x14ac:dyDescent="0.2">
      <c r="A319" s="7" t="s">
        <v>16</v>
      </c>
      <c r="B319" s="7" t="s">
        <v>60</v>
      </c>
      <c r="C319" s="7" t="s">
        <v>18</v>
      </c>
      <c r="D319" s="159">
        <v>12420164000904</v>
      </c>
      <c r="E319" s="47" t="s">
        <v>1061</v>
      </c>
      <c r="F319" s="47" t="s">
        <v>1002</v>
      </c>
      <c r="G319" s="160">
        <v>160219.51</v>
      </c>
    </row>
    <row r="320" spans="1:7" x14ac:dyDescent="0.2">
      <c r="A320" s="7" t="s">
        <v>16</v>
      </c>
      <c r="B320" s="7" t="s">
        <v>60</v>
      </c>
      <c r="C320" s="7" t="s">
        <v>18</v>
      </c>
      <c r="D320" s="159">
        <v>12420164000904</v>
      </c>
      <c r="E320" s="47" t="s">
        <v>1061</v>
      </c>
      <c r="F320" s="47" t="s">
        <v>1031</v>
      </c>
      <c r="G320" s="160">
        <v>789980.97</v>
      </c>
    </row>
    <row r="321" spans="1:7" x14ac:dyDescent="0.2">
      <c r="A321" s="7" t="s">
        <v>16</v>
      </c>
      <c r="B321" s="7" t="s">
        <v>60</v>
      </c>
      <c r="C321" s="7" t="s">
        <v>18</v>
      </c>
      <c r="D321" s="159">
        <v>12420164000904</v>
      </c>
      <c r="E321" s="47" t="s">
        <v>1061</v>
      </c>
      <c r="F321" s="47" t="s">
        <v>1003</v>
      </c>
      <c r="G321" s="160">
        <v>8977.76</v>
      </c>
    </row>
    <row r="322" spans="1:7" x14ac:dyDescent="0.2">
      <c r="A322" s="7" t="s">
        <v>16</v>
      </c>
      <c r="B322" s="7" t="s">
        <v>60</v>
      </c>
      <c r="C322" s="7" t="s">
        <v>18</v>
      </c>
      <c r="D322" s="159">
        <v>12420164001048</v>
      </c>
      <c r="E322" s="47" t="s">
        <v>1061</v>
      </c>
      <c r="F322" s="47" t="s">
        <v>1002</v>
      </c>
      <c r="G322" s="160">
        <v>6133.12</v>
      </c>
    </row>
    <row r="323" spans="1:7" x14ac:dyDescent="0.2">
      <c r="A323" s="7" t="s">
        <v>16</v>
      </c>
      <c r="B323" s="7" t="s">
        <v>60</v>
      </c>
      <c r="C323" s="7" t="s">
        <v>18</v>
      </c>
      <c r="D323" s="159">
        <v>12420164001048</v>
      </c>
      <c r="E323" s="47" t="s">
        <v>1061</v>
      </c>
      <c r="F323" s="47" t="s">
        <v>1031</v>
      </c>
      <c r="G323" s="160">
        <v>152993.22</v>
      </c>
    </row>
    <row r="324" spans="1:7" x14ac:dyDescent="0.2">
      <c r="A324" s="7" t="s">
        <v>16</v>
      </c>
      <c r="B324" s="7" t="s">
        <v>60</v>
      </c>
      <c r="C324" s="7" t="s">
        <v>18</v>
      </c>
      <c r="D324" s="159">
        <v>12420164001048</v>
      </c>
      <c r="E324" s="47" t="s">
        <v>1061</v>
      </c>
      <c r="F324" s="47" t="s">
        <v>1003</v>
      </c>
      <c r="G324" s="160">
        <v>17625.36</v>
      </c>
    </row>
    <row r="325" spans="1:7" x14ac:dyDescent="0.2">
      <c r="A325" s="7" t="s">
        <v>16</v>
      </c>
      <c r="B325" s="7" t="s">
        <v>60</v>
      </c>
      <c r="C325" s="7" t="s">
        <v>18</v>
      </c>
      <c r="D325" s="159">
        <v>12474705000120</v>
      </c>
      <c r="E325" s="47" t="s">
        <v>1062</v>
      </c>
      <c r="F325" s="47" t="s">
        <v>1031</v>
      </c>
      <c r="G325" s="160">
        <v>82270</v>
      </c>
    </row>
    <row r="326" spans="1:7" x14ac:dyDescent="0.2">
      <c r="A326" s="7" t="s">
        <v>16</v>
      </c>
      <c r="B326" s="7" t="s">
        <v>60</v>
      </c>
      <c r="C326" s="7" t="s">
        <v>18</v>
      </c>
      <c r="D326" s="159">
        <v>12891935000194</v>
      </c>
      <c r="E326" s="47" t="s">
        <v>1112</v>
      </c>
      <c r="F326" s="47" t="s">
        <v>1031</v>
      </c>
      <c r="G326" s="160">
        <v>19808.28</v>
      </c>
    </row>
    <row r="327" spans="1:7" x14ac:dyDescent="0.2">
      <c r="A327" s="7" t="s">
        <v>16</v>
      </c>
      <c r="B327" s="7" t="s">
        <v>60</v>
      </c>
      <c r="C327" s="7" t="s">
        <v>18</v>
      </c>
      <c r="D327" s="159">
        <v>14261377000109</v>
      </c>
      <c r="E327" s="47" t="s">
        <v>1063</v>
      </c>
      <c r="F327" s="47" t="s">
        <v>1031</v>
      </c>
      <c r="G327" s="160">
        <v>31842.7</v>
      </c>
    </row>
    <row r="328" spans="1:7" x14ac:dyDescent="0.2">
      <c r="A328" s="7" t="s">
        <v>16</v>
      </c>
      <c r="B328" s="7" t="s">
        <v>60</v>
      </c>
      <c r="C328" s="7" t="s">
        <v>18</v>
      </c>
      <c r="D328" s="159">
        <v>15126437000496</v>
      </c>
      <c r="E328" s="47" t="s">
        <v>1132</v>
      </c>
      <c r="F328" s="47" t="s">
        <v>1031</v>
      </c>
      <c r="G328" s="160">
        <v>102469</v>
      </c>
    </row>
    <row r="329" spans="1:7" x14ac:dyDescent="0.2">
      <c r="A329" s="7" t="s">
        <v>16</v>
      </c>
      <c r="B329" s="7" t="s">
        <v>60</v>
      </c>
      <c r="C329" s="7" t="s">
        <v>18</v>
      </c>
      <c r="D329" s="159">
        <v>15126437000739</v>
      </c>
      <c r="E329" s="47" t="s">
        <v>1064</v>
      </c>
      <c r="F329" s="47" t="s">
        <v>1031</v>
      </c>
      <c r="G329" s="160">
        <v>37925</v>
      </c>
    </row>
    <row r="330" spans="1:7" x14ac:dyDescent="0.2">
      <c r="A330" s="7" t="s">
        <v>16</v>
      </c>
      <c r="B330" s="7" t="s">
        <v>60</v>
      </c>
      <c r="C330" s="7" t="s">
        <v>18</v>
      </c>
      <c r="D330" s="159">
        <v>15126437002278</v>
      </c>
      <c r="E330" s="47" t="s">
        <v>1066</v>
      </c>
      <c r="F330" s="47" t="s">
        <v>1002</v>
      </c>
      <c r="G330" s="160">
        <v>5825</v>
      </c>
    </row>
    <row r="331" spans="1:7" x14ac:dyDescent="0.2">
      <c r="A331" s="7" t="s">
        <v>16</v>
      </c>
      <c r="B331" s="7" t="s">
        <v>60</v>
      </c>
      <c r="C331" s="7" t="s">
        <v>18</v>
      </c>
      <c r="D331" s="159">
        <v>15145035000196</v>
      </c>
      <c r="E331" s="47" t="s">
        <v>1067</v>
      </c>
      <c r="F331" s="47" t="s">
        <v>1031</v>
      </c>
      <c r="G331" s="160">
        <v>30855.33</v>
      </c>
    </row>
    <row r="332" spans="1:7" x14ac:dyDescent="0.2">
      <c r="A332" s="7" t="s">
        <v>16</v>
      </c>
      <c r="B332" s="7" t="s">
        <v>60</v>
      </c>
      <c r="C332" s="7" t="s">
        <v>18</v>
      </c>
      <c r="D332" s="159">
        <v>15180714000520</v>
      </c>
      <c r="E332" s="47" t="s">
        <v>1133</v>
      </c>
      <c r="F332" s="47" t="s">
        <v>1031</v>
      </c>
      <c r="G332" s="160">
        <v>26333.81</v>
      </c>
    </row>
    <row r="333" spans="1:7" x14ac:dyDescent="0.2">
      <c r="A333" s="7" t="s">
        <v>16</v>
      </c>
      <c r="B333" s="7" t="s">
        <v>60</v>
      </c>
      <c r="C333" s="7" t="s">
        <v>18</v>
      </c>
      <c r="D333" s="159">
        <v>17700763000300</v>
      </c>
      <c r="E333" s="47" t="s">
        <v>1069</v>
      </c>
      <c r="F333" s="47" t="s">
        <v>1002</v>
      </c>
      <c r="G333" s="160">
        <v>156051.06</v>
      </c>
    </row>
    <row r="334" spans="1:7" x14ac:dyDescent="0.2">
      <c r="A334" s="7" t="s">
        <v>16</v>
      </c>
      <c r="B334" s="7" t="s">
        <v>60</v>
      </c>
      <c r="C334" s="7" t="s">
        <v>18</v>
      </c>
      <c r="D334" s="159">
        <v>17700763000300</v>
      </c>
      <c r="E334" s="47" t="s">
        <v>1069</v>
      </c>
      <c r="F334" s="47" t="s">
        <v>1031</v>
      </c>
      <c r="G334" s="160">
        <v>694304.52</v>
      </c>
    </row>
    <row r="335" spans="1:7" x14ac:dyDescent="0.2">
      <c r="A335" s="7" t="s">
        <v>16</v>
      </c>
      <c r="B335" s="7" t="s">
        <v>60</v>
      </c>
      <c r="C335" s="7" t="s">
        <v>18</v>
      </c>
      <c r="D335" s="159">
        <v>17700763000300</v>
      </c>
      <c r="E335" s="47" t="s">
        <v>1069</v>
      </c>
      <c r="F335" s="47" t="s">
        <v>1003</v>
      </c>
      <c r="G335" s="160">
        <v>38804.449999999997</v>
      </c>
    </row>
    <row r="336" spans="1:7" x14ac:dyDescent="0.2">
      <c r="A336" s="7" t="s">
        <v>16</v>
      </c>
      <c r="B336" s="7" t="s">
        <v>60</v>
      </c>
      <c r="C336" s="7" t="s">
        <v>18</v>
      </c>
      <c r="D336" s="159">
        <v>18269125000187</v>
      </c>
      <c r="E336" s="47" t="s">
        <v>1070</v>
      </c>
      <c r="F336" s="47" t="s">
        <v>1031</v>
      </c>
      <c r="G336" s="160">
        <v>197051.81</v>
      </c>
    </row>
    <row r="337" spans="1:7" x14ac:dyDescent="0.2">
      <c r="A337" s="7" t="s">
        <v>16</v>
      </c>
      <c r="B337" s="7" t="s">
        <v>60</v>
      </c>
      <c r="C337" s="7" t="s">
        <v>18</v>
      </c>
      <c r="D337" s="159">
        <v>25053117000164</v>
      </c>
      <c r="E337" s="47" t="s">
        <v>1134</v>
      </c>
      <c r="F337" s="47" t="s">
        <v>1003</v>
      </c>
      <c r="G337" s="160">
        <v>109560.53</v>
      </c>
    </row>
    <row r="338" spans="1:7" x14ac:dyDescent="0.2">
      <c r="A338" s="7" t="s">
        <v>16</v>
      </c>
      <c r="B338" s="7" t="s">
        <v>60</v>
      </c>
      <c r="C338" s="7" t="s">
        <v>18</v>
      </c>
      <c r="D338" s="159">
        <v>25211499000107</v>
      </c>
      <c r="E338" s="47" t="s">
        <v>1059</v>
      </c>
      <c r="F338" s="47" t="s">
        <v>1031</v>
      </c>
      <c r="G338" s="160">
        <v>53576.800000000003</v>
      </c>
    </row>
    <row r="339" spans="1:7" x14ac:dyDescent="0.2">
      <c r="A339" s="7" t="s">
        <v>16</v>
      </c>
      <c r="B339" s="7" t="s">
        <v>60</v>
      </c>
      <c r="C339" s="7" t="s">
        <v>18</v>
      </c>
      <c r="D339" s="159">
        <v>25211499000107</v>
      </c>
      <c r="E339" s="47" t="s">
        <v>1059</v>
      </c>
      <c r="F339" s="47" t="s">
        <v>1003</v>
      </c>
      <c r="G339" s="160">
        <v>67481.88</v>
      </c>
    </row>
    <row r="340" spans="1:7" x14ac:dyDescent="0.2">
      <c r="A340" s="7" t="s">
        <v>16</v>
      </c>
      <c r="B340" s="7" t="s">
        <v>60</v>
      </c>
      <c r="C340" s="7" t="s">
        <v>18</v>
      </c>
      <c r="D340" s="159">
        <v>25648387000207</v>
      </c>
      <c r="E340" s="47" t="s">
        <v>1072</v>
      </c>
      <c r="F340" s="47" t="s">
        <v>1031</v>
      </c>
      <c r="G340" s="160">
        <v>128528.4</v>
      </c>
    </row>
    <row r="341" spans="1:7" x14ac:dyDescent="0.2">
      <c r="A341" s="7" t="s">
        <v>16</v>
      </c>
      <c r="B341" s="7" t="s">
        <v>60</v>
      </c>
      <c r="C341" s="7" t="s">
        <v>18</v>
      </c>
      <c r="D341" s="159">
        <v>27080605000358</v>
      </c>
      <c r="E341" s="47" t="s">
        <v>1116</v>
      </c>
      <c r="F341" s="47" t="s">
        <v>1031</v>
      </c>
      <c r="G341" s="160">
        <v>36446.800000000003</v>
      </c>
    </row>
    <row r="342" spans="1:7" x14ac:dyDescent="0.2">
      <c r="A342" s="7" t="s">
        <v>16</v>
      </c>
      <c r="B342" s="7" t="s">
        <v>60</v>
      </c>
      <c r="C342" s="7" t="s">
        <v>18</v>
      </c>
      <c r="D342" s="159">
        <v>27191294000132</v>
      </c>
      <c r="E342" s="47" t="s">
        <v>1074</v>
      </c>
      <c r="F342" s="47" t="s">
        <v>1031</v>
      </c>
      <c r="G342" s="160">
        <v>4998.49</v>
      </c>
    </row>
    <row r="343" spans="1:7" x14ac:dyDescent="0.2">
      <c r="A343" s="7" t="s">
        <v>16</v>
      </c>
      <c r="B343" s="7" t="s">
        <v>60</v>
      </c>
      <c r="C343" s="7" t="s">
        <v>18</v>
      </c>
      <c r="D343" s="159">
        <v>28523215000378</v>
      </c>
      <c r="E343" s="47" t="s">
        <v>1135</v>
      </c>
      <c r="F343" s="47" t="s">
        <v>1031</v>
      </c>
      <c r="G343" s="160">
        <v>58929.599999999999</v>
      </c>
    </row>
    <row r="344" spans="1:7" x14ac:dyDescent="0.2">
      <c r="A344" s="7" t="s">
        <v>16</v>
      </c>
      <c r="B344" s="7" t="s">
        <v>60</v>
      </c>
      <c r="C344" s="7" t="s">
        <v>18</v>
      </c>
      <c r="D344" s="159">
        <v>28523215000378</v>
      </c>
      <c r="E344" s="47" t="s">
        <v>1135</v>
      </c>
      <c r="F344" s="47" t="s">
        <v>1003</v>
      </c>
      <c r="G344" s="160">
        <v>3040</v>
      </c>
    </row>
    <row r="345" spans="1:7" x14ac:dyDescent="0.2">
      <c r="A345" s="7" t="s">
        <v>16</v>
      </c>
      <c r="B345" s="7" t="s">
        <v>60</v>
      </c>
      <c r="C345" s="7" t="s">
        <v>18</v>
      </c>
      <c r="D345" s="159">
        <v>33663683005347</v>
      </c>
      <c r="E345" s="47" t="s">
        <v>1076</v>
      </c>
      <c r="F345" s="47" t="s">
        <v>1031</v>
      </c>
      <c r="G345" s="160">
        <v>463837.8</v>
      </c>
    </row>
    <row r="346" spans="1:7" x14ac:dyDescent="0.2">
      <c r="A346" s="7" t="s">
        <v>16</v>
      </c>
      <c r="B346" s="7" t="s">
        <v>60</v>
      </c>
      <c r="C346" s="7" t="s">
        <v>18</v>
      </c>
      <c r="D346" s="159">
        <v>34023077000280</v>
      </c>
      <c r="E346" s="47" t="s">
        <v>1117</v>
      </c>
      <c r="F346" s="47" t="s">
        <v>1002</v>
      </c>
      <c r="G346" s="160">
        <v>14450.4</v>
      </c>
    </row>
    <row r="347" spans="1:7" x14ac:dyDescent="0.2">
      <c r="A347" s="7" t="s">
        <v>16</v>
      </c>
      <c r="B347" s="7" t="s">
        <v>60</v>
      </c>
      <c r="C347" s="7" t="s">
        <v>18</v>
      </c>
      <c r="D347" s="159">
        <v>37396017000624</v>
      </c>
      <c r="E347" s="47" t="s">
        <v>1059</v>
      </c>
      <c r="F347" s="47" t="s">
        <v>1002</v>
      </c>
      <c r="G347" s="160">
        <v>161101.98000000001</v>
      </c>
    </row>
    <row r="348" spans="1:7" x14ac:dyDescent="0.2">
      <c r="A348" s="7" t="s">
        <v>16</v>
      </c>
      <c r="B348" s="7" t="s">
        <v>60</v>
      </c>
      <c r="C348" s="7" t="s">
        <v>18</v>
      </c>
      <c r="D348" s="159">
        <v>37396017000624</v>
      </c>
      <c r="E348" s="47" t="s">
        <v>1059</v>
      </c>
      <c r="F348" s="47" t="s">
        <v>1031</v>
      </c>
      <c r="G348" s="160">
        <v>169932.67</v>
      </c>
    </row>
    <row r="349" spans="1:7" x14ac:dyDescent="0.2">
      <c r="A349" s="7" t="s">
        <v>16</v>
      </c>
      <c r="B349" s="7" t="s">
        <v>60</v>
      </c>
      <c r="C349" s="7" t="s">
        <v>18</v>
      </c>
      <c r="D349" s="159">
        <v>37396017000624</v>
      </c>
      <c r="E349" s="47" t="s">
        <v>1059</v>
      </c>
      <c r="F349" s="47" t="s">
        <v>1003</v>
      </c>
      <c r="G349" s="160">
        <v>19012.29</v>
      </c>
    </row>
    <row r="350" spans="1:7" x14ac:dyDescent="0.2">
      <c r="A350" s="7" t="s">
        <v>16</v>
      </c>
      <c r="B350" s="7" t="s">
        <v>60</v>
      </c>
      <c r="C350" s="7" t="s">
        <v>18</v>
      </c>
      <c r="D350" s="159">
        <v>42498733000148</v>
      </c>
      <c r="E350" s="47" t="s">
        <v>1136</v>
      </c>
      <c r="F350" s="47" t="s">
        <v>1002</v>
      </c>
      <c r="G350" s="160">
        <v>55500</v>
      </c>
    </row>
    <row r="351" spans="1:7" x14ac:dyDescent="0.2">
      <c r="A351" s="7" t="s">
        <v>16</v>
      </c>
      <c r="B351" s="7" t="s">
        <v>60</v>
      </c>
      <c r="C351" s="7" t="s">
        <v>18</v>
      </c>
      <c r="D351" s="159">
        <v>45780103000150</v>
      </c>
      <c r="E351" s="47" t="s">
        <v>1079</v>
      </c>
      <c r="F351" s="47" t="s">
        <v>1031</v>
      </c>
      <c r="G351" s="160">
        <v>120805.68</v>
      </c>
    </row>
    <row r="352" spans="1:7" x14ac:dyDescent="0.2">
      <c r="A352" s="7" t="s">
        <v>16</v>
      </c>
      <c r="B352" s="7" t="s">
        <v>60</v>
      </c>
      <c r="C352" s="7" t="s">
        <v>18</v>
      </c>
      <c r="D352" s="159">
        <v>46068425000133</v>
      </c>
      <c r="E352" s="47" t="s">
        <v>1080</v>
      </c>
      <c r="F352" s="47" t="s">
        <v>1002</v>
      </c>
      <c r="G352" s="160">
        <v>30996</v>
      </c>
    </row>
    <row r="353" spans="1:7" x14ac:dyDescent="0.2">
      <c r="A353" s="7" t="s">
        <v>16</v>
      </c>
      <c r="B353" s="7" t="s">
        <v>60</v>
      </c>
      <c r="C353" s="7" t="s">
        <v>18</v>
      </c>
      <c r="D353" s="159">
        <v>46374500001670</v>
      </c>
      <c r="E353" s="47" t="s">
        <v>1081</v>
      </c>
      <c r="F353" s="47" t="s">
        <v>1003</v>
      </c>
      <c r="G353" s="160">
        <v>5399.36</v>
      </c>
    </row>
    <row r="354" spans="1:7" x14ac:dyDescent="0.2">
      <c r="A354" s="7" t="s">
        <v>16</v>
      </c>
      <c r="B354" s="7" t="s">
        <v>60</v>
      </c>
      <c r="C354" s="7" t="s">
        <v>18</v>
      </c>
      <c r="D354" s="159">
        <v>46374500003533</v>
      </c>
      <c r="E354" s="47" t="s">
        <v>1082</v>
      </c>
      <c r="F354" s="47" t="s">
        <v>1031</v>
      </c>
      <c r="G354" s="160">
        <v>204938</v>
      </c>
    </row>
    <row r="355" spans="1:7" x14ac:dyDescent="0.2">
      <c r="A355" s="7" t="s">
        <v>16</v>
      </c>
      <c r="B355" s="7" t="s">
        <v>60</v>
      </c>
      <c r="C355" s="7" t="s">
        <v>18</v>
      </c>
      <c r="D355" s="159">
        <v>46374500005234</v>
      </c>
      <c r="E355" s="47" t="s">
        <v>1137</v>
      </c>
      <c r="F355" s="47" t="s">
        <v>1003</v>
      </c>
      <c r="G355" s="160">
        <v>8436.5</v>
      </c>
    </row>
    <row r="356" spans="1:7" x14ac:dyDescent="0.2">
      <c r="A356" s="7" t="s">
        <v>16</v>
      </c>
      <c r="B356" s="7" t="s">
        <v>60</v>
      </c>
      <c r="C356" s="7" t="s">
        <v>18</v>
      </c>
      <c r="D356" s="159">
        <v>46374500008845</v>
      </c>
      <c r="E356" s="47" t="s">
        <v>1138</v>
      </c>
      <c r="F356" s="47" t="s">
        <v>1031</v>
      </c>
      <c r="G356" s="160">
        <v>40987.599999999999</v>
      </c>
    </row>
    <row r="357" spans="1:7" x14ac:dyDescent="0.2">
      <c r="A357" s="7" t="s">
        <v>16</v>
      </c>
      <c r="B357" s="7" t="s">
        <v>60</v>
      </c>
      <c r="C357" s="7" t="s">
        <v>18</v>
      </c>
      <c r="D357" s="159">
        <v>46374500008845</v>
      </c>
      <c r="E357" s="47" t="s">
        <v>1138</v>
      </c>
      <c r="F357" s="47" t="s">
        <v>1003</v>
      </c>
      <c r="G357" s="160">
        <v>8099.04</v>
      </c>
    </row>
    <row r="358" spans="1:7" x14ac:dyDescent="0.2">
      <c r="A358" s="7" t="s">
        <v>16</v>
      </c>
      <c r="B358" s="7" t="s">
        <v>60</v>
      </c>
      <c r="C358" s="7" t="s">
        <v>18</v>
      </c>
      <c r="D358" s="159">
        <v>46374500009221</v>
      </c>
      <c r="E358" s="47" t="s">
        <v>1139</v>
      </c>
      <c r="F358" s="47" t="s">
        <v>1031</v>
      </c>
      <c r="G358" s="160">
        <v>184444.2</v>
      </c>
    </row>
    <row r="359" spans="1:7" x14ac:dyDescent="0.2">
      <c r="A359" s="7" t="s">
        <v>16</v>
      </c>
      <c r="B359" s="7" t="s">
        <v>60</v>
      </c>
      <c r="C359" s="7" t="s">
        <v>18</v>
      </c>
      <c r="D359" s="159">
        <v>46374500010823</v>
      </c>
      <c r="E359" s="47" t="s">
        <v>1140</v>
      </c>
      <c r="F359" s="47" t="s">
        <v>1031</v>
      </c>
      <c r="G359" s="160">
        <v>30740.7</v>
      </c>
    </row>
    <row r="360" spans="1:7" x14ac:dyDescent="0.2">
      <c r="A360" s="7" t="s">
        <v>16</v>
      </c>
      <c r="B360" s="7" t="s">
        <v>60</v>
      </c>
      <c r="C360" s="7" t="s">
        <v>18</v>
      </c>
      <c r="D360" s="159">
        <v>46374500011129</v>
      </c>
      <c r="E360" s="47" t="s">
        <v>1083</v>
      </c>
      <c r="F360" s="47" t="s">
        <v>1003</v>
      </c>
      <c r="G360" s="160">
        <v>13498.4</v>
      </c>
    </row>
    <row r="361" spans="1:7" x14ac:dyDescent="0.2">
      <c r="A361" s="7" t="s">
        <v>16</v>
      </c>
      <c r="B361" s="7" t="s">
        <v>60</v>
      </c>
      <c r="C361" s="7" t="s">
        <v>18</v>
      </c>
      <c r="D361" s="159">
        <v>46374500011200</v>
      </c>
      <c r="E361" s="47" t="s">
        <v>1084</v>
      </c>
      <c r="F361" s="47" t="s">
        <v>1003</v>
      </c>
      <c r="G361" s="160">
        <v>6749.2</v>
      </c>
    </row>
    <row r="362" spans="1:7" x14ac:dyDescent="0.2">
      <c r="A362" s="7" t="s">
        <v>16</v>
      </c>
      <c r="B362" s="7" t="s">
        <v>60</v>
      </c>
      <c r="C362" s="7" t="s">
        <v>18</v>
      </c>
      <c r="D362" s="159">
        <v>46374500012362</v>
      </c>
      <c r="E362" s="47" t="s">
        <v>1141</v>
      </c>
      <c r="F362" s="47" t="s">
        <v>1003</v>
      </c>
      <c r="G362" s="160">
        <v>2530.9499999999998</v>
      </c>
    </row>
    <row r="363" spans="1:7" x14ac:dyDescent="0.2">
      <c r="A363" s="7" t="s">
        <v>16</v>
      </c>
      <c r="B363" s="7" t="s">
        <v>60</v>
      </c>
      <c r="C363" s="7" t="s">
        <v>18</v>
      </c>
      <c r="D363" s="159">
        <v>46374500013091</v>
      </c>
      <c r="E363" s="47" t="s">
        <v>1142</v>
      </c>
      <c r="F363" s="47" t="s">
        <v>1003</v>
      </c>
      <c r="G363" s="160">
        <v>8436.5</v>
      </c>
    </row>
    <row r="364" spans="1:7" x14ac:dyDescent="0.2">
      <c r="A364" s="7" t="s">
        <v>16</v>
      </c>
      <c r="B364" s="7" t="s">
        <v>60</v>
      </c>
      <c r="C364" s="7" t="s">
        <v>18</v>
      </c>
      <c r="D364" s="159">
        <v>46374500026231</v>
      </c>
      <c r="E364" s="47" t="s">
        <v>1121</v>
      </c>
      <c r="F364" s="47" t="s">
        <v>1031</v>
      </c>
      <c r="G364" s="160">
        <v>102052.28</v>
      </c>
    </row>
    <row r="365" spans="1:7" x14ac:dyDescent="0.2">
      <c r="A365" s="7" t="s">
        <v>16</v>
      </c>
      <c r="B365" s="7" t="s">
        <v>60</v>
      </c>
      <c r="C365" s="7" t="s">
        <v>18</v>
      </c>
      <c r="D365" s="159">
        <v>46643466000106</v>
      </c>
      <c r="E365" s="47" t="s">
        <v>1143</v>
      </c>
      <c r="F365" s="47" t="s">
        <v>1031</v>
      </c>
      <c r="G365" s="160">
        <v>137502.39999999999</v>
      </c>
    </row>
    <row r="366" spans="1:7" x14ac:dyDescent="0.2">
      <c r="A366" s="7" t="s">
        <v>16</v>
      </c>
      <c r="B366" s="7" t="s">
        <v>60</v>
      </c>
      <c r="C366" s="7" t="s">
        <v>18</v>
      </c>
      <c r="D366" s="159">
        <v>48468284000171</v>
      </c>
      <c r="E366" s="47" t="s">
        <v>1089</v>
      </c>
      <c r="F366" s="47" t="s">
        <v>1031</v>
      </c>
      <c r="G366" s="160">
        <v>40987.599999999999</v>
      </c>
    </row>
    <row r="367" spans="1:7" x14ac:dyDescent="0.2">
      <c r="A367" s="7" t="s">
        <v>16</v>
      </c>
      <c r="B367" s="7" t="s">
        <v>60</v>
      </c>
      <c r="C367" s="7" t="s">
        <v>18</v>
      </c>
      <c r="D367" s="159">
        <v>50311620000209</v>
      </c>
      <c r="E367" s="47" t="s">
        <v>1122</v>
      </c>
      <c r="F367" s="47" t="s">
        <v>1002</v>
      </c>
      <c r="G367" s="160">
        <v>78722.27</v>
      </c>
    </row>
    <row r="368" spans="1:7" x14ac:dyDescent="0.2">
      <c r="A368" s="7" t="s">
        <v>16</v>
      </c>
      <c r="B368" s="7" t="s">
        <v>60</v>
      </c>
      <c r="C368" s="7" t="s">
        <v>18</v>
      </c>
      <c r="D368" s="159">
        <v>50311620000209</v>
      </c>
      <c r="E368" s="47" t="s">
        <v>1122</v>
      </c>
      <c r="F368" s="47" t="s">
        <v>1031</v>
      </c>
      <c r="G368" s="160">
        <v>196802.26</v>
      </c>
    </row>
    <row r="369" spans="1:7" x14ac:dyDescent="0.2">
      <c r="A369" s="7" t="s">
        <v>16</v>
      </c>
      <c r="B369" s="7" t="s">
        <v>60</v>
      </c>
      <c r="C369" s="7" t="s">
        <v>18</v>
      </c>
      <c r="D369" s="159">
        <v>50311620000209</v>
      </c>
      <c r="E369" s="47" t="s">
        <v>1122</v>
      </c>
      <c r="F369" s="47" t="s">
        <v>1003</v>
      </c>
      <c r="G369" s="160">
        <v>73936.67</v>
      </c>
    </row>
    <row r="370" spans="1:7" x14ac:dyDescent="0.2">
      <c r="A370" s="7" t="s">
        <v>16</v>
      </c>
      <c r="B370" s="7" t="s">
        <v>60</v>
      </c>
      <c r="C370" s="7" t="s">
        <v>18</v>
      </c>
      <c r="D370" s="159">
        <v>51885242000140</v>
      </c>
      <c r="E370" s="47" t="s">
        <v>1090</v>
      </c>
      <c r="F370" s="47" t="s">
        <v>1031</v>
      </c>
      <c r="G370" s="160">
        <v>25000.16</v>
      </c>
    </row>
    <row r="371" spans="1:7" x14ac:dyDescent="0.2">
      <c r="A371" s="7" t="s">
        <v>16</v>
      </c>
      <c r="B371" s="7" t="s">
        <v>60</v>
      </c>
      <c r="C371" s="7" t="s">
        <v>18</v>
      </c>
      <c r="D371" s="159">
        <v>56577059000100</v>
      </c>
      <c r="E371" s="47" t="s">
        <v>1144</v>
      </c>
      <c r="F371" s="47" t="s">
        <v>1031</v>
      </c>
      <c r="G371" s="160">
        <v>27666.63</v>
      </c>
    </row>
    <row r="372" spans="1:7" x14ac:dyDescent="0.2">
      <c r="A372" s="7" t="s">
        <v>16</v>
      </c>
      <c r="B372" s="7" t="s">
        <v>60</v>
      </c>
      <c r="C372" s="7" t="s">
        <v>18</v>
      </c>
      <c r="D372" s="159">
        <v>57722118000302</v>
      </c>
      <c r="E372" s="47" t="s">
        <v>1092</v>
      </c>
      <c r="F372" s="47" t="s">
        <v>1031</v>
      </c>
      <c r="G372" s="160">
        <v>0</v>
      </c>
    </row>
    <row r="373" spans="1:7" x14ac:dyDescent="0.2">
      <c r="A373" s="7" t="s">
        <v>16</v>
      </c>
      <c r="B373" s="7" t="s">
        <v>60</v>
      </c>
      <c r="C373" s="7" t="s">
        <v>18</v>
      </c>
      <c r="D373" s="159">
        <v>60003761000129</v>
      </c>
      <c r="E373" s="47" t="s">
        <v>1093</v>
      </c>
      <c r="F373" s="47" t="s">
        <v>1002</v>
      </c>
      <c r="G373" s="160">
        <v>95940</v>
      </c>
    </row>
    <row r="374" spans="1:7" x14ac:dyDescent="0.2">
      <c r="A374" s="7" t="s">
        <v>16</v>
      </c>
      <c r="B374" s="7" t="s">
        <v>60</v>
      </c>
      <c r="C374" s="7" t="s">
        <v>18</v>
      </c>
      <c r="D374" s="159">
        <v>60003761000129</v>
      </c>
      <c r="E374" s="47" t="s">
        <v>1093</v>
      </c>
      <c r="F374" s="47" t="s">
        <v>1031</v>
      </c>
      <c r="G374" s="160">
        <v>16626.87</v>
      </c>
    </row>
    <row r="375" spans="1:7" x14ac:dyDescent="0.2">
      <c r="A375" s="7" t="s">
        <v>16</v>
      </c>
      <c r="B375" s="7" t="s">
        <v>60</v>
      </c>
      <c r="C375" s="7" t="s">
        <v>18</v>
      </c>
      <c r="D375" s="159">
        <v>60448040000122</v>
      </c>
      <c r="E375" s="47" t="s">
        <v>1094</v>
      </c>
      <c r="F375" s="47" t="s">
        <v>1002</v>
      </c>
      <c r="G375" s="160">
        <v>344872</v>
      </c>
    </row>
    <row r="376" spans="1:7" x14ac:dyDescent="0.2">
      <c r="A376" s="7" t="s">
        <v>16</v>
      </c>
      <c r="B376" s="7" t="s">
        <v>60</v>
      </c>
      <c r="C376" s="7" t="s">
        <v>18</v>
      </c>
      <c r="D376" s="159">
        <v>60448040000122</v>
      </c>
      <c r="E376" s="47" t="s">
        <v>1094</v>
      </c>
      <c r="F376" s="47" t="s">
        <v>1031</v>
      </c>
      <c r="G376" s="160">
        <v>163611.49</v>
      </c>
    </row>
    <row r="377" spans="1:7" x14ac:dyDescent="0.2">
      <c r="A377" s="7" t="s">
        <v>16</v>
      </c>
      <c r="B377" s="7" t="s">
        <v>60</v>
      </c>
      <c r="C377" s="7" t="s">
        <v>18</v>
      </c>
      <c r="D377" s="159">
        <v>60448040000122</v>
      </c>
      <c r="E377" s="47" t="s">
        <v>1094</v>
      </c>
      <c r="F377" s="47" t="s">
        <v>1003</v>
      </c>
      <c r="G377" s="160">
        <v>2362.2199999999998</v>
      </c>
    </row>
    <row r="378" spans="1:7" x14ac:dyDescent="0.2">
      <c r="A378" s="7" t="s">
        <v>16</v>
      </c>
      <c r="B378" s="7" t="s">
        <v>60</v>
      </c>
      <c r="C378" s="7" t="s">
        <v>18</v>
      </c>
      <c r="D378" s="159">
        <v>60765823000130</v>
      </c>
      <c r="E378" s="47" t="s">
        <v>1123</v>
      </c>
      <c r="F378" s="47" t="s">
        <v>1031</v>
      </c>
      <c r="G378" s="160">
        <v>15785.9</v>
      </c>
    </row>
    <row r="379" spans="1:7" x14ac:dyDescent="0.2">
      <c r="A379" s="7" t="s">
        <v>16</v>
      </c>
      <c r="B379" s="7" t="s">
        <v>60</v>
      </c>
      <c r="C379" s="7" t="s">
        <v>18</v>
      </c>
      <c r="D379" s="159">
        <v>60765823000130</v>
      </c>
      <c r="E379" s="47" t="s">
        <v>1123</v>
      </c>
      <c r="F379" s="47" t="s">
        <v>1003</v>
      </c>
      <c r="G379" s="160">
        <v>8896.94</v>
      </c>
    </row>
    <row r="380" spans="1:7" x14ac:dyDescent="0.2">
      <c r="A380" s="7" t="s">
        <v>16</v>
      </c>
      <c r="B380" s="7" t="s">
        <v>60</v>
      </c>
      <c r="C380" s="7" t="s">
        <v>18</v>
      </c>
      <c r="D380" s="159">
        <v>61590410000124</v>
      </c>
      <c r="E380" s="47" t="s">
        <v>1096</v>
      </c>
      <c r="F380" s="47" t="s">
        <v>1031</v>
      </c>
      <c r="G380" s="160">
        <v>67451.73</v>
      </c>
    </row>
    <row r="381" spans="1:7" x14ac:dyDescent="0.2">
      <c r="A381" s="7" t="s">
        <v>16</v>
      </c>
      <c r="B381" s="7" t="s">
        <v>60</v>
      </c>
      <c r="C381" s="7" t="s">
        <v>18</v>
      </c>
      <c r="D381" s="159">
        <v>61590410000124</v>
      </c>
      <c r="E381" s="47" t="s">
        <v>1096</v>
      </c>
      <c r="F381" s="47" t="s">
        <v>1003</v>
      </c>
      <c r="G381" s="160">
        <v>413.3</v>
      </c>
    </row>
    <row r="382" spans="1:7" x14ac:dyDescent="0.2">
      <c r="A382" s="7" t="s">
        <v>16</v>
      </c>
      <c r="B382" s="7" t="s">
        <v>60</v>
      </c>
      <c r="C382" s="7" t="s">
        <v>18</v>
      </c>
      <c r="D382" s="159">
        <v>61590410001287</v>
      </c>
      <c r="E382" s="47" t="s">
        <v>580</v>
      </c>
      <c r="F382" s="47" t="s">
        <v>1031</v>
      </c>
      <c r="G382" s="160">
        <v>42500</v>
      </c>
    </row>
    <row r="383" spans="1:7" x14ac:dyDescent="0.2">
      <c r="A383" s="7" t="s">
        <v>16</v>
      </c>
      <c r="B383" s="7" t="s">
        <v>60</v>
      </c>
      <c r="C383" s="7" t="s">
        <v>18</v>
      </c>
      <c r="D383" s="159">
        <v>61599908000158</v>
      </c>
      <c r="E383" s="47" t="s">
        <v>1097</v>
      </c>
      <c r="F383" s="47" t="s">
        <v>1031</v>
      </c>
      <c r="G383" s="160">
        <v>118367</v>
      </c>
    </row>
    <row r="384" spans="1:7" x14ac:dyDescent="0.2">
      <c r="A384" s="7" t="s">
        <v>16</v>
      </c>
      <c r="B384" s="7" t="s">
        <v>60</v>
      </c>
      <c r="C384" s="7" t="s">
        <v>18</v>
      </c>
      <c r="D384" s="159">
        <v>61599908000158</v>
      </c>
      <c r="E384" s="47" t="s">
        <v>1097</v>
      </c>
      <c r="F384" s="47" t="s">
        <v>1003</v>
      </c>
      <c r="G384" s="160">
        <v>6756.8</v>
      </c>
    </row>
    <row r="385" spans="1:7" x14ac:dyDescent="0.2">
      <c r="A385" s="7" t="s">
        <v>16</v>
      </c>
      <c r="B385" s="7" t="s">
        <v>60</v>
      </c>
      <c r="C385" s="7" t="s">
        <v>18</v>
      </c>
      <c r="D385" s="159">
        <v>74031865000151</v>
      </c>
      <c r="E385" s="47" t="s">
        <v>1125</v>
      </c>
      <c r="F385" s="47" t="s">
        <v>1002</v>
      </c>
      <c r="G385" s="160">
        <v>280840</v>
      </c>
    </row>
    <row r="386" spans="1:7" x14ac:dyDescent="0.2">
      <c r="A386" s="7" t="s">
        <v>16</v>
      </c>
      <c r="B386" s="7" t="s">
        <v>60</v>
      </c>
      <c r="C386" s="7" t="s">
        <v>18</v>
      </c>
      <c r="D386" s="159">
        <v>81887838000736</v>
      </c>
      <c r="E386" s="47" t="s">
        <v>1098</v>
      </c>
      <c r="F386" s="47" t="s">
        <v>1002</v>
      </c>
      <c r="G386" s="160">
        <v>167298.73000000001</v>
      </c>
    </row>
    <row r="387" spans="1:7" x14ac:dyDescent="0.2">
      <c r="A387" s="7" t="s">
        <v>16</v>
      </c>
      <c r="B387" s="7" t="s">
        <v>60</v>
      </c>
      <c r="C387" s="7" t="s">
        <v>18</v>
      </c>
      <c r="D387" s="159">
        <v>81887838000736</v>
      </c>
      <c r="E387" s="47" t="s">
        <v>1098</v>
      </c>
      <c r="F387" s="47" t="s">
        <v>1031</v>
      </c>
      <c r="G387" s="160">
        <v>1156499.53</v>
      </c>
    </row>
    <row r="388" spans="1:7" x14ac:dyDescent="0.2">
      <c r="A388" s="7" t="s">
        <v>16</v>
      </c>
      <c r="B388" s="7" t="s">
        <v>60</v>
      </c>
      <c r="C388" s="7" t="s">
        <v>18</v>
      </c>
      <c r="D388" s="159">
        <v>81887838000736</v>
      </c>
      <c r="E388" s="47" t="s">
        <v>1098</v>
      </c>
      <c r="F388" s="47" t="s">
        <v>1003</v>
      </c>
      <c r="G388" s="160">
        <v>100059.39</v>
      </c>
    </row>
    <row r="389" spans="1:7" x14ac:dyDescent="0.2">
      <c r="A389" s="7" t="s">
        <v>16</v>
      </c>
      <c r="B389" s="7" t="s">
        <v>60</v>
      </c>
      <c r="C389" s="7" t="s">
        <v>18</v>
      </c>
      <c r="D389" s="159">
        <v>82873068000140</v>
      </c>
      <c r="E389" s="47" t="s">
        <v>1099</v>
      </c>
      <c r="F389" s="47" t="s">
        <v>1031</v>
      </c>
      <c r="G389" s="160">
        <v>3648.06</v>
      </c>
    </row>
    <row r="390" spans="1:7" x14ac:dyDescent="0.2">
      <c r="A390" s="7" t="s">
        <v>16</v>
      </c>
      <c r="B390" s="7" t="s">
        <v>60</v>
      </c>
      <c r="C390" s="7" t="s">
        <v>18</v>
      </c>
      <c r="D390" s="159">
        <v>82873068000140</v>
      </c>
      <c r="E390" s="47" t="s">
        <v>1099</v>
      </c>
      <c r="F390" s="47" t="s">
        <v>1003</v>
      </c>
      <c r="G390" s="160">
        <v>72174.44</v>
      </c>
    </row>
    <row r="391" spans="1:7" x14ac:dyDescent="0.2">
      <c r="A391" s="7" t="s">
        <v>16</v>
      </c>
      <c r="B391" s="7" t="s">
        <v>60</v>
      </c>
      <c r="C391" s="7" t="s">
        <v>18</v>
      </c>
      <c r="D391" s="159">
        <v>82873068000573</v>
      </c>
      <c r="E391" s="47" t="s">
        <v>1099</v>
      </c>
      <c r="F391" s="47" t="s">
        <v>1031</v>
      </c>
      <c r="G391" s="160">
        <v>107355.38</v>
      </c>
    </row>
    <row r="392" spans="1:7" x14ac:dyDescent="0.2">
      <c r="A392" s="7" t="s">
        <v>16</v>
      </c>
      <c r="B392" s="7" t="s">
        <v>60</v>
      </c>
      <c r="C392" s="7" t="s">
        <v>18</v>
      </c>
      <c r="D392" s="159">
        <v>82873068000573</v>
      </c>
      <c r="E392" s="47" t="s">
        <v>1099</v>
      </c>
      <c r="F392" s="47" t="s">
        <v>1003</v>
      </c>
      <c r="G392" s="160">
        <v>14434.89</v>
      </c>
    </row>
    <row r="393" spans="1:7" x14ac:dyDescent="0.2">
      <c r="A393" s="7" t="s">
        <v>16</v>
      </c>
      <c r="B393" s="7" t="s">
        <v>60</v>
      </c>
      <c r="C393" s="7" t="s">
        <v>18</v>
      </c>
      <c r="D393" s="159">
        <v>82873068000654</v>
      </c>
      <c r="E393" s="47" t="s">
        <v>1099</v>
      </c>
      <c r="F393" s="47" t="s">
        <v>1031</v>
      </c>
      <c r="G393" s="160">
        <v>113653.43</v>
      </c>
    </row>
    <row r="394" spans="1:7" x14ac:dyDescent="0.2">
      <c r="A394" s="7" t="s">
        <v>16</v>
      </c>
      <c r="B394" s="7" t="s">
        <v>60</v>
      </c>
      <c r="C394" s="7" t="s">
        <v>18</v>
      </c>
      <c r="D394" s="159">
        <v>82873068000654</v>
      </c>
      <c r="E394" s="47" t="s">
        <v>1099</v>
      </c>
      <c r="F394" s="47" t="s">
        <v>1003</v>
      </c>
      <c r="G394" s="160">
        <v>77608.899999999994</v>
      </c>
    </row>
    <row r="395" spans="1:7" x14ac:dyDescent="0.2">
      <c r="A395" s="7" t="s">
        <v>16</v>
      </c>
      <c r="B395" s="7" t="s">
        <v>60</v>
      </c>
      <c r="C395" s="7" t="s">
        <v>18</v>
      </c>
      <c r="D395" s="159">
        <v>87020517000120</v>
      </c>
      <c r="E395" s="47" t="s">
        <v>1100</v>
      </c>
      <c r="F395" s="47" t="s">
        <v>1002</v>
      </c>
      <c r="G395" s="160">
        <v>14000</v>
      </c>
    </row>
    <row r="396" spans="1:7" x14ac:dyDescent="0.2">
      <c r="A396" s="7" t="s">
        <v>16</v>
      </c>
      <c r="B396" s="7" t="s">
        <v>60</v>
      </c>
      <c r="C396" s="7" t="s">
        <v>18</v>
      </c>
      <c r="D396" s="159">
        <v>87020517000120</v>
      </c>
      <c r="E396" s="47" t="s">
        <v>1100</v>
      </c>
      <c r="F396" s="47" t="s">
        <v>1031</v>
      </c>
      <c r="G396" s="160">
        <v>12704</v>
      </c>
    </row>
    <row r="397" spans="1:7" x14ac:dyDescent="0.2">
      <c r="A397" s="7" t="s">
        <v>16</v>
      </c>
      <c r="B397" s="7" t="s">
        <v>65</v>
      </c>
      <c r="C397" s="7" t="s">
        <v>66</v>
      </c>
      <c r="D397" s="159">
        <v>394544020453</v>
      </c>
      <c r="E397" s="47" t="s">
        <v>1035</v>
      </c>
      <c r="F397" s="47" t="s">
        <v>1002</v>
      </c>
      <c r="G397" s="160">
        <v>12948</v>
      </c>
    </row>
    <row r="398" spans="1:7" x14ac:dyDescent="0.2">
      <c r="A398" s="7" t="s">
        <v>16</v>
      </c>
      <c r="B398" s="7" t="s">
        <v>65</v>
      </c>
      <c r="C398" s="7" t="s">
        <v>66</v>
      </c>
      <c r="D398" s="159">
        <v>394544021000</v>
      </c>
      <c r="E398" s="47" t="s">
        <v>1036</v>
      </c>
      <c r="F398" s="47" t="s">
        <v>1002</v>
      </c>
      <c r="G398" s="160">
        <v>28320</v>
      </c>
    </row>
    <row r="399" spans="1:7" x14ac:dyDescent="0.2">
      <c r="A399" s="7" t="s">
        <v>16</v>
      </c>
      <c r="B399" s="7" t="s">
        <v>65</v>
      </c>
      <c r="C399" s="7" t="s">
        <v>66</v>
      </c>
      <c r="D399" s="159">
        <v>3568867000136</v>
      </c>
      <c r="E399" s="47" t="s">
        <v>1145</v>
      </c>
      <c r="F399" s="47" t="s">
        <v>1031</v>
      </c>
      <c r="G399" s="160">
        <v>88123.34</v>
      </c>
    </row>
    <row r="400" spans="1:7" x14ac:dyDescent="0.2">
      <c r="A400" s="7" t="s">
        <v>16</v>
      </c>
      <c r="B400" s="7" t="s">
        <v>65</v>
      </c>
      <c r="C400" s="7" t="s">
        <v>66</v>
      </c>
      <c r="D400" s="159">
        <v>4027894000164</v>
      </c>
      <c r="E400" s="47" t="s">
        <v>1041</v>
      </c>
      <c r="F400" s="47" t="s">
        <v>1031</v>
      </c>
      <c r="G400" s="160">
        <v>11731.59</v>
      </c>
    </row>
    <row r="401" spans="1:7" x14ac:dyDescent="0.2">
      <c r="A401" s="7" t="s">
        <v>16</v>
      </c>
      <c r="B401" s="7" t="s">
        <v>65</v>
      </c>
      <c r="C401" s="7" t="s">
        <v>66</v>
      </c>
      <c r="D401" s="159">
        <v>4355394000151</v>
      </c>
      <c r="E401" s="47" t="s">
        <v>1043</v>
      </c>
      <c r="F401" s="47" t="s">
        <v>1031</v>
      </c>
      <c r="G401" s="160">
        <v>19716.96</v>
      </c>
    </row>
    <row r="402" spans="1:7" x14ac:dyDescent="0.2">
      <c r="A402" s="7" t="s">
        <v>16</v>
      </c>
      <c r="B402" s="7" t="s">
        <v>65</v>
      </c>
      <c r="C402" s="7" t="s">
        <v>66</v>
      </c>
      <c r="D402" s="159">
        <v>6234797000178</v>
      </c>
      <c r="E402" s="47" t="s">
        <v>1046</v>
      </c>
      <c r="F402" s="47" t="s">
        <v>1002</v>
      </c>
      <c r="G402" s="160">
        <v>2451.87</v>
      </c>
    </row>
    <row r="403" spans="1:7" x14ac:dyDescent="0.2">
      <c r="A403" s="7" t="s">
        <v>16</v>
      </c>
      <c r="B403" s="7" t="s">
        <v>65</v>
      </c>
      <c r="C403" s="7" t="s">
        <v>66</v>
      </c>
      <c r="D403" s="159">
        <v>6234797000178</v>
      </c>
      <c r="E403" s="47" t="s">
        <v>1046</v>
      </c>
      <c r="F403" s="47" t="s">
        <v>1031</v>
      </c>
      <c r="G403" s="160">
        <v>219745.18</v>
      </c>
    </row>
    <row r="404" spans="1:7" x14ac:dyDescent="0.2">
      <c r="A404" s="7" t="s">
        <v>16</v>
      </c>
      <c r="B404" s="7" t="s">
        <v>65</v>
      </c>
      <c r="C404" s="7" t="s">
        <v>66</v>
      </c>
      <c r="D404" s="159">
        <v>6234797000178</v>
      </c>
      <c r="E404" s="47" t="s">
        <v>1046</v>
      </c>
      <c r="F404" s="47" t="s">
        <v>1003</v>
      </c>
      <c r="G404" s="160">
        <v>36660.269999999997</v>
      </c>
    </row>
    <row r="405" spans="1:7" x14ac:dyDescent="0.2">
      <c r="A405" s="7" t="s">
        <v>16</v>
      </c>
      <c r="B405" s="7" t="s">
        <v>65</v>
      </c>
      <c r="C405" s="7" t="s">
        <v>66</v>
      </c>
      <c r="D405" s="159">
        <v>7734165000136</v>
      </c>
      <c r="E405" s="47" t="s">
        <v>1050</v>
      </c>
      <c r="F405" s="47" t="s">
        <v>1031</v>
      </c>
      <c r="G405" s="160">
        <v>204990.28</v>
      </c>
    </row>
    <row r="406" spans="1:7" x14ac:dyDescent="0.2">
      <c r="A406" s="7" t="s">
        <v>16</v>
      </c>
      <c r="B406" s="7" t="s">
        <v>65</v>
      </c>
      <c r="C406" s="7" t="s">
        <v>66</v>
      </c>
      <c r="D406" s="159">
        <v>8563277000134</v>
      </c>
      <c r="E406" s="47" t="s">
        <v>1052</v>
      </c>
      <c r="F406" s="47" t="s">
        <v>1031</v>
      </c>
      <c r="G406" s="160">
        <v>5330.07</v>
      </c>
    </row>
    <row r="407" spans="1:7" x14ac:dyDescent="0.2">
      <c r="A407" s="7" t="s">
        <v>16</v>
      </c>
      <c r="B407" s="7" t="s">
        <v>65</v>
      </c>
      <c r="C407" s="7" t="s">
        <v>66</v>
      </c>
      <c r="D407" s="159">
        <v>8563277000134</v>
      </c>
      <c r="E407" s="47" t="s">
        <v>1052</v>
      </c>
      <c r="F407" s="47" t="s">
        <v>1003</v>
      </c>
      <c r="G407" s="160">
        <v>14963.37</v>
      </c>
    </row>
    <row r="408" spans="1:7" x14ac:dyDescent="0.2">
      <c r="A408" s="7" t="s">
        <v>16</v>
      </c>
      <c r="B408" s="7" t="s">
        <v>65</v>
      </c>
      <c r="C408" s="7" t="s">
        <v>66</v>
      </c>
      <c r="D408" s="159">
        <v>9007162000126</v>
      </c>
      <c r="E408" s="47" t="s">
        <v>1130</v>
      </c>
      <c r="F408" s="47" t="s">
        <v>1003</v>
      </c>
      <c r="G408" s="160">
        <v>132029.76999999999</v>
      </c>
    </row>
    <row r="409" spans="1:7" x14ac:dyDescent="0.2">
      <c r="A409" s="7" t="s">
        <v>16</v>
      </c>
      <c r="B409" s="7" t="s">
        <v>65</v>
      </c>
      <c r="C409" s="7" t="s">
        <v>66</v>
      </c>
      <c r="D409" s="159">
        <v>9660958000345</v>
      </c>
      <c r="E409" s="47" t="s">
        <v>1057</v>
      </c>
      <c r="F409" s="47" t="s">
        <v>1003</v>
      </c>
      <c r="G409" s="160">
        <v>84454.16</v>
      </c>
    </row>
    <row r="410" spans="1:7" x14ac:dyDescent="0.2">
      <c r="A410" s="7" t="s">
        <v>16</v>
      </c>
      <c r="B410" s="7" t="s">
        <v>65</v>
      </c>
      <c r="C410" s="7" t="s">
        <v>66</v>
      </c>
      <c r="D410" s="159">
        <v>11022597001597</v>
      </c>
      <c r="E410" s="47" t="s">
        <v>1109</v>
      </c>
      <c r="F410" s="47" t="s">
        <v>1031</v>
      </c>
      <c r="G410" s="160">
        <v>21422.5</v>
      </c>
    </row>
    <row r="411" spans="1:7" x14ac:dyDescent="0.2">
      <c r="A411" s="7" t="s">
        <v>16</v>
      </c>
      <c r="B411" s="7" t="s">
        <v>65</v>
      </c>
      <c r="C411" s="7" t="s">
        <v>66</v>
      </c>
      <c r="D411" s="159">
        <v>12420164000904</v>
      </c>
      <c r="E411" s="47" t="s">
        <v>1061</v>
      </c>
      <c r="F411" s="47" t="s">
        <v>1002</v>
      </c>
      <c r="G411" s="160">
        <v>189334.47</v>
      </c>
    </row>
    <row r="412" spans="1:7" x14ac:dyDescent="0.2">
      <c r="A412" s="7" t="s">
        <v>16</v>
      </c>
      <c r="B412" s="7" t="s">
        <v>65</v>
      </c>
      <c r="C412" s="7" t="s">
        <v>66</v>
      </c>
      <c r="D412" s="159">
        <v>12420164000904</v>
      </c>
      <c r="E412" s="47" t="s">
        <v>1061</v>
      </c>
      <c r="F412" s="47" t="s">
        <v>1031</v>
      </c>
      <c r="G412" s="160">
        <v>1079894.67</v>
      </c>
    </row>
    <row r="413" spans="1:7" x14ac:dyDescent="0.2">
      <c r="A413" s="7" t="s">
        <v>16</v>
      </c>
      <c r="B413" s="7" t="s">
        <v>65</v>
      </c>
      <c r="C413" s="7" t="s">
        <v>66</v>
      </c>
      <c r="D413" s="159">
        <v>12420164000904</v>
      </c>
      <c r="E413" s="47" t="s">
        <v>1061</v>
      </c>
      <c r="F413" s="47" t="s">
        <v>1003</v>
      </c>
      <c r="G413" s="160">
        <v>13463.48</v>
      </c>
    </row>
    <row r="414" spans="1:7" x14ac:dyDescent="0.2">
      <c r="A414" s="7" t="s">
        <v>16</v>
      </c>
      <c r="B414" s="7" t="s">
        <v>65</v>
      </c>
      <c r="C414" s="7" t="s">
        <v>66</v>
      </c>
      <c r="D414" s="159">
        <v>12420164001048</v>
      </c>
      <c r="E414" s="47" t="s">
        <v>1061</v>
      </c>
      <c r="F414" s="47" t="s">
        <v>1002</v>
      </c>
      <c r="G414" s="160">
        <v>3666.73</v>
      </c>
    </row>
    <row r="415" spans="1:7" x14ac:dyDescent="0.2">
      <c r="A415" s="7" t="s">
        <v>16</v>
      </c>
      <c r="B415" s="7" t="s">
        <v>65</v>
      </c>
      <c r="C415" s="7" t="s">
        <v>66</v>
      </c>
      <c r="D415" s="159">
        <v>12420164001048</v>
      </c>
      <c r="E415" s="47" t="s">
        <v>1061</v>
      </c>
      <c r="F415" s="47" t="s">
        <v>1031</v>
      </c>
      <c r="G415" s="160">
        <v>135002.68</v>
      </c>
    </row>
    <row r="416" spans="1:7" x14ac:dyDescent="0.2">
      <c r="A416" s="7" t="s">
        <v>16</v>
      </c>
      <c r="B416" s="7" t="s">
        <v>65</v>
      </c>
      <c r="C416" s="7" t="s">
        <v>66</v>
      </c>
      <c r="D416" s="159">
        <v>12420164001048</v>
      </c>
      <c r="E416" s="47" t="s">
        <v>1061</v>
      </c>
      <c r="F416" s="47" t="s">
        <v>1003</v>
      </c>
      <c r="G416" s="160">
        <v>2821.39</v>
      </c>
    </row>
    <row r="417" spans="1:7" x14ac:dyDescent="0.2">
      <c r="A417" s="7" t="s">
        <v>16</v>
      </c>
      <c r="B417" s="7" t="s">
        <v>65</v>
      </c>
      <c r="C417" s="7" t="s">
        <v>66</v>
      </c>
      <c r="D417" s="159">
        <v>14261377000109</v>
      </c>
      <c r="E417" s="47" t="s">
        <v>1063</v>
      </c>
      <c r="F417" s="47" t="s">
        <v>1031</v>
      </c>
      <c r="G417" s="160">
        <v>17389.89</v>
      </c>
    </row>
    <row r="418" spans="1:7" x14ac:dyDescent="0.2">
      <c r="A418" s="7" t="s">
        <v>16</v>
      </c>
      <c r="B418" s="7" t="s">
        <v>65</v>
      </c>
      <c r="C418" s="7" t="s">
        <v>66</v>
      </c>
      <c r="D418" s="159">
        <v>14361780000100</v>
      </c>
      <c r="E418" s="47" t="s">
        <v>1146</v>
      </c>
      <c r="F418" s="47" t="s">
        <v>1031</v>
      </c>
      <c r="G418" s="160">
        <v>5298.82</v>
      </c>
    </row>
    <row r="419" spans="1:7" x14ac:dyDescent="0.2">
      <c r="A419" s="7" t="s">
        <v>16</v>
      </c>
      <c r="B419" s="7" t="s">
        <v>65</v>
      </c>
      <c r="C419" s="7" t="s">
        <v>66</v>
      </c>
      <c r="D419" s="159">
        <v>32319972000130</v>
      </c>
      <c r="E419" s="47" t="s">
        <v>1147</v>
      </c>
      <c r="F419" s="47" t="s">
        <v>1031</v>
      </c>
      <c r="G419" s="160">
        <v>15212.01</v>
      </c>
    </row>
    <row r="420" spans="1:7" x14ac:dyDescent="0.2">
      <c r="A420" s="7" t="s">
        <v>16</v>
      </c>
      <c r="B420" s="7" t="s">
        <v>65</v>
      </c>
      <c r="C420" s="7" t="s">
        <v>66</v>
      </c>
      <c r="D420" s="159">
        <v>37396017000624</v>
      </c>
      <c r="E420" s="47" t="s">
        <v>1059</v>
      </c>
      <c r="F420" s="47" t="s">
        <v>1031</v>
      </c>
      <c r="G420" s="160">
        <v>58315.54</v>
      </c>
    </row>
    <row r="421" spans="1:7" x14ac:dyDescent="0.2">
      <c r="A421" s="7" t="s">
        <v>16</v>
      </c>
      <c r="B421" s="7" t="s">
        <v>65</v>
      </c>
      <c r="C421" s="7" t="s">
        <v>66</v>
      </c>
      <c r="D421" s="159">
        <v>46068425000133</v>
      </c>
      <c r="E421" s="47" t="s">
        <v>1080</v>
      </c>
      <c r="F421" s="47" t="s">
        <v>1002</v>
      </c>
      <c r="G421" s="160">
        <v>73504.800000000003</v>
      </c>
    </row>
    <row r="422" spans="1:7" x14ac:dyDescent="0.2">
      <c r="A422" s="7" t="s">
        <v>16</v>
      </c>
      <c r="B422" s="7" t="s">
        <v>65</v>
      </c>
      <c r="C422" s="7" t="s">
        <v>66</v>
      </c>
      <c r="D422" s="159">
        <v>46643466000106</v>
      </c>
      <c r="E422" s="47" t="s">
        <v>1143</v>
      </c>
      <c r="F422" s="47" t="s">
        <v>1031</v>
      </c>
      <c r="G422" s="160">
        <v>137502.39999999999</v>
      </c>
    </row>
    <row r="423" spans="1:7" x14ac:dyDescent="0.2">
      <c r="A423" s="7" t="s">
        <v>16</v>
      </c>
      <c r="B423" s="7" t="s">
        <v>65</v>
      </c>
      <c r="C423" s="7" t="s">
        <v>66</v>
      </c>
      <c r="D423" s="159">
        <v>57722118000302</v>
      </c>
      <c r="E423" s="47" t="s">
        <v>1092</v>
      </c>
      <c r="F423" s="47" t="s">
        <v>1031</v>
      </c>
      <c r="G423" s="160">
        <v>-431.02</v>
      </c>
    </row>
    <row r="424" spans="1:7" x14ac:dyDescent="0.2">
      <c r="A424" s="7" t="s">
        <v>16</v>
      </c>
      <c r="B424" s="7" t="s">
        <v>65</v>
      </c>
      <c r="C424" s="7" t="s">
        <v>66</v>
      </c>
      <c r="D424" s="159">
        <v>60003761000129</v>
      </c>
      <c r="E424" s="47" t="s">
        <v>1093</v>
      </c>
      <c r="F424" s="47" t="s">
        <v>1031</v>
      </c>
      <c r="G424" s="160">
        <v>6976.56</v>
      </c>
    </row>
    <row r="425" spans="1:7" x14ac:dyDescent="0.2">
      <c r="A425" s="7" t="s">
        <v>16</v>
      </c>
      <c r="B425" s="7" t="s">
        <v>65</v>
      </c>
      <c r="C425" s="7" t="s">
        <v>66</v>
      </c>
      <c r="D425" s="159">
        <v>60448040000122</v>
      </c>
      <c r="E425" s="47" t="s">
        <v>1094</v>
      </c>
      <c r="F425" s="47" t="s">
        <v>1031</v>
      </c>
      <c r="G425" s="160">
        <v>90974.399999999994</v>
      </c>
    </row>
    <row r="426" spans="1:7" x14ac:dyDescent="0.2">
      <c r="A426" s="7" t="s">
        <v>16</v>
      </c>
      <c r="B426" s="7" t="s">
        <v>65</v>
      </c>
      <c r="C426" s="7" t="s">
        <v>66</v>
      </c>
      <c r="D426" s="159">
        <v>60747318000162</v>
      </c>
      <c r="E426" s="47" t="s">
        <v>1095</v>
      </c>
      <c r="F426" s="47" t="s">
        <v>1003</v>
      </c>
      <c r="G426" s="160">
        <v>5061.8999999999996</v>
      </c>
    </row>
    <row r="427" spans="1:7" x14ac:dyDescent="0.2">
      <c r="A427" s="7" t="s">
        <v>16</v>
      </c>
      <c r="B427" s="7" t="s">
        <v>65</v>
      </c>
      <c r="C427" s="7" t="s">
        <v>66</v>
      </c>
      <c r="D427" s="159">
        <v>61590410000124</v>
      </c>
      <c r="E427" s="47" t="s">
        <v>1096</v>
      </c>
      <c r="F427" s="47" t="s">
        <v>1031</v>
      </c>
      <c r="G427" s="160">
        <v>14235.43</v>
      </c>
    </row>
    <row r="428" spans="1:7" x14ac:dyDescent="0.2">
      <c r="A428" s="7" t="s">
        <v>16</v>
      </c>
      <c r="B428" s="7" t="s">
        <v>65</v>
      </c>
      <c r="C428" s="7" t="s">
        <v>66</v>
      </c>
      <c r="D428" s="159">
        <v>61599908000158</v>
      </c>
      <c r="E428" s="47" t="s">
        <v>1097</v>
      </c>
      <c r="F428" s="47" t="s">
        <v>1031</v>
      </c>
      <c r="G428" s="160">
        <v>12628</v>
      </c>
    </row>
    <row r="429" spans="1:7" x14ac:dyDescent="0.2">
      <c r="A429" s="7" t="s">
        <v>16</v>
      </c>
      <c r="B429" s="7" t="s">
        <v>65</v>
      </c>
      <c r="C429" s="7" t="s">
        <v>66</v>
      </c>
      <c r="D429" s="159">
        <v>81887838000736</v>
      </c>
      <c r="E429" s="47" t="s">
        <v>1098</v>
      </c>
      <c r="F429" s="47" t="s">
        <v>1002</v>
      </c>
      <c r="G429" s="160">
        <v>0</v>
      </c>
    </row>
    <row r="430" spans="1:7" x14ac:dyDescent="0.2">
      <c r="A430" s="7" t="s">
        <v>16</v>
      </c>
      <c r="B430" s="7" t="s">
        <v>65</v>
      </c>
      <c r="C430" s="7" t="s">
        <v>66</v>
      </c>
      <c r="D430" s="159">
        <v>81887838000736</v>
      </c>
      <c r="E430" s="47" t="s">
        <v>1098</v>
      </c>
      <c r="F430" s="47" t="s">
        <v>1031</v>
      </c>
      <c r="G430" s="160">
        <v>362814.31</v>
      </c>
    </row>
    <row r="431" spans="1:7" x14ac:dyDescent="0.2">
      <c r="A431" s="7" t="s">
        <v>16</v>
      </c>
      <c r="B431" s="7" t="s">
        <v>65</v>
      </c>
      <c r="C431" s="7" t="s">
        <v>66</v>
      </c>
      <c r="D431" s="159">
        <v>81887838000736</v>
      </c>
      <c r="E431" s="47" t="s">
        <v>1098</v>
      </c>
      <c r="F431" s="47" t="s">
        <v>1003</v>
      </c>
      <c r="G431" s="160">
        <v>42143.91</v>
      </c>
    </row>
    <row r="432" spans="1:7" x14ac:dyDescent="0.2">
      <c r="A432" s="7" t="s">
        <v>16</v>
      </c>
      <c r="B432" s="7" t="s">
        <v>65</v>
      </c>
      <c r="C432" s="7" t="s">
        <v>66</v>
      </c>
      <c r="D432" s="159">
        <v>82873068000654</v>
      </c>
      <c r="E432" s="47" t="s">
        <v>1099</v>
      </c>
      <c r="F432" s="47" t="s">
        <v>1002</v>
      </c>
      <c r="G432" s="160">
        <v>47151.35</v>
      </c>
    </row>
    <row r="433" spans="1:7" x14ac:dyDescent="0.2">
      <c r="A433" s="7" t="s">
        <v>16</v>
      </c>
      <c r="B433" s="7" t="s">
        <v>65</v>
      </c>
      <c r="C433" s="7" t="s">
        <v>66</v>
      </c>
      <c r="D433" s="159">
        <v>87020517000120</v>
      </c>
      <c r="E433" s="47" t="s">
        <v>1100</v>
      </c>
      <c r="F433" s="47" t="s">
        <v>1031</v>
      </c>
      <c r="G433" s="160">
        <v>7688.32</v>
      </c>
    </row>
  </sheetData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4556B7-C43E-46E2-BE07-AB37E0C086F9}">
  <sheetPr codeName="Plan42">
    <tabColor theme="7" tint="0.79998168889431442"/>
  </sheetPr>
  <dimension ref="A1:S709"/>
  <sheetViews>
    <sheetView showGridLines="0" zoomScale="90" zoomScaleNormal="90" workbookViewId="0">
      <pane ySplit="3" topLeftCell="A4" activePane="bottomLeft" state="frozen"/>
      <selection pane="bottomLeft" activeCell="A4" sqref="A4"/>
    </sheetView>
  </sheetViews>
  <sheetFormatPr defaultRowHeight="15" x14ac:dyDescent="0.25"/>
  <cols>
    <col min="1" max="1" width="17.28515625" style="6" customWidth="1"/>
    <col min="2" max="2" width="15.140625" style="6" customWidth="1"/>
    <col min="3" max="3" width="12.85546875" style="6" customWidth="1"/>
    <col min="4" max="4" width="4.85546875" customWidth="1"/>
    <col min="5" max="5" width="13.85546875" style="2" customWidth="1"/>
    <col min="6" max="6" width="15.28515625" style="2" customWidth="1"/>
    <col min="7" max="7" width="13.85546875" customWidth="1"/>
    <col min="8" max="16384" width="9.140625" style="3"/>
  </cols>
  <sheetData>
    <row r="1" spans="1:19" customFormat="1" ht="18.75" x14ac:dyDescent="0.25">
      <c r="A1" s="48" t="s">
        <v>892</v>
      </c>
      <c r="B1" s="17"/>
      <c r="C1" s="18"/>
      <c r="E1" s="2"/>
      <c r="F1" s="2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</row>
    <row r="2" spans="1:19" customFormat="1" ht="18.75" x14ac:dyDescent="0.3">
      <c r="A2" s="35" t="s">
        <v>833</v>
      </c>
      <c r="E2" s="2"/>
      <c r="F2" s="2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</row>
    <row r="3" spans="1:19" customFormat="1" ht="25.5" x14ac:dyDescent="0.25">
      <c r="A3" s="42" t="s">
        <v>830</v>
      </c>
      <c r="B3" s="42" t="s">
        <v>831</v>
      </c>
      <c r="C3" s="42" t="s">
        <v>832</v>
      </c>
      <c r="E3" s="95" t="s">
        <v>835</v>
      </c>
      <c r="F3" s="96">
        <v>1</v>
      </c>
      <c r="G3" s="97" t="s">
        <v>836</v>
      </c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</row>
    <row r="4" spans="1:19" customFormat="1" x14ac:dyDescent="0.25">
      <c r="A4" s="39">
        <v>0.79500000000000004</v>
      </c>
      <c r="B4" s="40">
        <v>1442.3139237751836</v>
      </c>
      <c r="C4" s="41">
        <v>0</v>
      </c>
      <c r="E4" s="43">
        <f>A4</f>
        <v>0.79500000000000004</v>
      </c>
      <c r="F4" s="43">
        <v>1</v>
      </c>
      <c r="G4" s="43">
        <f>A709</f>
        <v>1.5</v>
      </c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</row>
    <row r="5" spans="1:19" customFormat="1" x14ac:dyDescent="0.25">
      <c r="A5" s="39">
        <v>0.79600000000000004</v>
      </c>
      <c r="B5" s="40">
        <v>1442.3139237751836</v>
      </c>
      <c r="C5" s="41">
        <v>0</v>
      </c>
      <c r="E5" s="44">
        <f>B4</f>
        <v>1442.3139237751836</v>
      </c>
      <c r="F5" s="44">
        <f>B209</f>
        <v>3605.7848094379619</v>
      </c>
      <c r="G5" s="44">
        <f>B709</f>
        <v>8149.0736693298113</v>
      </c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</row>
    <row r="6" spans="1:19" customFormat="1" x14ac:dyDescent="0.25">
      <c r="A6" s="39">
        <v>0.79700000000000004</v>
      </c>
      <c r="B6" s="40">
        <v>1442.3139237751836</v>
      </c>
      <c r="C6" s="41">
        <v>0</v>
      </c>
      <c r="E6" s="2"/>
      <c r="F6" s="2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</row>
    <row r="7" spans="1:19" customFormat="1" x14ac:dyDescent="0.25">
      <c r="A7" s="39">
        <v>0.79800000000000004</v>
      </c>
      <c r="B7" s="40">
        <v>1442.3139237751836</v>
      </c>
      <c r="C7" s="41">
        <v>0</v>
      </c>
      <c r="E7" s="2"/>
      <c r="F7" s="2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</row>
    <row r="8" spans="1:19" customFormat="1" x14ac:dyDescent="0.25">
      <c r="A8" s="39">
        <v>0.79900000000000004</v>
      </c>
      <c r="B8" s="40">
        <v>1442.3139237751836</v>
      </c>
      <c r="C8" s="41">
        <v>0</v>
      </c>
      <c r="E8" s="2"/>
      <c r="F8" s="2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</row>
    <row r="9" spans="1:19" customFormat="1" x14ac:dyDescent="0.25">
      <c r="A9" s="19">
        <v>0.8</v>
      </c>
      <c r="B9" s="20">
        <v>1442.3139237751836</v>
      </c>
      <c r="C9" s="21">
        <v>0</v>
      </c>
      <c r="E9" s="2"/>
      <c r="F9" s="2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</row>
    <row r="10" spans="1:19" customFormat="1" x14ac:dyDescent="0.25">
      <c r="A10" s="22">
        <v>0.80100000000000005</v>
      </c>
      <c r="B10" s="23">
        <v>1444.1168161799028</v>
      </c>
      <c r="C10" s="24">
        <v>1.2500000000001954E-3</v>
      </c>
      <c r="E10" s="2"/>
      <c r="F10" s="2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</row>
    <row r="11" spans="1:19" customFormat="1" x14ac:dyDescent="0.25">
      <c r="A11" s="22">
        <v>0.80200000000000005</v>
      </c>
      <c r="B11" s="23">
        <v>1445.9197085846215</v>
      </c>
      <c r="C11" s="24">
        <v>1.2484394506864227E-3</v>
      </c>
      <c r="E11" s="2"/>
      <c r="F11" s="2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</row>
    <row r="12" spans="1:19" customFormat="1" x14ac:dyDescent="0.25">
      <c r="A12" s="22">
        <v>0.80300000000000005</v>
      </c>
      <c r="B12" s="23">
        <v>1447.7226009893404</v>
      </c>
      <c r="C12" s="24">
        <v>1.2468827930174342E-3</v>
      </c>
      <c r="E12" s="2"/>
      <c r="F12" s="2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</row>
    <row r="13" spans="1:19" customFormat="1" x14ac:dyDescent="0.25">
      <c r="A13" s="22">
        <v>0.80400000000000005</v>
      </c>
      <c r="B13" s="23">
        <v>1449.5254933940594</v>
      </c>
      <c r="C13" s="24">
        <v>1.2453300124533051E-3</v>
      </c>
      <c r="E13" s="2"/>
      <c r="F13" s="2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</row>
    <row r="14" spans="1:19" customFormat="1" x14ac:dyDescent="0.25">
      <c r="A14" s="22">
        <v>0.80500000000000005</v>
      </c>
      <c r="B14" s="23">
        <v>1451.3283857987783</v>
      </c>
      <c r="C14" s="24">
        <v>1.2437810945273853E-3</v>
      </c>
      <c r="E14" s="2"/>
      <c r="F14" s="2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</row>
    <row r="15" spans="1:19" customFormat="1" x14ac:dyDescent="0.25">
      <c r="A15" s="22">
        <v>0.80600000000000005</v>
      </c>
      <c r="B15" s="23">
        <v>1453.1312782034972</v>
      </c>
      <c r="C15" s="24">
        <v>1.242236024844745E-3</v>
      </c>
      <c r="E15" s="2"/>
      <c r="F15" s="2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</row>
    <row r="16" spans="1:19" customFormat="1" x14ac:dyDescent="0.25">
      <c r="A16" s="22">
        <v>0.80700000000000005</v>
      </c>
      <c r="B16" s="23">
        <v>1454.9341706082164</v>
      </c>
      <c r="C16" s="24">
        <v>1.2406947890819531E-3</v>
      </c>
      <c r="E16" s="2"/>
      <c r="F16" s="2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</row>
    <row r="17" spans="1:19" customFormat="1" x14ac:dyDescent="0.25">
      <c r="A17" s="22">
        <v>0.80800000000000005</v>
      </c>
      <c r="B17" s="23">
        <v>1456.7370630129353</v>
      </c>
      <c r="C17" s="24">
        <v>1.2391573729864103E-3</v>
      </c>
      <c r="E17" s="2"/>
      <c r="F17" s="2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</row>
    <row r="18" spans="1:19" customFormat="1" x14ac:dyDescent="0.25">
      <c r="A18" s="22">
        <v>0.80900000000000005</v>
      </c>
      <c r="B18" s="23">
        <v>1458.5399554176543</v>
      </c>
      <c r="C18" s="24">
        <v>1.2376237623761277E-3</v>
      </c>
      <c r="E18" s="2"/>
      <c r="F18" s="2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</row>
    <row r="19" spans="1:19" customFormat="1" x14ac:dyDescent="0.25">
      <c r="A19" s="22">
        <v>0.81</v>
      </c>
      <c r="B19" s="23">
        <v>1460.3428478223734</v>
      </c>
      <c r="C19" s="24">
        <v>1.2360939431397266E-3</v>
      </c>
      <c r="E19" s="2"/>
      <c r="F19" s="2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</row>
    <row r="20" spans="1:19" customFormat="1" x14ac:dyDescent="0.25">
      <c r="A20" s="22">
        <v>0.81100000000000005</v>
      </c>
      <c r="B20" s="23">
        <v>1462.1457402270921</v>
      </c>
      <c r="C20" s="24">
        <v>1.2345679012344402E-3</v>
      </c>
      <c r="E20" s="2"/>
      <c r="F20" s="2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</row>
    <row r="21" spans="1:19" customFormat="1" x14ac:dyDescent="0.25">
      <c r="A21" s="22">
        <v>0.81200000000000006</v>
      </c>
      <c r="B21" s="23">
        <v>1463.9486326318113</v>
      </c>
      <c r="C21" s="24">
        <v>1.2330456226881115E-3</v>
      </c>
      <c r="E21" s="2"/>
      <c r="F21" s="2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</row>
    <row r="22" spans="1:19" customFormat="1" x14ac:dyDescent="0.25">
      <c r="A22" s="22">
        <v>0.81299999999999994</v>
      </c>
      <c r="B22" s="23">
        <v>1465.75152503653</v>
      </c>
      <c r="C22" s="24">
        <v>1.2315270935958633E-3</v>
      </c>
      <c r="E22" s="2"/>
      <c r="F22" s="2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</row>
    <row r="23" spans="1:19" customFormat="1" x14ac:dyDescent="0.25">
      <c r="A23" s="22">
        <v>0.81399999999999995</v>
      </c>
      <c r="B23" s="23">
        <v>1467.5544174412489</v>
      </c>
      <c r="C23" s="24">
        <v>1.2300123001229846E-3</v>
      </c>
      <c r="E23" s="2"/>
      <c r="F23" s="2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</row>
    <row r="24" spans="1:19" customFormat="1" x14ac:dyDescent="0.25">
      <c r="A24" s="22">
        <v>0.81499999999999995</v>
      </c>
      <c r="B24" s="23">
        <v>1469.3573098459678</v>
      </c>
      <c r="C24" s="24">
        <v>1.2285012285011554E-3</v>
      </c>
      <c r="E24" s="2"/>
      <c r="F24" s="2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</row>
    <row r="25" spans="1:19" customFormat="1" x14ac:dyDescent="0.25">
      <c r="A25" s="22">
        <v>0.81599999999999995</v>
      </c>
      <c r="B25" s="23">
        <v>1471.1602022506872</v>
      </c>
      <c r="C25" s="24">
        <v>1.2269938650308898E-3</v>
      </c>
      <c r="E25" s="2"/>
      <c r="F25" s="2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</row>
    <row r="26" spans="1:19" customFormat="1" x14ac:dyDescent="0.25">
      <c r="A26" s="22">
        <v>0.81699999999999995</v>
      </c>
      <c r="B26" s="23">
        <v>1472.9630946554062</v>
      </c>
      <c r="C26" s="24">
        <v>1.225490196078427E-3</v>
      </c>
      <c r="E26" s="2"/>
      <c r="F26" s="2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</row>
    <row r="27" spans="1:19" customFormat="1" x14ac:dyDescent="0.25">
      <c r="A27" s="22">
        <v>0.81799999999999995</v>
      </c>
      <c r="B27" s="23">
        <v>1474.7659870601249</v>
      </c>
      <c r="C27" s="24">
        <v>1.2239902080781739E-3</v>
      </c>
      <c r="E27" s="2"/>
      <c r="F27" s="2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</row>
    <row r="28" spans="1:19" customFormat="1" x14ac:dyDescent="0.25">
      <c r="A28" s="22">
        <v>0.81899999999999995</v>
      </c>
      <c r="B28" s="23">
        <v>1476.5688794648438</v>
      </c>
      <c r="C28" s="24">
        <v>1.2224938875304847E-3</v>
      </c>
      <c r="E28" s="2"/>
      <c r="F28" s="2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</row>
    <row r="29" spans="1:19" customFormat="1" x14ac:dyDescent="0.25">
      <c r="A29" s="22">
        <v>0.82</v>
      </c>
      <c r="B29" s="23">
        <v>1478.3717718695632</v>
      </c>
      <c r="C29" s="24">
        <v>1.2210012210014387E-3</v>
      </c>
      <c r="E29" s="2"/>
      <c r="F29" s="2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</row>
    <row r="30" spans="1:19" customFormat="1" x14ac:dyDescent="0.25">
      <c r="A30" s="22">
        <v>0.82099999999999995</v>
      </c>
      <c r="B30" s="23">
        <v>1480.1746642742821</v>
      </c>
      <c r="C30" s="24">
        <v>1.2195121951219523E-3</v>
      </c>
      <c r="E30" s="2"/>
      <c r="F30" s="2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</row>
    <row r="31" spans="1:19" customFormat="1" x14ac:dyDescent="0.25">
      <c r="A31" s="22">
        <v>0.82199999999999995</v>
      </c>
      <c r="B31" s="23">
        <v>1481.9775566790011</v>
      </c>
      <c r="C31" s="24">
        <v>1.2180267965895553E-3</v>
      </c>
      <c r="E31" s="2"/>
      <c r="F31" s="2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</row>
    <row r="32" spans="1:19" customFormat="1" x14ac:dyDescent="0.25">
      <c r="A32" s="22">
        <v>0.82299999999999995</v>
      </c>
      <c r="B32" s="23">
        <v>1483.7804490837202</v>
      </c>
      <c r="C32" s="24">
        <v>1.2165450121655041E-3</v>
      </c>
      <c r="E32" s="2"/>
      <c r="F32" s="2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</row>
    <row r="33" spans="1:19" customFormat="1" x14ac:dyDescent="0.25">
      <c r="A33" s="22">
        <v>0.82399999999999995</v>
      </c>
      <c r="B33" s="23">
        <v>1485.5833414884389</v>
      </c>
      <c r="C33" s="24">
        <v>1.2150668286754485E-3</v>
      </c>
      <c r="E33" s="2"/>
      <c r="F33" s="2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</row>
    <row r="34" spans="1:19" customFormat="1" x14ac:dyDescent="0.25">
      <c r="A34" s="22">
        <v>0.82499999999999996</v>
      </c>
      <c r="B34" s="23">
        <v>1487.3862338931581</v>
      </c>
      <c r="C34" s="24">
        <v>1.2135922330098747E-3</v>
      </c>
      <c r="E34" s="2"/>
      <c r="F34" s="2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</row>
    <row r="35" spans="1:19" customFormat="1" x14ac:dyDescent="0.25">
      <c r="A35" s="22">
        <v>0.82599999999999996</v>
      </c>
      <c r="B35" s="23">
        <v>1489.189126297877</v>
      </c>
      <c r="C35" s="24">
        <v>1.2121212121212199E-3</v>
      </c>
      <c r="E35" s="2"/>
      <c r="F35" s="2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</row>
    <row r="36" spans="1:19" customFormat="1" x14ac:dyDescent="0.25">
      <c r="A36" s="22">
        <v>0.82699999999999996</v>
      </c>
      <c r="B36" s="23">
        <v>1490.9920187025959</v>
      </c>
      <c r="C36" s="24">
        <v>1.210653753026536E-3</v>
      </c>
      <c r="E36" s="2"/>
      <c r="F36" s="2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</row>
    <row r="37" spans="1:19" customFormat="1" x14ac:dyDescent="0.25">
      <c r="A37" s="22">
        <v>0.82799999999999996</v>
      </c>
      <c r="B37" s="23">
        <v>1492.7949111073149</v>
      </c>
      <c r="C37" s="24">
        <v>1.2091898428052694E-3</v>
      </c>
      <c r="E37" s="2"/>
      <c r="F37" s="2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</row>
    <row r="38" spans="1:19" customFormat="1" x14ac:dyDescent="0.25">
      <c r="A38" s="22">
        <v>0.82899999999999996</v>
      </c>
      <c r="B38" s="23">
        <v>1494.5978035120343</v>
      </c>
      <c r="C38" s="24">
        <v>1.2077294685992612E-3</v>
      </c>
      <c r="E38" s="2"/>
      <c r="F38" s="2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</row>
    <row r="39" spans="1:19" customFormat="1" x14ac:dyDescent="0.25">
      <c r="A39" s="22">
        <v>0.83</v>
      </c>
      <c r="B39" s="23">
        <v>1496.4006959167534</v>
      </c>
      <c r="C39" s="24">
        <v>1.2062726176116367E-3</v>
      </c>
      <c r="E39" s="2"/>
      <c r="F39" s="2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</row>
    <row r="40" spans="1:19" customFormat="1" x14ac:dyDescent="0.25">
      <c r="A40" s="22">
        <v>0.83099999999999996</v>
      </c>
      <c r="B40" s="23">
        <v>1498.2035883214724</v>
      </c>
      <c r="C40" s="24">
        <v>1.2048192771083599E-3</v>
      </c>
      <c r="E40" s="2"/>
      <c r="F40" s="2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</row>
    <row r="41" spans="1:19" customFormat="1" x14ac:dyDescent="0.25">
      <c r="A41" s="22">
        <v>0.83199999999999996</v>
      </c>
      <c r="B41" s="23">
        <v>1500.0064807261915</v>
      </c>
      <c r="C41" s="24">
        <v>1.2033694344164569E-3</v>
      </c>
      <c r="E41" s="2"/>
      <c r="F41" s="2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</row>
    <row r="42" spans="1:19" customFormat="1" x14ac:dyDescent="0.25">
      <c r="A42" s="22">
        <v>0.83299999999999996</v>
      </c>
      <c r="B42" s="23">
        <v>1501.8093731309102</v>
      </c>
      <c r="C42" s="24">
        <v>1.2019230769229061E-3</v>
      </c>
      <c r="E42" s="2"/>
      <c r="F42" s="2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</row>
    <row r="43" spans="1:19" customFormat="1" x14ac:dyDescent="0.25">
      <c r="A43" s="22">
        <v>0.83399999999999996</v>
      </c>
      <c r="B43" s="23">
        <v>1503.6122655356291</v>
      </c>
      <c r="C43" s="24">
        <v>1.2004801920768582E-3</v>
      </c>
      <c r="E43" s="2"/>
      <c r="F43" s="2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</row>
    <row r="44" spans="1:19" customFormat="1" x14ac:dyDescent="0.25">
      <c r="A44" s="22">
        <v>0.83499999999999996</v>
      </c>
      <c r="B44" s="23">
        <v>1505.4151579403481</v>
      </c>
      <c r="C44" s="24">
        <v>1.1990407673860837E-3</v>
      </c>
      <c r="E44" s="2"/>
      <c r="F44" s="2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</row>
    <row r="45" spans="1:19" customFormat="1" x14ac:dyDescent="0.25">
      <c r="A45" s="22">
        <v>0.83599999999999997</v>
      </c>
      <c r="B45" s="23">
        <v>1507.218050345067</v>
      </c>
      <c r="C45" s="24">
        <v>1.1976047904191933E-3</v>
      </c>
      <c r="E45" s="2"/>
      <c r="F45" s="2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</row>
    <row r="46" spans="1:19" customFormat="1" x14ac:dyDescent="0.25">
      <c r="A46" s="22">
        <v>0.83699999999999997</v>
      </c>
      <c r="B46" s="23">
        <v>1509.0209427497857</v>
      </c>
      <c r="C46" s="24">
        <v>1.1961722488036397E-3</v>
      </c>
      <c r="E46" s="2"/>
      <c r="F46" s="2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</row>
    <row r="47" spans="1:19" customFormat="1" x14ac:dyDescent="0.25">
      <c r="A47" s="22">
        <v>0.83799999999999997</v>
      </c>
      <c r="B47" s="23">
        <v>1510.8238351545049</v>
      </c>
      <c r="C47" s="24">
        <v>1.1947431302270495E-3</v>
      </c>
      <c r="E47" s="2"/>
      <c r="F47" s="2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</row>
    <row r="48" spans="1:19" customFormat="1" x14ac:dyDescent="0.25">
      <c r="A48" s="22">
        <v>0.83899999999999997</v>
      </c>
      <c r="B48" s="23">
        <v>1512.6267275592238</v>
      </c>
      <c r="C48" s="24">
        <v>1.1933174224343368E-3</v>
      </c>
      <c r="E48" s="2"/>
      <c r="F48" s="2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</row>
    <row r="49" spans="1:19" customFormat="1" x14ac:dyDescent="0.25">
      <c r="A49" s="22">
        <v>0.84</v>
      </c>
      <c r="B49" s="23">
        <v>1514.4296199639425</v>
      </c>
      <c r="C49" s="24">
        <v>1.1918951132299238E-3</v>
      </c>
      <c r="E49" s="2"/>
      <c r="F49" s="2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</row>
    <row r="50" spans="1:19" customFormat="1" x14ac:dyDescent="0.25">
      <c r="A50" s="22">
        <v>0.84099999999999997</v>
      </c>
      <c r="B50" s="23">
        <v>1516.2325123686619</v>
      </c>
      <c r="C50" s="24">
        <v>1.1904761904764083E-3</v>
      </c>
      <c r="E50" s="2"/>
      <c r="F50" s="2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</row>
    <row r="51" spans="1:19" customFormat="1" x14ac:dyDescent="0.25">
      <c r="A51" s="22">
        <v>0.84199999999999997</v>
      </c>
      <c r="B51" s="23">
        <v>1518.0354047733808</v>
      </c>
      <c r="C51" s="24">
        <v>1.1890606420927874E-3</v>
      </c>
      <c r="E51" s="2"/>
      <c r="F51" s="2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</row>
    <row r="52" spans="1:19" customFormat="1" x14ac:dyDescent="0.25">
      <c r="A52" s="22">
        <v>0.84299999999999997</v>
      </c>
      <c r="B52" s="23">
        <v>1519.8382971780995</v>
      </c>
      <c r="C52" s="24">
        <v>1.1876484560569001E-3</v>
      </c>
      <c r="E52" s="2"/>
      <c r="F52" s="2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</row>
    <row r="53" spans="1:19" customFormat="1" x14ac:dyDescent="0.25">
      <c r="A53" s="22">
        <v>0.84399999999999997</v>
      </c>
      <c r="B53" s="23">
        <v>1521.6411895828182</v>
      </c>
      <c r="C53" s="24">
        <v>1.1862396204032066E-3</v>
      </c>
      <c r="E53" s="2"/>
      <c r="F53" s="2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</row>
    <row r="54" spans="1:19" customFormat="1" x14ac:dyDescent="0.25">
      <c r="A54" s="22">
        <v>0.84499999999999997</v>
      </c>
      <c r="B54" s="23">
        <v>1523.4440819875372</v>
      </c>
      <c r="C54" s="24">
        <v>1.1848341232227888E-3</v>
      </c>
      <c r="E54" s="2"/>
      <c r="F54" s="2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</row>
    <row r="55" spans="1:19" customFormat="1" x14ac:dyDescent="0.25">
      <c r="A55" s="22">
        <v>0.84599999999999997</v>
      </c>
      <c r="B55" s="23">
        <v>1525.2469743922557</v>
      </c>
      <c r="C55" s="24">
        <v>1.1834319526624615E-3</v>
      </c>
      <c r="E55" s="2"/>
      <c r="F55" s="2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</row>
    <row r="56" spans="1:19" customFormat="1" x14ac:dyDescent="0.25">
      <c r="A56" s="22">
        <v>0.84699999999999998</v>
      </c>
      <c r="B56" s="23">
        <v>1527.0498667969748</v>
      </c>
      <c r="C56" s="24">
        <v>1.1820330969267712E-3</v>
      </c>
      <c r="E56" s="2"/>
      <c r="F56" s="2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</row>
    <row r="57" spans="1:19" customFormat="1" x14ac:dyDescent="0.25">
      <c r="A57" s="22">
        <v>0.84799999999999998</v>
      </c>
      <c r="B57" s="23">
        <v>1528.8527592016935</v>
      </c>
      <c r="C57" s="24">
        <v>1.1806375442737771E-3</v>
      </c>
      <c r="E57" s="2"/>
      <c r="F57" s="2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</row>
    <row r="58" spans="1:19" customFormat="1" x14ac:dyDescent="0.25">
      <c r="A58" s="22">
        <v>0.84899999999999998</v>
      </c>
      <c r="B58" s="23">
        <v>1530.6556516064124</v>
      </c>
      <c r="C58" s="24">
        <v>1.179245283018826E-3</v>
      </c>
      <c r="E58" s="2"/>
      <c r="F58" s="2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</row>
    <row r="59" spans="1:19" customFormat="1" x14ac:dyDescent="0.25">
      <c r="A59" s="22">
        <v>0.85</v>
      </c>
      <c r="B59" s="23">
        <v>1532.4585440111314</v>
      </c>
      <c r="C59" s="24">
        <v>1.1778563015312216E-3</v>
      </c>
      <c r="E59" s="2"/>
      <c r="F59" s="2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</row>
    <row r="60" spans="1:19" customFormat="1" x14ac:dyDescent="0.25">
      <c r="A60" s="22">
        <v>0.85099999999999998</v>
      </c>
      <c r="B60" s="23">
        <v>1534.2614364158503</v>
      </c>
      <c r="C60" s="24">
        <v>1.1764705882353343E-3</v>
      </c>
      <c r="E60" s="2"/>
      <c r="F60" s="2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</row>
    <row r="61" spans="1:19" customFormat="1" x14ac:dyDescent="0.25">
      <c r="A61" s="22">
        <v>0.85199999999999998</v>
      </c>
      <c r="B61" s="23">
        <v>1536.064328820569</v>
      </c>
      <c r="C61" s="24">
        <v>1.1750881316097139E-3</v>
      </c>
      <c r="E61" s="2"/>
      <c r="F61" s="2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</row>
    <row r="62" spans="1:19" customFormat="1" x14ac:dyDescent="0.25">
      <c r="A62" s="22">
        <v>0.85299999999999998</v>
      </c>
      <c r="B62" s="23">
        <v>1537.8672212252882</v>
      </c>
      <c r="C62" s="24">
        <v>1.1737089201879769E-3</v>
      </c>
      <c r="E62" s="2"/>
      <c r="F62" s="2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</row>
    <row r="63" spans="1:19" customFormat="1" x14ac:dyDescent="0.25">
      <c r="A63" s="22">
        <v>0.85399999999999998</v>
      </c>
      <c r="B63" s="23">
        <v>1539.6701136300076</v>
      </c>
      <c r="C63" s="24">
        <v>1.1723329425559204E-3</v>
      </c>
      <c r="E63" s="2"/>
      <c r="F63" s="2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</row>
    <row r="64" spans="1:19" customFormat="1" x14ac:dyDescent="0.25">
      <c r="A64" s="22">
        <v>0.85499999999999998</v>
      </c>
      <c r="B64" s="23">
        <v>1541.4730060347263</v>
      </c>
      <c r="C64" s="24">
        <v>1.1709601873535203E-3</v>
      </c>
      <c r="E64" s="2"/>
      <c r="F64" s="2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</row>
    <row r="65" spans="1:19" customFormat="1" x14ac:dyDescent="0.25">
      <c r="A65" s="22">
        <v>0.85599999999999998</v>
      </c>
      <c r="B65" s="23">
        <v>1543.2758984394454</v>
      </c>
      <c r="C65" s="24">
        <v>1.1695906432749315E-3</v>
      </c>
      <c r="E65" s="2"/>
      <c r="F65" s="2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</row>
    <row r="66" spans="1:19" customFormat="1" x14ac:dyDescent="0.25">
      <c r="A66" s="22">
        <v>0.85699999999999998</v>
      </c>
      <c r="B66" s="23">
        <v>1545.0787908441644</v>
      </c>
      <c r="C66" s="24">
        <v>1.1682242990653791E-3</v>
      </c>
      <c r="E66" s="2"/>
      <c r="F66" s="2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</row>
    <row r="67" spans="1:19" customFormat="1" x14ac:dyDescent="0.25">
      <c r="A67" s="22">
        <v>0.85799999999999998</v>
      </c>
      <c r="B67" s="23">
        <v>1546.8816832488835</v>
      </c>
      <c r="C67" s="24">
        <v>1.166861143524045E-3</v>
      </c>
      <c r="E67" s="2"/>
      <c r="F67" s="2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</row>
    <row r="68" spans="1:19" customFormat="1" x14ac:dyDescent="0.25">
      <c r="A68" s="22">
        <v>0.85899999999999999</v>
      </c>
      <c r="B68" s="23">
        <v>1548.6845756536022</v>
      </c>
      <c r="C68" s="24">
        <v>1.1655011655009595E-3</v>
      </c>
      <c r="E68" s="2"/>
      <c r="F68" s="2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</row>
    <row r="69" spans="1:19" customFormat="1" x14ac:dyDescent="0.25">
      <c r="A69" s="22">
        <v>0.86</v>
      </c>
      <c r="B69" s="23">
        <v>1550.4874680583216</v>
      </c>
      <c r="C69" s="24">
        <v>1.1641443539001095E-3</v>
      </c>
      <c r="E69" s="2"/>
      <c r="F69" s="2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</row>
    <row r="70" spans="1:19" customFormat="1" x14ac:dyDescent="0.25">
      <c r="A70" s="22">
        <v>0.86099999999999999</v>
      </c>
      <c r="B70" s="23">
        <v>1552.2903604630405</v>
      </c>
      <c r="C70" s="24">
        <v>1.1627906976743319E-3</v>
      </c>
      <c r="E70" s="2"/>
      <c r="F70" s="2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</row>
    <row r="71" spans="1:19" customFormat="1" x14ac:dyDescent="0.25">
      <c r="A71" s="22">
        <v>0.86199999999999999</v>
      </c>
      <c r="B71" s="23">
        <v>1554.0932528677595</v>
      </c>
      <c r="C71" s="24">
        <v>1.1614401858304202E-3</v>
      </c>
      <c r="E71" s="2"/>
      <c r="F71" s="2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</row>
    <row r="72" spans="1:19" customFormat="1" x14ac:dyDescent="0.25">
      <c r="A72" s="22">
        <v>0.86299999999999999</v>
      </c>
      <c r="B72" s="23">
        <v>1555.8961452724782</v>
      </c>
      <c r="C72" s="24">
        <v>1.1600928074244621E-3</v>
      </c>
      <c r="E72" s="2"/>
      <c r="F72" s="2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</row>
    <row r="73" spans="1:19" customFormat="1" x14ac:dyDescent="0.25">
      <c r="A73" s="22">
        <v>0.86399999999999999</v>
      </c>
      <c r="B73" s="23">
        <v>1557.6990376771976</v>
      </c>
      <c r="C73" s="24">
        <v>1.1587485515645035E-3</v>
      </c>
      <c r="E73" s="2"/>
      <c r="F73" s="2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</row>
    <row r="74" spans="1:19" customFormat="1" x14ac:dyDescent="0.25">
      <c r="A74" s="22">
        <v>0.86499999999999999</v>
      </c>
      <c r="B74" s="23">
        <v>1559.5019300819165</v>
      </c>
      <c r="C74" s="24">
        <v>1.1574074074074403E-3</v>
      </c>
      <c r="E74" s="2"/>
      <c r="F74" s="2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</row>
    <row r="75" spans="1:19" customFormat="1" x14ac:dyDescent="0.25">
      <c r="A75" s="22">
        <v>0.86599999999999999</v>
      </c>
      <c r="B75" s="23">
        <v>1561.3048224866357</v>
      </c>
      <c r="C75" s="24">
        <v>1.1560693641619046E-3</v>
      </c>
      <c r="E75" s="2"/>
      <c r="F75" s="2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</row>
    <row r="76" spans="1:19" customFormat="1" x14ac:dyDescent="0.25">
      <c r="A76" s="22">
        <v>0.86699999999999999</v>
      </c>
      <c r="B76" s="23">
        <v>1563.1077148913548</v>
      </c>
      <c r="C76" s="24">
        <v>1.1547344110856006E-3</v>
      </c>
      <c r="E76" s="2"/>
      <c r="F76" s="2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</row>
    <row r="77" spans="1:19" customFormat="1" x14ac:dyDescent="0.25">
      <c r="A77" s="22">
        <v>0.86799999999999999</v>
      </c>
      <c r="B77" s="23">
        <v>1564.9106072960733</v>
      </c>
      <c r="C77" s="24">
        <v>1.1534025374853041E-3</v>
      </c>
      <c r="E77" s="2"/>
      <c r="F77" s="2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</row>
    <row r="78" spans="1:19" customFormat="1" x14ac:dyDescent="0.25">
      <c r="A78" s="22">
        <v>0.86899999999999999</v>
      </c>
      <c r="B78" s="23">
        <v>1566.7134997007927</v>
      </c>
      <c r="C78" s="24">
        <v>1.1520737327190833E-3</v>
      </c>
      <c r="E78" s="2"/>
      <c r="F78" s="2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</row>
    <row r="79" spans="1:19" customFormat="1" x14ac:dyDescent="0.25">
      <c r="A79" s="22">
        <v>0.87</v>
      </c>
      <c r="B79" s="23">
        <v>1568.5163921055116</v>
      </c>
      <c r="C79" s="24">
        <v>1.1507479861909697E-3</v>
      </c>
      <c r="E79" s="2"/>
      <c r="F79" s="2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</row>
    <row r="80" spans="1:19" customFormat="1" x14ac:dyDescent="0.25">
      <c r="A80" s="22">
        <v>0.871</v>
      </c>
      <c r="B80" s="23">
        <v>1570.3192845102305</v>
      </c>
      <c r="C80" s="24">
        <v>1.1494252873562871E-3</v>
      </c>
      <c r="E80" s="2"/>
      <c r="F80" s="2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</row>
    <row r="81" spans="1:19" customFormat="1" x14ac:dyDescent="0.25">
      <c r="A81" s="22">
        <v>0.872</v>
      </c>
      <c r="B81" s="23">
        <v>1572.1221769149497</v>
      </c>
      <c r="C81" s="24">
        <v>1.1481056257176547E-3</v>
      </c>
      <c r="E81" s="2"/>
      <c r="F81" s="2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</row>
    <row r="82" spans="1:19" customFormat="1" x14ac:dyDescent="0.25">
      <c r="A82" s="22">
        <v>0.873</v>
      </c>
      <c r="B82" s="23">
        <v>1573.9250693196691</v>
      </c>
      <c r="C82" s="24">
        <v>1.1467889908258755E-3</v>
      </c>
      <c r="E82" s="2"/>
      <c r="F82" s="2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</row>
    <row r="83" spans="1:19" customFormat="1" x14ac:dyDescent="0.25">
      <c r="A83" s="22">
        <v>0.874</v>
      </c>
      <c r="B83" s="23">
        <v>1575.727961724388</v>
      </c>
      <c r="C83" s="24">
        <v>1.1454753722794919E-3</v>
      </c>
      <c r="E83" s="2"/>
      <c r="F83" s="2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</row>
    <row r="84" spans="1:19" customFormat="1" x14ac:dyDescent="0.25">
      <c r="A84" s="22">
        <v>0.875</v>
      </c>
      <c r="B84" s="23">
        <v>1577.5308541291072</v>
      </c>
      <c r="C84" s="24">
        <v>1.1441647597254523E-3</v>
      </c>
      <c r="E84" s="2"/>
      <c r="F84" s="2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</row>
    <row r="85" spans="1:19" customFormat="1" x14ac:dyDescent="0.25">
      <c r="A85" s="22">
        <v>0.876</v>
      </c>
      <c r="B85" s="23">
        <v>1579.3337465338261</v>
      </c>
      <c r="C85" s="24">
        <v>1.1428571428571122E-3</v>
      </c>
      <c r="E85" s="2"/>
      <c r="F85" s="2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</row>
    <row r="86" spans="1:19" customFormat="1" x14ac:dyDescent="0.25">
      <c r="A86" s="22">
        <v>0.877</v>
      </c>
      <c r="B86" s="23">
        <v>1581.136638938545</v>
      </c>
      <c r="C86" s="24">
        <v>1.1415525114155667E-3</v>
      </c>
      <c r="E86" s="2"/>
      <c r="F86" s="2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</row>
    <row r="87" spans="1:19" customFormat="1" x14ac:dyDescent="0.25">
      <c r="A87" s="22">
        <v>0.878</v>
      </c>
      <c r="B87" s="23">
        <v>1582.939531343264</v>
      </c>
      <c r="C87" s="24">
        <v>1.1402508551880963E-3</v>
      </c>
      <c r="E87" s="2"/>
      <c r="F87" s="2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</row>
    <row r="88" spans="1:19" customFormat="1" x14ac:dyDescent="0.25">
      <c r="A88" s="22">
        <v>0.879</v>
      </c>
      <c r="B88" s="23">
        <v>1584.7424237479829</v>
      </c>
      <c r="C88" s="24">
        <v>1.138952164009055E-3</v>
      </c>
      <c r="E88" s="2"/>
      <c r="F88" s="2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</row>
    <row r="89" spans="1:19" customFormat="1" x14ac:dyDescent="0.25">
      <c r="A89" s="22">
        <v>0.88</v>
      </c>
      <c r="B89" s="23">
        <v>1586.5453161527018</v>
      </c>
      <c r="C89" s="24">
        <v>1.1376564277587597E-3</v>
      </c>
      <c r="E89" s="2"/>
      <c r="F89" s="2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</row>
    <row r="90" spans="1:19" customFormat="1" x14ac:dyDescent="0.25">
      <c r="A90" s="22">
        <v>0.88100000000000001</v>
      </c>
      <c r="B90" s="23">
        <v>1588.3482085574205</v>
      </c>
      <c r="C90" s="24">
        <v>1.136363636363491E-3</v>
      </c>
      <c r="E90" s="2"/>
      <c r="F90" s="2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</row>
    <row r="91" spans="1:19" customFormat="1" x14ac:dyDescent="0.25">
      <c r="A91" s="22">
        <v>0.88200000000000001</v>
      </c>
      <c r="B91" s="23">
        <v>1590.1511009621395</v>
      </c>
      <c r="C91" s="24">
        <v>1.1350737797957144E-3</v>
      </c>
      <c r="E91" s="2"/>
      <c r="F91" s="2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</row>
    <row r="92" spans="1:19" customFormat="1" x14ac:dyDescent="0.25">
      <c r="A92" s="22">
        <v>0.88300000000000001</v>
      </c>
      <c r="B92" s="23">
        <v>1591.9539933668584</v>
      </c>
      <c r="C92" s="24">
        <v>1.1337868480725266E-3</v>
      </c>
      <c r="E92" s="2"/>
      <c r="F92" s="2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</row>
    <row r="93" spans="1:19" customFormat="1" x14ac:dyDescent="0.25">
      <c r="A93" s="22">
        <v>0.88400000000000001</v>
      </c>
      <c r="B93" s="23">
        <v>1593.7568857715773</v>
      </c>
      <c r="C93" s="24">
        <v>1.1325028312569874E-3</v>
      </c>
      <c r="E93" s="2"/>
      <c r="F93" s="2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</row>
    <row r="94" spans="1:19" customFormat="1" x14ac:dyDescent="0.25">
      <c r="A94" s="22">
        <v>0.88500000000000001</v>
      </c>
      <c r="B94" s="23">
        <v>1595.5597781762963</v>
      </c>
      <c r="C94" s="24">
        <v>1.1312217194570096E-3</v>
      </c>
      <c r="E94" s="2"/>
      <c r="F94" s="2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</row>
    <row r="95" spans="1:19" customFormat="1" x14ac:dyDescent="0.25">
      <c r="A95" s="22">
        <v>0.88600000000000001</v>
      </c>
      <c r="B95" s="23">
        <v>1597.3626705810154</v>
      </c>
      <c r="C95" s="24">
        <v>1.129943502824915E-3</v>
      </c>
      <c r="E95" s="2"/>
      <c r="F95" s="2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</row>
    <row r="96" spans="1:19" customFormat="1" x14ac:dyDescent="0.25">
      <c r="A96" s="22">
        <v>0.88700000000000001</v>
      </c>
      <c r="B96" s="23">
        <v>1599.1655629857341</v>
      </c>
      <c r="C96" s="24">
        <v>1.1286681715574343E-3</v>
      </c>
      <c r="E96" s="2"/>
      <c r="F96" s="2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</row>
    <row r="97" spans="1:19" customFormat="1" x14ac:dyDescent="0.25">
      <c r="A97" s="22">
        <v>0.88800000000000001</v>
      </c>
      <c r="B97" s="23">
        <v>1600.9684553904533</v>
      </c>
      <c r="C97" s="24">
        <v>1.1273957158963732E-3</v>
      </c>
      <c r="E97" s="2"/>
      <c r="F97" s="2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</row>
    <row r="98" spans="1:19" customFormat="1" x14ac:dyDescent="0.25">
      <c r="A98" s="22">
        <v>0.88900000000000001</v>
      </c>
      <c r="B98" s="23">
        <v>1602.7713477951725</v>
      </c>
      <c r="C98" s="24">
        <v>1.1261261261261701E-3</v>
      </c>
      <c r="E98" s="2"/>
      <c r="F98" s="2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</row>
    <row r="99" spans="1:19" customFormat="1" x14ac:dyDescent="0.25">
      <c r="A99" s="22">
        <v>0.89</v>
      </c>
      <c r="B99" s="23">
        <v>1604.5742401998909</v>
      </c>
      <c r="C99" s="24">
        <v>1.1248593925756722E-3</v>
      </c>
      <c r="E99" s="2"/>
      <c r="F99" s="2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</row>
    <row r="100" spans="1:19" customFormat="1" x14ac:dyDescent="0.25">
      <c r="A100" s="22">
        <v>0.89100000000000001</v>
      </c>
      <c r="B100" s="23">
        <v>1606.3771326046101</v>
      </c>
      <c r="C100" s="24">
        <v>1.1235955056181357E-3</v>
      </c>
      <c r="E100" s="2"/>
      <c r="F100" s="2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</row>
    <row r="101" spans="1:19" customFormat="1" x14ac:dyDescent="0.25">
      <c r="A101" s="22">
        <v>0.89200000000000002</v>
      </c>
      <c r="B101" s="23">
        <v>1608.1800250093288</v>
      </c>
      <c r="C101" s="24">
        <v>1.1223344556676729E-3</v>
      </c>
      <c r="E101" s="2"/>
      <c r="F101" s="2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</row>
    <row r="102" spans="1:19" customFormat="1" x14ac:dyDescent="0.25">
      <c r="A102" s="22">
        <v>0.89300000000000002</v>
      </c>
      <c r="B102" s="23">
        <v>1609.982917414048</v>
      </c>
      <c r="C102" s="24">
        <v>1.1210762331839152E-3</v>
      </c>
      <c r="E102" s="2"/>
      <c r="F102" s="2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</row>
    <row r="103" spans="1:19" customFormat="1" x14ac:dyDescent="0.25">
      <c r="A103" s="22">
        <v>0.89400000000000002</v>
      </c>
      <c r="B103" s="23">
        <v>1611.7858098187669</v>
      </c>
      <c r="C103" s="24">
        <v>1.1198208286673506E-3</v>
      </c>
      <c r="E103" s="2"/>
      <c r="F103" s="2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</row>
    <row r="104" spans="1:19" customFormat="1" x14ac:dyDescent="0.25">
      <c r="A104" s="22">
        <v>0.89500000000000002</v>
      </c>
      <c r="B104" s="23">
        <v>1613.5887022234858</v>
      </c>
      <c r="C104" s="24">
        <v>1.1185682326622093E-3</v>
      </c>
      <c r="E104" s="2"/>
      <c r="F104" s="2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</row>
    <row r="105" spans="1:19" customFormat="1" x14ac:dyDescent="0.25">
      <c r="A105" s="22">
        <v>0.89600000000000002</v>
      </c>
      <c r="B105" s="23">
        <v>1615.391594628205</v>
      </c>
      <c r="C105" s="24">
        <v>1.1173184357542443E-3</v>
      </c>
      <c r="E105" s="2"/>
      <c r="F105" s="2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</row>
    <row r="106" spans="1:19" customFormat="1" x14ac:dyDescent="0.25">
      <c r="A106" s="22">
        <v>0.89700000000000002</v>
      </c>
      <c r="B106" s="23">
        <v>1617.1944870329239</v>
      </c>
      <c r="C106" s="24">
        <v>1.1160714285713969E-3</v>
      </c>
      <c r="E106" s="2"/>
      <c r="F106" s="2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</row>
    <row r="107" spans="1:19" customFormat="1" x14ac:dyDescent="0.25">
      <c r="A107" s="22">
        <v>0.89800000000000002</v>
      </c>
      <c r="B107" s="23">
        <v>1618.9973794376431</v>
      </c>
      <c r="C107" s="24">
        <v>1.1148272017837968E-3</v>
      </c>
      <c r="E107" s="2"/>
      <c r="F107" s="2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</row>
    <row r="108" spans="1:19" customFormat="1" x14ac:dyDescent="0.25">
      <c r="A108" s="22">
        <v>0.89900000000000002</v>
      </c>
      <c r="B108" s="23">
        <v>1620.8002718423625</v>
      </c>
      <c r="C108" s="24">
        <v>1.1135857461026522E-3</v>
      </c>
      <c r="E108" s="2"/>
      <c r="F108" s="2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</row>
    <row r="109" spans="1:19" customFormat="1" x14ac:dyDescent="0.25">
      <c r="A109" s="19">
        <v>0.9</v>
      </c>
      <c r="B109" s="20">
        <v>2433.9047463706215</v>
      </c>
      <c r="C109" s="21">
        <v>0.50166852057842015</v>
      </c>
      <c r="E109" s="2"/>
      <c r="F109" s="2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</row>
    <row r="110" spans="1:19" customFormat="1" x14ac:dyDescent="0.25">
      <c r="A110" s="22">
        <v>0.90100000000000002</v>
      </c>
      <c r="B110" s="23">
        <v>2436.6090849777006</v>
      </c>
      <c r="C110" s="24">
        <v>1.1111111111112848E-3</v>
      </c>
      <c r="E110" s="2"/>
      <c r="F110" s="2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</row>
    <row r="111" spans="1:19" customFormat="1" x14ac:dyDescent="0.25">
      <c r="A111" s="22">
        <v>0.90200000000000002</v>
      </c>
      <c r="B111" s="23">
        <v>2439.3134235847792</v>
      </c>
      <c r="C111" s="24">
        <v>1.1098779134295356E-3</v>
      </c>
      <c r="E111" s="2"/>
      <c r="F111" s="2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</row>
    <row r="112" spans="1:19" customFormat="1" x14ac:dyDescent="0.25">
      <c r="A112" s="22">
        <v>0.90300000000000002</v>
      </c>
      <c r="B112" s="23">
        <v>2442.0177621918583</v>
      </c>
      <c r="C112" s="24">
        <v>1.1086474501111887E-3</v>
      </c>
      <c r="E112" s="2"/>
      <c r="F112" s="2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</row>
    <row r="113" spans="1:19" customFormat="1" x14ac:dyDescent="0.25">
      <c r="A113" s="22">
        <v>0.90400000000000003</v>
      </c>
      <c r="B113" s="23">
        <v>2444.7221007989365</v>
      </c>
      <c r="C113" s="24">
        <v>1.1074197120708451E-3</v>
      </c>
      <c r="E113" s="2"/>
      <c r="F113" s="2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</row>
    <row r="114" spans="1:19" customFormat="1" x14ac:dyDescent="0.25">
      <c r="A114" s="22">
        <v>0.90500000000000003</v>
      </c>
      <c r="B114" s="23">
        <v>2447.4264394060147</v>
      </c>
      <c r="C114" s="24">
        <v>1.1061946902652942E-3</v>
      </c>
      <c r="E114" s="2"/>
      <c r="F114" s="2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</row>
    <row r="115" spans="1:19" customFormat="1" x14ac:dyDescent="0.25">
      <c r="A115" s="22">
        <v>0.90600000000000003</v>
      </c>
      <c r="B115" s="23">
        <v>2450.1307780130928</v>
      </c>
      <c r="C115" s="24">
        <v>1.1049723756904051E-3</v>
      </c>
      <c r="E115" s="2"/>
      <c r="F115" s="2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</row>
    <row r="116" spans="1:19" customFormat="1" x14ac:dyDescent="0.25">
      <c r="A116" s="22">
        <v>0.90700000000000003</v>
      </c>
      <c r="B116" s="23">
        <v>2452.835116620171</v>
      </c>
      <c r="C116" s="24">
        <v>1.1037527593817931E-3</v>
      </c>
      <c r="E116" s="2"/>
      <c r="F116" s="2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</row>
    <row r="117" spans="1:19" customFormat="1" x14ac:dyDescent="0.25">
      <c r="A117" s="22">
        <v>0.90800000000000003</v>
      </c>
      <c r="B117" s="23">
        <v>2455.5394552272496</v>
      </c>
      <c r="C117" s="24">
        <v>1.1025358324145973E-3</v>
      </c>
      <c r="E117" s="2"/>
      <c r="F117" s="2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</row>
    <row r="118" spans="1:19" customFormat="1" x14ac:dyDescent="0.25">
      <c r="A118" s="22">
        <v>0.90900000000000003</v>
      </c>
      <c r="B118" s="23">
        <v>2458.2437938343278</v>
      </c>
      <c r="C118" s="24">
        <v>1.1013215859030367E-3</v>
      </c>
      <c r="E118" s="2"/>
      <c r="F118" s="2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</row>
    <row r="119" spans="1:19" customFormat="1" x14ac:dyDescent="0.25">
      <c r="A119" s="22">
        <v>0.91</v>
      </c>
      <c r="B119" s="23">
        <v>2460.9481324414064</v>
      </c>
      <c r="C119" s="24">
        <v>1.1001100110010764E-3</v>
      </c>
      <c r="E119" s="2"/>
      <c r="F119" s="2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</row>
    <row r="120" spans="1:19" customFormat="1" x14ac:dyDescent="0.25">
      <c r="A120" s="22">
        <v>0.91100000000000003</v>
      </c>
      <c r="B120" s="23">
        <v>2463.652471048485</v>
      </c>
      <c r="C120" s="24">
        <v>1.098901098901095E-3</v>
      </c>
      <c r="E120" s="2"/>
      <c r="F120" s="2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</row>
    <row r="121" spans="1:19" customFormat="1" x14ac:dyDescent="0.25">
      <c r="A121" s="22">
        <v>0.91200000000000003</v>
      </c>
      <c r="B121" s="23">
        <v>2466.3568096555637</v>
      </c>
      <c r="C121" s="24">
        <v>1.097694840834329E-3</v>
      </c>
      <c r="E121" s="2"/>
      <c r="F121" s="2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</row>
    <row r="122" spans="1:19" customFormat="1" x14ac:dyDescent="0.25">
      <c r="A122" s="22">
        <v>0.91300000000000003</v>
      </c>
      <c r="B122" s="23">
        <v>2469.0611482626423</v>
      </c>
      <c r="C122" s="24">
        <v>1.0964912280702066E-3</v>
      </c>
      <c r="E122" s="2"/>
      <c r="F122" s="2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</row>
    <row r="123" spans="1:19" customFormat="1" x14ac:dyDescent="0.25">
      <c r="A123" s="22">
        <v>0.91400000000000003</v>
      </c>
      <c r="B123" s="23">
        <v>2471.7654868697205</v>
      </c>
      <c r="C123" s="24">
        <v>1.0952902519165697E-3</v>
      </c>
      <c r="E123" s="2"/>
      <c r="F123" s="2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</row>
    <row r="124" spans="1:19" customFormat="1" x14ac:dyDescent="0.25">
      <c r="A124" s="22">
        <v>0.91500000000000004</v>
      </c>
      <c r="B124" s="23">
        <v>2474.4698254767991</v>
      </c>
      <c r="C124" s="24">
        <v>1.094091903719896E-3</v>
      </c>
      <c r="E124" s="2"/>
      <c r="F124" s="2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</row>
    <row r="125" spans="1:19" customFormat="1" x14ac:dyDescent="0.25">
      <c r="A125" s="22">
        <v>0.91600000000000004</v>
      </c>
      <c r="B125" s="23">
        <v>2477.1741640838777</v>
      </c>
      <c r="C125" s="24">
        <v>1.0928961748635224E-3</v>
      </c>
      <c r="E125" s="2"/>
      <c r="F125" s="2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</row>
    <row r="126" spans="1:19" customFormat="1" x14ac:dyDescent="0.25">
      <c r="A126" s="22">
        <v>0.91700000000000004</v>
      </c>
      <c r="B126" s="23">
        <v>2479.8785026909563</v>
      </c>
      <c r="C126" s="24">
        <v>1.0917030567685337E-3</v>
      </c>
      <c r="E126" s="2"/>
      <c r="F126" s="2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</row>
    <row r="127" spans="1:19" customFormat="1" x14ac:dyDescent="0.25">
      <c r="A127" s="22">
        <v>0.91800000000000004</v>
      </c>
      <c r="B127" s="23">
        <v>2482.582841298035</v>
      </c>
      <c r="C127" s="24">
        <v>1.0905125408942062E-3</v>
      </c>
      <c r="E127" s="2"/>
      <c r="F127" s="2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</row>
    <row r="128" spans="1:19" customFormat="1" x14ac:dyDescent="0.25">
      <c r="A128" s="22">
        <v>0.91900000000000004</v>
      </c>
      <c r="B128" s="23">
        <v>2485.2871799051131</v>
      </c>
      <c r="C128" s="24">
        <v>1.0893246187362315E-3</v>
      </c>
      <c r="E128" s="2"/>
      <c r="F128" s="2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</row>
    <row r="129" spans="1:19" customFormat="1" x14ac:dyDescent="0.25">
      <c r="A129" s="22">
        <v>0.92</v>
      </c>
      <c r="B129" s="23">
        <v>2487.9915185121918</v>
      </c>
      <c r="C129" s="24">
        <v>1.0881392818280489E-3</v>
      </c>
      <c r="E129" s="2"/>
      <c r="F129" s="2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</row>
    <row r="130" spans="1:19" customFormat="1" x14ac:dyDescent="0.25">
      <c r="A130" s="22">
        <v>0.92100000000000004</v>
      </c>
      <c r="B130" s="23">
        <v>2490.6958571192708</v>
      </c>
      <c r="C130" s="24">
        <v>1.0869565217392907E-3</v>
      </c>
      <c r="E130" s="2"/>
      <c r="F130" s="2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</row>
    <row r="131" spans="1:19" customFormat="1" x14ac:dyDescent="0.25">
      <c r="A131" s="22">
        <v>0.92200000000000004</v>
      </c>
      <c r="B131" s="23">
        <v>2493.4001957263495</v>
      </c>
      <c r="C131" s="24">
        <v>1.0857763300760048E-3</v>
      </c>
      <c r="E131" s="2"/>
      <c r="F131" s="2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</row>
    <row r="132" spans="1:19" customFormat="1" x14ac:dyDescent="0.25">
      <c r="A132" s="22">
        <v>0.92300000000000004</v>
      </c>
      <c r="B132" s="23">
        <v>2496.1045343334281</v>
      </c>
      <c r="C132" s="24">
        <v>1.0845986984815426E-3</v>
      </c>
      <c r="E132" s="2"/>
      <c r="F132" s="2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</row>
    <row r="133" spans="1:19" customFormat="1" x14ac:dyDescent="0.25">
      <c r="A133" s="22">
        <v>0.92400000000000004</v>
      </c>
      <c r="B133" s="23">
        <v>2498.8088729405067</v>
      </c>
      <c r="C133" s="24">
        <v>1.0834236186350044E-3</v>
      </c>
      <c r="E133" s="2"/>
      <c r="F133" s="2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</row>
    <row r="134" spans="1:19" customFormat="1" x14ac:dyDescent="0.25">
      <c r="A134" s="22">
        <v>0.92500000000000004</v>
      </c>
      <c r="B134" s="23">
        <v>2501.5132115475858</v>
      </c>
      <c r="C134" s="24">
        <v>1.0822510822512399E-3</v>
      </c>
      <c r="E134" s="2"/>
      <c r="F134" s="2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</row>
    <row r="135" spans="1:19" customFormat="1" x14ac:dyDescent="0.25">
      <c r="A135" s="22">
        <v>0.92600000000000005</v>
      </c>
      <c r="B135" s="23">
        <v>2504.2175501546644</v>
      </c>
      <c r="C135" s="24">
        <v>1.08108108108107E-3</v>
      </c>
      <c r="E135" s="2"/>
      <c r="F135" s="2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</row>
    <row r="136" spans="1:19" customFormat="1" x14ac:dyDescent="0.25">
      <c r="A136" s="22">
        <v>0.92700000000000005</v>
      </c>
      <c r="B136" s="23">
        <v>2506.921888761743</v>
      </c>
      <c r="C136" s="24">
        <v>1.0799136069115089E-3</v>
      </c>
      <c r="E136" s="2"/>
      <c r="F136" s="2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</row>
    <row r="137" spans="1:19" customFormat="1" x14ac:dyDescent="0.25">
      <c r="A137" s="22">
        <v>0.92800000000000005</v>
      </c>
      <c r="B137" s="23">
        <v>2509.6262273688217</v>
      </c>
      <c r="C137" s="24">
        <v>1.0787486515642097E-3</v>
      </c>
      <c r="E137" s="2"/>
      <c r="F137" s="2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</row>
    <row r="138" spans="1:19" customFormat="1" x14ac:dyDescent="0.25">
      <c r="A138" s="22">
        <v>0.92900000000000005</v>
      </c>
      <c r="B138" s="23">
        <v>2512.3305659759003</v>
      </c>
      <c r="C138" s="24">
        <v>1.0775862068965747E-3</v>
      </c>
      <c r="E138" s="2"/>
      <c r="F138" s="2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</row>
    <row r="139" spans="1:19" customFormat="1" x14ac:dyDescent="0.25">
      <c r="A139" s="22">
        <v>0.93</v>
      </c>
      <c r="B139" s="23">
        <v>2515.034904582978</v>
      </c>
      <c r="C139" s="24">
        <v>1.0764262648006451E-3</v>
      </c>
      <c r="E139" s="2"/>
      <c r="F139" s="2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</row>
    <row r="140" spans="1:19" customFormat="1" x14ac:dyDescent="0.25">
      <c r="A140" s="22">
        <v>0.93100000000000005</v>
      </c>
      <c r="B140" s="23">
        <v>2517.7392431900566</v>
      </c>
      <c r="C140" s="24">
        <v>1.0752688172044333E-3</v>
      </c>
      <c r="E140" s="2"/>
      <c r="F140" s="2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</row>
    <row r="141" spans="1:19" customFormat="1" x14ac:dyDescent="0.25">
      <c r="A141" s="22">
        <v>0.93200000000000005</v>
      </c>
      <c r="B141" s="23">
        <v>2520.4435817971348</v>
      </c>
      <c r="C141" s="24">
        <v>1.0741138560685926E-3</v>
      </c>
      <c r="E141" s="2"/>
      <c r="F141" s="2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</row>
    <row r="142" spans="1:19" customFormat="1" x14ac:dyDescent="0.25">
      <c r="A142" s="22">
        <v>0.93300000000000005</v>
      </c>
      <c r="B142" s="23">
        <v>2523.1479204042134</v>
      </c>
      <c r="C142" s="24">
        <v>1.0729613733906351E-3</v>
      </c>
      <c r="E142" s="2"/>
      <c r="F142" s="2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</row>
    <row r="143" spans="1:19" customFormat="1" x14ac:dyDescent="0.25">
      <c r="A143" s="22">
        <v>0.93400000000000005</v>
      </c>
      <c r="B143" s="23">
        <v>2525.8522590112921</v>
      </c>
      <c r="C143" s="24">
        <v>1.071811361200492E-3</v>
      </c>
      <c r="E143" s="2"/>
      <c r="F143" s="2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</row>
    <row r="144" spans="1:19" customFormat="1" x14ac:dyDescent="0.25">
      <c r="A144" s="22">
        <v>0.93500000000000005</v>
      </c>
      <c r="B144" s="23">
        <v>2528.5565976183698</v>
      </c>
      <c r="C144" s="24">
        <v>1.0706638115629552E-3</v>
      </c>
      <c r="E144" s="2"/>
      <c r="F144" s="2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</row>
    <row r="145" spans="1:19" customFormat="1" x14ac:dyDescent="0.25">
      <c r="A145" s="22">
        <v>0.93600000000000005</v>
      </c>
      <c r="B145" s="23">
        <v>2531.2609362254484</v>
      </c>
      <c r="C145" s="24">
        <v>1.0695187165776776E-3</v>
      </c>
      <c r="E145" s="2"/>
      <c r="F145" s="2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</row>
    <row r="146" spans="1:19" customFormat="1" x14ac:dyDescent="0.25">
      <c r="A146" s="22">
        <v>0.93700000000000006</v>
      </c>
      <c r="B146" s="23">
        <v>2533.965274832527</v>
      </c>
      <c r="C146" s="24">
        <v>1.0683760683760646E-3</v>
      </c>
      <c r="E146" s="2"/>
      <c r="F146" s="2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</row>
    <row r="147" spans="1:19" customFormat="1" x14ac:dyDescent="0.25">
      <c r="A147" s="22">
        <v>0.93799999999999994</v>
      </c>
      <c r="B147" s="23">
        <v>2536.6696134396052</v>
      </c>
      <c r="C147" s="24">
        <v>1.0672358591248265E-3</v>
      </c>
      <c r="E147" s="2"/>
      <c r="F147" s="2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</row>
    <row r="148" spans="1:19" customFormat="1" x14ac:dyDescent="0.25">
      <c r="A148" s="22">
        <v>0.93899999999999995</v>
      </c>
      <c r="B148" s="23">
        <v>2539.3739520466838</v>
      </c>
      <c r="C148" s="24">
        <v>1.0660980810235365E-3</v>
      </c>
      <c r="E148" s="2"/>
      <c r="F148" s="2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</row>
    <row r="149" spans="1:19" customFormat="1" x14ac:dyDescent="0.25">
      <c r="A149" s="22">
        <v>0.94</v>
      </c>
      <c r="B149" s="23">
        <v>2542.0782906537625</v>
      </c>
      <c r="C149" s="24">
        <v>1.0649627263046302E-3</v>
      </c>
      <c r="E149" s="2"/>
      <c r="F149" s="2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</row>
    <row r="150" spans="1:19" customFormat="1" x14ac:dyDescent="0.25">
      <c r="A150" s="22">
        <v>0.94099999999999995</v>
      </c>
      <c r="B150" s="23">
        <v>2544.7826292608406</v>
      </c>
      <c r="C150" s="24">
        <v>1.0638297872338498E-3</v>
      </c>
      <c r="E150" s="2"/>
      <c r="F150" s="2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</row>
    <row r="151" spans="1:19" customFormat="1" x14ac:dyDescent="0.25">
      <c r="A151" s="22">
        <v>0.94199999999999995</v>
      </c>
      <c r="B151" s="23">
        <v>2547.4869678679197</v>
      </c>
      <c r="C151" s="24">
        <v>1.0626992561106885E-3</v>
      </c>
      <c r="E151" s="2"/>
      <c r="F151" s="2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</row>
    <row r="152" spans="1:19" customFormat="1" x14ac:dyDescent="0.25">
      <c r="A152" s="22">
        <v>0.94299999999999995</v>
      </c>
      <c r="B152" s="23">
        <v>2550.1913064749983</v>
      </c>
      <c r="C152" s="24">
        <v>1.0615711252655036E-3</v>
      </c>
      <c r="E152" s="2"/>
      <c r="F152" s="2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</row>
    <row r="153" spans="1:19" customFormat="1" x14ac:dyDescent="0.25">
      <c r="A153" s="22">
        <v>0.94399999999999995</v>
      </c>
      <c r="B153" s="23">
        <v>2552.8956450820765</v>
      </c>
      <c r="C153" s="24">
        <v>1.0604453870624031E-3</v>
      </c>
      <c r="E153" s="2"/>
      <c r="F153" s="2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</row>
    <row r="154" spans="1:19" customFormat="1" x14ac:dyDescent="0.25">
      <c r="A154" s="22">
        <v>0.94499999999999995</v>
      </c>
      <c r="B154" s="23">
        <v>2555.5999836891547</v>
      </c>
      <c r="C154" s="24">
        <v>1.0593220338981357E-3</v>
      </c>
      <c r="E154" s="2"/>
      <c r="F154" s="2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</row>
    <row r="155" spans="1:19" customFormat="1" x14ac:dyDescent="0.25">
      <c r="A155" s="22">
        <v>0.94599999999999995</v>
      </c>
      <c r="B155" s="23">
        <v>2558.3043222962333</v>
      </c>
      <c r="C155" s="24">
        <v>1.0582010582012025E-3</v>
      </c>
      <c r="E155" s="2"/>
      <c r="F155" s="2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</row>
    <row r="156" spans="1:19" customFormat="1" x14ac:dyDescent="0.25">
      <c r="A156" s="22">
        <v>0.94699999999999995</v>
      </c>
      <c r="B156" s="23">
        <v>2561.0086609033119</v>
      </c>
      <c r="C156" s="24">
        <v>1.0570824524314126E-3</v>
      </c>
      <c r="E156" s="2"/>
      <c r="F156" s="2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</row>
    <row r="157" spans="1:19" customFormat="1" x14ac:dyDescent="0.25">
      <c r="A157" s="22">
        <v>0.94799999999999995</v>
      </c>
      <c r="B157" s="23">
        <v>2563.7129995103905</v>
      </c>
      <c r="C157" s="24">
        <v>1.0559662090814381E-3</v>
      </c>
      <c r="E157" s="2"/>
      <c r="F157" s="2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</row>
    <row r="158" spans="1:19" customFormat="1" x14ac:dyDescent="0.25">
      <c r="A158" s="22">
        <v>0.94899999999999995</v>
      </c>
      <c r="B158" s="23">
        <v>2566.4173381174696</v>
      </c>
      <c r="C158" s="24">
        <v>1.0548523206752591E-3</v>
      </c>
      <c r="E158" s="2"/>
      <c r="F158" s="2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</row>
    <row r="159" spans="1:19" customFormat="1" x14ac:dyDescent="0.25">
      <c r="A159" s="22">
        <v>0.95</v>
      </c>
      <c r="B159" s="23">
        <v>2569.1216767245483</v>
      </c>
      <c r="C159" s="24">
        <v>1.0537407797681642E-3</v>
      </c>
      <c r="E159" s="2"/>
      <c r="F159" s="2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</row>
    <row r="160" spans="1:19" customFormat="1" x14ac:dyDescent="0.25">
      <c r="A160" s="22">
        <v>0.95099999999999996</v>
      </c>
      <c r="B160" s="23">
        <v>2571.8260153316264</v>
      </c>
      <c r="C160" s="24">
        <v>1.0526315789471941E-3</v>
      </c>
      <c r="E160" s="2"/>
      <c r="F160" s="2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</row>
    <row r="161" spans="1:19" customFormat="1" x14ac:dyDescent="0.25">
      <c r="A161" s="22">
        <v>0.95199999999999996</v>
      </c>
      <c r="B161" s="23">
        <v>2574.530353938705</v>
      </c>
      <c r="C161" s="24">
        <v>1.051524710830698E-3</v>
      </c>
      <c r="E161" s="2"/>
      <c r="F161" s="2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</row>
    <row r="162" spans="1:19" customFormat="1" x14ac:dyDescent="0.25">
      <c r="A162" s="22">
        <v>0.95299999999999996</v>
      </c>
      <c r="B162" s="23">
        <v>2577.2346925457837</v>
      </c>
      <c r="C162" s="24">
        <v>1.0504201680672232E-3</v>
      </c>
      <c r="E162" s="2"/>
      <c r="F162" s="2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</row>
    <row r="163" spans="1:19" customFormat="1" x14ac:dyDescent="0.25">
      <c r="A163" s="22">
        <v>0.95399999999999996</v>
      </c>
      <c r="B163" s="23">
        <v>2579.9390311528623</v>
      </c>
      <c r="C163" s="24">
        <v>1.0493179433368471E-3</v>
      </c>
      <c r="E163" s="2"/>
      <c r="F163" s="2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</row>
    <row r="164" spans="1:19" customFormat="1" x14ac:dyDescent="0.25">
      <c r="A164" s="22">
        <v>0.95499999999999996</v>
      </c>
      <c r="B164" s="23">
        <v>2582.6433697599405</v>
      </c>
      <c r="C164" s="24">
        <v>1.0482180293500676E-3</v>
      </c>
      <c r="E164" s="2"/>
      <c r="F164" s="2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</row>
    <row r="165" spans="1:19" customFormat="1" x14ac:dyDescent="0.25">
      <c r="A165" s="22">
        <v>0.95599999999999996</v>
      </c>
      <c r="B165" s="23">
        <v>2585.3477083670191</v>
      </c>
      <c r="C165" s="24">
        <v>1.0471204188482464E-3</v>
      </c>
      <c r="E165" s="2"/>
      <c r="F165" s="2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</row>
    <row r="166" spans="1:19" customFormat="1" x14ac:dyDescent="0.25">
      <c r="A166" s="22">
        <v>0.95699999999999996</v>
      </c>
      <c r="B166" s="23">
        <v>2588.0520469740977</v>
      </c>
      <c r="C166" s="24">
        <v>1.0460251046024993E-3</v>
      </c>
      <c r="E166" s="2"/>
      <c r="F166" s="2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</row>
    <row r="167" spans="1:19" customFormat="1" x14ac:dyDescent="0.25">
      <c r="A167" s="22">
        <v>0.95799999999999996</v>
      </c>
      <c r="B167" s="23">
        <v>2590.7563855811759</v>
      </c>
      <c r="C167" s="24">
        <v>1.0449320794148065E-3</v>
      </c>
      <c r="E167" s="2"/>
      <c r="F167" s="2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</row>
    <row r="168" spans="1:19" customFormat="1" x14ac:dyDescent="0.25">
      <c r="A168" s="22">
        <v>0.95899999999999996</v>
      </c>
      <c r="B168" s="23">
        <v>2593.4607241882545</v>
      </c>
      <c r="C168" s="24">
        <v>1.0438413361169019E-3</v>
      </c>
      <c r="E168" s="2"/>
      <c r="F168" s="2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</row>
    <row r="169" spans="1:19" customFormat="1" x14ac:dyDescent="0.25">
      <c r="A169" s="22">
        <v>0.96</v>
      </c>
      <c r="B169" s="23">
        <v>2596.1650627953331</v>
      </c>
      <c r="C169" s="24">
        <v>1.0427528675704956E-3</v>
      </c>
      <c r="E169" s="2"/>
      <c r="F169" s="2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</row>
    <row r="170" spans="1:19" customFormat="1" x14ac:dyDescent="0.25">
      <c r="A170" s="22">
        <v>0.96099999999999997</v>
      </c>
      <c r="B170" s="23">
        <v>2598.8694014024122</v>
      </c>
      <c r="C170" s="24">
        <v>1.0416666666668295E-3</v>
      </c>
      <c r="E170" s="2"/>
      <c r="F170" s="2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</row>
    <row r="171" spans="1:19" customFormat="1" x14ac:dyDescent="0.25">
      <c r="A171" s="22">
        <v>0.96199999999999997</v>
      </c>
      <c r="B171" s="23">
        <v>2601.5737400094899</v>
      </c>
      <c r="C171" s="24">
        <v>1.0405827263264555E-3</v>
      </c>
      <c r="E171" s="2"/>
      <c r="F171" s="2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</row>
    <row r="172" spans="1:19" customFormat="1" x14ac:dyDescent="0.25">
      <c r="A172" s="22">
        <v>0.96299999999999997</v>
      </c>
      <c r="B172" s="23">
        <v>2604.2780786165686</v>
      </c>
      <c r="C172" s="24">
        <v>1.0395010395010118E-3</v>
      </c>
      <c r="E172" s="2"/>
      <c r="F172" s="2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</row>
    <row r="173" spans="1:19" customFormat="1" x14ac:dyDescent="0.25">
      <c r="A173" s="22">
        <v>0.96399999999999997</v>
      </c>
      <c r="B173" s="23">
        <v>2606.9824172236467</v>
      </c>
      <c r="C173" s="24">
        <v>1.0384215991692258E-3</v>
      </c>
      <c r="E173" s="2"/>
      <c r="F173" s="2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</row>
    <row r="174" spans="1:19" customFormat="1" x14ac:dyDescent="0.25">
      <c r="A174" s="22">
        <v>0.96499999999999997</v>
      </c>
      <c r="B174" s="23">
        <v>2609.6867558307254</v>
      </c>
      <c r="C174" s="24">
        <v>1.0373443983402453E-3</v>
      </c>
      <c r="E174" s="2"/>
      <c r="F174" s="2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</row>
    <row r="175" spans="1:19" customFormat="1" x14ac:dyDescent="0.25">
      <c r="A175" s="22">
        <v>0.96599999999999997</v>
      </c>
      <c r="B175" s="23">
        <v>2612.391094437804</v>
      </c>
      <c r="C175" s="24">
        <v>1.0362694300518616E-3</v>
      </c>
      <c r="E175" s="2"/>
      <c r="F175" s="2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</row>
    <row r="176" spans="1:19" customFormat="1" x14ac:dyDescent="0.25">
      <c r="A176" s="22">
        <v>0.96699999999999997</v>
      </c>
      <c r="B176" s="23">
        <v>2615.0954330448822</v>
      </c>
      <c r="C176" s="24">
        <v>1.0351966873705098E-3</v>
      </c>
      <c r="E176" s="2"/>
      <c r="F176" s="2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</row>
    <row r="177" spans="1:19" customFormat="1" x14ac:dyDescent="0.25">
      <c r="A177" s="22">
        <v>0.96799999999999997</v>
      </c>
      <c r="B177" s="23">
        <v>2617.7997716519608</v>
      </c>
      <c r="C177" s="24">
        <v>1.0341261633919352E-3</v>
      </c>
      <c r="E177" s="2"/>
      <c r="F177" s="2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</row>
    <row r="178" spans="1:19" customFormat="1" x14ac:dyDescent="0.25">
      <c r="A178" s="22">
        <v>0.96899999999999997</v>
      </c>
      <c r="B178" s="23">
        <v>2620.504110259039</v>
      </c>
      <c r="C178" s="24">
        <v>1.0330578512396382E-3</v>
      </c>
      <c r="E178" s="2"/>
      <c r="F178" s="2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</row>
    <row r="179" spans="1:19" customFormat="1" x14ac:dyDescent="0.25">
      <c r="A179" s="22">
        <v>0.97</v>
      </c>
      <c r="B179" s="23">
        <v>2623.2084488661171</v>
      </c>
      <c r="C179" s="24">
        <v>1.0319917440659854E-3</v>
      </c>
      <c r="E179" s="2"/>
      <c r="F179" s="2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</row>
    <row r="180" spans="1:19" customFormat="1" x14ac:dyDescent="0.25">
      <c r="A180" s="22">
        <v>0.97099999999999997</v>
      </c>
      <c r="B180" s="23">
        <v>2625.9127874731957</v>
      </c>
      <c r="C180" s="24">
        <v>1.0309278350515427E-3</v>
      </c>
      <c r="E180" s="2"/>
      <c r="F180" s="2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</row>
    <row r="181" spans="1:19" customFormat="1" x14ac:dyDescent="0.25">
      <c r="A181" s="22">
        <v>0.97199999999999998</v>
      </c>
      <c r="B181" s="23">
        <v>2628.6171260802744</v>
      </c>
      <c r="C181" s="24">
        <v>1.029866117404854E-3</v>
      </c>
      <c r="E181" s="2"/>
      <c r="F181" s="2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</row>
    <row r="182" spans="1:19" customFormat="1" x14ac:dyDescent="0.25">
      <c r="A182" s="22">
        <v>0.97299999999999998</v>
      </c>
      <c r="B182" s="23">
        <v>2631.3214646873525</v>
      </c>
      <c r="C182" s="24">
        <v>1.0288065843619965E-3</v>
      </c>
      <c r="E182" s="2"/>
      <c r="F182" s="2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</row>
    <row r="183" spans="1:19" customFormat="1" x14ac:dyDescent="0.25">
      <c r="A183" s="22">
        <v>0.97399999999999998</v>
      </c>
      <c r="B183" s="23">
        <v>2634.0258032944312</v>
      </c>
      <c r="C183" s="24">
        <v>1.0277492291881352E-3</v>
      </c>
      <c r="E183" s="2"/>
      <c r="F183" s="2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</row>
    <row r="184" spans="1:19" customFormat="1" x14ac:dyDescent="0.25">
      <c r="A184" s="22">
        <v>0.97499999999999998</v>
      </c>
      <c r="B184" s="23">
        <v>2636.7301419015098</v>
      </c>
      <c r="C184" s="24">
        <v>1.0266940451746365E-3</v>
      </c>
      <c r="E184" s="2"/>
      <c r="F184" s="2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</row>
    <row r="185" spans="1:19" customFormat="1" x14ac:dyDescent="0.25">
      <c r="A185" s="22">
        <v>0.97599999999999998</v>
      </c>
      <c r="B185" s="23">
        <v>2639.434480508588</v>
      </c>
      <c r="C185" s="24">
        <v>1.0256410256408444E-3</v>
      </c>
      <c r="E185" s="2"/>
      <c r="F185" s="2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</row>
    <row r="186" spans="1:19" customFormat="1" x14ac:dyDescent="0.25">
      <c r="A186" s="22">
        <v>0.97699999999999998</v>
      </c>
      <c r="B186" s="23">
        <v>2642.1388191156666</v>
      </c>
      <c r="C186" s="24">
        <v>1.0245901639345245E-3</v>
      </c>
      <c r="E186" s="2"/>
      <c r="F186" s="2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</row>
    <row r="187" spans="1:19" customFormat="1" x14ac:dyDescent="0.25">
      <c r="A187" s="22">
        <v>0.97799999999999998</v>
      </c>
      <c r="B187" s="23">
        <v>2644.8431577227452</v>
      </c>
      <c r="C187" s="24">
        <v>1.0235414534289777E-3</v>
      </c>
      <c r="E187" s="2"/>
      <c r="F187" s="2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</row>
    <row r="188" spans="1:19" customFormat="1" x14ac:dyDescent="0.25">
      <c r="A188" s="22">
        <v>0.97899999999999998</v>
      </c>
      <c r="B188" s="23">
        <v>2647.5474963298234</v>
      </c>
      <c r="C188" s="24">
        <v>1.0224948875254825E-3</v>
      </c>
      <c r="E188" s="2"/>
      <c r="F188" s="2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</row>
    <row r="189" spans="1:19" customFormat="1" x14ac:dyDescent="0.25">
      <c r="A189" s="22">
        <v>0.98</v>
      </c>
      <c r="B189" s="23">
        <v>2650.251834936902</v>
      </c>
      <c r="C189" s="24">
        <v>1.0214504596528506E-3</v>
      </c>
      <c r="E189" s="2"/>
      <c r="F189" s="2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</row>
    <row r="190" spans="1:19" customFormat="1" x14ac:dyDescent="0.25">
      <c r="A190" s="22">
        <v>0.98099999999999998</v>
      </c>
      <c r="B190" s="23">
        <v>2652.9561735439806</v>
      </c>
      <c r="C190" s="24">
        <v>1.0204081632654294E-3</v>
      </c>
      <c r="E190" s="2"/>
      <c r="F190" s="2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</row>
    <row r="191" spans="1:19" customFormat="1" x14ac:dyDescent="0.25">
      <c r="A191" s="22">
        <v>0.98199999999999998</v>
      </c>
      <c r="B191" s="23">
        <v>2655.6605121510588</v>
      </c>
      <c r="C191" s="24">
        <v>1.0193679918448773E-3</v>
      </c>
      <c r="E191" s="2"/>
      <c r="F191" s="2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</row>
    <row r="192" spans="1:19" customFormat="1" x14ac:dyDescent="0.25">
      <c r="A192" s="22">
        <v>0.98299999999999998</v>
      </c>
      <c r="B192" s="23">
        <v>2658.364850758137</v>
      </c>
      <c r="C192" s="24">
        <v>1.0183299389001643E-3</v>
      </c>
      <c r="E192" s="2"/>
      <c r="F192" s="2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</row>
    <row r="193" spans="1:19" customFormat="1" x14ac:dyDescent="0.25">
      <c r="A193" s="22">
        <v>0.98399999999999999</v>
      </c>
      <c r="B193" s="23">
        <v>2661.0691893652152</v>
      </c>
      <c r="C193" s="24">
        <v>1.0172939979653517E-3</v>
      </c>
      <c r="E193" s="2"/>
      <c r="F193" s="2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</row>
    <row r="194" spans="1:19" customFormat="1" x14ac:dyDescent="0.25">
      <c r="A194" s="22">
        <v>0.98499999999999999</v>
      </c>
      <c r="B194" s="23">
        <v>2663.7735279722933</v>
      </c>
      <c r="C194" s="24">
        <v>1.0162601626015899E-3</v>
      </c>
      <c r="E194" s="2"/>
      <c r="F194" s="2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</row>
    <row r="195" spans="1:19" customFormat="1" x14ac:dyDescent="0.25">
      <c r="A195" s="22">
        <v>0.98599999999999999</v>
      </c>
      <c r="B195" s="23">
        <v>2666.4778665793719</v>
      </c>
      <c r="C195" s="24">
        <v>1.0152284263960087E-3</v>
      </c>
      <c r="E195" s="2"/>
      <c r="F195" s="2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</row>
    <row r="196" spans="1:19" customFormat="1" x14ac:dyDescent="0.25">
      <c r="A196" s="22">
        <v>0.98699999999999999</v>
      </c>
      <c r="B196" s="23">
        <v>2669.1822051864506</v>
      </c>
      <c r="C196" s="24">
        <v>1.0141987829614951E-3</v>
      </c>
      <c r="E196" s="2"/>
      <c r="F196" s="2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</row>
    <row r="197" spans="1:19" customFormat="1" x14ac:dyDescent="0.25">
      <c r="A197" s="22">
        <v>0.98799999999999999</v>
      </c>
      <c r="B197" s="23">
        <v>2671.8865437935287</v>
      </c>
      <c r="C197" s="24">
        <v>1.0131712259371373E-3</v>
      </c>
      <c r="E197" s="2"/>
      <c r="F197" s="2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</row>
    <row r="198" spans="1:19" customFormat="1" x14ac:dyDescent="0.25">
      <c r="A198" s="22">
        <v>0.98899999999999999</v>
      </c>
      <c r="B198" s="23">
        <v>2674.5908824006078</v>
      </c>
      <c r="C198" s="24">
        <v>1.0121457489880026E-3</v>
      </c>
      <c r="E198" s="2"/>
      <c r="F198" s="2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</row>
    <row r="199" spans="1:19" customFormat="1" x14ac:dyDescent="0.25">
      <c r="A199" s="22">
        <v>0.99</v>
      </c>
      <c r="B199" s="23">
        <v>2677.295221007686</v>
      </c>
      <c r="C199" s="24">
        <v>1.0111223458038054E-3</v>
      </c>
      <c r="E199" s="2"/>
      <c r="F199" s="2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</row>
    <row r="200" spans="1:19" customFormat="1" x14ac:dyDescent="0.25">
      <c r="A200" s="22">
        <v>0.99099999999999999</v>
      </c>
      <c r="B200" s="23">
        <v>2679.9995596147646</v>
      </c>
      <c r="C200" s="24">
        <v>1.0101010101011276E-3</v>
      </c>
      <c r="E200" s="2"/>
      <c r="F200" s="2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</row>
    <row r="201" spans="1:19" customFormat="1" x14ac:dyDescent="0.25">
      <c r="A201" s="22">
        <v>0.99199999999999999</v>
      </c>
      <c r="B201" s="23">
        <v>2682.7038982218437</v>
      </c>
      <c r="C201" s="24">
        <v>1.0090817356207538E-3</v>
      </c>
      <c r="E201" s="2"/>
      <c r="F201" s="2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</row>
    <row r="202" spans="1:19" customFormat="1" x14ac:dyDescent="0.25">
      <c r="A202" s="22">
        <v>0.99299999999999999</v>
      </c>
      <c r="B202" s="23">
        <v>2685.4082368289219</v>
      </c>
      <c r="C202" s="24">
        <v>1.0080645161290036E-3</v>
      </c>
      <c r="E202" s="2"/>
      <c r="F202" s="2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</row>
    <row r="203" spans="1:19" customFormat="1" x14ac:dyDescent="0.25">
      <c r="A203" s="22">
        <v>0.99399999999999999</v>
      </c>
      <c r="B203" s="23">
        <v>2688.112575436</v>
      </c>
      <c r="C203" s="24">
        <v>1.0070493454177321E-3</v>
      </c>
      <c r="E203" s="2"/>
      <c r="F203" s="2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</row>
    <row r="204" spans="1:19" customFormat="1" x14ac:dyDescent="0.25">
      <c r="A204" s="22">
        <v>0.995</v>
      </c>
      <c r="B204" s="23">
        <v>2690.8169140430787</v>
      </c>
      <c r="C204" s="24">
        <v>1.006036217303885E-3</v>
      </c>
      <c r="E204" s="2"/>
      <c r="F204" s="2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</row>
    <row r="205" spans="1:19" customFormat="1" x14ac:dyDescent="0.25">
      <c r="A205" s="22">
        <v>0.996</v>
      </c>
      <c r="B205" s="23">
        <v>2693.5212526501573</v>
      </c>
      <c r="C205" s="24">
        <v>1.0050251256281673E-3</v>
      </c>
      <c r="E205" s="2"/>
      <c r="F205" s="2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</row>
    <row r="206" spans="1:19" customFormat="1" x14ac:dyDescent="0.25">
      <c r="A206" s="22">
        <v>0.997</v>
      </c>
      <c r="B206" s="23">
        <v>2696.225591257235</v>
      </c>
      <c r="C206" s="24">
        <v>1.0040160642568186E-3</v>
      </c>
      <c r="E206" s="2"/>
      <c r="F206" s="2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</row>
    <row r="207" spans="1:19" customFormat="1" x14ac:dyDescent="0.25">
      <c r="A207" s="22">
        <v>0.998</v>
      </c>
      <c r="B207" s="23">
        <v>2698.9299298643141</v>
      </c>
      <c r="C207" s="24">
        <v>1.0030090270813918E-3</v>
      </c>
      <c r="E207" s="2"/>
      <c r="F207" s="2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</row>
    <row r="208" spans="1:19" customFormat="1" x14ac:dyDescent="0.25">
      <c r="A208" s="22">
        <v>0.999</v>
      </c>
      <c r="B208" s="23">
        <v>2701.6342684713927</v>
      </c>
      <c r="C208" s="24">
        <v>1.0020040080160886E-3</v>
      </c>
      <c r="E208" s="2"/>
      <c r="F208" s="2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</row>
    <row r="209" spans="1:19" customFormat="1" x14ac:dyDescent="0.25">
      <c r="A209" s="25">
        <v>1</v>
      </c>
      <c r="B209" s="26">
        <v>3605.7848094379619</v>
      </c>
      <c r="C209" s="27">
        <v>0.33466800133466812</v>
      </c>
      <c r="E209" s="2"/>
      <c r="F209" s="2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</row>
    <row r="210" spans="1:19" customFormat="1" x14ac:dyDescent="0.25">
      <c r="A210" s="28">
        <v>1.0009999999999999</v>
      </c>
      <c r="B210" s="29">
        <v>3609.0300157664556</v>
      </c>
      <c r="C210" s="30">
        <v>9.9999999999966782E-4</v>
      </c>
      <c r="E210" s="2"/>
      <c r="F210" s="2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</row>
    <row r="211" spans="1:19" customFormat="1" x14ac:dyDescent="0.25">
      <c r="A211" s="28">
        <v>1.002</v>
      </c>
      <c r="B211" s="29">
        <v>3612.275222094951</v>
      </c>
      <c r="C211" s="30">
        <v>9.9900099900129824E-4</v>
      </c>
      <c r="E211" s="2"/>
      <c r="F211" s="2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</row>
    <row r="212" spans="1:19" customFormat="1" x14ac:dyDescent="0.25">
      <c r="A212" s="28">
        <v>1.0029999999999999</v>
      </c>
      <c r="B212" s="29">
        <v>3615.5204284234446</v>
      </c>
      <c r="C212" s="30">
        <v>9.9800399201588341E-4</v>
      </c>
      <c r="E212" s="2"/>
      <c r="F212" s="2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</row>
    <row r="213" spans="1:19" customFormat="1" x14ac:dyDescent="0.25">
      <c r="A213" s="28">
        <v>1.004</v>
      </c>
      <c r="B213" s="29">
        <v>3618.7656347519387</v>
      </c>
      <c r="C213" s="30">
        <v>9.9700897308063752E-4</v>
      </c>
      <c r="E213" s="2"/>
      <c r="F213" s="2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</row>
    <row r="214" spans="1:19" customFormat="1" x14ac:dyDescent="0.25">
      <c r="A214" s="28">
        <v>1.0049999999999999</v>
      </c>
      <c r="B214" s="29">
        <v>3622.0108410804323</v>
      </c>
      <c r="C214" s="30">
        <v>9.960159362549792E-4</v>
      </c>
      <c r="E214" s="2"/>
      <c r="F214" s="2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</row>
    <row r="215" spans="1:19" customFormat="1" x14ac:dyDescent="0.25">
      <c r="A215" s="28">
        <v>1.006</v>
      </c>
      <c r="B215" s="29">
        <v>3625.2560474089278</v>
      </c>
      <c r="C215" s="30">
        <v>9.9502487562208586E-4</v>
      </c>
      <c r="E215" s="2"/>
      <c r="F215" s="2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</row>
    <row r="216" spans="1:19" customFormat="1" x14ac:dyDescent="0.25">
      <c r="A216" s="28">
        <v>1.0069999999999999</v>
      </c>
      <c r="B216" s="29">
        <v>3628.5012537374218</v>
      </c>
      <c r="C216" s="30">
        <v>9.9403578528822756E-4</v>
      </c>
      <c r="E216" s="2"/>
      <c r="F216" s="2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</row>
    <row r="217" spans="1:19" customFormat="1" x14ac:dyDescent="0.25">
      <c r="A217" s="28">
        <v>1.008</v>
      </c>
      <c r="B217" s="29">
        <v>3631.7464600659159</v>
      </c>
      <c r="C217" s="30">
        <v>9.930486593843213E-4</v>
      </c>
      <c r="E217" s="2"/>
      <c r="F217" s="2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</row>
    <row r="218" spans="1:19" customFormat="1" x14ac:dyDescent="0.25">
      <c r="A218" s="28">
        <v>1.0089999999999999</v>
      </c>
      <c r="B218" s="29">
        <v>3634.9916663944105</v>
      </c>
      <c r="C218" s="30">
        <v>9.9206349206371058E-4</v>
      </c>
      <c r="E218" s="2"/>
      <c r="F218" s="2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</row>
    <row r="219" spans="1:19" customFormat="1" x14ac:dyDescent="0.25">
      <c r="A219" s="28">
        <v>1.01</v>
      </c>
      <c r="B219" s="29">
        <v>3638.2368727229045</v>
      </c>
      <c r="C219" s="30">
        <v>9.9108027750238747E-4</v>
      </c>
      <c r="E219" s="2"/>
      <c r="F219" s="2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</row>
    <row r="220" spans="1:19" customFormat="1" x14ac:dyDescent="0.25">
      <c r="A220" s="28">
        <v>1.0109999999999999</v>
      </c>
      <c r="B220" s="29">
        <v>3641.4820790513972</v>
      </c>
      <c r="C220" s="30">
        <v>9.9009900990076893E-4</v>
      </c>
      <c r="E220" s="2"/>
      <c r="F220" s="2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</row>
    <row r="221" spans="1:19" customFormat="1" x14ac:dyDescent="0.25">
      <c r="A221" s="28">
        <v>1.012</v>
      </c>
      <c r="B221" s="29">
        <v>3644.7272853798927</v>
      </c>
      <c r="C221" s="30">
        <v>9.8911968348192048E-4</v>
      </c>
      <c r="E221" s="2"/>
      <c r="F221" s="2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</row>
    <row r="222" spans="1:19" customFormat="1" x14ac:dyDescent="0.25">
      <c r="A222" s="28">
        <v>1.0129999999999999</v>
      </c>
      <c r="B222" s="29">
        <v>3647.9724917083863</v>
      </c>
      <c r="C222" s="30">
        <v>9.8814229249000185E-4</v>
      </c>
      <c r="E222" s="2"/>
      <c r="F222" s="2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</row>
    <row r="223" spans="1:19" customFormat="1" x14ac:dyDescent="0.25">
      <c r="A223" s="28">
        <v>1.014</v>
      </c>
      <c r="B223" s="29">
        <v>3651.2176980368804</v>
      </c>
      <c r="C223" s="30">
        <v>9.8716683119448589E-4</v>
      </c>
      <c r="E223" s="2"/>
      <c r="F223" s="2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</row>
    <row r="224" spans="1:19" customFormat="1" x14ac:dyDescent="0.25">
      <c r="A224" s="28">
        <v>1.0149999999999999</v>
      </c>
      <c r="B224" s="29">
        <v>3654.4629043653736</v>
      </c>
      <c r="C224" s="30">
        <v>9.8619329388549559E-4</v>
      </c>
      <c r="E224" s="2"/>
      <c r="F224" s="2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</row>
    <row r="225" spans="1:19" customFormat="1" x14ac:dyDescent="0.25">
      <c r="A225" s="28">
        <v>1.016</v>
      </c>
      <c r="B225" s="29">
        <v>3657.7081106938695</v>
      </c>
      <c r="C225" s="30">
        <v>9.8522167487713475E-4</v>
      </c>
      <c r="E225" s="2"/>
      <c r="F225" s="2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</row>
    <row r="226" spans="1:19" customFormat="1" x14ac:dyDescent="0.25">
      <c r="A226" s="28">
        <v>1.0169999999999999</v>
      </c>
      <c r="B226" s="29">
        <v>3660.9533170223626</v>
      </c>
      <c r="C226" s="30">
        <v>9.8425196850371321E-4</v>
      </c>
      <c r="E226" s="2"/>
      <c r="F226" s="2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</row>
    <row r="227" spans="1:19" customFormat="1" x14ac:dyDescent="0.25">
      <c r="A227" s="28">
        <v>1.018</v>
      </c>
      <c r="B227" s="29">
        <v>3664.1985233508576</v>
      </c>
      <c r="C227" s="30">
        <v>9.8328416912507599E-4</v>
      </c>
      <c r="E227" s="2"/>
      <c r="F227" s="2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</row>
    <row r="228" spans="1:19" customFormat="1" x14ac:dyDescent="0.25">
      <c r="A228" s="28">
        <v>1.0189999999999999</v>
      </c>
      <c r="B228" s="29">
        <v>3667.4437296793508</v>
      </c>
      <c r="C228" s="30">
        <v>9.8231827111971981E-4</v>
      </c>
      <c r="E228" s="2"/>
      <c r="F228" s="2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</row>
    <row r="229" spans="1:19" customFormat="1" x14ac:dyDescent="0.25">
      <c r="A229" s="28">
        <v>1.02</v>
      </c>
      <c r="B229" s="29">
        <v>3670.6889360078453</v>
      </c>
      <c r="C229" s="30">
        <v>9.8135426889101041E-4</v>
      </c>
      <c r="E229" s="2"/>
      <c r="F229" s="2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</row>
    <row r="230" spans="1:19" customFormat="1" x14ac:dyDescent="0.25">
      <c r="A230" s="28">
        <v>1.0209999999999999</v>
      </c>
      <c r="B230" s="29">
        <v>3673.9341423363389</v>
      </c>
      <c r="C230" s="30">
        <v>9.8039215686274161E-4</v>
      </c>
      <c r="E230" s="2"/>
      <c r="F230" s="2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</row>
    <row r="231" spans="1:19" customFormat="1" x14ac:dyDescent="0.25">
      <c r="A231" s="28">
        <v>1.022</v>
      </c>
      <c r="B231" s="29">
        <v>3677.1793486648335</v>
      </c>
      <c r="C231" s="30">
        <v>9.7943192948091173E-4</v>
      </c>
      <c r="E231" s="2"/>
      <c r="F231" s="2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</row>
    <row r="232" spans="1:19" customFormat="1" x14ac:dyDescent="0.25">
      <c r="A232" s="28">
        <v>1.0229999999999999</v>
      </c>
      <c r="B232" s="29">
        <v>3680.4245549933262</v>
      </c>
      <c r="C232" s="30">
        <v>9.7847358121305739E-4</v>
      </c>
      <c r="E232" s="2"/>
      <c r="F232" s="2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</row>
    <row r="233" spans="1:19" customFormat="1" x14ac:dyDescent="0.25">
      <c r="A233" s="28">
        <v>1.024</v>
      </c>
      <c r="B233" s="29">
        <v>3683.6697613218216</v>
      </c>
      <c r="C233" s="30">
        <v>9.7751710654958579E-4</v>
      </c>
      <c r="E233" s="2"/>
      <c r="F233" s="2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</row>
    <row r="234" spans="1:19" customFormat="1" x14ac:dyDescent="0.25">
      <c r="A234" s="28">
        <v>1.0249999999999999</v>
      </c>
      <c r="B234" s="29">
        <v>3686.9149676503143</v>
      </c>
      <c r="C234" s="30">
        <v>9.7656249999977796E-4</v>
      </c>
      <c r="E234" s="2"/>
      <c r="F234" s="2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</row>
    <row r="235" spans="1:19" customFormat="1" x14ac:dyDescent="0.25">
      <c r="A235" s="28">
        <v>1.026</v>
      </c>
      <c r="B235" s="29">
        <v>3690.1601739788089</v>
      </c>
      <c r="C235" s="30">
        <v>9.7560975609756184E-4</v>
      </c>
      <c r="E235" s="2"/>
      <c r="F235" s="2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</row>
    <row r="236" spans="1:19" customFormat="1" x14ac:dyDescent="0.25">
      <c r="A236" s="28">
        <v>1.0269999999999999</v>
      </c>
      <c r="B236" s="29">
        <v>3693.4053803073025</v>
      </c>
      <c r="C236" s="30">
        <v>9.746588693957392E-4</v>
      </c>
      <c r="E236" s="2"/>
      <c r="F236" s="2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</row>
    <row r="237" spans="1:19" customFormat="1" x14ac:dyDescent="0.25">
      <c r="A237" s="28">
        <v>1.028</v>
      </c>
      <c r="B237" s="29">
        <v>3696.6505866357979</v>
      </c>
      <c r="C237" s="30">
        <v>9.7370983446953829E-4</v>
      </c>
      <c r="E237" s="2"/>
      <c r="F237" s="2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</row>
    <row r="238" spans="1:19" customFormat="1" x14ac:dyDescent="0.25">
      <c r="A238" s="28">
        <v>1.0289999999999999</v>
      </c>
      <c r="B238" s="29">
        <v>3699.8957929642906</v>
      </c>
      <c r="C238" s="30">
        <v>9.7276264591417139E-4</v>
      </c>
      <c r="E238" s="2"/>
      <c r="F238" s="2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</row>
    <row r="239" spans="1:19" customFormat="1" x14ac:dyDescent="0.25">
      <c r="A239" s="28">
        <v>1.03</v>
      </c>
      <c r="B239" s="29">
        <v>3703.1409992927852</v>
      </c>
      <c r="C239" s="30">
        <v>9.7181729834794339E-4</v>
      </c>
      <c r="E239" s="2"/>
      <c r="F239" s="2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</row>
    <row r="240" spans="1:19" customFormat="1" x14ac:dyDescent="0.25">
      <c r="A240" s="28">
        <v>1.0309999999999999</v>
      </c>
      <c r="B240" s="29">
        <v>3706.3862056212797</v>
      </c>
      <c r="C240" s="30">
        <v>9.7087378640781097E-4</v>
      </c>
      <c r="E240" s="2"/>
      <c r="F240" s="2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</row>
    <row r="241" spans="1:19" customFormat="1" x14ac:dyDescent="0.25">
      <c r="A241" s="28">
        <v>1.032</v>
      </c>
      <c r="B241" s="29">
        <v>3709.6314119497742</v>
      </c>
      <c r="C241" s="30">
        <v>9.6993210475271319E-4</v>
      </c>
      <c r="E241" s="2"/>
      <c r="F241" s="2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</row>
    <row r="242" spans="1:19" customFormat="1" x14ac:dyDescent="0.25">
      <c r="A242" s="28">
        <v>1.0329999999999999</v>
      </c>
      <c r="B242" s="29">
        <v>3712.8766182782679</v>
      </c>
      <c r="C242" s="30">
        <v>9.6899224806201723E-4</v>
      </c>
      <c r="E242" s="2"/>
      <c r="F242" s="2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</row>
    <row r="243" spans="1:19" customFormat="1" x14ac:dyDescent="0.25">
      <c r="A243" s="28">
        <v>1.034</v>
      </c>
      <c r="B243" s="29">
        <v>3716.1218246067624</v>
      </c>
      <c r="C243" s="30">
        <v>9.6805421103574041E-4</v>
      </c>
      <c r="E243" s="2"/>
      <c r="F243" s="2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</row>
    <row r="244" spans="1:19" customFormat="1" x14ac:dyDescent="0.25">
      <c r="A244" s="28">
        <v>1.0349999999999999</v>
      </c>
      <c r="B244" s="29">
        <v>3719.367030935256</v>
      </c>
      <c r="C244" s="30">
        <v>9.6711798839455021E-4</v>
      </c>
      <c r="E244" s="2"/>
      <c r="F244" s="2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</row>
    <row r="245" spans="1:19" customFormat="1" x14ac:dyDescent="0.25">
      <c r="A245" s="28">
        <v>1.036</v>
      </c>
      <c r="B245" s="29">
        <v>3722.612237263751</v>
      </c>
      <c r="C245" s="30">
        <v>9.6618357487932016E-4</v>
      </c>
      <c r="E245" s="2"/>
      <c r="F245" s="2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</row>
    <row r="246" spans="1:19" customFormat="1" x14ac:dyDescent="0.25">
      <c r="A246" s="28">
        <v>1.0369999999999999</v>
      </c>
      <c r="B246" s="29">
        <v>3725.8574435922446</v>
      </c>
      <c r="C246" s="30">
        <v>9.6525096525090781E-4</v>
      </c>
      <c r="E246" s="2"/>
      <c r="F246" s="2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</row>
    <row r="247" spans="1:19" customFormat="1" x14ac:dyDescent="0.25">
      <c r="A247" s="28">
        <v>1.038</v>
      </c>
      <c r="B247" s="29">
        <v>3729.1026499207396</v>
      </c>
      <c r="C247" s="30">
        <v>9.6432015429148699E-4</v>
      </c>
      <c r="E247" s="2"/>
      <c r="F247" s="2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</row>
    <row r="248" spans="1:19" customFormat="1" x14ac:dyDescent="0.25">
      <c r="A248" s="28">
        <v>1.0389999999999999</v>
      </c>
      <c r="B248" s="29">
        <v>3732.3478562492337</v>
      </c>
      <c r="C248" s="30">
        <v>9.6339113680121713E-4</v>
      </c>
      <c r="E248" s="2"/>
      <c r="F248" s="2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</row>
    <row r="249" spans="1:19" customFormat="1" x14ac:dyDescent="0.25">
      <c r="A249" s="28">
        <v>1.04</v>
      </c>
      <c r="B249" s="29">
        <v>3735.5930625777282</v>
      </c>
      <c r="C249" s="30">
        <v>9.6246390760379441E-4</v>
      </c>
      <c r="E249" s="2"/>
      <c r="F249" s="2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</row>
    <row r="250" spans="1:19" customFormat="1" x14ac:dyDescent="0.25">
      <c r="A250" s="28">
        <v>1.0409999999999999</v>
      </c>
      <c r="B250" s="29">
        <v>3738.8382689062209</v>
      </c>
      <c r="C250" s="30">
        <v>9.6153846153823608E-4</v>
      </c>
      <c r="E250" s="2"/>
      <c r="F250" s="2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</row>
    <row r="251" spans="1:19" customFormat="1" x14ac:dyDescent="0.25">
      <c r="A251" s="28">
        <v>1.042</v>
      </c>
      <c r="B251" s="29">
        <v>3742.0834752347164</v>
      </c>
      <c r="C251" s="30">
        <v>9.6061479346798428E-4</v>
      </c>
      <c r="E251" s="2"/>
      <c r="F251" s="2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</row>
    <row r="252" spans="1:19" customFormat="1" x14ac:dyDescent="0.25">
      <c r="A252" s="28">
        <v>1.0429999999999999</v>
      </c>
      <c r="B252" s="29">
        <v>3745.3286815632105</v>
      </c>
      <c r="C252" s="30">
        <v>9.596928982724684E-4</v>
      </c>
      <c r="E252" s="2"/>
      <c r="F252" s="2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</row>
    <row r="253" spans="1:19" customFormat="1" x14ac:dyDescent="0.25">
      <c r="A253" s="28">
        <v>1.044</v>
      </c>
      <c r="B253" s="29">
        <v>3748.5738878917045</v>
      </c>
      <c r="C253" s="30">
        <v>9.5877277085332224E-4</v>
      </c>
      <c r="E253" s="2"/>
      <c r="F253" s="2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</row>
    <row r="254" spans="1:19" customFormat="1" x14ac:dyDescent="0.25">
      <c r="A254" s="28">
        <v>1.0449999999999999</v>
      </c>
      <c r="B254" s="29">
        <v>3751.8190942201986</v>
      </c>
      <c r="C254" s="30">
        <v>9.5785440613016526E-4</v>
      </c>
      <c r="E254" s="2"/>
      <c r="F254" s="2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</row>
    <row r="255" spans="1:19" customFormat="1" x14ac:dyDescent="0.25">
      <c r="A255" s="28">
        <v>1.046</v>
      </c>
      <c r="B255" s="29">
        <v>3755.0643005486932</v>
      </c>
      <c r="C255" s="30">
        <v>9.5693779904326703E-4</v>
      </c>
      <c r="E255" s="2"/>
      <c r="F255" s="2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</row>
    <row r="256" spans="1:19" customFormat="1" x14ac:dyDescent="0.25">
      <c r="A256" s="28">
        <v>1.0469999999999999</v>
      </c>
      <c r="B256" s="29">
        <v>3758.3095068771868</v>
      </c>
      <c r="C256" s="30">
        <v>9.5602294455043868E-4</v>
      </c>
      <c r="E256" s="2"/>
      <c r="F256" s="2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</row>
    <row r="257" spans="1:19" customFormat="1" x14ac:dyDescent="0.25">
      <c r="A257" s="28">
        <v>1.048</v>
      </c>
      <c r="B257" s="29">
        <v>3761.5547132056809</v>
      </c>
      <c r="C257" s="30">
        <v>9.5510983763147372E-4</v>
      </c>
      <c r="E257" s="2"/>
      <c r="F257" s="2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</row>
    <row r="258" spans="1:19" customFormat="1" x14ac:dyDescent="0.25">
      <c r="A258" s="28">
        <v>1.0489999999999999</v>
      </c>
      <c r="B258" s="29">
        <v>3764.7999195341749</v>
      </c>
      <c r="C258" s="30">
        <v>9.5419847328237495E-4</v>
      </c>
      <c r="E258" s="2"/>
      <c r="F258" s="2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</row>
    <row r="259" spans="1:19" customFormat="1" x14ac:dyDescent="0.25">
      <c r="A259" s="28">
        <v>1.05</v>
      </c>
      <c r="B259" s="29">
        <v>3768.0451258626699</v>
      </c>
      <c r="C259" s="30">
        <v>9.5328884652068346E-4</v>
      </c>
      <c r="E259" s="2"/>
      <c r="F259" s="2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</row>
    <row r="260" spans="1:19" customFormat="1" x14ac:dyDescent="0.25">
      <c r="A260" s="28">
        <v>1.0509999999999999</v>
      </c>
      <c r="B260" s="29">
        <v>3771.2903321911645</v>
      </c>
      <c r="C260" s="30">
        <v>9.5238095238103782E-4</v>
      </c>
      <c r="E260" s="2"/>
      <c r="F260" s="2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</row>
    <row r="261" spans="1:19" customFormat="1" x14ac:dyDescent="0.25">
      <c r="A261" s="28">
        <v>1.052</v>
      </c>
      <c r="B261" s="29">
        <v>3774.5355385196581</v>
      </c>
      <c r="C261" s="30">
        <v>9.5147478591806056E-4</v>
      </c>
      <c r="E261" s="2"/>
      <c r="F261" s="2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</row>
    <row r="262" spans="1:19" customFormat="1" x14ac:dyDescent="0.25">
      <c r="A262" s="28">
        <v>1.0529999999999999</v>
      </c>
      <c r="B262" s="29">
        <v>3777.7807448481526</v>
      </c>
      <c r="C262" s="30">
        <v>9.5057034220524805E-4</v>
      </c>
      <c r="E262" s="2"/>
      <c r="F262" s="2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</row>
    <row r="263" spans="1:19" customFormat="1" x14ac:dyDescent="0.25">
      <c r="A263" s="28">
        <v>1.054</v>
      </c>
      <c r="B263" s="29">
        <v>3781.0259511766462</v>
      </c>
      <c r="C263" s="30">
        <v>9.496676163343043E-4</v>
      </c>
      <c r="E263" s="2"/>
      <c r="F263" s="2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</row>
    <row r="264" spans="1:19" customFormat="1" x14ac:dyDescent="0.25">
      <c r="A264" s="28">
        <v>1.0549999999999999</v>
      </c>
      <c r="B264" s="29">
        <v>3784.2711575051403</v>
      </c>
      <c r="C264" s="30">
        <v>9.4876660341536301E-4</v>
      </c>
      <c r="E264" s="2"/>
      <c r="F264" s="2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</row>
    <row r="265" spans="1:19" customFormat="1" x14ac:dyDescent="0.25">
      <c r="A265" s="28">
        <v>1.056</v>
      </c>
      <c r="B265" s="29">
        <v>3787.5163638336335</v>
      </c>
      <c r="C265" s="30">
        <v>9.4786729857809782E-4</v>
      </c>
      <c r="E265" s="2"/>
      <c r="F265" s="2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</row>
    <row r="266" spans="1:19" customFormat="1" x14ac:dyDescent="0.25">
      <c r="A266" s="28">
        <v>1.0569999999999999</v>
      </c>
      <c r="B266" s="29">
        <v>3790.7615701621276</v>
      </c>
      <c r="C266" s="30">
        <v>9.4696969696972388E-4</v>
      </c>
      <c r="E266" s="2"/>
      <c r="F266" s="2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</row>
    <row r="267" spans="1:19" customFormat="1" x14ac:dyDescent="0.25">
      <c r="A267" s="28">
        <v>1.0580000000000001</v>
      </c>
      <c r="B267" s="29">
        <v>3794.0067764906216</v>
      </c>
      <c r="C267" s="30">
        <v>9.4607379375588607E-4</v>
      </c>
      <c r="E267" s="2"/>
      <c r="F267" s="2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</row>
    <row r="268" spans="1:19" customFormat="1" x14ac:dyDescent="0.25">
      <c r="A268" s="28">
        <v>1.0589999999999999</v>
      </c>
      <c r="B268" s="29">
        <v>3797.2519828191157</v>
      </c>
      <c r="C268" s="30">
        <v>9.4517958412088099E-4</v>
      </c>
      <c r="E268" s="2"/>
      <c r="F268" s="2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</row>
    <row r="269" spans="1:19" customFormat="1" x14ac:dyDescent="0.25">
      <c r="A269" s="28">
        <v>1.06</v>
      </c>
      <c r="B269" s="29">
        <v>3800.4971891476102</v>
      </c>
      <c r="C269" s="30">
        <v>9.4428706326743495E-4</v>
      </c>
      <c r="E269" s="2"/>
      <c r="F269" s="2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</row>
    <row r="270" spans="1:19" customFormat="1" x14ac:dyDescent="0.25">
      <c r="A270" s="28">
        <v>1.0609999999999999</v>
      </c>
      <c r="B270" s="29">
        <v>3803.7423954761039</v>
      </c>
      <c r="C270" s="30">
        <v>9.433962264149276E-4</v>
      </c>
      <c r="E270" s="2"/>
      <c r="F270" s="2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</row>
    <row r="271" spans="1:19" customFormat="1" x14ac:dyDescent="0.25">
      <c r="A271" s="28">
        <v>1.0620000000000001</v>
      </c>
      <c r="B271" s="29">
        <v>3806.9876018045984</v>
      </c>
      <c r="C271" s="30">
        <v>9.425070688031667E-4</v>
      </c>
      <c r="E271" s="2"/>
      <c r="F271" s="2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</row>
    <row r="272" spans="1:19" customFormat="1" x14ac:dyDescent="0.25">
      <c r="A272" s="28">
        <v>1.0629999999999999</v>
      </c>
      <c r="B272" s="29">
        <v>3810.232808133092</v>
      </c>
      <c r="C272" s="30">
        <v>9.416195856872811E-4</v>
      </c>
      <c r="E272" s="2"/>
      <c r="F272" s="2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</row>
    <row r="273" spans="1:19" customFormat="1" x14ac:dyDescent="0.25">
      <c r="A273" s="28">
        <v>1.0640000000000001</v>
      </c>
      <c r="B273" s="29">
        <v>3813.478014461587</v>
      </c>
      <c r="C273" s="30">
        <v>9.4073377234260569E-4</v>
      </c>
      <c r="E273" s="2"/>
      <c r="F273" s="2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</row>
    <row r="274" spans="1:19" customFormat="1" x14ac:dyDescent="0.25">
      <c r="A274" s="28">
        <v>1.0649999999999999</v>
      </c>
      <c r="B274" s="29">
        <v>3816.7232207900811</v>
      </c>
      <c r="C274" s="30">
        <v>9.3984962406001848E-4</v>
      </c>
      <c r="E274" s="2"/>
      <c r="F274" s="2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</row>
    <row r="275" spans="1:19" customFormat="1" x14ac:dyDescent="0.25">
      <c r="A275" s="28">
        <v>1.0660000000000001</v>
      </c>
      <c r="B275" s="29">
        <v>3819.9684271185752</v>
      </c>
      <c r="C275" s="30">
        <v>9.3896713615038152E-4</v>
      </c>
      <c r="E275" s="2"/>
      <c r="F275" s="2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</row>
    <row r="276" spans="1:19" customFormat="1" x14ac:dyDescent="0.25">
      <c r="A276" s="28">
        <v>1.0669999999999999</v>
      </c>
      <c r="B276" s="29">
        <v>3823.2136334470683</v>
      </c>
      <c r="C276" s="30">
        <v>9.3808630393965586E-4</v>
      </c>
      <c r="E276" s="2"/>
      <c r="F276" s="2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</row>
    <row r="277" spans="1:19" customFormat="1" x14ac:dyDescent="0.25">
      <c r="A277" s="28">
        <v>1.0680000000000001</v>
      </c>
      <c r="B277" s="29">
        <v>3826.4588397755633</v>
      </c>
      <c r="C277" s="30">
        <v>9.3720712277445273E-4</v>
      </c>
      <c r="E277" s="2"/>
      <c r="F277" s="2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</row>
    <row r="278" spans="1:19" customFormat="1" x14ac:dyDescent="0.25">
      <c r="A278" s="28">
        <v>1.069</v>
      </c>
      <c r="B278" s="29">
        <v>3829.7040461040579</v>
      </c>
      <c r="C278" s="30">
        <v>9.3632958801492805E-4</v>
      </c>
      <c r="E278" s="2"/>
      <c r="F278" s="2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</row>
    <row r="279" spans="1:19" customFormat="1" x14ac:dyDescent="0.25">
      <c r="A279" s="28">
        <v>1.07</v>
      </c>
      <c r="B279" s="29">
        <v>3832.9492524325515</v>
      </c>
      <c r="C279" s="30">
        <v>9.3545369504210996E-4</v>
      </c>
      <c r="E279" s="2"/>
      <c r="F279" s="2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</row>
    <row r="280" spans="1:19" customFormat="1" x14ac:dyDescent="0.25">
      <c r="A280" s="28">
        <v>1.071</v>
      </c>
      <c r="B280" s="29">
        <v>3836.1944587610456</v>
      </c>
      <c r="C280" s="30">
        <v>9.3457943925212561E-4</v>
      </c>
      <c r="E280" s="2"/>
      <c r="F280" s="2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</row>
    <row r="281" spans="1:19" customFormat="1" x14ac:dyDescent="0.25">
      <c r="A281" s="28">
        <v>1.0720000000000001</v>
      </c>
      <c r="B281" s="29">
        <v>3839.4396650895392</v>
      </c>
      <c r="C281" s="30">
        <v>9.3370681605975392E-4</v>
      </c>
      <c r="E281" s="2"/>
      <c r="F281" s="2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</row>
    <row r="282" spans="1:19" customFormat="1" x14ac:dyDescent="0.25">
      <c r="A282" s="28">
        <v>1.073</v>
      </c>
      <c r="B282" s="29">
        <v>3842.6848714180337</v>
      </c>
      <c r="C282" s="30">
        <v>9.3283582089553896E-4</v>
      </c>
      <c r="E282" s="2"/>
      <c r="F282" s="2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</row>
    <row r="283" spans="1:19" customFormat="1" x14ac:dyDescent="0.25">
      <c r="A283" s="28">
        <v>1.0740000000000001</v>
      </c>
      <c r="B283" s="29">
        <v>3845.9300777465273</v>
      </c>
      <c r="C283" s="30">
        <v>9.3196644920778837E-4</v>
      </c>
      <c r="E283" s="2"/>
      <c r="F283" s="2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</row>
    <row r="284" spans="1:19" customFormat="1" x14ac:dyDescent="0.25">
      <c r="A284" s="28">
        <v>1.075</v>
      </c>
      <c r="B284" s="29">
        <v>3849.1752840750223</v>
      </c>
      <c r="C284" s="30">
        <v>9.3109869646190724E-4</v>
      </c>
      <c r="E284" s="2"/>
      <c r="F284" s="2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</row>
    <row r="285" spans="1:19" customFormat="1" x14ac:dyDescent="0.25">
      <c r="A285" s="28">
        <v>1.0760000000000001</v>
      </c>
      <c r="B285" s="29">
        <v>3852.4204904035164</v>
      </c>
      <c r="C285" s="30">
        <v>9.3023255813973194E-4</v>
      </c>
      <c r="E285" s="2"/>
      <c r="F285" s="2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</row>
    <row r="286" spans="1:19" customFormat="1" x14ac:dyDescent="0.25">
      <c r="A286" s="28">
        <v>1.077</v>
      </c>
      <c r="B286" s="29">
        <v>3855.6656967320105</v>
      </c>
      <c r="C286" s="30">
        <v>9.2936802973953014E-4</v>
      </c>
      <c r="E286" s="2"/>
      <c r="F286" s="2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</row>
    <row r="287" spans="1:19" customFormat="1" x14ac:dyDescent="0.25">
      <c r="A287" s="28">
        <v>1.0780000000000001</v>
      </c>
      <c r="B287" s="29">
        <v>3858.9109030605041</v>
      </c>
      <c r="C287" s="30">
        <v>9.2850510677822129E-4</v>
      </c>
      <c r="E287" s="2"/>
      <c r="F287" s="2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</row>
    <row r="288" spans="1:19" customFormat="1" x14ac:dyDescent="0.25">
      <c r="A288" s="28">
        <v>1.079</v>
      </c>
      <c r="B288" s="29">
        <v>3862.1561093889991</v>
      </c>
      <c r="C288" s="30">
        <v>9.2764378478671361E-4</v>
      </c>
      <c r="E288" s="2"/>
      <c r="F288" s="2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</row>
    <row r="289" spans="1:19" customFormat="1" x14ac:dyDescent="0.25">
      <c r="A289" s="28">
        <v>1.08</v>
      </c>
      <c r="B289" s="29">
        <v>3865.4013157174936</v>
      </c>
      <c r="C289" s="30">
        <v>9.2678405931434504E-4</v>
      </c>
      <c r="E289" s="2"/>
      <c r="F289" s="2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</row>
    <row r="290" spans="1:19" customFormat="1" x14ac:dyDescent="0.25">
      <c r="A290" s="28">
        <v>1.081</v>
      </c>
      <c r="B290" s="29">
        <v>3868.6465220459877</v>
      </c>
      <c r="C290" s="30">
        <v>9.2592592592577461E-4</v>
      </c>
      <c r="E290" s="2"/>
      <c r="F290" s="2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</row>
    <row r="291" spans="1:19" customFormat="1" x14ac:dyDescent="0.25">
      <c r="A291" s="28">
        <v>1.0820000000000001</v>
      </c>
      <c r="B291" s="29">
        <v>3871.8917283744818</v>
      </c>
      <c r="C291" s="30">
        <v>9.2506938020364693E-4</v>
      </c>
      <c r="E291" s="2"/>
      <c r="F291" s="2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</row>
    <row r="292" spans="1:19" customFormat="1" x14ac:dyDescent="0.25">
      <c r="A292" s="28">
        <v>1.083</v>
      </c>
      <c r="B292" s="29">
        <v>3875.1369347029759</v>
      </c>
      <c r="C292" s="30">
        <v>9.242144177448175E-4</v>
      </c>
      <c r="E292" s="2"/>
      <c r="F292" s="2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</row>
    <row r="293" spans="1:19" customFormat="1" x14ac:dyDescent="0.25">
      <c r="A293" s="28">
        <v>1.0840000000000001</v>
      </c>
      <c r="B293" s="29">
        <v>3878.3821410314713</v>
      </c>
      <c r="C293" s="30">
        <v>9.2336103416457149E-4</v>
      </c>
      <c r="E293" s="2"/>
      <c r="F293" s="2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</row>
    <row r="294" spans="1:19" customFormat="1" x14ac:dyDescent="0.25">
      <c r="A294" s="28">
        <v>1.085</v>
      </c>
      <c r="B294" s="29">
        <v>3881.6273473599649</v>
      </c>
      <c r="C294" s="30">
        <v>9.2250922509218292E-4</v>
      </c>
      <c r="E294" s="2"/>
      <c r="F294" s="2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</row>
    <row r="295" spans="1:19" customFormat="1" x14ac:dyDescent="0.25">
      <c r="A295" s="28">
        <v>1.0860000000000001</v>
      </c>
      <c r="B295" s="29">
        <v>3884.8725536884599</v>
      </c>
      <c r="C295" s="30">
        <v>9.2165898617535547E-4</v>
      </c>
      <c r="E295" s="2"/>
      <c r="F295" s="2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</row>
    <row r="296" spans="1:19" customFormat="1" x14ac:dyDescent="0.25">
      <c r="A296" s="28">
        <v>1.087</v>
      </c>
      <c r="B296" s="29">
        <v>3888.1177600169531</v>
      </c>
      <c r="C296" s="30">
        <v>9.2081031307533756E-4</v>
      </c>
      <c r="E296" s="2"/>
      <c r="F296" s="2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</row>
    <row r="297" spans="1:19" customFormat="1" x14ac:dyDescent="0.25">
      <c r="A297" s="28">
        <v>1.0880000000000001</v>
      </c>
      <c r="B297" s="29">
        <v>3891.362966345449</v>
      </c>
      <c r="C297" s="30">
        <v>9.1996320147225141E-4</v>
      </c>
      <c r="E297" s="2"/>
      <c r="F297" s="2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</row>
    <row r="298" spans="1:19" customFormat="1" x14ac:dyDescent="0.25">
      <c r="A298" s="28">
        <v>1.089</v>
      </c>
      <c r="B298" s="29">
        <v>3894.6081726739421</v>
      </c>
      <c r="C298" s="30">
        <v>9.1911764705865373E-4</v>
      </c>
      <c r="E298" s="2"/>
      <c r="F298" s="2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</row>
    <row r="299" spans="1:19" customFormat="1" x14ac:dyDescent="0.25">
      <c r="A299" s="28">
        <v>1.0900000000000001</v>
      </c>
      <c r="B299" s="29">
        <v>3897.8533790024376</v>
      </c>
      <c r="C299" s="30">
        <v>9.1827364554664115E-4</v>
      </c>
      <c r="E299" s="2"/>
      <c r="F299" s="2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</row>
    <row r="300" spans="1:19" customFormat="1" x14ac:dyDescent="0.25">
      <c r="A300" s="28">
        <v>1.091</v>
      </c>
      <c r="B300" s="29">
        <v>3901.0985853309312</v>
      </c>
      <c r="C300" s="30">
        <v>9.1743119266052275E-4</v>
      </c>
      <c r="E300" s="2"/>
      <c r="F300" s="2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</row>
    <row r="301" spans="1:19" customFormat="1" x14ac:dyDescent="0.25">
      <c r="A301" s="28">
        <v>1.0920000000000001</v>
      </c>
      <c r="B301" s="29">
        <v>3904.3437916594271</v>
      </c>
      <c r="C301" s="30">
        <v>9.1659028414325938E-4</v>
      </c>
      <c r="E301" s="2"/>
      <c r="F301" s="2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</row>
    <row r="302" spans="1:19" customFormat="1" x14ac:dyDescent="0.25">
      <c r="A302" s="28">
        <v>1.093</v>
      </c>
      <c r="B302" s="29">
        <v>3907.5889979879198</v>
      </c>
      <c r="C302" s="30">
        <v>9.1575091575069045E-4</v>
      </c>
      <c r="E302" s="2"/>
      <c r="F302" s="2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</row>
    <row r="303" spans="1:19" customFormat="1" x14ac:dyDescent="0.25">
      <c r="A303" s="28">
        <v>1.0940000000000001</v>
      </c>
      <c r="B303" s="29">
        <v>3910.8342043164143</v>
      </c>
      <c r="C303" s="30">
        <v>9.1491308325708509E-4</v>
      </c>
      <c r="E303" s="2"/>
      <c r="F303" s="2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</row>
    <row r="304" spans="1:19" customFormat="1" x14ac:dyDescent="0.25">
      <c r="A304" s="28">
        <v>1.095</v>
      </c>
      <c r="B304" s="29">
        <v>3914.0794106449089</v>
      </c>
      <c r="C304" s="30">
        <v>9.1407678244981305E-4</v>
      </c>
      <c r="E304" s="2"/>
      <c r="F304" s="2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</row>
    <row r="305" spans="1:19" customFormat="1" x14ac:dyDescent="0.25">
      <c r="A305" s="28">
        <v>1.0960000000000001</v>
      </c>
      <c r="B305" s="29">
        <v>3917.3246169734025</v>
      </c>
      <c r="C305" s="30">
        <v>9.132420091322313E-4</v>
      </c>
      <c r="E305" s="2"/>
      <c r="F305" s="2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</row>
    <row r="306" spans="1:19" customFormat="1" x14ac:dyDescent="0.25">
      <c r="A306" s="28">
        <v>1.097</v>
      </c>
      <c r="B306" s="29">
        <v>3920.569823301897</v>
      </c>
      <c r="C306" s="30">
        <v>9.1240875912412811E-4</v>
      </c>
      <c r="E306" s="2"/>
      <c r="F306" s="2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</row>
    <row r="307" spans="1:19" customFormat="1" x14ac:dyDescent="0.25">
      <c r="A307" s="28">
        <v>1.0980000000000001</v>
      </c>
      <c r="B307" s="29">
        <v>3923.815029630392</v>
      </c>
      <c r="C307" s="30">
        <v>9.1157702825905851E-4</v>
      </c>
      <c r="E307" s="2"/>
      <c r="F307" s="2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</row>
    <row r="308" spans="1:19" customFormat="1" x14ac:dyDescent="0.25">
      <c r="A308" s="28">
        <v>1.099</v>
      </c>
      <c r="B308" s="29">
        <v>3927.0602359588856</v>
      </c>
      <c r="C308" s="30">
        <v>9.1074681238612065E-4</v>
      </c>
      <c r="E308" s="2"/>
      <c r="F308" s="2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</row>
    <row r="309" spans="1:19" customFormat="1" x14ac:dyDescent="0.25">
      <c r="A309" s="31">
        <v>1.1000000000000001</v>
      </c>
      <c r="B309" s="32">
        <v>5001.2235306904549</v>
      </c>
      <c r="C309" s="31">
        <v>0.30118289353958172</v>
      </c>
      <c r="E309" s="2"/>
      <c r="F309" s="2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</row>
    <row r="310" spans="1:19" customFormat="1" x14ac:dyDescent="0.25">
      <c r="A310" s="33">
        <v>1.101</v>
      </c>
      <c r="B310" s="34">
        <v>5005.4422989174982</v>
      </c>
      <c r="C310" s="33">
        <v>9.0909090909074841E-4</v>
      </c>
      <c r="E310" s="2"/>
      <c r="F310" s="2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</row>
    <row r="311" spans="1:19" customFormat="1" x14ac:dyDescent="0.25">
      <c r="A311" s="33">
        <v>1.1020000000000001</v>
      </c>
      <c r="B311" s="34">
        <v>5009.6610671445414</v>
      </c>
      <c r="C311" s="33">
        <v>9.0826521344267164E-4</v>
      </c>
      <c r="E311" s="2"/>
      <c r="F311" s="2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</row>
    <row r="312" spans="1:19" customFormat="1" x14ac:dyDescent="0.25">
      <c r="A312" s="33">
        <v>1.103</v>
      </c>
      <c r="B312" s="34">
        <v>5013.8798353715829</v>
      </c>
      <c r="C312" s="33">
        <v>9.0744101633388752E-4</v>
      </c>
      <c r="E312" s="2"/>
      <c r="F312" s="2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</row>
    <row r="313" spans="1:19" customFormat="1" x14ac:dyDescent="0.25">
      <c r="A313" s="33">
        <v>1.1040000000000001</v>
      </c>
      <c r="B313" s="34">
        <v>5018.0986035986261</v>
      </c>
      <c r="C313" s="33">
        <v>9.0661831368987755E-4</v>
      </c>
      <c r="E313" s="2"/>
      <c r="F313" s="2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</row>
    <row r="314" spans="1:19" customFormat="1" x14ac:dyDescent="0.25">
      <c r="A314" s="33">
        <v>1.105</v>
      </c>
      <c r="B314" s="34">
        <v>5022.3173718256694</v>
      </c>
      <c r="C314" s="33">
        <v>9.0579710144944592E-4</v>
      </c>
      <c r="E314" s="2"/>
      <c r="F314" s="2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</row>
    <row r="315" spans="1:19" customFormat="1" x14ac:dyDescent="0.25">
      <c r="A315" s="33">
        <v>1.1060000000000001</v>
      </c>
      <c r="B315" s="34">
        <v>5026.5361400527117</v>
      </c>
      <c r="C315" s="33">
        <v>9.0497737556560764E-4</v>
      </c>
      <c r="E315" s="2"/>
      <c r="F315" s="2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</row>
    <row r="316" spans="1:19" customFormat="1" x14ac:dyDescent="0.25">
      <c r="A316" s="33">
        <v>1.107</v>
      </c>
      <c r="B316" s="34">
        <v>5030.7549082797568</v>
      </c>
      <c r="C316" s="33">
        <v>9.0415913200758702E-4</v>
      </c>
      <c r="E316" s="2"/>
      <c r="F316" s="2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</row>
    <row r="317" spans="1:19" customFormat="1" x14ac:dyDescent="0.25">
      <c r="A317" s="33">
        <v>1.1080000000000001</v>
      </c>
      <c r="B317" s="34">
        <v>5034.9736765067983</v>
      </c>
      <c r="C317" s="33">
        <v>9.0334236675682078E-4</v>
      </c>
      <c r="E317" s="2"/>
      <c r="F317" s="2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</row>
    <row r="318" spans="1:19" customFormat="1" x14ac:dyDescent="0.25">
      <c r="A318" s="33">
        <v>1.109</v>
      </c>
      <c r="B318" s="34">
        <v>5039.1924447338388</v>
      </c>
      <c r="C318" s="33">
        <v>9.0252707581206515E-4</v>
      </c>
      <c r="E318" s="2"/>
      <c r="F318" s="2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</row>
    <row r="319" spans="1:19" customFormat="1" x14ac:dyDescent="0.25">
      <c r="A319" s="33">
        <v>1.1100000000000001</v>
      </c>
      <c r="B319" s="34">
        <v>5043.4112129608811</v>
      </c>
      <c r="C319" s="33">
        <v>9.0171325518495493E-4</v>
      </c>
      <c r="E319" s="2"/>
      <c r="F319" s="2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</row>
    <row r="320" spans="1:19" customFormat="1" x14ac:dyDescent="0.25">
      <c r="A320" s="33">
        <v>1.111</v>
      </c>
      <c r="B320" s="34">
        <v>5047.6299811879253</v>
      </c>
      <c r="C320" s="33">
        <v>9.009009009008917E-4</v>
      </c>
      <c r="E320" s="2"/>
      <c r="F320" s="2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</row>
    <row r="321" spans="1:19" customFormat="1" x14ac:dyDescent="0.25">
      <c r="A321" s="33">
        <v>1.1120000000000001</v>
      </c>
      <c r="B321" s="34">
        <v>5051.8487494149686</v>
      </c>
      <c r="C321" s="33">
        <v>9.0009000900126424E-4</v>
      </c>
      <c r="E321" s="2"/>
      <c r="F321" s="2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</row>
    <row r="322" spans="1:19" customFormat="1" x14ac:dyDescent="0.25">
      <c r="A322" s="33">
        <v>1.113</v>
      </c>
      <c r="B322" s="34">
        <v>5056.0675176420091</v>
      </c>
      <c r="C322" s="33">
        <v>8.9928057553922969E-4</v>
      </c>
      <c r="E322" s="2"/>
      <c r="F322" s="2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</row>
    <row r="323" spans="1:19" customFormat="1" x14ac:dyDescent="0.25">
      <c r="A323" s="33">
        <v>1.1140000000000001</v>
      </c>
      <c r="B323" s="34">
        <v>5060.2862858690514</v>
      </c>
      <c r="C323" s="33">
        <v>8.9847259658593082E-4</v>
      </c>
      <c r="E323" s="2"/>
      <c r="F323" s="2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</row>
    <row r="324" spans="1:19" customFormat="1" x14ac:dyDescent="0.25">
      <c r="A324" s="33">
        <v>1.115</v>
      </c>
      <c r="B324" s="34">
        <v>5064.5050540960956</v>
      </c>
      <c r="C324" s="33">
        <v>8.9766606822272443E-4</v>
      </c>
      <c r="E324" s="2"/>
      <c r="F324" s="2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</row>
    <row r="325" spans="1:19" customFormat="1" x14ac:dyDescent="0.25">
      <c r="A325" s="33">
        <v>1.1160000000000001</v>
      </c>
      <c r="B325" s="34">
        <v>5068.7238223231379</v>
      </c>
      <c r="C325" s="33">
        <v>8.9686098654717661E-4</v>
      </c>
      <c r="E325" s="2"/>
      <c r="F325" s="2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</row>
    <row r="326" spans="1:19" customFormat="1" x14ac:dyDescent="0.25">
      <c r="A326" s="33">
        <v>1.117</v>
      </c>
      <c r="B326" s="34">
        <v>5072.9425905501785</v>
      </c>
      <c r="C326" s="33">
        <v>8.9605734766995404E-4</v>
      </c>
      <c r="E326" s="2"/>
      <c r="F326" s="2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</row>
    <row r="327" spans="1:19" customFormat="1" x14ac:dyDescent="0.25">
      <c r="A327" s="33">
        <v>1.1180000000000001</v>
      </c>
      <c r="B327" s="34">
        <v>5077.1613587772235</v>
      </c>
      <c r="C327" s="33">
        <v>8.9525514771726655E-4</v>
      </c>
      <c r="E327" s="2"/>
      <c r="F327" s="2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</row>
    <row r="328" spans="1:19" customFormat="1" x14ac:dyDescent="0.25">
      <c r="A328" s="33">
        <v>1.119</v>
      </c>
      <c r="B328" s="34">
        <v>5081.3801270042659</v>
      </c>
      <c r="C328" s="33">
        <v>8.9445438282664824E-4</v>
      </c>
      <c r="E328" s="2"/>
      <c r="F328" s="2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</row>
    <row r="329" spans="1:19" customFormat="1" x14ac:dyDescent="0.25">
      <c r="A329" s="33">
        <v>1.1200000000000001</v>
      </c>
      <c r="B329" s="34">
        <v>5085.5988952313073</v>
      </c>
      <c r="C329" s="33">
        <v>8.9365504915095428E-4</v>
      </c>
      <c r="E329" s="2"/>
      <c r="F329" s="2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</row>
    <row r="330" spans="1:19" customFormat="1" x14ac:dyDescent="0.25">
      <c r="A330" s="33">
        <v>1.121</v>
      </c>
      <c r="B330" s="34">
        <v>5089.8176634583488</v>
      </c>
      <c r="C330" s="33">
        <v>8.9285714285702866E-4</v>
      </c>
      <c r="E330" s="2"/>
      <c r="F330" s="2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</row>
    <row r="331" spans="1:19" customFormat="1" x14ac:dyDescent="0.25">
      <c r="A331" s="33">
        <v>1.1220000000000001</v>
      </c>
      <c r="B331" s="34">
        <v>5094.0364316853938</v>
      </c>
      <c r="C331" s="33">
        <v>8.9206066012503804E-4</v>
      </c>
      <c r="E331" s="2"/>
      <c r="F331" s="2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</row>
    <row r="332" spans="1:19" customFormat="1" x14ac:dyDescent="0.25">
      <c r="A332" s="33">
        <v>1.123</v>
      </c>
      <c r="B332" s="34">
        <v>5098.2551999124344</v>
      </c>
      <c r="C332" s="33">
        <v>8.9126559714758358E-4</v>
      </c>
      <c r="E332" s="2"/>
      <c r="F332" s="2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</row>
    <row r="333" spans="1:19" customFormat="1" x14ac:dyDescent="0.25">
      <c r="A333" s="33">
        <v>1.1240000000000001</v>
      </c>
      <c r="B333" s="34">
        <v>5102.4739681394767</v>
      </c>
      <c r="C333" s="33">
        <v>8.9047195013369773E-4</v>
      </c>
      <c r="E333" s="2"/>
      <c r="F333" s="2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</row>
    <row r="334" spans="1:19" customFormat="1" x14ac:dyDescent="0.25">
      <c r="A334" s="33">
        <v>1.125</v>
      </c>
      <c r="B334" s="34">
        <v>5106.69273636652</v>
      </c>
      <c r="C334" s="33">
        <v>8.8967971530240497E-4</v>
      </c>
      <c r="E334" s="2"/>
      <c r="F334" s="2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</row>
    <row r="335" spans="1:19" customFormat="1" x14ac:dyDescent="0.25">
      <c r="A335" s="33">
        <v>1.1259999999999999</v>
      </c>
      <c r="B335" s="34">
        <v>5110.9115045935614</v>
      </c>
      <c r="C335" s="33">
        <v>8.8888888888871698E-4</v>
      </c>
      <c r="E335" s="2"/>
      <c r="F335" s="2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</row>
    <row r="336" spans="1:19" customFormat="1" x14ac:dyDescent="0.25">
      <c r="A336" s="33">
        <v>1.127</v>
      </c>
      <c r="B336" s="34">
        <v>5115.1302728206038</v>
      </c>
      <c r="C336" s="33">
        <v>8.8809946714052401E-4</v>
      </c>
      <c r="E336" s="2"/>
      <c r="F336" s="2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</row>
    <row r="337" spans="1:19" customFormat="1" x14ac:dyDescent="0.25">
      <c r="A337" s="33">
        <v>1.1279999999999999</v>
      </c>
      <c r="B337" s="34">
        <v>5119.3490410476452</v>
      </c>
      <c r="C337" s="33">
        <v>8.8731144631748471E-4</v>
      </c>
      <c r="E337" s="2"/>
      <c r="F337" s="2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</row>
    <row r="338" spans="1:19" customFormat="1" x14ac:dyDescent="0.25">
      <c r="A338" s="33">
        <v>1.129</v>
      </c>
      <c r="B338" s="34">
        <v>5123.5678092746894</v>
      </c>
      <c r="C338" s="33">
        <v>8.8652482269502286E-4</v>
      </c>
      <c r="E338" s="2"/>
      <c r="F338" s="2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</row>
    <row r="339" spans="1:19" customFormat="1" x14ac:dyDescent="0.25">
      <c r="A339" s="33">
        <v>1.1299999999999999</v>
      </c>
      <c r="B339" s="34">
        <v>5127.7865775017299</v>
      </c>
      <c r="C339" s="33">
        <v>8.8573959255944246E-4</v>
      </c>
      <c r="E339" s="2"/>
      <c r="F339" s="2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</row>
    <row r="340" spans="1:19" customFormat="1" x14ac:dyDescent="0.25">
      <c r="A340" s="33">
        <v>1.131</v>
      </c>
      <c r="B340" s="34">
        <v>5132.0053457287731</v>
      </c>
      <c r="C340" s="33">
        <v>8.849557522125906E-4</v>
      </c>
      <c r="E340" s="2"/>
      <c r="F340" s="2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</row>
    <row r="341" spans="1:19" customFormat="1" x14ac:dyDescent="0.25">
      <c r="A341" s="33">
        <v>1.1319999999999999</v>
      </c>
      <c r="B341" s="34">
        <v>5136.2241139558164</v>
      </c>
      <c r="C341" s="33">
        <v>8.8417329796630639E-4</v>
      </c>
      <c r="E341" s="2"/>
      <c r="F341" s="2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</row>
    <row r="342" spans="1:19" customFormat="1" x14ac:dyDescent="0.25">
      <c r="A342" s="33">
        <v>1.133</v>
      </c>
      <c r="B342" s="34">
        <v>5140.4428821828587</v>
      </c>
      <c r="C342" s="33">
        <v>8.8339222614841617E-4</v>
      </c>
      <c r="E342" s="2"/>
      <c r="F342" s="2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</row>
    <row r="343" spans="1:19" customFormat="1" x14ac:dyDescent="0.25">
      <c r="A343" s="33">
        <v>1.1339999999999999</v>
      </c>
      <c r="B343" s="34">
        <v>5144.6616504099002</v>
      </c>
      <c r="C343" s="33">
        <v>8.8261253309784848E-4</v>
      </c>
      <c r="E343" s="2"/>
      <c r="F343" s="2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</row>
    <row r="344" spans="1:19" customFormat="1" x14ac:dyDescent="0.25">
      <c r="A344" s="33">
        <v>1.135</v>
      </c>
      <c r="B344" s="34">
        <v>5148.8804186369425</v>
      </c>
      <c r="C344" s="33">
        <v>8.8183421516774274E-4</v>
      </c>
      <c r="E344" s="2"/>
      <c r="F344" s="2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</row>
    <row r="345" spans="1:19" customFormat="1" x14ac:dyDescent="0.25">
      <c r="A345" s="33">
        <v>1.1359999999999999</v>
      </c>
      <c r="B345" s="34">
        <v>5153.0991868639858</v>
      </c>
      <c r="C345" s="33">
        <v>8.8105726872211854E-4</v>
      </c>
      <c r="E345" s="2"/>
      <c r="F345" s="2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</row>
    <row r="346" spans="1:19" customFormat="1" x14ac:dyDescent="0.25">
      <c r="A346" s="33">
        <v>1.137</v>
      </c>
      <c r="B346" s="34">
        <v>5157.3179550910272</v>
      </c>
      <c r="C346" s="33">
        <v>8.8028169014098268E-4</v>
      </c>
      <c r="E346" s="2"/>
      <c r="F346" s="2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</row>
    <row r="347" spans="1:19" customFormat="1" x14ac:dyDescent="0.25">
      <c r="A347" s="33">
        <v>1.1379999999999999</v>
      </c>
      <c r="B347" s="34">
        <v>5161.5367233180696</v>
      </c>
      <c r="C347" s="33">
        <v>8.7950747581366784E-4</v>
      </c>
      <c r="E347" s="2"/>
      <c r="F347" s="2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</row>
    <row r="348" spans="1:19" customFormat="1" x14ac:dyDescent="0.25">
      <c r="A348" s="33">
        <v>1.139</v>
      </c>
      <c r="B348" s="34">
        <v>5165.7554915451137</v>
      </c>
      <c r="C348" s="33">
        <v>8.7873462214416165E-4</v>
      </c>
      <c r="E348" s="2"/>
      <c r="F348" s="2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</row>
    <row r="349" spans="1:19" customFormat="1" x14ac:dyDescent="0.25">
      <c r="A349" s="33">
        <v>1.1399999999999999</v>
      </c>
      <c r="B349" s="34">
        <v>5169.9742597721552</v>
      </c>
      <c r="C349" s="33">
        <v>8.7796312554866418E-4</v>
      </c>
      <c r="E349" s="2"/>
      <c r="F349" s="2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</row>
    <row r="350" spans="1:19" customFormat="1" x14ac:dyDescent="0.25">
      <c r="A350" s="33">
        <v>1.141</v>
      </c>
      <c r="B350" s="34">
        <v>5174.1930279991975</v>
      </c>
      <c r="C350" s="33">
        <v>8.771929824562541E-4</v>
      </c>
      <c r="E350" s="2"/>
      <c r="F350" s="2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</row>
    <row r="351" spans="1:19" customFormat="1" x14ac:dyDescent="0.25">
      <c r="A351" s="33">
        <v>1.1419999999999999</v>
      </c>
      <c r="B351" s="34">
        <v>5178.4117962262399</v>
      </c>
      <c r="C351" s="33">
        <v>8.7642418930777843E-4</v>
      </c>
      <c r="E351" s="2"/>
      <c r="F351" s="2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</row>
    <row r="352" spans="1:19" customFormat="1" x14ac:dyDescent="0.25">
      <c r="A352" s="33">
        <v>1.143</v>
      </c>
      <c r="B352" s="34">
        <v>5182.630564453284</v>
      </c>
      <c r="C352" s="33">
        <v>8.756567425569628E-4</v>
      </c>
      <c r="E352" s="2"/>
      <c r="F352" s="2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</row>
    <row r="353" spans="1:19" customFormat="1" x14ac:dyDescent="0.25">
      <c r="A353" s="33">
        <v>1.1439999999999999</v>
      </c>
      <c r="B353" s="34">
        <v>5186.8493326803246</v>
      </c>
      <c r="C353" s="33">
        <v>8.748906386699673E-4</v>
      </c>
      <c r="E353" s="2"/>
      <c r="F353" s="2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</row>
    <row r="354" spans="1:19" customFormat="1" x14ac:dyDescent="0.25">
      <c r="A354" s="33">
        <v>1.145</v>
      </c>
      <c r="B354" s="34">
        <v>5191.0681009073678</v>
      </c>
      <c r="C354" s="33">
        <v>8.7412587412605269E-4</v>
      </c>
      <c r="E354" s="2"/>
      <c r="F354" s="2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</row>
    <row r="355" spans="1:19" customFormat="1" x14ac:dyDescent="0.25">
      <c r="A355" s="33">
        <v>1.1459999999999999</v>
      </c>
      <c r="B355" s="34">
        <v>5195.286869134412</v>
      </c>
      <c r="C355" s="33">
        <v>8.7336244541491581E-4</v>
      </c>
      <c r="E355" s="2"/>
      <c r="F355" s="2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</row>
    <row r="356" spans="1:19" customFormat="1" x14ac:dyDescent="0.25">
      <c r="A356" s="33">
        <v>1.147</v>
      </c>
      <c r="B356" s="34">
        <v>5199.5056373614543</v>
      </c>
      <c r="C356" s="33">
        <v>8.7260034904024231E-4</v>
      </c>
      <c r="E356" s="2"/>
      <c r="F356" s="2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</row>
    <row r="357" spans="1:19" customFormat="1" x14ac:dyDescent="0.25">
      <c r="A357" s="33">
        <v>1.1479999999999999</v>
      </c>
      <c r="B357" s="34">
        <v>5203.7244055884958</v>
      </c>
      <c r="C357" s="33">
        <v>8.7183958151682006E-4</v>
      </c>
      <c r="E357" s="2"/>
      <c r="F357" s="2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</row>
    <row r="358" spans="1:19" customFormat="1" x14ac:dyDescent="0.25">
      <c r="A358" s="33">
        <v>1.149</v>
      </c>
      <c r="B358" s="34">
        <v>5207.9431738155372</v>
      </c>
      <c r="C358" s="33">
        <v>8.7108013937275963E-4</v>
      </c>
      <c r="E358" s="2"/>
      <c r="F358" s="2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</row>
    <row r="359" spans="1:19" customFormat="1" x14ac:dyDescent="0.25">
      <c r="A359" s="33">
        <v>1.1499999999999999</v>
      </c>
      <c r="B359" s="34">
        <v>5212.1619420425804</v>
      </c>
      <c r="C359" s="33">
        <v>8.7032201914705176E-4</v>
      </c>
      <c r="E359" s="2"/>
      <c r="F359" s="2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</row>
    <row r="360" spans="1:19" customFormat="1" x14ac:dyDescent="0.25">
      <c r="A360" s="33">
        <v>1.151</v>
      </c>
      <c r="B360" s="34">
        <v>5216.3807102696219</v>
      </c>
      <c r="C360" s="33">
        <v>8.6956521739134374E-4</v>
      </c>
      <c r="E360" s="2"/>
      <c r="F360" s="2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</row>
    <row r="361" spans="1:19" customFormat="1" x14ac:dyDescent="0.25">
      <c r="A361" s="33">
        <v>1.1519999999999999</v>
      </c>
      <c r="B361" s="34">
        <v>5220.5994784966633</v>
      </c>
      <c r="C361" s="33">
        <v>8.6880973066882916E-4</v>
      </c>
      <c r="E361" s="2"/>
      <c r="F361" s="2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</row>
    <row r="362" spans="1:19" customFormat="1" x14ac:dyDescent="0.25">
      <c r="A362" s="33">
        <v>1.153</v>
      </c>
      <c r="B362" s="34">
        <v>5224.8182467237048</v>
      </c>
      <c r="C362" s="33">
        <v>8.6805555555535818E-4</v>
      </c>
      <c r="E362" s="2"/>
      <c r="F362" s="2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</row>
    <row r="363" spans="1:19" customFormat="1" x14ac:dyDescent="0.25">
      <c r="A363" s="33">
        <v>1.1539999999999999</v>
      </c>
      <c r="B363" s="34">
        <v>5229.0370149507489</v>
      </c>
      <c r="C363" s="33">
        <v>8.6730268863854931E-4</v>
      </c>
      <c r="E363" s="2"/>
      <c r="F363" s="2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</row>
    <row r="364" spans="1:19" customFormat="1" x14ac:dyDescent="0.25">
      <c r="A364" s="33">
        <v>1.155</v>
      </c>
      <c r="B364" s="34">
        <v>5233.2557831777913</v>
      </c>
      <c r="C364" s="33">
        <v>8.6655112651645716E-4</v>
      </c>
      <c r="E364" s="2"/>
      <c r="F364" s="2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</row>
    <row r="365" spans="1:19" customFormat="1" x14ac:dyDescent="0.25">
      <c r="A365" s="33">
        <v>1.1559999999999999</v>
      </c>
      <c r="B365" s="34">
        <v>5237.4745514048327</v>
      </c>
      <c r="C365" s="33">
        <v>8.6580086580068105E-4</v>
      </c>
      <c r="E365" s="2"/>
      <c r="F365" s="2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</row>
    <row r="366" spans="1:19" customFormat="1" x14ac:dyDescent="0.25">
      <c r="A366" s="33">
        <v>1.157</v>
      </c>
      <c r="B366" s="34">
        <v>5241.693319631876</v>
      </c>
      <c r="C366" s="33">
        <v>8.6505190311414459E-4</v>
      </c>
      <c r="E366" s="2"/>
      <c r="F366" s="2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</row>
    <row r="367" spans="1:19" customFormat="1" x14ac:dyDescent="0.25">
      <c r="A367" s="33">
        <v>1.1579999999999999</v>
      </c>
      <c r="B367" s="34">
        <v>5245.9120878589183</v>
      </c>
      <c r="C367" s="33">
        <v>8.6430423509087362E-4</v>
      </c>
      <c r="E367" s="2"/>
      <c r="F367" s="2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</row>
    <row r="368" spans="1:19" customFormat="1" x14ac:dyDescent="0.25">
      <c r="A368" s="33">
        <v>1.159</v>
      </c>
      <c r="B368" s="34">
        <v>5250.1308560859597</v>
      </c>
      <c r="C368" s="33">
        <v>8.6355785837644028E-4</v>
      </c>
      <c r="E368" s="2"/>
      <c r="F368" s="2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</row>
    <row r="369" spans="1:19" customFormat="1" x14ac:dyDescent="0.25">
      <c r="A369" s="33">
        <v>1.1599999999999999</v>
      </c>
      <c r="B369" s="34">
        <v>5254.3496243130021</v>
      </c>
      <c r="C369" s="33">
        <v>8.6281276962907327E-4</v>
      </c>
      <c r="E369" s="2"/>
      <c r="F369" s="2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</row>
    <row r="370" spans="1:19" customFormat="1" x14ac:dyDescent="0.25">
      <c r="A370" s="33">
        <v>1.161</v>
      </c>
      <c r="B370" s="34">
        <v>5258.5683925400454</v>
      </c>
      <c r="C370" s="33">
        <v>8.6206896551721535E-4</v>
      </c>
      <c r="E370" s="2"/>
      <c r="F370" s="2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</row>
    <row r="371" spans="1:19" customFormat="1" x14ac:dyDescent="0.25">
      <c r="A371" s="33">
        <v>1.1619999999999999</v>
      </c>
      <c r="B371" s="34">
        <v>5262.7871607670868</v>
      </c>
      <c r="C371" s="33">
        <v>8.6132644272174375E-4</v>
      </c>
      <c r="E371" s="2"/>
      <c r="F371" s="2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</row>
    <row r="372" spans="1:19" customFormat="1" x14ac:dyDescent="0.25">
      <c r="A372" s="33">
        <v>1.163</v>
      </c>
      <c r="B372" s="34">
        <v>5267.0059289941282</v>
      </c>
      <c r="C372" s="33">
        <v>8.6058519793463795E-4</v>
      </c>
      <c r="E372" s="2"/>
      <c r="F372" s="2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</row>
    <row r="373" spans="1:19" customFormat="1" x14ac:dyDescent="0.25">
      <c r="A373" s="33">
        <v>1.1639999999999999</v>
      </c>
      <c r="B373" s="34">
        <v>5271.2246972211706</v>
      </c>
      <c r="C373" s="33">
        <v>8.5984522785897965E-4</v>
      </c>
      <c r="E373" s="2"/>
      <c r="F373" s="2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</row>
    <row r="374" spans="1:19" customFormat="1" x14ac:dyDescent="0.25">
      <c r="A374" s="33">
        <v>1.165</v>
      </c>
      <c r="B374" s="34">
        <v>5275.4434654482147</v>
      </c>
      <c r="C374" s="33">
        <v>8.5910652920961894E-4</v>
      </c>
      <c r="E374" s="2"/>
      <c r="F374" s="2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</row>
    <row r="375" spans="1:19" customFormat="1" x14ac:dyDescent="0.25">
      <c r="A375" s="33">
        <v>1.1659999999999999</v>
      </c>
      <c r="B375" s="34">
        <v>5279.6622336752562</v>
      </c>
      <c r="C375" s="33">
        <v>8.5836909871228606E-4</v>
      </c>
      <c r="E375" s="2"/>
      <c r="F375" s="2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</row>
    <row r="376" spans="1:19" customFormat="1" x14ac:dyDescent="0.25">
      <c r="A376" s="33">
        <v>1.167</v>
      </c>
      <c r="B376" s="34">
        <v>5283.8810019022985</v>
      </c>
      <c r="C376" s="33">
        <v>8.5763293310470168E-4</v>
      </c>
      <c r="E376" s="2"/>
      <c r="F376" s="2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</row>
    <row r="377" spans="1:19" customFormat="1" x14ac:dyDescent="0.25">
      <c r="A377" s="33">
        <v>1.1679999999999999</v>
      </c>
      <c r="B377" s="34">
        <v>5288.0997701293427</v>
      </c>
      <c r="C377" s="33">
        <v>8.5689802913457847E-4</v>
      </c>
      <c r="E377" s="2"/>
      <c r="F377" s="2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</row>
    <row r="378" spans="1:19" customFormat="1" x14ac:dyDescent="0.25">
      <c r="A378" s="33">
        <v>1.169</v>
      </c>
      <c r="B378" s="34">
        <v>5292.318538356385</v>
      </c>
      <c r="C378" s="33">
        <v>8.5616438356184155E-4</v>
      </c>
      <c r="E378" s="2"/>
      <c r="F378" s="2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</row>
    <row r="379" spans="1:19" customFormat="1" x14ac:dyDescent="0.25">
      <c r="A379" s="33">
        <v>1.17</v>
      </c>
      <c r="B379" s="34">
        <v>5296.5373065834256</v>
      </c>
      <c r="C379" s="33">
        <v>8.5543199315618601E-4</v>
      </c>
      <c r="E379" s="2"/>
      <c r="F379" s="2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</row>
    <row r="380" spans="1:19" customFormat="1" x14ac:dyDescent="0.25">
      <c r="A380" s="33">
        <v>1.171</v>
      </c>
      <c r="B380" s="34">
        <v>5300.756074810467</v>
      </c>
      <c r="C380" s="33">
        <v>8.5470085470085166E-4</v>
      </c>
      <c r="E380" s="2"/>
      <c r="F380" s="2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</row>
    <row r="381" spans="1:19" customFormat="1" x14ac:dyDescent="0.25">
      <c r="A381" s="33">
        <v>1.1719999999999999</v>
      </c>
      <c r="B381" s="34">
        <v>5304.9748430375103</v>
      </c>
      <c r="C381" s="33">
        <v>8.5397096498707192E-4</v>
      </c>
      <c r="E381" s="2"/>
      <c r="F381" s="2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</row>
    <row r="382" spans="1:19" customFormat="1" x14ac:dyDescent="0.25">
      <c r="A382" s="33">
        <v>1.173</v>
      </c>
      <c r="B382" s="34">
        <v>5309.1936112645517</v>
      </c>
      <c r="C382" s="33">
        <v>8.5324232081895879E-4</v>
      </c>
      <c r="E382" s="2"/>
      <c r="F382" s="2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</row>
    <row r="383" spans="1:19" customFormat="1" x14ac:dyDescent="0.25">
      <c r="A383" s="33">
        <v>1.1739999999999999</v>
      </c>
      <c r="B383" s="34">
        <v>5313.4123794915949</v>
      </c>
      <c r="C383" s="33">
        <v>8.525149190112824E-4</v>
      </c>
      <c r="E383" s="2"/>
      <c r="F383" s="2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</row>
    <row r="384" spans="1:19" customFormat="1" x14ac:dyDescent="0.25">
      <c r="A384" s="33">
        <v>1.175</v>
      </c>
      <c r="B384" s="34">
        <v>5317.63114771864</v>
      </c>
      <c r="C384" s="33">
        <v>8.5178875638858287E-4</v>
      </c>
      <c r="E384" s="2"/>
      <c r="F384" s="2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</row>
    <row r="385" spans="1:19" customFormat="1" x14ac:dyDescent="0.25">
      <c r="A385" s="33">
        <v>1.1759999999999999</v>
      </c>
      <c r="B385" s="34">
        <v>5321.8499159456806</v>
      </c>
      <c r="C385" s="33">
        <v>8.5106382978694661E-4</v>
      </c>
      <c r="E385" s="2"/>
      <c r="F385" s="2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</row>
    <row r="386" spans="1:19" customFormat="1" x14ac:dyDescent="0.25">
      <c r="A386" s="33">
        <v>1.177</v>
      </c>
      <c r="B386" s="34">
        <v>5326.0686841727229</v>
      </c>
      <c r="C386" s="33">
        <v>8.5034013605445047E-4</v>
      </c>
      <c r="E386" s="2"/>
      <c r="F386" s="2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</row>
    <row r="387" spans="1:19" customFormat="1" x14ac:dyDescent="0.25">
      <c r="A387" s="33">
        <v>1.1779999999999999</v>
      </c>
      <c r="B387" s="34">
        <v>5330.2874523997643</v>
      </c>
      <c r="C387" s="33">
        <v>8.4961767204760896E-4</v>
      </c>
      <c r="E387" s="2"/>
      <c r="F387" s="2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</row>
    <row r="388" spans="1:19" customFormat="1" x14ac:dyDescent="0.25">
      <c r="A388" s="33">
        <v>1.179</v>
      </c>
      <c r="B388" s="34">
        <v>5334.5062206268094</v>
      </c>
      <c r="C388" s="33">
        <v>8.4889643463514908E-4</v>
      </c>
      <c r="E388" s="2"/>
      <c r="F388" s="2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</row>
    <row r="389" spans="1:19" customFormat="1" x14ac:dyDescent="0.25">
      <c r="A389" s="33">
        <v>1.18</v>
      </c>
      <c r="B389" s="34">
        <v>5338.724988853849</v>
      </c>
      <c r="C389" s="33">
        <v>8.4817642069512367E-4</v>
      </c>
      <c r="E389" s="2"/>
      <c r="F389" s="2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</row>
    <row r="390" spans="1:19" customFormat="1" x14ac:dyDescent="0.25">
      <c r="A390" s="33">
        <v>1.181</v>
      </c>
      <c r="B390" s="34">
        <v>5342.9437570808923</v>
      </c>
      <c r="C390" s="33">
        <v>8.4745762711890826E-4</v>
      </c>
      <c r="E390" s="2"/>
      <c r="F390" s="2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</row>
    <row r="391" spans="1:19" customFormat="1" x14ac:dyDescent="0.25">
      <c r="A391" s="33">
        <v>1.1819999999999999</v>
      </c>
      <c r="B391" s="34">
        <v>5347.1625253079364</v>
      </c>
      <c r="C391" s="33">
        <v>8.4674005080453973E-4</v>
      </c>
      <c r="E391" s="2"/>
      <c r="F391" s="2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</row>
    <row r="392" spans="1:19" customFormat="1" x14ac:dyDescent="0.25">
      <c r="A392" s="33">
        <v>1.1830000000000001</v>
      </c>
      <c r="B392" s="34">
        <v>5351.3812935349779</v>
      </c>
      <c r="C392" s="33">
        <v>8.4602368866315558E-4</v>
      </c>
      <c r="E392" s="2"/>
      <c r="F392" s="2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</row>
    <row r="393" spans="1:19" customFormat="1" x14ac:dyDescent="0.25">
      <c r="A393" s="33">
        <v>1.1839999999999999</v>
      </c>
      <c r="B393" s="34">
        <v>5355.6000617620193</v>
      </c>
      <c r="C393" s="33">
        <v>8.4530853761610736E-4</v>
      </c>
      <c r="E393" s="2"/>
      <c r="F393" s="2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</row>
    <row r="394" spans="1:19" customFormat="1" x14ac:dyDescent="0.25">
      <c r="A394" s="33">
        <v>1.1850000000000001</v>
      </c>
      <c r="B394" s="34">
        <v>5359.8188299890608</v>
      </c>
      <c r="C394" s="33">
        <v>8.4459459459451658E-4</v>
      </c>
      <c r="E394" s="2"/>
      <c r="F394" s="2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</row>
    <row r="395" spans="1:19" customFormat="1" x14ac:dyDescent="0.25">
      <c r="A395" s="33">
        <v>1.1859999999999999</v>
      </c>
      <c r="B395" s="34">
        <v>5364.0375982161049</v>
      </c>
      <c r="C395" s="33">
        <v>8.438818565401629E-4</v>
      </c>
      <c r="E395" s="2"/>
      <c r="F395" s="2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</row>
    <row r="396" spans="1:19" customFormat="1" x14ac:dyDescent="0.25">
      <c r="A396" s="33">
        <v>1.1870000000000001</v>
      </c>
      <c r="B396" s="34">
        <v>5368.2563664431464</v>
      </c>
      <c r="C396" s="33">
        <v>8.4317032040481799E-4</v>
      </c>
      <c r="E396" s="2"/>
      <c r="F396" s="2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</row>
    <row r="397" spans="1:19" customFormat="1" x14ac:dyDescent="0.25">
      <c r="A397" s="33">
        <v>1.1879999999999999</v>
      </c>
      <c r="B397" s="34">
        <v>5372.4751346701887</v>
      </c>
      <c r="C397" s="33">
        <v>8.4245998315091164E-4</v>
      </c>
      <c r="E397" s="2"/>
      <c r="F397" s="2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</row>
    <row r="398" spans="1:19" customFormat="1" x14ac:dyDescent="0.25">
      <c r="A398" s="33">
        <v>1.1890000000000001</v>
      </c>
      <c r="B398" s="34">
        <v>5376.6939028972329</v>
      </c>
      <c r="C398" s="33">
        <v>8.4175084175086567E-4</v>
      </c>
      <c r="E398" s="2"/>
      <c r="F398" s="2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</row>
    <row r="399" spans="1:19" customFormat="1" x14ac:dyDescent="0.25">
      <c r="A399" s="33">
        <v>1.19</v>
      </c>
      <c r="B399" s="34">
        <v>5380.9126711242752</v>
      </c>
      <c r="C399" s="33">
        <v>8.41042893187538E-4</v>
      </c>
      <c r="E399" s="2"/>
      <c r="F399" s="2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</row>
    <row r="400" spans="1:19" customFormat="1" x14ac:dyDescent="0.25">
      <c r="A400" s="33">
        <v>1.1910000000000001</v>
      </c>
      <c r="B400" s="34">
        <v>5385.1314393513176</v>
      </c>
      <c r="C400" s="33">
        <v>8.4033613445377853E-4</v>
      </c>
      <c r="E400" s="2"/>
      <c r="F400" s="2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</row>
    <row r="401" spans="1:19" customFormat="1" x14ac:dyDescent="0.25">
      <c r="A401" s="33">
        <v>1.1919999999999999</v>
      </c>
      <c r="B401" s="34">
        <v>5389.350207578359</v>
      </c>
      <c r="C401" s="33">
        <v>8.3963056255242918E-4</v>
      </c>
      <c r="E401" s="2"/>
      <c r="F401" s="2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</row>
    <row r="402" spans="1:19" customFormat="1" x14ac:dyDescent="0.25">
      <c r="A402" s="33">
        <v>1.1930000000000001</v>
      </c>
      <c r="B402" s="34">
        <v>5393.5689758054023</v>
      </c>
      <c r="C402" s="33">
        <v>8.3892617449676798E-4</v>
      </c>
      <c r="E402" s="2"/>
      <c r="F402" s="2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</row>
    <row r="403" spans="1:19" customFormat="1" x14ac:dyDescent="0.25">
      <c r="A403" s="33">
        <v>1.194</v>
      </c>
      <c r="B403" s="34">
        <v>5397.7877440324437</v>
      </c>
      <c r="C403" s="33">
        <v>8.3822296730917678E-4</v>
      </c>
      <c r="E403" s="2"/>
      <c r="F403" s="2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</row>
    <row r="404" spans="1:19" customFormat="1" x14ac:dyDescent="0.25">
      <c r="A404" s="33">
        <v>1.1950000000000001</v>
      </c>
      <c r="B404" s="34">
        <v>5402.006512259486</v>
      </c>
      <c r="C404" s="33">
        <v>8.3752093802358374E-4</v>
      </c>
      <c r="E404" s="2"/>
      <c r="F404" s="2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</row>
    <row r="405" spans="1:19" customFormat="1" x14ac:dyDescent="0.25">
      <c r="A405" s="33">
        <v>1.196</v>
      </c>
      <c r="B405" s="34">
        <v>5406.2252804865302</v>
      </c>
      <c r="C405" s="33">
        <v>8.3682008368213268E-4</v>
      </c>
      <c r="E405" s="2"/>
      <c r="F405" s="2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</row>
    <row r="406" spans="1:19" customFormat="1" x14ac:dyDescent="0.25">
      <c r="A406" s="33">
        <v>1.1970000000000001</v>
      </c>
      <c r="B406" s="34">
        <v>5410.4440487135726</v>
      </c>
      <c r="C406" s="33">
        <v>8.361204013378476E-4</v>
      </c>
      <c r="E406" s="2"/>
      <c r="F406" s="2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</row>
    <row r="407" spans="1:19" customFormat="1" x14ac:dyDescent="0.25">
      <c r="A407" s="33">
        <v>1.198</v>
      </c>
      <c r="B407" s="34">
        <v>5414.662816940614</v>
      </c>
      <c r="C407" s="33">
        <v>8.3542188805330042E-4</v>
      </c>
      <c r="E407" s="2"/>
      <c r="F407" s="2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</row>
    <row r="408" spans="1:19" customFormat="1" x14ac:dyDescent="0.25">
      <c r="A408" s="33">
        <v>1.1990000000000001</v>
      </c>
      <c r="B408" s="34">
        <v>5418.8815851676563</v>
      </c>
      <c r="C408" s="33">
        <v>8.3472454090149917E-4</v>
      </c>
      <c r="E408" s="2"/>
      <c r="F408" s="2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</row>
    <row r="409" spans="1:19" customFormat="1" x14ac:dyDescent="0.25">
      <c r="A409" s="31">
        <v>1.2</v>
      </c>
      <c r="B409" s="32">
        <v>6474.5472038268108</v>
      </c>
      <c r="C409" s="31">
        <v>0.2086995573234105</v>
      </c>
      <c r="E409" s="2"/>
      <c r="F409" s="2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</row>
    <row r="410" spans="1:19" customFormat="1" x14ac:dyDescent="0.25">
      <c r="A410" s="33">
        <v>1.2010000000000001</v>
      </c>
      <c r="B410" s="34">
        <v>6479.6421777625483</v>
      </c>
      <c r="C410" s="33">
        <v>8.3333333333368564E-4</v>
      </c>
      <c r="E410" s="2"/>
      <c r="F410" s="2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</row>
    <row r="411" spans="1:19" customFormat="1" x14ac:dyDescent="0.25">
      <c r="A411" s="33">
        <v>1.202</v>
      </c>
      <c r="B411" s="34">
        <v>6484.7371516982839</v>
      </c>
      <c r="C411" s="33">
        <v>8.3263946711054082E-4</v>
      </c>
      <c r="E411" s="2"/>
      <c r="F411" s="2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</row>
    <row r="412" spans="1:19" customFormat="1" x14ac:dyDescent="0.25">
      <c r="A412" s="33">
        <v>1.2030000000000001</v>
      </c>
      <c r="B412" s="34">
        <v>6489.8321256340214</v>
      </c>
      <c r="C412" s="33">
        <v>8.3194675540787522E-4</v>
      </c>
      <c r="E412" s="2"/>
      <c r="F412" s="2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</row>
    <row r="413" spans="1:19" customFormat="1" x14ac:dyDescent="0.25">
      <c r="A413" s="33">
        <v>1.204</v>
      </c>
      <c r="B413" s="34">
        <v>6494.9270995697543</v>
      </c>
      <c r="C413" s="33">
        <v>8.3125519534466008E-4</v>
      </c>
      <c r="E413" s="2"/>
      <c r="F413" s="2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</row>
    <row r="414" spans="1:19" customFormat="1" x14ac:dyDescent="0.25">
      <c r="A414" s="33">
        <v>1.2050000000000001</v>
      </c>
      <c r="B414" s="34">
        <v>6500.0220735054918</v>
      </c>
      <c r="C414" s="33">
        <v>8.3056478405341139E-4</v>
      </c>
      <c r="E414" s="2"/>
      <c r="F414" s="2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</row>
    <row r="415" spans="1:19" customFormat="1" x14ac:dyDescent="0.25">
      <c r="A415" s="33">
        <v>1.206</v>
      </c>
      <c r="B415" s="34">
        <v>6505.1170474412256</v>
      </c>
      <c r="C415" s="33">
        <v>8.2987551867197418E-4</v>
      </c>
      <c r="E415" s="2"/>
      <c r="F415" s="2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</row>
    <row r="416" spans="1:19" customFormat="1" x14ac:dyDescent="0.25">
      <c r="A416" s="33">
        <v>1.2070000000000001</v>
      </c>
      <c r="B416" s="34">
        <v>6510.2120213769613</v>
      </c>
      <c r="C416" s="33">
        <v>8.2918739635151617E-4</v>
      </c>
      <c r="E416" s="2"/>
      <c r="F416" s="2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</row>
    <row r="417" spans="1:19" customFormat="1" x14ac:dyDescent="0.25">
      <c r="A417" s="33">
        <v>1.208</v>
      </c>
      <c r="B417" s="34">
        <v>6515.3069953126978</v>
      </c>
      <c r="C417" s="33">
        <v>8.2850041425031051E-4</v>
      </c>
      <c r="E417" s="2"/>
      <c r="F417" s="2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</row>
    <row r="418" spans="1:19" customFormat="1" x14ac:dyDescent="0.25">
      <c r="A418" s="33">
        <v>1.2090000000000001</v>
      </c>
      <c r="B418" s="34">
        <v>6520.4019692484344</v>
      </c>
      <c r="C418" s="33">
        <v>8.2781456953640031E-4</v>
      </c>
      <c r="E418" s="2"/>
      <c r="F418" s="2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</row>
    <row r="419" spans="1:19" customFormat="1" x14ac:dyDescent="0.25">
      <c r="A419" s="33">
        <v>1.21</v>
      </c>
      <c r="B419" s="34">
        <v>6525.4969431841691</v>
      </c>
      <c r="C419" s="33">
        <v>8.2712985938782069E-4</v>
      </c>
      <c r="E419" s="2"/>
      <c r="F419" s="2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</row>
    <row r="420" spans="1:19" customFormat="1" x14ac:dyDescent="0.25">
      <c r="A420" s="33">
        <v>1.2110000000000001</v>
      </c>
      <c r="B420" s="34">
        <v>6530.5919171199066</v>
      </c>
      <c r="C420" s="33">
        <v>8.2644628099193262E-4</v>
      </c>
      <c r="E420" s="2"/>
      <c r="F420" s="2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</row>
    <row r="421" spans="1:19" customFormat="1" x14ac:dyDescent="0.25">
      <c r="A421" s="33">
        <v>1.212</v>
      </c>
      <c r="B421" s="34">
        <v>6535.6868910556404</v>
      </c>
      <c r="C421" s="33">
        <v>8.2576383154386868E-4</v>
      </c>
      <c r="E421" s="2"/>
      <c r="F421" s="2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</row>
    <row r="422" spans="1:19" customFormat="1" x14ac:dyDescent="0.25">
      <c r="A422" s="33">
        <v>1.2130000000000001</v>
      </c>
      <c r="B422" s="34">
        <v>6540.781864991377</v>
      </c>
      <c r="C422" s="33">
        <v>8.2508250825097385E-4</v>
      </c>
      <c r="E422" s="2"/>
      <c r="F422" s="2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</row>
    <row r="423" spans="1:19" customFormat="1" x14ac:dyDescent="0.25">
      <c r="A423" s="33">
        <v>1.214</v>
      </c>
      <c r="B423" s="34">
        <v>6545.8768389271127</v>
      </c>
      <c r="C423" s="33">
        <v>8.244023083263663E-4</v>
      </c>
      <c r="E423" s="2"/>
      <c r="F423" s="2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</row>
    <row r="424" spans="1:19" customFormat="1" x14ac:dyDescent="0.25">
      <c r="A424" s="33">
        <v>1.2150000000000001</v>
      </c>
      <c r="B424" s="34">
        <v>6550.9718128628492</v>
      </c>
      <c r="C424" s="33">
        <v>8.237232289951546E-4</v>
      </c>
      <c r="E424" s="2"/>
      <c r="F424" s="2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</row>
    <row r="425" spans="1:19" customFormat="1" x14ac:dyDescent="0.25">
      <c r="A425" s="33">
        <v>1.216</v>
      </c>
      <c r="B425" s="34">
        <v>6556.0667867985858</v>
      </c>
      <c r="C425" s="33">
        <v>8.230452674897748E-4</v>
      </c>
      <c r="E425" s="2"/>
      <c r="F425" s="2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</row>
    <row r="426" spans="1:19" customFormat="1" x14ac:dyDescent="0.25">
      <c r="A426" s="33">
        <v>1.2170000000000001</v>
      </c>
      <c r="B426" s="34">
        <v>6561.1617607343233</v>
      </c>
      <c r="C426" s="33">
        <v>8.22368421052877E-4</v>
      </c>
      <c r="E426" s="2"/>
      <c r="F426" s="2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</row>
    <row r="427" spans="1:19" customFormat="1" x14ac:dyDescent="0.25">
      <c r="A427" s="33">
        <v>1.218</v>
      </c>
      <c r="B427" s="34">
        <v>6566.2567346700589</v>
      </c>
      <c r="C427" s="33">
        <v>8.2169268693510489E-4</v>
      </c>
      <c r="E427" s="2"/>
      <c r="F427" s="2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</row>
    <row r="428" spans="1:19" customFormat="1" x14ac:dyDescent="0.25">
      <c r="A428" s="33">
        <v>1.2190000000000001</v>
      </c>
      <c r="B428" s="34">
        <v>6571.3517086057946</v>
      </c>
      <c r="C428" s="33">
        <v>8.2101806239731623E-4</v>
      </c>
      <c r="E428" s="2"/>
      <c r="F428" s="2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</row>
    <row r="429" spans="1:19" customFormat="1" x14ac:dyDescent="0.25">
      <c r="A429" s="33">
        <v>1.22</v>
      </c>
      <c r="B429" s="34">
        <v>6576.4466825415293</v>
      </c>
      <c r="C429" s="33">
        <v>8.2034454470858442E-4</v>
      </c>
      <c r="E429" s="2"/>
      <c r="F429" s="2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</row>
    <row r="430" spans="1:19" customFormat="1" x14ac:dyDescent="0.25">
      <c r="A430" s="33">
        <v>1.2210000000000001</v>
      </c>
      <c r="B430" s="34">
        <v>6581.5416564772659</v>
      </c>
      <c r="C430" s="33">
        <v>8.1967213114753079E-4</v>
      </c>
      <c r="E430" s="2"/>
      <c r="F430" s="2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</row>
    <row r="431" spans="1:19" customFormat="1" x14ac:dyDescent="0.25">
      <c r="A431" s="33">
        <v>1.222</v>
      </c>
      <c r="B431" s="34">
        <v>6586.6366304130024</v>
      </c>
      <c r="C431" s="33">
        <v>8.1900081900099231E-4</v>
      </c>
      <c r="E431" s="2"/>
      <c r="F431" s="2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</row>
    <row r="432" spans="1:19" customFormat="1" x14ac:dyDescent="0.25">
      <c r="A432" s="33">
        <v>1.2230000000000001</v>
      </c>
      <c r="B432" s="34">
        <v>6591.7316043487381</v>
      </c>
      <c r="C432" s="33">
        <v>8.1833060556468773E-4</v>
      </c>
      <c r="E432" s="2"/>
      <c r="F432" s="2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</row>
    <row r="433" spans="1:19" customFormat="1" x14ac:dyDescent="0.25">
      <c r="A433" s="33">
        <v>1.224</v>
      </c>
      <c r="B433" s="34">
        <v>6596.8265782844728</v>
      </c>
      <c r="C433" s="33">
        <v>8.1766148814388373E-4</v>
      </c>
      <c r="E433" s="2"/>
      <c r="F433" s="2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</row>
    <row r="434" spans="1:19" customFormat="1" x14ac:dyDescent="0.25">
      <c r="A434" s="33">
        <v>1.2250000000000001</v>
      </c>
      <c r="B434" s="34">
        <v>6601.9215522202112</v>
      </c>
      <c r="C434" s="33">
        <v>8.1699346405250672E-4</v>
      </c>
      <c r="E434" s="2"/>
      <c r="F434" s="2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</row>
    <row r="435" spans="1:19" customFormat="1" x14ac:dyDescent="0.25">
      <c r="A435" s="33">
        <v>1.226</v>
      </c>
      <c r="B435" s="34">
        <v>6607.0165261559459</v>
      </c>
      <c r="C435" s="33">
        <v>8.1632653061203264E-4</v>
      </c>
      <c r="E435" s="2"/>
      <c r="F435" s="2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</row>
    <row r="436" spans="1:19" customFormat="1" x14ac:dyDescent="0.25">
      <c r="A436" s="33">
        <v>1.2270000000000001</v>
      </c>
      <c r="B436" s="34">
        <v>6612.1115000916825</v>
      </c>
      <c r="C436" s="33">
        <v>8.1566068515503964E-4</v>
      </c>
      <c r="E436" s="2"/>
      <c r="F436" s="2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</row>
    <row r="437" spans="1:19" customFormat="1" x14ac:dyDescent="0.25">
      <c r="A437" s="33">
        <v>1.228</v>
      </c>
      <c r="B437" s="34">
        <v>6617.2064740274163</v>
      </c>
      <c r="C437" s="33">
        <v>8.1499592502032314E-4</v>
      </c>
      <c r="E437" s="2"/>
      <c r="F437" s="2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</row>
    <row r="438" spans="1:19" customFormat="1" x14ac:dyDescent="0.25">
      <c r="A438" s="33">
        <v>1.2290000000000001</v>
      </c>
      <c r="B438" s="34">
        <v>6622.3014479631547</v>
      </c>
      <c r="C438" s="33">
        <v>8.1433224755711464E-4</v>
      </c>
      <c r="E438" s="2"/>
      <c r="F438" s="2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</row>
    <row r="439" spans="1:19" customFormat="1" x14ac:dyDescent="0.25">
      <c r="A439" s="33">
        <v>1.23</v>
      </c>
      <c r="B439" s="34">
        <v>6627.3964218988895</v>
      </c>
      <c r="C439" s="33">
        <v>8.1366965012197312E-4</v>
      </c>
      <c r="E439" s="2"/>
      <c r="F439" s="2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</row>
    <row r="440" spans="1:19" customFormat="1" x14ac:dyDescent="0.25">
      <c r="A440" s="33">
        <v>1.2310000000000001</v>
      </c>
      <c r="B440" s="34">
        <v>6632.4913958346278</v>
      </c>
      <c r="C440" s="33">
        <v>8.1300813008144956E-4</v>
      </c>
      <c r="E440" s="2"/>
      <c r="F440" s="2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</row>
    <row r="441" spans="1:19" customFormat="1" x14ac:dyDescent="0.25">
      <c r="A441" s="33">
        <v>1.232</v>
      </c>
      <c r="B441" s="34">
        <v>6637.5863697703617</v>
      </c>
      <c r="C441" s="33">
        <v>8.1234768480897834E-4</v>
      </c>
      <c r="E441" s="2"/>
      <c r="F441" s="2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</row>
    <row r="442" spans="1:19" customFormat="1" x14ac:dyDescent="0.25">
      <c r="A442" s="33">
        <v>1.2330000000000001</v>
      </c>
      <c r="B442" s="34">
        <v>6642.6813437060955</v>
      </c>
      <c r="C442" s="33">
        <v>8.1168831168820788E-4</v>
      </c>
      <c r="E442" s="2"/>
      <c r="F442" s="2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</row>
    <row r="443" spans="1:19" customFormat="1" x14ac:dyDescent="0.25">
      <c r="A443" s="33">
        <v>1.234</v>
      </c>
      <c r="B443" s="34">
        <v>6647.7763176418321</v>
      </c>
      <c r="C443" s="33">
        <v>8.110300081103361E-4</v>
      </c>
      <c r="E443" s="2"/>
      <c r="F443" s="2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</row>
    <row r="444" spans="1:19" customFormat="1" x14ac:dyDescent="0.25">
      <c r="A444" s="33">
        <v>1.2350000000000001</v>
      </c>
      <c r="B444" s="34">
        <v>6652.8712915775668</v>
      </c>
      <c r="C444" s="33">
        <v>8.103727714747766E-4</v>
      </c>
      <c r="E444" s="2"/>
      <c r="F444" s="2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</row>
    <row r="445" spans="1:19" customFormat="1" x14ac:dyDescent="0.25">
      <c r="A445" s="33">
        <v>1.236</v>
      </c>
      <c r="B445" s="34">
        <v>6657.9662655133016</v>
      </c>
      <c r="C445" s="33">
        <v>8.0971659919004679E-4</v>
      </c>
      <c r="E445" s="2"/>
      <c r="F445" s="2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</row>
    <row r="446" spans="1:19" customFormat="1" x14ac:dyDescent="0.25">
      <c r="A446" s="33">
        <v>1.2370000000000001</v>
      </c>
      <c r="B446" s="34">
        <v>6663.0612394490381</v>
      </c>
      <c r="C446" s="33">
        <v>8.0906148867332384E-4</v>
      </c>
      <c r="E446" s="2"/>
      <c r="F446" s="2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</row>
    <row r="447" spans="1:19" customFormat="1" x14ac:dyDescent="0.25">
      <c r="A447" s="33">
        <v>1.238</v>
      </c>
      <c r="B447" s="34">
        <v>6668.1562133847747</v>
      </c>
      <c r="C447" s="33">
        <v>8.0840743734844622E-4</v>
      </c>
      <c r="E447" s="2"/>
      <c r="F447" s="2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</row>
    <row r="448" spans="1:19" customFormat="1" x14ac:dyDescent="0.25">
      <c r="A448" s="33">
        <v>1.2390000000000001</v>
      </c>
      <c r="B448" s="34">
        <v>6673.2511873205103</v>
      </c>
      <c r="C448" s="33">
        <v>8.077544426494665E-4</v>
      </c>
      <c r="E448" s="2"/>
      <c r="F448" s="2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</row>
    <row r="449" spans="1:19" customFormat="1" x14ac:dyDescent="0.25">
      <c r="A449" s="33">
        <v>1.24</v>
      </c>
      <c r="B449" s="34">
        <v>6678.3461612562442</v>
      </c>
      <c r="C449" s="33">
        <v>8.0710250201754263E-4</v>
      </c>
      <c r="E449" s="2"/>
      <c r="F449" s="2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</row>
    <row r="450" spans="1:19" customFormat="1" x14ac:dyDescent="0.25">
      <c r="A450" s="33">
        <v>1.2410000000000001</v>
      </c>
      <c r="B450" s="34">
        <v>6683.4411351919807</v>
      </c>
      <c r="C450" s="33">
        <v>8.0645161290338052E-4</v>
      </c>
      <c r="E450" s="2"/>
      <c r="F450" s="2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</row>
    <row r="451" spans="1:19" customFormat="1" x14ac:dyDescent="0.25">
      <c r="A451" s="33">
        <v>1.242</v>
      </c>
      <c r="B451" s="34">
        <v>6688.5361091277146</v>
      </c>
      <c r="C451" s="33">
        <v>8.0580177276368126E-4</v>
      </c>
      <c r="E451" s="2"/>
      <c r="F451" s="2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</row>
    <row r="452" spans="1:19" customFormat="1" x14ac:dyDescent="0.25">
      <c r="A452" s="33">
        <v>1.2430000000000001</v>
      </c>
      <c r="B452" s="34">
        <v>6693.6310830634511</v>
      </c>
      <c r="C452" s="33">
        <v>8.0515297906602612E-4</v>
      </c>
      <c r="E452" s="2"/>
      <c r="F452" s="2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</row>
    <row r="453" spans="1:19" customFormat="1" x14ac:dyDescent="0.25">
      <c r="A453" s="33">
        <v>1.244</v>
      </c>
      <c r="B453" s="34">
        <v>6698.7260569991877</v>
      </c>
      <c r="C453" s="33">
        <v>8.0450522928421364E-4</v>
      </c>
      <c r="E453" s="2"/>
      <c r="F453" s="2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</row>
    <row r="454" spans="1:19" customFormat="1" x14ac:dyDescent="0.25">
      <c r="A454" s="33">
        <v>1.2450000000000001</v>
      </c>
      <c r="B454" s="34">
        <v>6703.8210309349242</v>
      </c>
      <c r="C454" s="33">
        <v>8.03858520900258E-4</v>
      </c>
      <c r="E454" s="2"/>
      <c r="F454" s="2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</row>
    <row r="455" spans="1:19" customFormat="1" x14ac:dyDescent="0.25">
      <c r="A455" s="33">
        <v>1.246</v>
      </c>
      <c r="B455" s="34">
        <v>6708.9160048706608</v>
      </c>
      <c r="C455" s="33">
        <v>8.032128514057213E-4</v>
      </c>
      <c r="E455" s="2"/>
      <c r="F455" s="2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</row>
    <row r="456" spans="1:19" customFormat="1" x14ac:dyDescent="0.25">
      <c r="A456" s="33">
        <v>1.2470000000000001</v>
      </c>
      <c r="B456" s="34">
        <v>6714.0109788063974</v>
      </c>
      <c r="C456" s="33">
        <v>8.0256821829860492E-4</v>
      </c>
      <c r="E456" s="2"/>
      <c r="F456" s="2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</row>
    <row r="457" spans="1:19" customFormat="1" x14ac:dyDescent="0.25">
      <c r="A457" s="33">
        <v>1.248</v>
      </c>
      <c r="B457" s="34">
        <v>6719.1059527421303</v>
      </c>
      <c r="C457" s="33">
        <v>8.0192461908557E-4</v>
      </c>
      <c r="E457" s="2"/>
      <c r="F457" s="2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</row>
    <row r="458" spans="1:19" customFormat="1" x14ac:dyDescent="0.25">
      <c r="A458" s="33">
        <v>1.2490000000000001</v>
      </c>
      <c r="B458" s="34">
        <v>6724.2009266778668</v>
      </c>
      <c r="C458" s="33">
        <v>8.0128205128215946E-4</v>
      </c>
      <c r="E458" s="2"/>
      <c r="F458" s="2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</row>
    <row r="459" spans="1:19" customFormat="1" x14ac:dyDescent="0.25">
      <c r="A459" s="33">
        <v>1.25</v>
      </c>
      <c r="B459" s="34">
        <v>6729.2959006136007</v>
      </c>
      <c r="C459" s="33">
        <v>8.0064051240968936E-4</v>
      </c>
      <c r="E459" s="2"/>
      <c r="F459" s="2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</row>
    <row r="460" spans="1:19" customFormat="1" x14ac:dyDescent="0.25">
      <c r="A460" s="33">
        <v>1.2509999999999999</v>
      </c>
      <c r="B460" s="34">
        <v>6734.3908745493363</v>
      </c>
      <c r="C460" s="33">
        <v>7.9999999999991189E-4</v>
      </c>
      <c r="E460" s="2"/>
      <c r="F460" s="2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</row>
    <row r="461" spans="1:19" customFormat="1" x14ac:dyDescent="0.25">
      <c r="A461" s="33">
        <v>1.252</v>
      </c>
      <c r="B461" s="34">
        <v>6739.4858484850738</v>
      </c>
      <c r="C461" s="33">
        <v>7.9936051159101851E-4</v>
      </c>
      <c r="E461" s="2"/>
      <c r="F461" s="2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</row>
    <row r="462" spans="1:19" customFormat="1" x14ac:dyDescent="0.25">
      <c r="A462" s="33">
        <v>1.2529999999999999</v>
      </c>
      <c r="B462" s="34">
        <v>6744.5808224208085</v>
      </c>
      <c r="C462" s="33">
        <v>7.987220447283061E-4</v>
      </c>
      <c r="E462" s="2"/>
      <c r="F462" s="2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</row>
    <row r="463" spans="1:19" customFormat="1" x14ac:dyDescent="0.25">
      <c r="A463" s="33">
        <v>1.254</v>
      </c>
      <c r="B463" s="34">
        <v>6749.675796356546</v>
      </c>
      <c r="C463" s="33">
        <v>7.9808459696750766E-4</v>
      </c>
      <c r="E463" s="2"/>
      <c r="F463" s="2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</row>
    <row r="464" spans="1:19" customFormat="1" x14ac:dyDescent="0.25">
      <c r="A464" s="33">
        <v>1.2549999999999999</v>
      </c>
      <c r="B464" s="34">
        <v>6754.7707702922808</v>
      </c>
      <c r="C464" s="33">
        <v>7.9744816586901912E-4</v>
      </c>
      <c r="E464" s="2"/>
      <c r="F464" s="2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</row>
    <row r="465" spans="1:19" customFormat="1" x14ac:dyDescent="0.25">
      <c r="A465" s="33">
        <v>1.256</v>
      </c>
      <c r="B465" s="34">
        <v>6759.8657442280173</v>
      </c>
      <c r="C465" s="33">
        <v>7.9681274900411658E-4</v>
      </c>
      <c r="E465" s="2"/>
      <c r="F465" s="2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</row>
    <row r="466" spans="1:19" customFormat="1" x14ac:dyDescent="0.25">
      <c r="A466" s="33">
        <v>1.2569999999999999</v>
      </c>
      <c r="B466" s="34">
        <v>6764.9607181637521</v>
      </c>
      <c r="C466" s="33">
        <v>7.961783439487391E-4</v>
      </c>
      <c r="E466" s="2"/>
      <c r="F466" s="2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</row>
    <row r="467" spans="1:19" customFormat="1" x14ac:dyDescent="0.25">
      <c r="A467" s="33">
        <v>1.258</v>
      </c>
      <c r="B467" s="34">
        <v>6770.0556920994886</v>
      </c>
      <c r="C467" s="33">
        <v>7.955449482897059E-4</v>
      </c>
      <c r="E467" s="2"/>
      <c r="F467" s="2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</row>
    <row r="468" spans="1:19" customFormat="1" x14ac:dyDescent="0.25">
      <c r="A468" s="33">
        <v>1.2589999999999999</v>
      </c>
      <c r="B468" s="34">
        <v>6775.1506660352234</v>
      </c>
      <c r="C468" s="33">
        <v>7.9491255961827711E-4</v>
      </c>
      <c r="E468" s="2"/>
      <c r="F468" s="2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</row>
    <row r="469" spans="1:19" customFormat="1" x14ac:dyDescent="0.25">
      <c r="A469" s="33">
        <v>1.26</v>
      </c>
      <c r="B469" s="34">
        <v>6780.2456399709608</v>
      </c>
      <c r="C469" s="33">
        <v>7.9428117553637101E-4</v>
      </c>
      <c r="E469" s="2"/>
      <c r="F469" s="2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</row>
    <row r="470" spans="1:19" customFormat="1" x14ac:dyDescent="0.25">
      <c r="A470" s="33">
        <v>1.2609999999999999</v>
      </c>
      <c r="B470" s="34">
        <v>6785.3406139066965</v>
      </c>
      <c r="C470" s="33">
        <v>7.9365079365079083E-4</v>
      </c>
      <c r="E470" s="2"/>
      <c r="F470" s="2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</row>
    <row r="471" spans="1:19" customFormat="1" x14ac:dyDescent="0.25">
      <c r="A471" s="33">
        <v>1.262</v>
      </c>
      <c r="B471" s="34">
        <v>6790.4355878424321</v>
      </c>
      <c r="C471" s="33">
        <v>7.9302141157810979E-4</v>
      </c>
      <c r="E471" s="2"/>
      <c r="F471" s="2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</row>
    <row r="472" spans="1:19" customFormat="1" x14ac:dyDescent="0.25">
      <c r="A472" s="33">
        <v>1.2629999999999999</v>
      </c>
      <c r="B472" s="34">
        <v>6795.5305617781687</v>
      </c>
      <c r="C472" s="33">
        <v>7.9239302694134039E-4</v>
      </c>
      <c r="E472" s="2"/>
      <c r="F472" s="2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</row>
    <row r="473" spans="1:19" customFormat="1" x14ac:dyDescent="0.25">
      <c r="A473" s="33">
        <v>1.264</v>
      </c>
      <c r="B473" s="34">
        <v>6800.6255357139044</v>
      </c>
      <c r="C473" s="33">
        <v>7.9176563737126671E-4</v>
      </c>
      <c r="E473" s="2"/>
      <c r="F473" s="2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</row>
    <row r="474" spans="1:19" customFormat="1" x14ac:dyDescent="0.25">
      <c r="A474" s="33">
        <v>1.2649999999999999</v>
      </c>
      <c r="B474" s="34">
        <v>6805.7205096496391</v>
      </c>
      <c r="C474" s="33">
        <v>7.9113924050622231E-4</v>
      </c>
      <c r="E474" s="2"/>
      <c r="F474" s="2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</row>
    <row r="475" spans="1:19" customFormat="1" x14ac:dyDescent="0.25">
      <c r="A475" s="33">
        <v>1.266</v>
      </c>
      <c r="B475" s="34">
        <v>6810.8154835853757</v>
      </c>
      <c r="C475" s="33">
        <v>7.9051383399231234E-4</v>
      </c>
      <c r="E475" s="2"/>
      <c r="F475" s="2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</row>
    <row r="476" spans="1:19" customFormat="1" x14ac:dyDescent="0.25">
      <c r="A476" s="33">
        <v>1.2669999999999999</v>
      </c>
      <c r="B476" s="34">
        <v>6815.9104575211113</v>
      </c>
      <c r="C476" s="33">
        <v>7.8988941548163716E-4</v>
      </c>
      <c r="E476" s="2"/>
      <c r="F476" s="2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</row>
    <row r="477" spans="1:19" customFormat="1" x14ac:dyDescent="0.25">
      <c r="A477" s="33">
        <v>1.268</v>
      </c>
      <c r="B477" s="34">
        <v>6821.0054314568461</v>
      </c>
      <c r="C477" s="33">
        <v>7.8926598263628911E-4</v>
      </c>
      <c r="E477" s="2"/>
      <c r="F477" s="2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</row>
    <row r="478" spans="1:19" customFormat="1" x14ac:dyDescent="0.25">
      <c r="A478" s="33">
        <v>1.2689999999999999</v>
      </c>
      <c r="B478" s="34">
        <v>6826.1004053925817</v>
      </c>
      <c r="C478" s="33">
        <v>7.8864353312280144E-4</v>
      </c>
      <c r="E478" s="2"/>
      <c r="F478" s="2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</row>
    <row r="479" spans="1:19" customFormat="1" x14ac:dyDescent="0.25">
      <c r="A479" s="33">
        <v>1.27</v>
      </c>
      <c r="B479" s="34">
        <v>6831.1953793283183</v>
      </c>
      <c r="C479" s="33">
        <v>7.8802206461792146E-4</v>
      </c>
      <c r="E479" s="2"/>
      <c r="F479" s="2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</row>
    <row r="480" spans="1:19" customFormat="1" x14ac:dyDescent="0.25">
      <c r="A480" s="33">
        <v>1.2709999999999999</v>
      </c>
      <c r="B480" s="34">
        <v>6836.2903532640521</v>
      </c>
      <c r="C480" s="33">
        <v>7.8740157480305939E-4</v>
      </c>
      <c r="E480" s="2"/>
      <c r="F480" s="2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</row>
    <row r="481" spans="1:19" customFormat="1" x14ac:dyDescent="0.25">
      <c r="A481" s="33">
        <v>1.272</v>
      </c>
      <c r="B481" s="34">
        <v>6841.3853271997887</v>
      </c>
      <c r="C481" s="33">
        <v>7.8678206136895135E-4</v>
      </c>
      <c r="E481" s="2"/>
      <c r="F481" s="2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</row>
    <row r="482" spans="1:19" customFormat="1" x14ac:dyDescent="0.25">
      <c r="A482" s="33">
        <v>1.2729999999999999</v>
      </c>
      <c r="B482" s="34">
        <v>6846.4803011355243</v>
      </c>
      <c r="C482" s="33">
        <v>7.8616352201255069E-4</v>
      </c>
      <c r="E482" s="2"/>
      <c r="F482" s="2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</row>
    <row r="483" spans="1:19" customFormat="1" x14ac:dyDescent="0.25">
      <c r="A483" s="33">
        <v>1.274</v>
      </c>
      <c r="B483" s="34">
        <v>6851.5752750712618</v>
      </c>
      <c r="C483" s="33">
        <v>7.8554595443858233E-4</v>
      </c>
      <c r="E483" s="2"/>
      <c r="F483" s="2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</row>
    <row r="484" spans="1:19" customFormat="1" x14ac:dyDescent="0.25">
      <c r="A484" s="33">
        <v>1.2749999999999999</v>
      </c>
      <c r="B484" s="34">
        <v>6856.6702490069965</v>
      </c>
      <c r="C484" s="33">
        <v>7.8492935635776639E-4</v>
      </c>
      <c r="E484" s="2"/>
      <c r="F484" s="2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</row>
    <row r="485" spans="1:19" customFormat="1" x14ac:dyDescent="0.25">
      <c r="A485" s="33">
        <v>1.276</v>
      </c>
      <c r="B485" s="34">
        <v>6861.765222942734</v>
      </c>
      <c r="C485" s="33">
        <v>7.8431372549037093E-4</v>
      </c>
      <c r="E485" s="2"/>
      <c r="F485" s="2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</row>
    <row r="486" spans="1:19" customFormat="1" x14ac:dyDescent="0.25">
      <c r="A486" s="33">
        <v>1.2769999999999999</v>
      </c>
      <c r="B486" s="34">
        <v>6866.8601968784697</v>
      </c>
      <c r="C486" s="33">
        <v>7.8369905956110486E-4</v>
      </c>
      <c r="E486" s="2"/>
      <c r="F486" s="2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</row>
    <row r="487" spans="1:19" customFormat="1" x14ac:dyDescent="0.25">
      <c r="A487" s="33">
        <v>1.278</v>
      </c>
      <c r="B487" s="34">
        <v>6871.9551708142062</v>
      </c>
      <c r="C487" s="33">
        <v>7.83085356304003E-4</v>
      </c>
      <c r="E487" s="2"/>
      <c r="F487" s="2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</row>
    <row r="488" spans="1:19" customFormat="1" x14ac:dyDescent="0.25">
      <c r="A488" s="33">
        <v>1.2789999999999999</v>
      </c>
      <c r="B488" s="34">
        <v>6877.050144749941</v>
      </c>
      <c r="C488" s="33">
        <v>7.8247261345820718E-4</v>
      </c>
      <c r="E488" s="2"/>
      <c r="F488" s="2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</row>
    <row r="489" spans="1:19" customFormat="1" x14ac:dyDescent="0.25">
      <c r="A489" s="33">
        <v>1.28</v>
      </c>
      <c r="B489" s="34">
        <v>6882.1451186856775</v>
      </c>
      <c r="C489" s="33">
        <v>7.8186082877262919E-4</v>
      </c>
      <c r="E489" s="2"/>
      <c r="F489" s="2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</row>
    <row r="490" spans="1:19" customFormat="1" x14ac:dyDescent="0.25">
      <c r="A490" s="33">
        <v>1.2809999999999999</v>
      </c>
      <c r="B490" s="34">
        <v>6887.2400926214132</v>
      </c>
      <c r="C490" s="33">
        <v>7.8124999999995559E-4</v>
      </c>
      <c r="E490" s="2"/>
      <c r="F490" s="2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</row>
    <row r="491" spans="1:19" customFormat="1" x14ac:dyDescent="0.25">
      <c r="A491" s="33">
        <v>1.282</v>
      </c>
      <c r="B491" s="34">
        <v>6892.3350665571506</v>
      </c>
      <c r="C491" s="33">
        <v>7.806401249026429E-4</v>
      </c>
      <c r="E491" s="2"/>
      <c r="F491" s="2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</row>
    <row r="492" spans="1:19" customFormat="1" x14ac:dyDescent="0.25">
      <c r="A492" s="33">
        <v>1.2829999999999999</v>
      </c>
      <c r="B492" s="34">
        <v>6897.4300404928863</v>
      </c>
      <c r="C492" s="33">
        <v>7.800312012480326E-4</v>
      </c>
      <c r="E492" s="2"/>
      <c r="F492" s="2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</row>
    <row r="493" spans="1:19" customFormat="1" x14ac:dyDescent="0.25">
      <c r="A493" s="33">
        <v>1.284</v>
      </c>
      <c r="B493" s="34">
        <v>6902.5250144286238</v>
      </c>
      <c r="C493" s="33">
        <v>7.7942322681234799E-4</v>
      </c>
      <c r="E493" s="2"/>
      <c r="F493" s="2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</row>
    <row r="494" spans="1:19" customFormat="1" x14ac:dyDescent="0.25">
      <c r="A494" s="33">
        <v>1.2849999999999999</v>
      </c>
      <c r="B494" s="34">
        <v>6907.6199883643594</v>
      </c>
      <c r="C494" s="33">
        <v>7.7881619937691937E-4</v>
      </c>
      <c r="E494" s="2"/>
      <c r="F494" s="2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</row>
    <row r="495" spans="1:19" customFormat="1" x14ac:dyDescent="0.25">
      <c r="A495" s="33">
        <v>1.286</v>
      </c>
      <c r="B495" s="34">
        <v>6912.7149623000969</v>
      </c>
      <c r="C495" s="33">
        <v>7.7821011673173679E-4</v>
      </c>
      <c r="E495" s="2"/>
      <c r="F495" s="2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</row>
    <row r="496" spans="1:19" customFormat="1" x14ac:dyDescent="0.25">
      <c r="A496" s="33">
        <v>1.2869999999999999</v>
      </c>
      <c r="B496" s="34">
        <v>6917.8099362358316</v>
      </c>
      <c r="C496" s="33">
        <v>7.7760497667167527E-4</v>
      </c>
      <c r="E496" s="2"/>
      <c r="F496" s="2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</row>
    <row r="497" spans="1:19" customFormat="1" x14ac:dyDescent="0.25">
      <c r="A497" s="33">
        <v>1.288</v>
      </c>
      <c r="B497" s="34">
        <v>6922.9049101715682</v>
      </c>
      <c r="C497" s="33">
        <v>7.7700077700093573E-4</v>
      </c>
      <c r="E497" s="2"/>
      <c r="F497" s="2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</row>
    <row r="498" spans="1:19" customFormat="1" x14ac:dyDescent="0.25">
      <c r="A498" s="33">
        <v>1.2889999999999999</v>
      </c>
      <c r="B498" s="34">
        <v>6927.9998841073029</v>
      </c>
      <c r="C498" s="33">
        <v>7.7639751552771585E-4</v>
      </c>
      <c r="E498" s="2"/>
      <c r="F498" s="2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</row>
    <row r="499" spans="1:19" customFormat="1" x14ac:dyDescent="0.25">
      <c r="A499" s="33">
        <v>1.29</v>
      </c>
      <c r="B499" s="34">
        <v>6933.0948580430395</v>
      </c>
      <c r="C499" s="33">
        <v>7.7579519006998332E-4</v>
      </c>
      <c r="E499" s="2"/>
      <c r="F499" s="2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</row>
    <row r="500" spans="1:19" customFormat="1" x14ac:dyDescent="0.25">
      <c r="A500" s="33">
        <v>1.2909999999999999</v>
      </c>
      <c r="B500" s="34">
        <v>6938.1898319787733</v>
      </c>
      <c r="C500" s="33">
        <v>7.7519379844948055E-4</v>
      </c>
      <c r="E500" s="2"/>
      <c r="F500" s="2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</row>
    <row r="501" spans="1:19" customFormat="1" x14ac:dyDescent="0.25">
      <c r="A501" s="33">
        <v>1.292</v>
      </c>
      <c r="B501" s="34">
        <v>6943.2848059145117</v>
      </c>
      <c r="C501" s="33">
        <v>7.745933384974979E-4</v>
      </c>
      <c r="E501" s="2"/>
      <c r="F501" s="2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</row>
    <row r="502" spans="1:19" customFormat="1" x14ac:dyDescent="0.25">
      <c r="A502" s="33">
        <v>1.2929999999999999</v>
      </c>
      <c r="B502" s="34">
        <v>6948.3797798502437</v>
      </c>
      <c r="C502" s="33">
        <v>7.739938080493225E-4</v>
      </c>
      <c r="E502" s="2"/>
      <c r="F502" s="2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</row>
    <row r="503" spans="1:19" customFormat="1" x14ac:dyDescent="0.25">
      <c r="A503" s="33">
        <v>1.294</v>
      </c>
      <c r="B503" s="34">
        <v>6953.4747537859821</v>
      </c>
      <c r="C503" s="33">
        <v>7.7339520494978942E-4</v>
      </c>
      <c r="E503" s="2"/>
      <c r="F503" s="2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</row>
    <row r="504" spans="1:19" customFormat="1" x14ac:dyDescent="0.25">
      <c r="A504" s="33">
        <v>1.2949999999999999</v>
      </c>
      <c r="B504" s="34">
        <v>6958.5697277217159</v>
      </c>
      <c r="C504" s="33">
        <v>7.7279752704773053E-4</v>
      </c>
      <c r="E504" s="2"/>
      <c r="F504" s="2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</row>
    <row r="505" spans="1:19" customFormat="1" x14ac:dyDescent="0.25">
      <c r="A505" s="33">
        <v>1.296</v>
      </c>
      <c r="B505" s="34">
        <v>6963.6647016574552</v>
      </c>
      <c r="C505" s="33">
        <v>7.7220077220108152E-4</v>
      </c>
      <c r="E505" s="2"/>
      <c r="F505" s="2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</row>
    <row r="506" spans="1:19" customFormat="1" x14ac:dyDescent="0.25">
      <c r="A506" s="33">
        <v>1.2969999999999999</v>
      </c>
      <c r="B506" s="34">
        <v>6968.75967559319</v>
      </c>
      <c r="C506" s="33">
        <v>7.7160493827155285E-4</v>
      </c>
      <c r="E506" s="2"/>
      <c r="F506" s="2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</row>
    <row r="507" spans="1:19" customFormat="1" x14ac:dyDescent="0.25">
      <c r="A507" s="33">
        <v>1.298</v>
      </c>
      <c r="B507" s="34">
        <v>6973.8546495289283</v>
      </c>
      <c r="C507" s="33">
        <v>7.710100231304029E-4</v>
      </c>
      <c r="E507" s="2"/>
      <c r="F507" s="2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</row>
    <row r="508" spans="1:19" customFormat="1" x14ac:dyDescent="0.25">
      <c r="A508" s="33">
        <v>1.2989999999999999</v>
      </c>
      <c r="B508" s="34">
        <v>6978.9496234646622</v>
      </c>
      <c r="C508" s="33">
        <v>7.7041602465333092E-4</v>
      </c>
      <c r="E508" s="2"/>
      <c r="F508" s="2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</row>
    <row r="509" spans="1:19" customFormat="1" x14ac:dyDescent="0.25">
      <c r="A509" s="31">
        <v>1.3</v>
      </c>
      <c r="B509" s="32">
        <v>7026.2322796708231</v>
      </c>
      <c r="C509" s="31">
        <v>7.1441530231486361E-3</v>
      </c>
      <c r="E509" s="2"/>
      <c r="F509" s="2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</row>
    <row r="510" spans="1:19" customFormat="1" x14ac:dyDescent="0.25">
      <c r="A510" s="33">
        <v>1.3009999999999999</v>
      </c>
      <c r="B510" s="34">
        <v>7031.3597056698445</v>
      </c>
      <c r="C510" s="33">
        <v>7.6923076923085532E-4</v>
      </c>
      <c r="E510" s="2"/>
      <c r="F510" s="2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</row>
    <row r="511" spans="1:19" customFormat="1" x14ac:dyDescent="0.25">
      <c r="A511" s="33">
        <v>1.302</v>
      </c>
      <c r="B511" s="34">
        <v>7036.487131668865</v>
      </c>
      <c r="C511" s="33">
        <v>7.6863950807082304E-4</v>
      </c>
      <c r="E511" s="2"/>
      <c r="F511" s="2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</row>
    <row r="512" spans="1:19" customFormat="1" x14ac:dyDescent="0.25">
      <c r="A512" s="33">
        <v>1.3029999999999999</v>
      </c>
      <c r="B512" s="34">
        <v>7041.6145576678864</v>
      </c>
      <c r="C512" s="33">
        <v>7.680491551458335E-4</v>
      </c>
      <c r="E512" s="2"/>
      <c r="F512" s="2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</row>
    <row r="513" spans="1:19" customFormat="1" x14ac:dyDescent="0.25">
      <c r="A513" s="33">
        <v>1.304</v>
      </c>
      <c r="B513" s="34">
        <v>7046.7419836669051</v>
      </c>
      <c r="C513" s="33">
        <v>7.6745970836511468E-4</v>
      </c>
      <c r="E513" s="2"/>
      <c r="F513" s="2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</row>
    <row r="514" spans="1:19" customFormat="1" x14ac:dyDescent="0.25">
      <c r="A514" s="33">
        <v>1.3049999999999999</v>
      </c>
      <c r="B514" s="34">
        <v>7051.8694096659274</v>
      </c>
      <c r="C514" s="33">
        <v>7.6687116564433389E-4</v>
      </c>
      <c r="E514" s="2"/>
      <c r="F514" s="2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</row>
    <row r="515" spans="1:19" customFormat="1" x14ac:dyDescent="0.25">
      <c r="A515" s="33">
        <v>1.306</v>
      </c>
      <c r="B515" s="34">
        <v>7056.996835664947</v>
      </c>
      <c r="C515" s="33">
        <v>7.6628352490404339E-4</v>
      </c>
      <c r="E515" s="2"/>
      <c r="F515" s="2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</row>
    <row r="516" spans="1:19" customFormat="1" x14ac:dyDescent="0.25">
      <c r="A516" s="33">
        <v>1.3069999999999999</v>
      </c>
      <c r="B516" s="34">
        <v>7062.1242616639674</v>
      </c>
      <c r="C516" s="33">
        <v>7.6569678407345521E-4</v>
      </c>
      <c r="E516" s="2"/>
      <c r="F516" s="2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</row>
    <row r="517" spans="1:19" customFormat="1" x14ac:dyDescent="0.25">
      <c r="A517" s="33">
        <v>1.3080000000000001</v>
      </c>
      <c r="B517" s="34">
        <v>7067.2516876629898</v>
      </c>
      <c r="C517" s="33">
        <v>7.6511094108666633E-4</v>
      </c>
      <c r="E517" s="2"/>
      <c r="F517" s="2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</row>
    <row r="518" spans="1:19" customFormat="1" x14ac:dyDescent="0.25">
      <c r="A518" s="33">
        <v>1.3089999999999999</v>
      </c>
      <c r="B518" s="34">
        <v>7072.3791136620102</v>
      </c>
      <c r="C518" s="33">
        <v>7.6452599388376896E-4</v>
      </c>
      <c r="E518" s="2"/>
      <c r="F518" s="2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</row>
    <row r="519" spans="1:19" customFormat="1" x14ac:dyDescent="0.25">
      <c r="A519" s="33">
        <v>1.31</v>
      </c>
      <c r="B519" s="34">
        <v>7077.5065396610316</v>
      </c>
      <c r="C519" s="33">
        <v>7.6394194041262686E-4</v>
      </c>
      <c r="E519" s="2"/>
      <c r="F519" s="2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</row>
    <row r="520" spans="1:19" customFormat="1" x14ac:dyDescent="0.25">
      <c r="A520" s="33">
        <v>1.3109999999999999</v>
      </c>
      <c r="B520" s="34">
        <v>7082.6339656600521</v>
      </c>
      <c r="C520" s="33">
        <v>7.6335877862576673E-4</v>
      </c>
      <c r="E520" s="2"/>
      <c r="F520" s="2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</row>
    <row r="521" spans="1:19" customFormat="1" x14ac:dyDescent="0.25">
      <c r="A521" s="33">
        <v>1.3120000000000001</v>
      </c>
      <c r="B521" s="34">
        <v>7087.7613916590735</v>
      </c>
      <c r="C521" s="33">
        <v>7.6277650648393092E-4</v>
      </c>
      <c r="E521" s="2"/>
      <c r="F521" s="2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</row>
    <row r="522" spans="1:19" customFormat="1" x14ac:dyDescent="0.25">
      <c r="A522" s="33">
        <v>1.3129999999999999</v>
      </c>
      <c r="B522" s="34">
        <v>7092.8888176580949</v>
      </c>
      <c r="C522" s="33">
        <v>7.6219512195119243E-4</v>
      </c>
      <c r="E522" s="2"/>
      <c r="F522" s="2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</row>
    <row r="523" spans="1:19" customFormat="1" x14ac:dyDescent="0.25">
      <c r="A523" s="33">
        <v>1.3140000000000001</v>
      </c>
      <c r="B523" s="34">
        <v>7098.0162436571163</v>
      </c>
      <c r="C523" s="33">
        <v>7.6161462300095017E-4</v>
      </c>
      <c r="E523" s="2"/>
      <c r="F523" s="2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</row>
    <row r="524" spans="1:19" customFormat="1" x14ac:dyDescent="0.25">
      <c r="A524" s="33">
        <v>1.3149999999999999</v>
      </c>
      <c r="B524" s="34">
        <v>7103.1436696561377</v>
      </c>
      <c r="C524" s="33">
        <v>7.6103500761037779E-4</v>
      </c>
      <c r="E524" s="2"/>
      <c r="F524" s="2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</row>
    <row r="525" spans="1:19" customFormat="1" x14ac:dyDescent="0.25">
      <c r="A525" s="33">
        <v>1.3160000000000001</v>
      </c>
      <c r="B525" s="34">
        <v>7108.2710956551582</v>
      </c>
      <c r="C525" s="33">
        <v>7.6045627376419844E-4</v>
      </c>
      <c r="E525" s="2"/>
      <c r="F525" s="2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</row>
    <row r="526" spans="1:19" customFormat="1" x14ac:dyDescent="0.25">
      <c r="A526" s="33">
        <v>1.3169999999999999</v>
      </c>
      <c r="B526" s="34">
        <v>7113.3985216541787</v>
      </c>
      <c r="C526" s="33">
        <v>7.5987841945290846E-4</v>
      </c>
      <c r="E526" s="2"/>
      <c r="F526" s="2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</row>
    <row r="527" spans="1:19" customFormat="1" x14ac:dyDescent="0.25">
      <c r="A527" s="33">
        <v>1.3180000000000001</v>
      </c>
      <c r="B527" s="34">
        <v>7118.525947653201</v>
      </c>
      <c r="C527" s="33">
        <v>7.5930144267277733E-4</v>
      </c>
      <c r="E527" s="2"/>
      <c r="F527" s="2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</row>
    <row r="528" spans="1:19" customFormat="1" x14ac:dyDescent="0.25">
      <c r="A528" s="33">
        <v>1.319</v>
      </c>
      <c r="B528" s="34">
        <v>7123.6533736522197</v>
      </c>
      <c r="C528" s="33">
        <v>7.5872534142629178E-4</v>
      </c>
      <c r="E528" s="2"/>
      <c r="F528" s="2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</row>
    <row r="529" spans="1:19" customFormat="1" x14ac:dyDescent="0.25">
      <c r="A529" s="33">
        <v>1.32</v>
      </c>
      <c r="B529" s="34">
        <v>7128.780799651242</v>
      </c>
      <c r="C529" s="33">
        <v>7.5815011372259988E-4</v>
      </c>
      <c r="E529" s="2"/>
      <c r="F529" s="2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</row>
    <row r="530" spans="1:19" customFormat="1" x14ac:dyDescent="0.25">
      <c r="A530" s="33">
        <v>1.321</v>
      </c>
      <c r="B530" s="34">
        <v>7133.9082256502616</v>
      </c>
      <c r="C530" s="33">
        <v>7.575757575757347E-4</v>
      </c>
      <c r="E530" s="2"/>
      <c r="F530" s="2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</row>
    <row r="531" spans="1:19" customFormat="1" x14ac:dyDescent="0.25">
      <c r="A531" s="33">
        <v>1.3220000000000001</v>
      </c>
      <c r="B531" s="34">
        <v>7139.035651649283</v>
      </c>
      <c r="C531" s="33">
        <v>7.570022710068347E-4</v>
      </c>
      <c r="E531" s="2"/>
      <c r="F531" s="2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</row>
    <row r="532" spans="1:19" customFormat="1" x14ac:dyDescent="0.25">
      <c r="A532" s="33">
        <v>1.323</v>
      </c>
      <c r="B532" s="34">
        <v>7144.1630776483062</v>
      </c>
      <c r="C532" s="33">
        <v>7.564296520425895E-4</v>
      </c>
      <c r="E532" s="2"/>
      <c r="F532" s="2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</row>
    <row r="533" spans="1:19" customFormat="1" x14ac:dyDescent="0.25">
      <c r="A533" s="33">
        <v>1.3240000000000001</v>
      </c>
      <c r="B533" s="34">
        <v>7149.2905036473267</v>
      </c>
      <c r="C533" s="33">
        <v>7.5585789871523978E-4</v>
      </c>
      <c r="E533" s="2"/>
      <c r="F533" s="2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</row>
    <row r="534" spans="1:19" customFormat="1" x14ac:dyDescent="0.25">
      <c r="A534" s="33">
        <v>1.325</v>
      </c>
      <c r="B534" s="34">
        <v>7154.4179296463471</v>
      </c>
      <c r="C534" s="33">
        <v>7.5528700906324353E-4</v>
      </c>
      <c r="E534" s="2"/>
      <c r="F534" s="2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</row>
    <row r="535" spans="1:19" customFormat="1" x14ac:dyDescent="0.25">
      <c r="A535" s="33">
        <v>1.3260000000000001</v>
      </c>
      <c r="B535" s="34">
        <v>7159.5453556453676</v>
      </c>
      <c r="C535" s="33">
        <v>7.5471698113216412E-4</v>
      </c>
      <c r="E535" s="2"/>
      <c r="F535" s="2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</row>
    <row r="536" spans="1:19" customFormat="1" x14ac:dyDescent="0.25">
      <c r="A536" s="33">
        <v>1.327</v>
      </c>
      <c r="B536" s="34">
        <v>7164.6727816443881</v>
      </c>
      <c r="C536" s="33">
        <v>7.5414781297111766E-4</v>
      </c>
      <c r="E536" s="2"/>
      <c r="F536" s="2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</row>
    <row r="537" spans="1:19" customFormat="1" x14ac:dyDescent="0.25">
      <c r="A537" s="33">
        <v>1.3280000000000001</v>
      </c>
      <c r="B537" s="34">
        <v>7169.8002076434077</v>
      </c>
      <c r="C537" s="33">
        <v>7.5357950263743589E-4</v>
      </c>
      <c r="E537" s="2"/>
      <c r="F537" s="2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</row>
    <row r="538" spans="1:19" customFormat="1" x14ac:dyDescent="0.25">
      <c r="A538" s="33">
        <v>1.329</v>
      </c>
      <c r="B538" s="34">
        <v>7174.9276336424309</v>
      </c>
      <c r="C538" s="33">
        <v>7.5301204819311351E-4</v>
      </c>
      <c r="E538" s="2"/>
      <c r="F538" s="2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</row>
    <row r="539" spans="1:19" customFormat="1" x14ac:dyDescent="0.25">
      <c r="A539" s="33">
        <v>1.33</v>
      </c>
      <c r="B539" s="34">
        <v>7180.0550596414514</v>
      </c>
      <c r="C539" s="33">
        <v>7.5244544770480815E-4</v>
      </c>
      <c r="E539" s="2"/>
      <c r="F539" s="2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</row>
    <row r="540" spans="1:19" customFormat="1" x14ac:dyDescent="0.25">
      <c r="A540" s="33">
        <v>1.331</v>
      </c>
      <c r="B540" s="34">
        <v>7185.182485640471</v>
      </c>
      <c r="C540" s="33">
        <v>7.518796992480592E-4</v>
      </c>
      <c r="E540" s="2"/>
      <c r="F540" s="2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</row>
    <row r="541" spans="1:19" customFormat="1" x14ac:dyDescent="0.25">
      <c r="A541" s="33">
        <v>1.3320000000000001</v>
      </c>
      <c r="B541" s="34">
        <v>7190.3099116394933</v>
      </c>
      <c r="C541" s="33">
        <v>7.5131480090173675E-4</v>
      </c>
      <c r="E541" s="2"/>
      <c r="F541" s="2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</row>
    <row r="542" spans="1:19" customFormat="1" x14ac:dyDescent="0.25">
      <c r="A542" s="33">
        <v>1.333</v>
      </c>
      <c r="B542" s="34">
        <v>7195.4373376385129</v>
      </c>
      <c r="C542" s="33">
        <v>7.5075075075070608E-4</v>
      </c>
      <c r="E542" s="2"/>
      <c r="F542" s="2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</row>
    <row r="543" spans="1:19" customFormat="1" x14ac:dyDescent="0.25">
      <c r="A543" s="33">
        <v>1.3340000000000001</v>
      </c>
      <c r="B543" s="34">
        <v>7200.5647636375352</v>
      </c>
      <c r="C543" s="33">
        <v>7.5018754688693789E-4</v>
      </c>
      <c r="E543" s="2"/>
      <c r="F543" s="2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</row>
    <row r="544" spans="1:19" customFormat="1" x14ac:dyDescent="0.25">
      <c r="A544" s="33">
        <v>1.335</v>
      </c>
      <c r="B544" s="34">
        <v>7205.6921896365575</v>
      </c>
      <c r="C544" s="33">
        <v>7.4962518740639972E-4</v>
      </c>
      <c r="E544" s="2"/>
      <c r="F544" s="2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</row>
    <row r="545" spans="1:19" customFormat="1" x14ac:dyDescent="0.25">
      <c r="A545" s="33">
        <v>1.3360000000000001</v>
      </c>
      <c r="B545" s="34">
        <v>7210.8196156355771</v>
      </c>
      <c r="C545" s="33">
        <v>7.4906367041194244E-4</v>
      </c>
      <c r="E545" s="2"/>
      <c r="F545" s="2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</row>
    <row r="546" spans="1:19" customFormat="1" x14ac:dyDescent="0.25">
      <c r="A546" s="33">
        <v>1.337</v>
      </c>
      <c r="B546" s="34">
        <v>7215.9470416345976</v>
      </c>
      <c r="C546" s="33">
        <v>7.4850299401196807E-4</v>
      </c>
      <c r="E546" s="2"/>
      <c r="F546" s="2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</row>
    <row r="547" spans="1:19" customFormat="1" x14ac:dyDescent="0.25">
      <c r="A547" s="33">
        <v>1.3380000000000001</v>
      </c>
      <c r="B547" s="34">
        <v>7221.074467633619</v>
      </c>
      <c r="C547" s="33">
        <v>7.4794315632020769E-4</v>
      </c>
      <c r="E547" s="2"/>
      <c r="F547" s="2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</row>
    <row r="548" spans="1:19" customFormat="1" x14ac:dyDescent="0.25">
      <c r="A548" s="33">
        <v>1.339</v>
      </c>
      <c r="B548" s="34">
        <v>7226.2018936326403</v>
      </c>
      <c r="C548" s="33">
        <v>7.473841554559435E-4</v>
      </c>
      <c r="E548" s="2"/>
      <c r="F548" s="2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</row>
    <row r="549" spans="1:19" customFormat="1" x14ac:dyDescent="0.25">
      <c r="A549" s="33">
        <v>1.34</v>
      </c>
      <c r="B549" s="34">
        <v>7231.3293196316617</v>
      </c>
      <c r="C549" s="33">
        <v>7.4682598954467494E-4</v>
      </c>
      <c r="E549" s="2"/>
      <c r="F549" s="2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</row>
    <row r="550" spans="1:19" customFormat="1" x14ac:dyDescent="0.25">
      <c r="A550" s="33">
        <v>1.341</v>
      </c>
      <c r="B550" s="34">
        <v>7236.4567456306804</v>
      </c>
      <c r="C550" s="33">
        <v>7.462686567161203E-4</v>
      </c>
      <c r="E550" s="2"/>
      <c r="F550" s="2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</row>
    <row r="551" spans="1:19" customFormat="1" x14ac:dyDescent="0.25">
      <c r="A551" s="33">
        <v>1.3420000000000001</v>
      </c>
      <c r="B551" s="34">
        <v>7241.5841716297027</v>
      </c>
      <c r="C551" s="33">
        <v>7.4571215510821354E-4</v>
      </c>
      <c r="E551" s="2"/>
      <c r="F551" s="2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</row>
    <row r="552" spans="1:19" customFormat="1" x14ac:dyDescent="0.25">
      <c r="A552" s="33">
        <v>1.343</v>
      </c>
      <c r="B552" s="34">
        <v>7246.7115976287223</v>
      </c>
      <c r="C552" s="33">
        <v>7.4515648286133107E-4</v>
      </c>
      <c r="E552" s="2"/>
      <c r="F552" s="2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</row>
    <row r="553" spans="1:19" customFormat="1" x14ac:dyDescent="0.25">
      <c r="A553" s="33">
        <v>1.3440000000000001</v>
      </c>
      <c r="B553" s="34">
        <v>7251.8390236277437</v>
      </c>
      <c r="C553" s="33">
        <v>7.446016381236209E-4</v>
      </c>
      <c r="E553" s="2"/>
      <c r="F553" s="2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</row>
    <row r="554" spans="1:19" customFormat="1" x14ac:dyDescent="0.25">
      <c r="A554" s="33">
        <v>1.345</v>
      </c>
      <c r="B554" s="34">
        <v>7256.9664496267624</v>
      </c>
      <c r="C554" s="33">
        <v>7.4404761904744987E-4</v>
      </c>
      <c r="E554" s="2"/>
      <c r="F554" s="2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</row>
    <row r="555" spans="1:19" customFormat="1" x14ac:dyDescent="0.25">
      <c r="A555" s="33">
        <v>1.3460000000000001</v>
      </c>
      <c r="B555" s="34">
        <v>7262.0938756257856</v>
      </c>
      <c r="C555" s="33">
        <v>7.434944237920682E-4</v>
      </c>
      <c r="E555" s="2"/>
      <c r="F555" s="2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</row>
    <row r="556" spans="1:19" customFormat="1" x14ac:dyDescent="0.25">
      <c r="A556" s="33">
        <v>1.347</v>
      </c>
      <c r="B556" s="34">
        <v>7267.2213016248043</v>
      </c>
      <c r="C556" s="33">
        <v>7.4294205051983475E-4</v>
      </c>
      <c r="E556" s="2"/>
      <c r="F556" s="2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</row>
    <row r="557" spans="1:19" customFormat="1" x14ac:dyDescent="0.25">
      <c r="A557" s="33">
        <v>1.3480000000000001</v>
      </c>
      <c r="B557" s="34">
        <v>7272.3487276238275</v>
      </c>
      <c r="C557" s="33">
        <v>7.423904974017681E-4</v>
      </c>
      <c r="E557" s="2"/>
      <c r="F557" s="2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</row>
    <row r="558" spans="1:19" customFormat="1" x14ac:dyDescent="0.25">
      <c r="A558" s="33">
        <v>1.349</v>
      </c>
      <c r="B558" s="34">
        <v>7277.4761536228489</v>
      </c>
      <c r="C558" s="33">
        <v>7.4183976261132933E-4</v>
      </c>
      <c r="E558" s="2"/>
      <c r="F558" s="2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</row>
    <row r="559" spans="1:19" customFormat="1" x14ac:dyDescent="0.25">
      <c r="A559" s="33">
        <v>1.35</v>
      </c>
      <c r="B559" s="34">
        <v>7282.6035796218684</v>
      </c>
      <c r="C559" s="33">
        <v>7.4128984432908496E-4</v>
      </c>
      <c r="E559" s="2"/>
      <c r="F559" s="2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</row>
    <row r="560" spans="1:19" customFormat="1" x14ac:dyDescent="0.25">
      <c r="A560" s="33">
        <v>1.351</v>
      </c>
      <c r="B560" s="34">
        <v>7287.7310056208898</v>
      </c>
      <c r="C560" s="33">
        <v>7.407407407407085E-4</v>
      </c>
      <c r="E560" s="2"/>
      <c r="F560" s="2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</row>
    <row r="561" spans="1:19" customFormat="1" x14ac:dyDescent="0.25">
      <c r="A561" s="33">
        <v>1.3520000000000001</v>
      </c>
      <c r="B561" s="34">
        <v>7292.8584316199103</v>
      </c>
      <c r="C561" s="33">
        <v>7.4019245003720258E-4</v>
      </c>
      <c r="E561" s="2"/>
      <c r="F561" s="2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</row>
    <row r="562" spans="1:19" customFormat="1" x14ac:dyDescent="0.25">
      <c r="A562" s="33">
        <v>1.353</v>
      </c>
      <c r="B562" s="34">
        <v>7297.9858576189308</v>
      </c>
      <c r="C562" s="33">
        <v>7.3964497041401067E-4</v>
      </c>
      <c r="E562" s="2"/>
      <c r="F562" s="2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</row>
    <row r="563" spans="1:19" customFormat="1" x14ac:dyDescent="0.25">
      <c r="A563" s="33">
        <v>1.3540000000000001</v>
      </c>
      <c r="B563" s="34">
        <v>7303.1132836179513</v>
      </c>
      <c r="C563" s="33">
        <v>7.3909830007368171E-4</v>
      </c>
      <c r="E563" s="2"/>
      <c r="F563" s="2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</row>
    <row r="564" spans="1:19" customFormat="1" x14ac:dyDescent="0.25">
      <c r="A564" s="33">
        <v>1.355</v>
      </c>
      <c r="B564" s="34">
        <v>7308.2407096169709</v>
      </c>
      <c r="C564" s="33">
        <v>7.3855243722298347E-4</v>
      </c>
      <c r="E564" s="2"/>
      <c r="F564" s="2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</row>
    <row r="565" spans="1:19" customFormat="1" x14ac:dyDescent="0.25">
      <c r="A565" s="33">
        <v>1.3560000000000001</v>
      </c>
      <c r="B565" s="34">
        <v>7313.3681356159941</v>
      </c>
      <c r="C565" s="33">
        <v>7.3800738007401279E-4</v>
      </c>
      <c r="E565" s="2"/>
      <c r="F565" s="2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</row>
    <row r="566" spans="1:19" customFormat="1" x14ac:dyDescent="0.25">
      <c r="A566" s="33">
        <v>1.357</v>
      </c>
      <c r="B566" s="34">
        <v>7318.4955616150119</v>
      </c>
      <c r="C566" s="33">
        <v>7.3746312684330739E-4</v>
      </c>
      <c r="E566" s="2"/>
      <c r="F566" s="2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</row>
    <row r="567" spans="1:19" customFormat="1" x14ac:dyDescent="0.25">
      <c r="A567" s="33">
        <v>1.3580000000000001</v>
      </c>
      <c r="B567" s="34">
        <v>7323.6229876140333</v>
      </c>
      <c r="C567" s="33">
        <v>7.3691967575539863E-4</v>
      </c>
      <c r="E567" s="2"/>
      <c r="F567" s="2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</row>
    <row r="568" spans="1:19" customFormat="1" x14ac:dyDescent="0.25">
      <c r="A568" s="33">
        <v>1.359</v>
      </c>
      <c r="B568" s="34">
        <v>7328.7504136130528</v>
      </c>
      <c r="C568" s="33">
        <v>7.3637702503681624E-4</v>
      </c>
      <c r="E568" s="2"/>
      <c r="F568" s="2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</row>
    <row r="569" spans="1:19" customFormat="1" x14ac:dyDescent="0.25">
      <c r="A569" s="33">
        <v>1.36</v>
      </c>
      <c r="B569" s="34">
        <v>7333.8778396120761</v>
      </c>
      <c r="C569" s="33">
        <v>7.3583517292141742E-4</v>
      </c>
      <c r="E569" s="2"/>
      <c r="F569" s="2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</row>
    <row r="570" spans="1:19" customFormat="1" x14ac:dyDescent="0.25">
      <c r="A570" s="33">
        <v>1.361</v>
      </c>
      <c r="B570" s="34">
        <v>7339.0052656110947</v>
      </c>
      <c r="C570" s="33">
        <v>7.3529411764683417E-4</v>
      </c>
      <c r="E570" s="2"/>
      <c r="F570" s="2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</row>
    <row r="571" spans="1:19" customFormat="1" x14ac:dyDescent="0.25">
      <c r="A571" s="33">
        <v>1.3620000000000001</v>
      </c>
      <c r="B571" s="34">
        <v>7344.1326916101161</v>
      </c>
      <c r="C571" s="33">
        <v>7.3475385745780386E-4</v>
      </c>
      <c r="E571" s="2"/>
      <c r="F571" s="2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</row>
    <row r="572" spans="1:19" customFormat="1" x14ac:dyDescent="0.25">
      <c r="A572" s="33">
        <v>1.363</v>
      </c>
      <c r="B572" s="34">
        <v>7349.2601176091357</v>
      </c>
      <c r="C572" s="33">
        <v>7.3421439060172844E-4</v>
      </c>
      <c r="E572" s="2"/>
      <c r="F572" s="2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</row>
    <row r="573" spans="1:19" customFormat="1" x14ac:dyDescent="0.25">
      <c r="A573" s="33">
        <v>1.3640000000000001</v>
      </c>
      <c r="B573" s="34">
        <v>7354.387543608158</v>
      </c>
      <c r="C573" s="33">
        <v>7.3367571533422549E-4</v>
      </c>
      <c r="E573" s="2"/>
      <c r="F573" s="2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</row>
    <row r="574" spans="1:19" customFormat="1" x14ac:dyDescent="0.25">
      <c r="A574" s="33">
        <v>1.365</v>
      </c>
      <c r="B574" s="34">
        <v>7359.5149696071785</v>
      </c>
      <c r="C574" s="33">
        <v>7.3313782991180076E-4</v>
      </c>
      <c r="E574" s="2"/>
      <c r="F574" s="2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</row>
    <row r="575" spans="1:19" customFormat="1" x14ac:dyDescent="0.25">
      <c r="A575" s="33">
        <v>1.3660000000000001</v>
      </c>
      <c r="B575" s="34">
        <v>7364.6423956061981</v>
      </c>
      <c r="C575" s="33">
        <v>7.3260073260073E-4</v>
      </c>
      <c r="E575" s="2"/>
      <c r="F575" s="2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</row>
    <row r="576" spans="1:19" customFormat="1" x14ac:dyDescent="0.25">
      <c r="A576" s="33">
        <v>1.367</v>
      </c>
      <c r="B576" s="34">
        <v>7369.7698216052195</v>
      </c>
      <c r="C576" s="33">
        <v>7.3206442166906527E-4</v>
      </c>
      <c r="E576" s="2"/>
      <c r="F576" s="2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</row>
    <row r="577" spans="1:19" customFormat="1" x14ac:dyDescent="0.25">
      <c r="A577" s="33">
        <v>1.3680000000000001</v>
      </c>
      <c r="B577" s="34">
        <v>7374.8972476042391</v>
      </c>
      <c r="C577" s="33">
        <v>7.3152889539129795E-4</v>
      </c>
      <c r="E577" s="2"/>
      <c r="F577" s="2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</row>
    <row r="578" spans="1:19" customFormat="1" x14ac:dyDescent="0.25">
      <c r="A578" s="33">
        <v>1.369</v>
      </c>
      <c r="B578" s="34">
        <v>7380.0246736032595</v>
      </c>
      <c r="C578" s="33">
        <v>7.3099415204658236E-4</v>
      </c>
      <c r="E578" s="2"/>
      <c r="F578" s="2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</row>
    <row r="579" spans="1:19" customFormat="1" x14ac:dyDescent="0.25">
      <c r="A579" s="33">
        <v>1.37</v>
      </c>
      <c r="B579" s="34">
        <v>7385.1520996022819</v>
      </c>
      <c r="C579" s="33">
        <v>7.3046018991984596E-4</v>
      </c>
      <c r="E579" s="2"/>
      <c r="F579" s="2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</row>
    <row r="580" spans="1:19" customFormat="1" x14ac:dyDescent="0.25">
      <c r="A580" s="33">
        <v>1.371</v>
      </c>
      <c r="B580" s="34">
        <v>7390.2795256013005</v>
      </c>
      <c r="C580" s="33">
        <v>7.2992700729912485E-4</v>
      </c>
      <c r="E580" s="2"/>
      <c r="F580" s="2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</row>
    <row r="581" spans="1:19" customFormat="1" x14ac:dyDescent="0.25">
      <c r="A581" s="33">
        <v>1.3720000000000001</v>
      </c>
      <c r="B581" s="34">
        <v>7395.4069516003228</v>
      </c>
      <c r="C581" s="33">
        <v>7.2939460248000465E-4</v>
      </c>
      <c r="E581" s="2"/>
      <c r="F581" s="2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</row>
    <row r="582" spans="1:19" customFormat="1" x14ac:dyDescent="0.25">
      <c r="A582" s="33">
        <v>1.373</v>
      </c>
      <c r="B582" s="34">
        <v>7400.5343775993424</v>
      </c>
      <c r="C582" s="33">
        <v>7.2886297376095754E-4</v>
      </c>
      <c r="E582" s="2"/>
      <c r="F582" s="2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</row>
    <row r="583" spans="1:19" customFormat="1" x14ac:dyDescent="0.25">
      <c r="A583" s="33">
        <v>1.3740000000000001</v>
      </c>
      <c r="B583" s="34">
        <v>7405.6618035983656</v>
      </c>
      <c r="C583" s="33">
        <v>7.2833211944667298E-4</v>
      </c>
      <c r="E583" s="2"/>
      <c r="F583" s="2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</row>
    <row r="584" spans="1:19" customFormat="1" x14ac:dyDescent="0.25">
      <c r="A584" s="33">
        <v>1.375</v>
      </c>
      <c r="B584" s="34">
        <v>7410.7892295973852</v>
      </c>
      <c r="C584" s="33">
        <v>7.2780203784561515E-4</v>
      </c>
      <c r="E584" s="2"/>
      <c r="F584" s="2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</row>
    <row r="585" spans="1:19" customFormat="1" x14ac:dyDescent="0.25">
      <c r="A585" s="33">
        <v>1.3759999999999999</v>
      </c>
      <c r="B585" s="34">
        <v>7415.9166555964057</v>
      </c>
      <c r="C585" s="33">
        <v>7.2727272727268755E-4</v>
      </c>
      <c r="E585" s="2"/>
      <c r="F585" s="2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</row>
    <row r="586" spans="1:19" customFormat="1" x14ac:dyDescent="0.25">
      <c r="A586" s="33">
        <v>1.377</v>
      </c>
      <c r="B586" s="34">
        <v>7421.0440815954271</v>
      </c>
      <c r="C586" s="33">
        <v>7.2674418604656843E-4</v>
      </c>
      <c r="E586" s="2"/>
      <c r="F586" s="2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</row>
    <row r="587" spans="1:19" customFormat="1" x14ac:dyDescent="0.25">
      <c r="A587" s="33">
        <v>1.3779999999999999</v>
      </c>
      <c r="B587" s="34">
        <v>7426.1715075944476</v>
      </c>
      <c r="C587" s="33">
        <v>7.2621641249082103E-4</v>
      </c>
      <c r="E587" s="2"/>
      <c r="F587" s="2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</row>
    <row r="588" spans="1:19" customFormat="1" x14ac:dyDescent="0.25">
      <c r="A588" s="33">
        <v>1.379</v>
      </c>
      <c r="B588" s="34">
        <v>7431.298933593469</v>
      </c>
      <c r="C588" s="33">
        <v>7.2568940493478173E-4</v>
      </c>
      <c r="E588" s="2"/>
      <c r="F588" s="2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</row>
    <row r="589" spans="1:19" customFormat="1" x14ac:dyDescent="0.25">
      <c r="A589" s="33">
        <v>1.38</v>
      </c>
      <c r="B589" s="34">
        <v>7436.4263595924886</v>
      </c>
      <c r="C589" s="33">
        <v>7.2516316171133965E-4</v>
      </c>
      <c r="E589" s="2"/>
      <c r="F589" s="2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</row>
    <row r="590" spans="1:19" customFormat="1" x14ac:dyDescent="0.25">
      <c r="A590" s="33">
        <v>1.381</v>
      </c>
      <c r="B590" s="34">
        <v>7441.5537855915081</v>
      </c>
      <c r="C590" s="33">
        <v>7.2463768115915705E-4</v>
      </c>
      <c r="E590" s="2"/>
      <c r="F590" s="2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</row>
    <row r="591" spans="1:19" customFormat="1" x14ac:dyDescent="0.25">
      <c r="A591" s="33">
        <v>1.3819999999999999</v>
      </c>
      <c r="B591" s="34">
        <v>7446.6812115905295</v>
      </c>
      <c r="C591" s="33">
        <v>7.2411296162222527E-4</v>
      </c>
      <c r="E591" s="2"/>
      <c r="F591" s="2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</row>
    <row r="592" spans="1:19" customFormat="1" x14ac:dyDescent="0.25">
      <c r="A592" s="33">
        <v>1.383</v>
      </c>
      <c r="B592" s="34">
        <v>7451.8086375895509</v>
      </c>
      <c r="C592" s="33">
        <v>7.2358900144720018E-4</v>
      </c>
      <c r="E592" s="2"/>
      <c r="F592" s="2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</row>
    <row r="593" spans="1:19" customFormat="1" x14ac:dyDescent="0.25">
      <c r="A593" s="33">
        <v>1.3839999999999999</v>
      </c>
      <c r="B593" s="34">
        <v>7456.9360635885696</v>
      </c>
      <c r="C593" s="33">
        <v>7.2306579898739898E-4</v>
      </c>
      <c r="E593" s="2"/>
      <c r="F593" s="2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</row>
    <row r="594" spans="1:19" customFormat="1" x14ac:dyDescent="0.25">
      <c r="A594" s="33">
        <v>1.385</v>
      </c>
      <c r="B594" s="34">
        <v>7462.063489587591</v>
      </c>
      <c r="C594" s="33">
        <v>7.2254335260124591E-4</v>
      </c>
      <c r="E594" s="2"/>
      <c r="F594" s="2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</row>
    <row r="595" spans="1:19" customFormat="1" x14ac:dyDescent="0.25">
      <c r="A595" s="33">
        <v>1.3859999999999999</v>
      </c>
      <c r="B595" s="34">
        <v>7467.1909155866115</v>
      </c>
      <c r="C595" s="33">
        <v>7.2202166064960771E-4</v>
      </c>
      <c r="E595" s="2"/>
      <c r="F595" s="2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</row>
    <row r="596" spans="1:19" customFormat="1" x14ac:dyDescent="0.25">
      <c r="A596" s="33">
        <v>1.387</v>
      </c>
      <c r="B596" s="34">
        <v>7472.3183415856329</v>
      </c>
      <c r="C596" s="33">
        <v>7.2150072150090061E-4</v>
      </c>
      <c r="E596" s="2"/>
      <c r="F596" s="2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</row>
    <row r="597" spans="1:19" customFormat="1" x14ac:dyDescent="0.25">
      <c r="A597" s="33">
        <v>1.3879999999999999</v>
      </c>
      <c r="B597" s="34">
        <v>7477.4457675846534</v>
      </c>
      <c r="C597" s="33">
        <v>7.2098053352553926E-4</v>
      </c>
      <c r="E597" s="2"/>
      <c r="F597" s="2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</row>
    <row r="598" spans="1:19" customFormat="1" x14ac:dyDescent="0.25">
      <c r="A598" s="33">
        <v>1.389</v>
      </c>
      <c r="B598" s="34">
        <v>7482.5731935836748</v>
      </c>
      <c r="C598" s="33">
        <v>7.2046109510104372E-4</v>
      </c>
      <c r="E598" s="2"/>
      <c r="F598" s="2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</row>
    <row r="599" spans="1:19" customFormat="1" x14ac:dyDescent="0.25">
      <c r="A599" s="33">
        <v>1.39</v>
      </c>
      <c r="B599" s="34">
        <v>7487.7006195826943</v>
      </c>
      <c r="C599" s="33">
        <v>7.1994240460737657E-4</v>
      </c>
      <c r="E599" s="2"/>
      <c r="F599" s="2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</row>
    <row r="600" spans="1:19" customFormat="1" x14ac:dyDescent="0.25">
      <c r="A600" s="33">
        <v>1.391</v>
      </c>
      <c r="B600" s="34">
        <v>7492.8280455817167</v>
      </c>
      <c r="C600" s="33">
        <v>7.1942446043182784E-4</v>
      </c>
      <c r="E600" s="2"/>
      <c r="F600" s="2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</row>
    <row r="601" spans="1:19" customFormat="1" x14ac:dyDescent="0.25">
      <c r="A601" s="33">
        <v>1.3919999999999999</v>
      </c>
      <c r="B601" s="34">
        <v>7497.9554715807362</v>
      </c>
      <c r="C601" s="33">
        <v>7.1890726096324187E-4</v>
      </c>
      <c r="E601" s="2"/>
      <c r="F601" s="2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</row>
    <row r="602" spans="1:19" customFormat="1" x14ac:dyDescent="0.25">
      <c r="A602" s="33">
        <v>1.393</v>
      </c>
      <c r="B602" s="34">
        <v>7503.0828975797585</v>
      </c>
      <c r="C602" s="33">
        <v>7.1839080459779048E-4</v>
      </c>
      <c r="E602" s="2"/>
      <c r="F602" s="2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</row>
    <row r="603" spans="1:19" customFormat="1" x14ac:dyDescent="0.25">
      <c r="A603" s="33">
        <v>1.3939999999999999</v>
      </c>
      <c r="B603" s="34">
        <v>7508.210323578779</v>
      </c>
      <c r="C603" s="33">
        <v>7.1787508973453207E-4</v>
      </c>
      <c r="E603" s="2"/>
      <c r="F603" s="2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</row>
    <row r="604" spans="1:19" customFormat="1" x14ac:dyDescent="0.25">
      <c r="A604" s="33">
        <v>1.395</v>
      </c>
      <c r="B604" s="34">
        <v>7513.3377495778013</v>
      </c>
      <c r="C604" s="33">
        <v>7.1736011477763206E-4</v>
      </c>
      <c r="E604" s="2"/>
      <c r="F604" s="2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</row>
    <row r="605" spans="1:19" customFormat="1" x14ac:dyDescent="0.25">
      <c r="A605" s="33">
        <v>1.3959999999999999</v>
      </c>
      <c r="B605" s="34">
        <v>7518.4651755768227</v>
      </c>
      <c r="C605" s="33">
        <v>7.1684587813614087E-4</v>
      </c>
      <c r="E605" s="2"/>
      <c r="F605" s="2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</row>
    <row r="606" spans="1:19" customFormat="1" x14ac:dyDescent="0.25">
      <c r="A606" s="33">
        <v>1.397</v>
      </c>
      <c r="B606" s="34">
        <v>7523.5926015758423</v>
      </c>
      <c r="C606" s="33">
        <v>7.1633237822354978E-4</v>
      </c>
      <c r="E606" s="2"/>
      <c r="F606" s="2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</row>
    <row r="607" spans="1:19" customFormat="1" x14ac:dyDescent="0.25">
      <c r="A607" s="33">
        <v>1.3979999999999999</v>
      </c>
      <c r="B607" s="34">
        <v>7528.7200275748628</v>
      </c>
      <c r="C607" s="33">
        <v>7.158196134573469E-4</v>
      </c>
      <c r="E607" s="2"/>
      <c r="F607" s="2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</row>
    <row r="608" spans="1:19" customFormat="1" x14ac:dyDescent="0.25">
      <c r="A608" s="33">
        <v>1.399</v>
      </c>
      <c r="B608" s="34">
        <v>7533.8474535738842</v>
      </c>
      <c r="C608" s="33">
        <v>7.1530758226057145E-4</v>
      </c>
      <c r="E608" s="2"/>
      <c r="F608" s="2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</row>
    <row r="609" spans="1:19" customFormat="1" x14ac:dyDescent="0.25">
      <c r="A609" s="31">
        <v>1.4</v>
      </c>
      <c r="B609" s="32">
        <v>7584.4077681718218</v>
      </c>
      <c r="C609" s="31">
        <v>7.0484342342176376E-3</v>
      </c>
      <c r="E609" s="2"/>
      <c r="F609" s="2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</row>
    <row r="610" spans="1:19" customFormat="1" x14ac:dyDescent="0.25">
      <c r="A610" s="33">
        <v>1.401</v>
      </c>
      <c r="B610" s="34">
        <v>7589.5676462341298</v>
      </c>
      <c r="C610" s="33">
        <v>7.1428571428588938E-4</v>
      </c>
      <c r="E610" s="2"/>
      <c r="F610" s="2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</row>
    <row r="611" spans="1:19" customFormat="1" x14ac:dyDescent="0.25">
      <c r="A611" s="33">
        <v>1.4019999999999999</v>
      </c>
      <c r="B611" s="34">
        <v>7594.7275242964351</v>
      </c>
      <c r="C611" s="33">
        <v>7.1377587437537748E-4</v>
      </c>
      <c r="E611" s="2"/>
      <c r="F611" s="2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</row>
    <row r="612" spans="1:19" customFormat="1" x14ac:dyDescent="0.25">
      <c r="A612" s="33">
        <v>1.403</v>
      </c>
      <c r="B612" s="34">
        <v>7599.8874023587414</v>
      </c>
      <c r="C612" s="33">
        <v>7.1326676176908244E-4</v>
      </c>
      <c r="E612" s="2"/>
      <c r="F612" s="2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</row>
    <row r="613" spans="1:19" customFormat="1" x14ac:dyDescent="0.25">
      <c r="A613" s="33">
        <v>1.4039999999999999</v>
      </c>
      <c r="B613" s="34">
        <v>7605.0472804210449</v>
      </c>
      <c r="C613" s="33">
        <v>7.127583749106936E-4</v>
      </c>
      <c r="E613" s="2"/>
      <c r="F613" s="2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</row>
    <row r="614" spans="1:19" customFormat="1" x14ac:dyDescent="0.25">
      <c r="A614" s="33">
        <v>1.405</v>
      </c>
      <c r="B614" s="34">
        <v>7610.2071584833502</v>
      </c>
      <c r="C614" s="33">
        <v>7.1225071225056169E-4</v>
      </c>
      <c r="E614" s="2"/>
      <c r="F614" s="2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</row>
    <row r="615" spans="1:19" customFormat="1" x14ac:dyDescent="0.25">
      <c r="A615" s="33">
        <v>1.4059999999999999</v>
      </c>
      <c r="B615" s="34">
        <v>7615.3670365456583</v>
      </c>
      <c r="C615" s="33">
        <v>7.1174377224214602E-4</v>
      </c>
      <c r="E615" s="2"/>
      <c r="F615" s="2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</row>
    <row r="616" spans="1:19" customFormat="1" x14ac:dyDescent="0.25">
      <c r="A616" s="33">
        <v>1.407</v>
      </c>
      <c r="B616" s="34">
        <v>7620.5269146079645</v>
      </c>
      <c r="C616" s="33">
        <v>7.1123755334290273E-4</v>
      </c>
      <c r="E616" s="2"/>
      <c r="F616" s="2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</row>
    <row r="617" spans="1:19" customFormat="1" x14ac:dyDescent="0.25">
      <c r="A617" s="33">
        <v>1.4079999999999999</v>
      </c>
      <c r="B617" s="34">
        <v>7625.6867926702698</v>
      </c>
      <c r="C617" s="33">
        <v>7.1073205401561701E-4</v>
      </c>
      <c r="E617" s="2"/>
      <c r="F617" s="2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</row>
    <row r="618" spans="1:19" customFormat="1" x14ac:dyDescent="0.25">
      <c r="A618" s="33">
        <v>1.409</v>
      </c>
      <c r="B618" s="34">
        <v>7630.8466707325751</v>
      </c>
      <c r="C618" s="33">
        <v>7.1022727272729291E-4</v>
      </c>
      <c r="E618" s="2"/>
      <c r="F618" s="2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</row>
    <row r="619" spans="1:19" customFormat="1" x14ac:dyDescent="0.25">
      <c r="A619" s="33">
        <v>1.41</v>
      </c>
      <c r="B619" s="34">
        <v>7636.0065487948796</v>
      </c>
      <c r="C619" s="33">
        <v>7.0972320794870924E-4</v>
      </c>
      <c r="E619" s="2"/>
      <c r="F619" s="2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</row>
    <row r="620" spans="1:19" customFormat="1" x14ac:dyDescent="0.25">
      <c r="A620" s="33">
        <v>1.411</v>
      </c>
      <c r="B620" s="34">
        <v>7641.1664268571858</v>
      </c>
      <c r="C620" s="33">
        <v>7.0921985815619593E-4</v>
      </c>
      <c r="E620" s="2"/>
      <c r="F620" s="2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</row>
    <row r="621" spans="1:19" customFormat="1" x14ac:dyDescent="0.25">
      <c r="A621" s="33">
        <v>1.4119999999999999</v>
      </c>
      <c r="B621" s="34">
        <v>7646.3263049194911</v>
      </c>
      <c r="C621" s="33">
        <v>7.0871722182830332E-4</v>
      </c>
      <c r="E621" s="2"/>
      <c r="F621" s="2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</row>
    <row r="622" spans="1:19" customFormat="1" x14ac:dyDescent="0.25">
      <c r="A622" s="33">
        <v>1.413</v>
      </c>
      <c r="B622" s="34">
        <v>7651.4861829817964</v>
      </c>
      <c r="C622" s="33">
        <v>7.0821529745046519E-4</v>
      </c>
      <c r="E622" s="2"/>
      <c r="F622" s="2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</row>
    <row r="623" spans="1:19" customFormat="1" x14ac:dyDescent="0.25">
      <c r="A623" s="33">
        <v>1.4139999999999999</v>
      </c>
      <c r="B623" s="34">
        <v>7656.6460610441018</v>
      </c>
      <c r="C623" s="33">
        <v>7.0771408351011367E-4</v>
      </c>
      <c r="E623" s="2"/>
      <c r="F623" s="2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</row>
    <row r="624" spans="1:19" customFormat="1" x14ac:dyDescent="0.25">
      <c r="A624" s="33">
        <v>1.415</v>
      </c>
      <c r="B624" s="34">
        <v>7661.8059391064089</v>
      </c>
      <c r="C624" s="33">
        <v>7.0721357850089817E-4</v>
      </c>
      <c r="E624" s="2"/>
      <c r="F624" s="2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</row>
    <row r="625" spans="1:19" customFormat="1" x14ac:dyDescent="0.25">
      <c r="A625" s="33">
        <v>1.4159999999999999</v>
      </c>
      <c r="B625" s="34">
        <v>7666.9658171687142</v>
      </c>
      <c r="C625" s="33">
        <v>7.0671378091868853E-4</v>
      </c>
      <c r="E625" s="2"/>
      <c r="F625" s="2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</row>
    <row r="626" spans="1:19" customFormat="1" x14ac:dyDescent="0.25">
      <c r="A626" s="33">
        <v>1.417</v>
      </c>
      <c r="B626" s="34">
        <v>7672.1256952310205</v>
      </c>
      <c r="C626" s="33">
        <v>7.0621468926557185E-4</v>
      </c>
      <c r="E626" s="2"/>
      <c r="F626" s="2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</row>
    <row r="627" spans="1:19" customFormat="1" x14ac:dyDescent="0.25">
      <c r="A627" s="33">
        <v>1.4179999999999999</v>
      </c>
      <c r="B627" s="34">
        <v>7677.2855732933258</v>
      </c>
      <c r="C627" s="33">
        <v>7.057163020465218E-4</v>
      </c>
      <c r="E627" s="2"/>
      <c r="F627" s="2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</row>
    <row r="628" spans="1:19" customFormat="1" x14ac:dyDescent="0.25">
      <c r="A628" s="33">
        <v>1.419</v>
      </c>
      <c r="B628" s="34">
        <v>7682.4454513556302</v>
      </c>
      <c r="C628" s="33">
        <v>7.0521861777139705E-4</v>
      </c>
      <c r="E628" s="2"/>
      <c r="F628" s="2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</row>
    <row r="629" spans="1:19" customFormat="1" x14ac:dyDescent="0.25">
      <c r="A629" s="33">
        <v>1.42</v>
      </c>
      <c r="B629" s="34">
        <v>7687.6053294179346</v>
      </c>
      <c r="C629" s="33">
        <v>7.0472163495405304E-4</v>
      </c>
      <c r="E629" s="2"/>
      <c r="F629" s="2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</row>
    <row r="630" spans="1:19" customFormat="1" x14ac:dyDescent="0.25">
      <c r="A630" s="33">
        <v>1.421</v>
      </c>
      <c r="B630" s="34">
        <v>7692.7652074802436</v>
      </c>
      <c r="C630" s="33">
        <v>7.0422535211300819E-4</v>
      </c>
      <c r="E630" s="2"/>
      <c r="F630" s="2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</row>
    <row r="631" spans="1:19" customFormat="1" x14ac:dyDescent="0.25">
      <c r="A631" s="33">
        <v>1.4219999999999999</v>
      </c>
      <c r="B631" s="34">
        <v>7697.9250855425498</v>
      </c>
      <c r="C631" s="33">
        <v>7.0372976776922336E-4</v>
      </c>
      <c r="E631" s="2"/>
      <c r="F631" s="2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</row>
    <row r="632" spans="1:19" customFormat="1" x14ac:dyDescent="0.25">
      <c r="A632" s="33">
        <v>1.423</v>
      </c>
      <c r="B632" s="34">
        <v>7703.0849636048551</v>
      </c>
      <c r="C632" s="33">
        <v>7.0323488045009874E-4</v>
      </c>
      <c r="E632" s="2"/>
      <c r="F632" s="2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</row>
    <row r="633" spans="1:19" customFormat="1" x14ac:dyDescent="0.25">
      <c r="A633" s="33">
        <v>1.4239999999999999</v>
      </c>
      <c r="B633" s="34">
        <v>7708.2448416671596</v>
      </c>
      <c r="C633" s="33">
        <v>7.0274068868569906E-4</v>
      </c>
      <c r="E633" s="2"/>
      <c r="F633" s="2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</row>
    <row r="634" spans="1:19" customFormat="1" x14ac:dyDescent="0.25">
      <c r="A634" s="33">
        <v>1.425</v>
      </c>
      <c r="B634" s="34">
        <v>7713.4047197294658</v>
      </c>
      <c r="C634" s="33">
        <v>7.0224719101141808E-4</v>
      </c>
      <c r="E634" s="2"/>
      <c r="F634" s="2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</row>
    <row r="635" spans="1:19" customFormat="1" x14ac:dyDescent="0.25">
      <c r="A635" s="33">
        <v>1.4259999999999999</v>
      </c>
      <c r="B635" s="34">
        <v>7718.5645977917702</v>
      </c>
      <c r="C635" s="33">
        <v>7.0175438596487005E-4</v>
      </c>
      <c r="E635" s="2"/>
      <c r="F635" s="2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</row>
    <row r="636" spans="1:19" customFormat="1" x14ac:dyDescent="0.25">
      <c r="A636" s="33">
        <v>1.427</v>
      </c>
      <c r="B636" s="34">
        <v>7723.7244758540783</v>
      </c>
      <c r="C636" s="33">
        <v>7.0126227208988645E-4</v>
      </c>
      <c r="E636" s="2"/>
      <c r="F636" s="2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</row>
    <row r="637" spans="1:19" customFormat="1" x14ac:dyDescent="0.25">
      <c r="A637" s="33">
        <v>1.4279999999999999</v>
      </c>
      <c r="B637" s="34">
        <v>7728.8843539163818</v>
      </c>
      <c r="C637" s="33">
        <v>7.007708479325192E-4</v>
      </c>
      <c r="E637" s="2"/>
      <c r="F637" s="2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</row>
    <row r="638" spans="1:19" customFormat="1" x14ac:dyDescent="0.25">
      <c r="A638" s="33">
        <v>1.429</v>
      </c>
      <c r="B638" s="34">
        <v>7734.044231978688</v>
      </c>
      <c r="C638" s="33">
        <v>7.0028011204481544E-4</v>
      </c>
      <c r="E638" s="2"/>
      <c r="F638" s="2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</row>
    <row r="639" spans="1:19" customFormat="1" x14ac:dyDescent="0.25">
      <c r="A639" s="33">
        <v>1.43</v>
      </c>
      <c r="B639" s="34">
        <v>7739.2041100409951</v>
      </c>
      <c r="C639" s="33">
        <v>6.9979006298126478E-4</v>
      </c>
      <c r="E639" s="2"/>
      <c r="F639" s="2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</row>
    <row r="640" spans="1:19" customFormat="1" x14ac:dyDescent="0.25">
      <c r="A640" s="33">
        <v>1.431</v>
      </c>
      <c r="B640" s="34">
        <v>7744.3639881032996</v>
      </c>
      <c r="C640" s="33">
        <v>6.993006993005757E-4</v>
      </c>
      <c r="E640" s="2"/>
      <c r="F640" s="2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</row>
    <row r="641" spans="1:19" customFormat="1" x14ac:dyDescent="0.25">
      <c r="A641" s="33">
        <v>1.4319999999999999</v>
      </c>
      <c r="B641" s="34">
        <v>7749.5238661656031</v>
      </c>
      <c r="C641" s="33">
        <v>6.9881201956656369E-4</v>
      </c>
      <c r="E641" s="2"/>
      <c r="F641" s="2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</row>
    <row r="642" spans="1:19" customFormat="1" x14ac:dyDescent="0.25">
      <c r="A642" s="33">
        <v>1.4330000000000001</v>
      </c>
      <c r="B642" s="34">
        <v>7754.6837442279084</v>
      </c>
      <c r="C642" s="33">
        <v>6.9832402234637492E-4</v>
      </c>
      <c r="E642" s="2"/>
      <c r="F642" s="2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</row>
    <row r="643" spans="1:19" customFormat="1" x14ac:dyDescent="0.25">
      <c r="A643" s="33">
        <v>1.4339999999999999</v>
      </c>
      <c r="B643" s="34">
        <v>7759.8436222902164</v>
      </c>
      <c r="C643" s="33">
        <v>6.9783670621070826E-4</v>
      </c>
      <c r="E643" s="2"/>
      <c r="F643" s="2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</row>
    <row r="644" spans="1:19" customFormat="1" x14ac:dyDescent="0.25">
      <c r="A644" s="33">
        <v>1.4350000000000001</v>
      </c>
      <c r="B644" s="34">
        <v>7765.0035003525227</v>
      </c>
      <c r="C644" s="33">
        <v>6.9735006973514757E-4</v>
      </c>
      <c r="E644" s="2"/>
      <c r="F644" s="2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</row>
    <row r="645" spans="1:19" customFormat="1" x14ac:dyDescent="0.25">
      <c r="A645" s="33">
        <v>1.4359999999999999</v>
      </c>
      <c r="B645" s="34">
        <v>7770.1633784148271</v>
      </c>
      <c r="C645" s="33">
        <v>6.968641114981633E-4</v>
      </c>
      <c r="E645" s="2"/>
      <c r="F645" s="2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</row>
    <row r="646" spans="1:19" customFormat="1" x14ac:dyDescent="0.25">
      <c r="A646" s="33">
        <v>1.4370000000000001</v>
      </c>
      <c r="B646" s="34">
        <v>7775.3232564771324</v>
      </c>
      <c r="C646" s="33">
        <v>6.9637883008355494E-4</v>
      </c>
      <c r="E646" s="2"/>
      <c r="F646" s="2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</row>
    <row r="647" spans="1:19" customFormat="1" x14ac:dyDescent="0.25">
      <c r="A647" s="33">
        <v>1.4379999999999999</v>
      </c>
      <c r="B647" s="34">
        <v>7780.4831345394396</v>
      </c>
      <c r="C647" s="33">
        <v>6.9589422407800861E-4</v>
      </c>
      <c r="E647" s="2"/>
      <c r="F647" s="2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</row>
    <row r="648" spans="1:19" customFormat="1" x14ac:dyDescent="0.25">
      <c r="A648" s="33">
        <v>1.4390000000000001</v>
      </c>
      <c r="B648" s="34">
        <v>7785.6430126017431</v>
      </c>
      <c r="C648" s="33">
        <v>6.9541029207220717E-4</v>
      </c>
      <c r="E648" s="2"/>
      <c r="F648" s="2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</row>
    <row r="649" spans="1:19" customFormat="1" x14ac:dyDescent="0.25">
      <c r="A649" s="33">
        <v>1.44</v>
      </c>
      <c r="B649" s="34">
        <v>7790.8028906640493</v>
      </c>
      <c r="C649" s="33">
        <v>6.9492703266149647E-4</v>
      </c>
      <c r="E649" s="2"/>
      <c r="F649" s="2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</row>
    <row r="650" spans="1:19" customFormat="1" x14ac:dyDescent="0.25">
      <c r="A650" s="33">
        <v>1.4410000000000001</v>
      </c>
      <c r="B650" s="34">
        <v>7795.9627687263546</v>
      </c>
      <c r="C650" s="33">
        <v>6.94444444444553E-4</v>
      </c>
      <c r="E650" s="2"/>
      <c r="F650" s="2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</row>
    <row r="651" spans="1:19" customFormat="1" x14ac:dyDescent="0.25">
      <c r="A651" s="33">
        <v>1.4419999999999999</v>
      </c>
      <c r="B651" s="34">
        <v>7801.1226467886609</v>
      </c>
      <c r="C651" s="33">
        <v>6.9396252602360597E-4</v>
      </c>
      <c r="E651" s="2"/>
      <c r="F651" s="2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</row>
    <row r="652" spans="1:19" customFormat="1" x14ac:dyDescent="0.25">
      <c r="A652" s="33">
        <v>1.4430000000000001</v>
      </c>
      <c r="B652" s="34">
        <v>7806.2825248509662</v>
      </c>
      <c r="C652" s="33">
        <v>6.9348127600554754E-4</v>
      </c>
      <c r="E652" s="2"/>
      <c r="F652" s="2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</row>
    <row r="653" spans="1:19" customFormat="1" x14ac:dyDescent="0.25">
      <c r="A653" s="33">
        <v>1.444</v>
      </c>
      <c r="B653" s="34">
        <v>7811.4424029132697</v>
      </c>
      <c r="C653" s="33">
        <v>6.9300069300060052E-4</v>
      </c>
      <c r="E653" s="2"/>
      <c r="F653" s="2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</row>
    <row r="654" spans="1:19" customFormat="1" x14ac:dyDescent="0.25">
      <c r="A654" s="33">
        <v>1.4450000000000001</v>
      </c>
      <c r="B654" s="34">
        <v>7816.6022809755787</v>
      </c>
      <c r="C654" s="33">
        <v>6.9252077562342862E-4</v>
      </c>
      <c r="E654" s="2"/>
      <c r="F654" s="2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</row>
    <row r="655" spans="1:19" customFormat="1" x14ac:dyDescent="0.25">
      <c r="A655" s="33">
        <v>1.446</v>
      </c>
      <c r="B655" s="34">
        <v>7821.762159037884</v>
      </c>
      <c r="C655" s="33">
        <v>6.9204152249136008E-4</v>
      </c>
      <c r="E655" s="2"/>
      <c r="F655" s="2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</row>
    <row r="656" spans="1:19" customFormat="1" x14ac:dyDescent="0.25">
      <c r="A656" s="33">
        <v>1.4470000000000001</v>
      </c>
      <c r="B656" s="34">
        <v>7826.9220371001902</v>
      </c>
      <c r="C656" s="33">
        <v>6.9156293222683018E-4</v>
      </c>
      <c r="E656" s="2"/>
      <c r="F656" s="2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</row>
    <row r="657" spans="1:19" customFormat="1" x14ac:dyDescent="0.25">
      <c r="A657" s="33">
        <v>1.448</v>
      </c>
      <c r="B657" s="34">
        <v>7832.0819151624955</v>
      </c>
      <c r="C657" s="33">
        <v>6.9108500345538282E-4</v>
      </c>
      <c r="E657" s="2"/>
      <c r="F657" s="2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</row>
    <row r="658" spans="1:19" customFormat="1" x14ac:dyDescent="0.25">
      <c r="A658" s="33">
        <v>1.4490000000000001</v>
      </c>
      <c r="B658" s="34">
        <v>7837.2417932248018</v>
      </c>
      <c r="C658" s="33">
        <v>6.9060773480655868E-4</v>
      </c>
      <c r="E658" s="2"/>
      <c r="F658" s="2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</row>
    <row r="659" spans="1:19" customFormat="1" x14ac:dyDescent="0.25">
      <c r="A659" s="33">
        <v>1.45</v>
      </c>
      <c r="B659" s="34">
        <v>7842.4016712871098</v>
      </c>
      <c r="C659" s="33">
        <v>6.9013112491389528E-4</v>
      </c>
      <c r="E659" s="2"/>
      <c r="F659" s="2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</row>
    <row r="660" spans="1:19" customFormat="1" x14ac:dyDescent="0.25">
      <c r="A660" s="33">
        <v>1.4510000000000001</v>
      </c>
      <c r="B660" s="34">
        <v>7847.5615493494151</v>
      </c>
      <c r="C660" s="33">
        <v>6.8965517241381669E-4</v>
      </c>
      <c r="E660" s="2"/>
      <c r="F660" s="2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</row>
    <row r="661" spans="1:19" customFormat="1" x14ac:dyDescent="0.25">
      <c r="A661" s="33">
        <v>1.452</v>
      </c>
      <c r="B661" s="34">
        <v>7852.7214274117196</v>
      </c>
      <c r="C661" s="33">
        <v>6.8917987594740993E-4</v>
      </c>
      <c r="E661" s="2"/>
      <c r="F661" s="2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</row>
    <row r="662" spans="1:19" customFormat="1" x14ac:dyDescent="0.25">
      <c r="A662" s="33">
        <v>1.4530000000000001</v>
      </c>
      <c r="B662" s="34">
        <v>7857.8813054740258</v>
      </c>
      <c r="C662" s="33">
        <v>6.8870523415998086E-4</v>
      </c>
      <c r="E662" s="2"/>
      <c r="F662" s="2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</row>
    <row r="663" spans="1:19" customFormat="1" x14ac:dyDescent="0.25">
      <c r="A663" s="33">
        <v>1.454</v>
      </c>
      <c r="B663" s="34">
        <v>7863.0411835363338</v>
      </c>
      <c r="C663" s="33">
        <v>6.8823124569861172E-4</v>
      </c>
      <c r="E663" s="2"/>
      <c r="F663" s="2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</row>
    <row r="664" spans="1:19" customFormat="1" x14ac:dyDescent="0.25">
      <c r="A664" s="33">
        <v>1.4550000000000001</v>
      </c>
      <c r="B664" s="34">
        <v>7868.2010615986392</v>
      </c>
      <c r="C664" s="33">
        <v>6.8775790921593583E-4</v>
      </c>
      <c r="E664" s="2"/>
      <c r="F664" s="2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</row>
    <row r="665" spans="1:19" customFormat="1" x14ac:dyDescent="0.25">
      <c r="A665" s="33">
        <v>1.456</v>
      </c>
      <c r="B665" s="34">
        <v>7873.3609396609445</v>
      </c>
      <c r="C665" s="33">
        <v>6.8728522336769515E-4</v>
      </c>
      <c r="E665" s="2"/>
      <c r="F665" s="2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</row>
    <row r="666" spans="1:19" customFormat="1" x14ac:dyDescent="0.25">
      <c r="A666" s="33">
        <v>1.4570000000000001</v>
      </c>
      <c r="B666" s="34">
        <v>7878.5208177232489</v>
      </c>
      <c r="C666" s="33">
        <v>6.8681318681296233E-4</v>
      </c>
      <c r="E666" s="2"/>
      <c r="F666" s="2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</row>
    <row r="667" spans="1:19" customFormat="1" x14ac:dyDescent="0.25">
      <c r="A667" s="33">
        <v>1.458</v>
      </c>
      <c r="B667" s="34">
        <v>7883.6806957855542</v>
      </c>
      <c r="C667" s="33">
        <v>6.8634179821547292E-4</v>
      </c>
      <c r="E667" s="2"/>
      <c r="F667" s="2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</row>
    <row r="668" spans="1:19" customFormat="1" x14ac:dyDescent="0.25">
      <c r="A668" s="33">
        <v>1.4590000000000001</v>
      </c>
      <c r="B668" s="34">
        <v>7888.8405738478605</v>
      </c>
      <c r="C668" s="33">
        <v>6.8587105624140499E-4</v>
      </c>
      <c r="E668" s="2"/>
      <c r="F668" s="2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</row>
    <row r="669" spans="1:19" customFormat="1" x14ac:dyDescent="0.25">
      <c r="A669" s="33">
        <v>1.46</v>
      </c>
      <c r="B669" s="34">
        <v>7894.0004519101667</v>
      </c>
      <c r="C669" s="33">
        <v>6.8540095956137748E-4</v>
      </c>
      <c r="E669" s="2"/>
      <c r="F669" s="2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</row>
    <row r="670" spans="1:19" customFormat="1" x14ac:dyDescent="0.25">
      <c r="A670" s="33">
        <v>1.4610000000000001</v>
      </c>
      <c r="B670" s="34">
        <v>7899.160329972472</v>
      </c>
      <c r="C670" s="33">
        <v>6.8493150684934001E-4</v>
      </c>
      <c r="E670" s="2"/>
      <c r="F670" s="2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</row>
    <row r="671" spans="1:19" customFormat="1" x14ac:dyDescent="0.25">
      <c r="A671" s="33">
        <v>1.462</v>
      </c>
      <c r="B671" s="34">
        <v>7904.3202080347764</v>
      </c>
      <c r="C671" s="33">
        <v>6.8446269678279492E-4</v>
      </c>
      <c r="E671" s="2"/>
      <c r="F671" s="2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</row>
    <row r="672" spans="1:19" customFormat="1" x14ac:dyDescent="0.25">
      <c r="A672" s="33">
        <v>1.4630000000000001</v>
      </c>
      <c r="B672" s="34">
        <v>7909.4800860970836</v>
      </c>
      <c r="C672" s="33">
        <v>6.8399452804390748E-4</v>
      </c>
      <c r="E672" s="2"/>
      <c r="F672" s="2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</row>
    <row r="673" spans="1:19" customFormat="1" x14ac:dyDescent="0.25">
      <c r="A673" s="33">
        <v>1.464</v>
      </c>
      <c r="B673" s="34">
        <v>7914.6399641593898</v>
      </c>
      <c r="C673" s="33">
        <v>6.8352699931639727E-4</v>
      </c>
      <c r="E673" s="2"/>
      <c r="F673" s="2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</row>
    <row r="674" spans="1:19" customFormat="1" x14ac:dyDescent="0.25">
      <c r="A674" s="33">
        <v>1.4650000000000001</v>
      </c>
      <c r="B674" s="34">
        <v>7919.7998422216979</v>
      </c>
      <c r="C674" s="33">
        <v>6.8306010928975702E-4</v>
      </c>
      <c r="E674" s="2"/>
      <c r="F674" s="2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</row>
    <row r="675" spans="1:19" customFormat="1" x14ac:dyDescent="0.25">
      <c r="A675" s="33">
        <v>1.466</v>
      </c>
      <c r="B675" s="34">
        <v>7924.9597202840032</v>
      </c>
      <c r="C675" s="33">
        <v>6.8259385665525585E-4</v>
      </c>
      <c r="E675" s="2"/>
      <c r="F675" s="2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</row>
    <row r="676" spans="1:19" customFormat="1" x14ac:dyDescent="0.25">
      <c r="A676" s="33">
        <v>1.4670000000000001</v>
      </c>
      <c r="B676" s="34">
        <v>7930.1195983463103</v>
      </c>
      <c r="C676" s="33">
        <v>6.8212824010926987E-4</v>
      </c>
      <c r="E676" s="2"/>
      <c r="F676" s="2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</row>
    <row r="677" spans="1:19" customFormat="1" x14ac:dyDescent="0.25">
      <c r="A677" s="33">
        <v>1.468</v>
      </c>
      <c r="B677" s="34">
        <v>7935.2794764086157</v>
      </c>
      <c r="C677" s="33">
        <v>6.8166325835017361E-4</v>
      </c>
      <c r="E677" s="2"/>
      <c r="F677" s="2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</row>
    <row r="678" spans="1:19" customFormat="1" x14ac:dyDescent="0.25">
      <c r="A678" s="33">
        <v>1.4690000000000001</v>
      </c>
      <c r="B678" s="34">
        <v>7940.4393544709219</v>
      </c>
      <c r="C678" s="33">
        <v>6.8119891008167066E-4</v>
      </c>
      <c r="E678" s="2"/>
      <c r="F678" s="2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</row>
    <row r="679" spans="1:19" customFormat="1" x14ac:dyDescent="0.25">
      <c r="A679" s="33">
        <v>1.47</v>
      </c>
      <c r="B679" s="34">
        <v>7945.5992325332281</v>
      </c>
      <c r="C679" s="33">
        <v>6.8073519400968507E-4</v>
      </c>
      <c r="E679" s="2"/>
      <c r="F679" s="2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</row>
    <row r="680" spans="1:19" customFormat="1" x14ac:dyDescent="0.25">
      <c r="A680" s="33">
        <v>1.4710000000000001</v>
      </c>
      <c r="B680" s="34">
        <v>7950.7591105955344</v>
      </c>
      <c r="C680" s="33">
        <v>6.8027210884347156E-4</v>
      </c>
      <c r="E680" s="2"/>
      <c r="F680" s="2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</row>
    <row r="681" spans="1:19" customFormat="1" x14ac:dyDescent="0.25">
      <c r="A681" s="33">
        <v>1.472</v>
      </c>
      <c r="B681" s="34">
        <v>7955.9189886578379</v>
      </c>
      <c r="C681" s="33">
        <v>6.7980965329694776E-4</v>
      </c>
      <c r="E681" s="2"/>
      <c r="F681" s="2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</row>
    <row r="682" spans="1:19" customFormat="1" x14ac:dyDescent="0.25">
      <c r="A682" s="33">
        <v>1.4730000000000001</v>
      </c>
      <c r="B682" s="34">
        <v>7961.0788667201459</v>
      </c>
      <c r="C682" s="33">
        <v>6.7934782608713995E-4</v>
      </c>
      <c r="E682" s="2"/>
      <c r="F682" s="2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</row>
    <row r="683" spans="1:19" customFormat="1" x14ac:dyDescent="0.25">
      <c r="A683" s="33">
        <v>1.474</v>
      </c>
      <c r="B683" s="34">
        <v>7966.2387447824522</v>
      </c>
      <c r="C683" s="33">
        <v>6.788866259335169E-4</v>
      </c>
      <c r="E683" s="2"/>
      <c r="F683" s="2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</row>
    <row r="684" spans="1:19" customFormat="1" x14ac:dyDescent="0.25">
      <c r="A684" s="33">
        <v>1.4750000000000001</v>
      </c>
      <c r="B684" s="34">
        <v>7971.3986228447575</v>
      </c>
      <c r="C684" s="33">
        <v>6.7842605156043234E-4</v>
      </c>
      <c r="E684" s="2"/>
      <c r="F684" s="2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</row>
    <row r="685" spans="1:19" customFormat="1" x14ac:dyDescent="0.25">
      <c r="A685" s="33">
        <v>1.476</v>
      </c>
      <c r="B685" s="34">
        <v>7976.5585009070637</v>
      </c>
      <c r="C685" s="33">
        <v>6.7796610169490457E-4</v>
      </c>
      <c r="E685" s="2"/>
      <c r="F685" s="2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</row>
    <row r="686" spans="1:19" customFormat="1" x14ac:dyDescent="0.25">
      <c r="A686" s="33">
        <v>1.4770000000000001</v>
      </c>
      <c r="B686" s="34">
        <v>7981.718378969369</v>
      </c>
      <c r="C686" s="33">
        <v>6.7750677506772661E-4</v>
      </c>
      <c r="E686" s="2"/>
      <c r="F686" s="2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</row>
    <row r="687" spans="1:19" customFormat="1" x14ac:dyDescent="0.25">
      <c r="A687" s="33">
        <v>1.478</v>
      </c>
      <c r="B687" s="34">
        <v>7986.8782570316753</v>
      </c>
      <c r="C687" s="33">
        <v>6.7704807041302217E-4</v>
      </c>
      <c r="E687" s="2"/>
      <c r="F687" s="2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</row>
    <row r="688" spans="1:19" customFormat="1" x14ac:dyDescent="0.25">
      <c r="A688" s="33">
        <v>1.4790000000000001</v>
      </c>
      <c r="B688" s="34">
        <v>7992.0381350939806</v>
      </c>
      <c r="C688" s="33">
        <v>6.765899864680236E-4</v>
      </c>
      <c r="E688" s="2"/>
      <c r="F688" s="2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</row>
    <row r="689" spans="1:19" customFormat="1" x14ac:dyDescent="0.25">
      <c r="A689" s="33">
        <v>1.48</v>
      </c>
      <c r="B689" s="34">
        <v>7997.1980131562868</v>
      </c>
      <c r="C689" s="33">
        <v>6.7613252197462614E-4</v>
      </c>
      <c r="E689" s="2"/>
      <c r="F689" s="2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</row>
    <row r="690" spans="1:19" customFormat="1" x14ac:dyDescent="0.25">
      <c r="A690" s="33">
        <v>1.4810000000000001</v>
      </c>
      <c r="B690" s="34">
        <v>8002.3578912185931</v>
      </c>
      <c r="C690" s="33">
        <v>6.7567567567561326E-4</v>
      </c>
      <c r="E690" s="2"/>
      <c r="F690" s="2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</row>
    <row r="691" spans="1:19" customFormat="1" x14ac:dyDescent="0.25">
      <c r="A691" s="33">
        <v>1.482</v>
      </c>
      <c r="B691" s="34">
        <v>8007.5177692808966</v>
      </c>
      <c r="C691" s="33">
        <v>6.7521944631976361E-4</v>
      </c>
      <c r="E691" s="2"/>
      <c r="F691" s="2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</row>
    <row r="692" spans="1:19" customFormat="1" x14ac:dyDescent="0.25">
      <c r="A692" s="33">
        <v>1.4830000000000001</v>
      </c>
      <c r="B692" s="34">
        <v>8012.6776473432046</v>
      </c>
      <c r="C692" s="33">
        <v>6.747638326587424E-4</v>
      </c>
      <c r="E692" s="2"/>
      <c r="F692" s="2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</row>
    <row r="693" spans="1:19" customFormat="1" x14ac:dyDescent="0.25">
      <c r="A693" s="33">
        <v>1.484</v>
      </c>
      <c r="B693" s="34">
        <v>8017.83752540551</v>
      </c>
      <c r="C693" s="33">
        <v>6.7430883344554715E-4</v>
      </c>
      <c r="E693" s="2"/>
      <c r="F693" s="2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</row>
    <row r="694" spans="1:19" customFormat="1" x14ac:dyDescent="0.25">
      <c r="A694" s="33">
        <v>1.4850000000000001</v>
      </c>
      <c r="B694" s="34">
        <v>8022.9974034678162</v>
      </c>
      <c r="C694" s="33">
        <v>6.7385444743961465E-4</v>
      </c>
      <c r="E694" s="2"/>
      <c r="F694" s="2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</row>
    <row r="695" spans="1:19" customFormat="1" x14ac:dyDescent="0.25">
      <c r="A695" s="33">
        <v>1.486</v>
      </c>
      <c r="B695" s="34">
        <v>8028.1572815301224</v>
      </c>
      <c r="C695" s="33">
        <v>6.7340067340060372E-4</v>
      </c>
      <c r="E695" s="2"/>
      <c r="F695" s="2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</row>
    <row r="696" spans="1:19" customFormat="1" x14ac:dyDescent="0.25">
      <c r="A696" s="33">
        <v>1.4870000000000001</v>
      </c>
      <c r="B696" s="34">
        <v>8033.3171595924305</v>
      </c>
      <c r="C696" s="33">
        <v>6.7294751009439047E-4</v>
      </c>
      <c r="E696" s="2"/>
      <c r="F696" s="2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</row>
    <row r="697" spans="1:19" customFormat="1" x14ac:dyDescent="0.25">
      <c r="A697" s="33">
        <v>1.488</v>
      </c>
      <c r="B697" s="34">
        <v>8038.4770376547331</v>
      </c>
      <c r="C697" s="33">
        <v>6.724949562875171E-4</v>
      </c>
      <c r="E697" s="2"/>
      <c r="F697" s="2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</row>
    <row r="698" spans="1:19" customFormat="1" x14ac:dyDescent="0.25">
      <c r="A698" s="33">
        <v>1.4890000000000001</v>
      </c>
      <c r="B698" s="34">
        <v>8043.6369157170402</v>
      </c>
      <c r="C698" s="33">
        <v>6.7204301075296513E-4</v>
      </c>
      <c r="E698" s="2"/>
      <c r="F698" s="2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</row>
    <row r="699" spans="1:19" customFormat="1" x14ac:dyDescent="0.25">
      <c r="A699" s="33">
        <v>1.49</v>
      </c>
      <c r="B699" s="34">
        <v>8048.7967937793446</v>
      </c>
      <c r="C699" s="33">
        <v>6.7159167226304994E-4</v>
      </c>
      <c r="E699" s="2"/>
      <c r="F699" s="2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</row>
    <row r="700" spans="1:19" customFormat="1" x14ac:dyDescent="0.25">
      <c r="A700" s="33">
        <v>1.4910000000000001</v>
      </c>
      <c r="B700" s="34">
        <v>8053.9566718416499</v>
      </c>
      <c r="C700" s="33">
        <v>6.7114093959741439E-4</v>
      </c>
      <c r="E700" s="2"/>
      <c r="F700" s="2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</row>
    <row r="701" spans="1:19" customFormat="1" x14ac:dyDescent="0.25">
      <c r="A701" s="33">
        <v>1.492</v>
      </c>
      <c r="B701" s="34">
        <v>8059.1165499039544</v>
      </c>
      <c r="C701" s="33">
        <v>6.7069081153570131E-4</v>
      </c>
      <c r="E701" s="2"/>
      <c r="F701" s="2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</row>
    <row r="702" spans="1:19" customFormat="1" x14ac:dyDescent="0.25">
      <c r="A702" s="33">
        <v>1.4930000000000001</v>
      </c>
      <c r="B702" s="34">
        <v>8064.2764279662597</v>
      </c>
      <c r="C702" s="33">
        <v>6.7024128686332674E-4</v>
      </c>
      <c r="E702" s="2"/>
      <c r="F702" s="2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</row>
    <row r="703" spans="1:19" customFormat="1" x14ac:dyDescent="0.25">
      <c r="A703" s="33">
        <v>1.494</v>
      </c>
      <c r="B703" s="34">
        <v>8069.4363060285659</v>
      </c>
      <c r="C703" s="33">
        <v>6.6979236436703893E-4</v>
      </c>
      <c r="E703" s="2"/>
      <c r="F703" s="2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</row>
    <row r="704" spans="1:19" customFormat="1" x14ac:dyDescent="0.25">
      <c r="A704" s="33">
        <v>1.4950000000000001</v>
      </c>
      <c r="B704" s="34">
        <v>8074.596184090874</v>
      </c>
      <c r="C704" s="33">
        <v>6.6934404283824911E-4</v>
      </c>
      <c r="E704" s="2"/>
      <c r="F704" s="2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</row>
    <row r="705" spans="1:19" customFormat="1" x14ac:dyDescent="0.25">
      <c r="A705" s="33">
        <v>1.496</v>
      </c>
      <c r="B705" s="34">
        <v>8079.7560621531775</v>
      </c>
      <c r="C705" s="33">
        <v>6.6889632107014485E-4</v>
      </c>
      <c r="E705" s="2"/>
      <c r="F705" s="2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</row>
    <row r="706" spans="1:19" customFormat="1" x14ac:dyDescent="0.25">
      <c r="A706" s="33">
        <v>1.4970000000000001</v>
      </c>
      <c r="B706" s="34">
        <v>8084.9159402154819</v>
      </c>
      <c r="C706" s="33">
        <v>6.6844919786079871E-4</v>
      </c>
      <c r="E706" s="2"/>
      <c r="F706" s="2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</row>
    <row r="707" spans="1:19" customFormat="1" x14ac:dyDescent="0.25">
      <c r="A707" s="33">
        <v>1.498</v>
      </c>
      <c r="B707" s="34">
        <v>8090.0758182777863</v>
      </c>
      <c r="C707" s="33">
        <v>6.6800267201050367E-4</v>
      </c>
      <c r="E707" s="2"/>
      <c r="F707" s="2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</row>
    <row r="708" spans="1:19" customFormat="1" x14ac:dyDescent="0.25">
      <c r="A708" s="33">
        <v>1.4990000000000001</v>
      </c>
      <c r="B708" s="34">
        <v>8095.2356963400944</v>
      </c>
      <c r="C708" s="33">
        <v>6.6755674232332751E-4</v>
      </c>
      <c r="E708" s="2"/>
      <c r="F708" s="2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</row>
    <row r="709" spans="1:19" customFormat="1" x14ac:dyDescent="0.25">
      <c r="A709" s="31">
        <v>1.5</v>
      </c>
      <c r="B709" s="32">
        <v>8149.0736693298113</v>
      </c>
      <c r="C709" s="31">
        <v>6.9606152529357868E-3</v>
      </c>
      <c r="E709" s="2"/>
      <c r="F709" s="2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EB2434-746C-4FA6-8F45-357BDBFFB54B}">
  <sheetPr codeName="Plan43">
    <tabColor theme="7" tint="0.79998168889431442"/>
  </sheetPr>
  <dimension ref="A1:S709"/>
  <sheetViews>
    <sheetView showGridLines="0" zoomScale="90" zoomScaleNormal="90" workbookViewId="0">
      <pane ySplit="3" topLeftCell="A4" activePane="bottomLeft" state="frozen"/>
      <selection pane="bottomLeft" activeCell="A4" sqref="A4"/>
    </sheetView>
  </sheetViews>
  <sheetFormatPr defaultRowHeight="15" x14ac:dyDescent="0.25"/>
  <cols>
    <col min="1" max="1" width="17.28515625" style="6" customWidth="1"/>
    <col min="2" max="2" width="19.140625" style="6" customWidth="1"/>
    <col min="3" max="3" width="12.85546875" style="6" customWidth="1"/>
    <col min="4" max="4" width="10.7109375" bestFit="1" customWidth="1"/>
    <col min="5" max="6" width="13.85546875" customWidth="1"/>
    <col min="7" max="7" width="13.85546875" style="3" bestFit="1" customWidth="1"/>
    <col min="8" max="16384" width="9.140625" style="3"/>
  </cols>
  <sheetData>
    <row r="1" spans="1:19" customFormat="1" ht="18.75" x14ac:dyDescent="0.25">
      <c r="A1" s="48" t="s">
        <v>892</v>
      </c>
      <c r="B1" s="17"/>
      <c r="C1" s="18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</row>
    <row r="2" spans="1:19" customFormat="1" ht="18.75" x14ac:dyDescent="0.3">
      <c r="A2" s="35" t="s">
        <v>834</v>
      </c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</row>
    <row r="3" spans="1:19" customFormat="1" ht="25.5" x14ac:dyDescent="0.25">
      <c r="A3" s="37" t="s">
        <v>830</v>
      </c>
      <c r="B3" s="38" t="s">
        <v>831</v>
      </c>
      <c r="C3" s="38" t="s">
        <v>832</v>
      </c>
      <c r="E3" s="95" t="s">
        <v>835</v>
      </c>
      <c r="F3" s="96">
        <v>1</v>
      </c>
      <c r="G3" s="97" t="s">
        <v>836</v>
      </c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</row>
    <row r="4" spans="1:19" customFormat="1" ht="15" customHeight="1" x14ac:dyDescent="0.25">
      <c r="A4" s="39">
        <v>0.79500000000000004</v>
      </c>
      <c r="B4" s="40">
        <v>2163.4708856627753</v>
      </c>
      <c r="C4" s="41">
        <v>0</v>
      </c>
      <c r="E4" s="43">
        <f>A4</f>
        <v>0.79500000000000004</v>
      </c>
      <c r="F4" s="43">
        <f>A209</f>
        <v>1</v>
      </c>
      <c r="G4" s="43">
        <f>A709</f>
        <v>1.5</v>
      </c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</row>
    <row r="5" spans="1:19" customFormat="1" ht="15" customHeight="1" x14ac:dyDescent="0.25">
      <c r="A5" s="39">
        <v>0.79600000000000004</v>
      </c>
      <c r="B5" s="40">
        <v>2163.4708856627753</v>
      </c>
      <c r="C5" s="41">
        <v>0</v>
      </c>
      <c r="E5" s="44">
        <f>B4</f>
        <v>2163.4708856627753</v>
      </c>
      <c r="F5" s="44">
        <f>B209</f>
        <v>5408.6772141569454</v>
      </c>
      <c r="G5" s="44">
        <f>B709</f>
        <v>12223.610503994732</v>
      </c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</row>
    <row r="6" spans="1:19" customFormat="1" ht="15" customHeight="1" x14ac:dyDescent="0.25">
      <c r="A6" s="39">
        <v>0.79700000000000004</v>
      </c>
      <c r="B6" s="40">
        <v>2163.4708856627753</v>
      </c>
      <c r="C6" s="41">
        <v>0</v>
      </c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</row>
    <row r="7" spans="1:19" customFormat="1" ht="15" customHeight="1" x14ac:dyDescent="0.25">
      <c r="A7" s="39">
        <v>0.79800000000000004</v>
      </c>
      <c r="B7" s="40">
        <v>2163.4708856627753</v>
      </c>
      <c r="C7" s="41">
        <v>0</v>
      </c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</row>
    <row r="8" spans="1:19" customFormat="1" x14ac:dyDescent="0.25">
      <c r="A8" s="39">
        <v>0.79900000000000004</v>
      </c>
      <c r="B8" s="40">
        <v>2163.4708856627753</v>
      </c>
      <c r="C8" s="41">
        <v>0</v>
      </c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</row>
    <row r="9" spans="1:19" customFormat="1" x14ac:dyDescent="0.25">
      <c r="A9" s="19">
        <v>0.8</v>
      </c>
      <c r="B9" s="20">
        <v>2163.4708856627753</v>
      </c>
      <c r="C9" s="21">
        <v>0</v>
      </c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</row>
    <row r="10" spans="1:19" customFormat="1" x14ac:dyDescent="0.25">
      <c r="A10" s="22">
        <v>0.80100000000000005</v>
      </c>
      <c r="B10" s="23">
        <v>2166.1752242698544</v>
      </c>
      <c r="C10" s="24">
        <v>1.2500000000001954E-3</v>
      </c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</row>
    <row r="11" spans="1:19" customFormat="1" x14ac:dyDescent="0.25">
      <c r="A11" s="22">
        <v>0.80200000000000005</v>
      </c>
      <c r="B11" s="23">
        <v>2168.8795628769326</v>
      </c>
      <c r="C11" s="24">
        <v>1.2484394506864227E-3</v>
      </c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</row>
    <row r="12" spans="1:19" customFormat="1" x14ac:dyDescent="0.25">
      <c r="A12" s="22">
        <v>0.80300000000000005</v>
      </c>
      <c r="B12" s="23">
        <v>2171.5839014840112</v>
      </c>
      <c r="C12" s="24">
        <v>1.2468827930174342E-3</v>
      </c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</row>
    <row r="13" spans="1:19" customFormat="1" x14ac:dyDescent="0.25">
      <c r="A13" s="22">
        <v>0.80400000000000005</v>
      </c>
      <c r="B13" s="23">
        <v>2174.2882400910898</v>
      </c>
      <c r="C13" s="24">
        <v>1.2453300124533051E-3</v>
      </c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</row>
    <row r="14" spans="1:19" customFormat="1" x14ac:dyDescent="0.25">
      <c r="A14" s="22">
        <v>0.80500000000000005</v>
      </c>
      <c r="B14" s="23">
        <v>2176.992578698168</v>
      </c>
      <c r="C14" s="24">
        <v>1.2437810945271632E-3</v>
      </c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</row>
    <row r="15" spans="1:19" customFormat="1" x14ac:dyDescent="0.25">
      <c r="A15" s="22">
        <v>0.80600000000000005</v>
      </c>
      <c r="B15" s="23">
        <v>2179.6969173052466</v>
      </c>
      <c r="C15" s="24">
        <v>1.242236024844745E-3</v>
      </c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</row>
    <row r="16" spans="1:19" customFormat="1" x14ac:dyDescent="0.25">
      <c r="A16" s="22">
        <v>0.80700000000000005</v>
      </c>
      <c r="B16" s="23">
        <v>2182.4012559123253</v>
      </c>
      <c r="C16" s="24">
        <v>1.2406947890819531E-3</v>
      </c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</row>
    <row r="17" spans="1:19" customFormat="1" x14ac:dyDescent="0.25">
      <c r="A17" s="22">
        <v>0.80800000000000005</v>
      </c>
      <c r="B17" s="23">
        <v>2185.1055945194039</v>
      </c>
      <c r="C17" s="24">
        <v>1.2391573729864103E-3</v>
      </c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</row>
    <row r="18" spans="1:19" customFormat="1" x14ac:dyDescent="0.25">
      <c r="A18" s="22">
        <v>0.80900000000000005</v>
      </c>
      <c r="B18" s="23">
        <v>2187.8099331264821</v>
      </c>
      <c r="C18" s="24">
        <v>1.2376237623761277E-3</v>
      </c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</row>
    <row r="19" spans="1:19" customFormat="1" x14ac:dyDescent="0.25">
      <c r="A19" s="22">
        <v>0.81</v>
      </c>
      <c r="B19" s="23">
        <v>2190.5142717335607</v>
      </c>
      <c r="C19" s="24">
        <v>1.2360939431397266E-3</v>
      </c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</row>
    <row r="20" spans="1:19" customFormat="1" x14ac:dyDescent="0.25">
      <c r="A20" s="22">
        <v>0.81100000000000005</v>
      </c>
      <c r="B20" s="23">
        <v>2193.2186103406389</v>
      </c>
      <c r="C20" s="24">
        <v>1.2345679012344402E-3</v>
      </c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</row>
    <row r="21" spans="1:19" customFormat="1" x14ac:dyDescent="0.25">
      <c r="A21" s="22">
        <v>0.81200000000000006</v>
      </c>
      <c r="B21" s="23">
        <v>2195.9229489477175</v>
      </c>
      <c r="C21" s="24">
        <v>1.2330456226881115E-3</v>
      </c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</row>
    <row r="22" spans="1:19" customFormat="1" x14ac:dyDescent="0.25">
      <c r="A22" s="22">
        <v>0.81299999999999994</v>
      </c>
      <c r="B22" s="23">
        <v>2198.6272875547957</v>
      </c>
      <c r="C22" s="24">
        <v>1.2315270935958633E-3</v>
      </c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</row>
    <row r="23" spans="1:19" customFormat="1" x14ac:dyDescent="0.25">
      <c r="A23" s="22">
        <v>0.81399999999999995</v>
      </c>
      <c r="B23" s="23">
        <v>2201.3316261618738</v>
      </c>
      <c r="C23" s="24">
        <v>1.2300123001227625E-3</v>
      </c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</row>
    <row r="24" spans="1:19" customFormat="1" x14ac:dyDescent="0.25">
      <c r="A24" s="22">
        <v>0.81499999999999995</v>
      </c>
      <c r="B24" s="23">
        <v>2204.0359647689525</v>
      </c>
      <c r="C24" s="24">
        <v>1.2285012285013774E-3</v>
      </c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</row>
    <row r="25" spans="1:19" customFormat="1" x14ac:dyDescent="0.25">
      <c r="A25" s="22">
        <v>0.81599999999999995</v>
      </c>
      <c r="B25" s="23">
        <v>2206.7403033760311</v>
      </c>
      <c r="C25" s="24">
        <v>1.2269938650306678E-3</v>
      </c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</row>
    <row r="26" spans="1:19" customFormat="1" x14ac:dyDescent="0.25">
      <c r="A26" s="22">
        <v>0.81699999999999995</v>
      </c>
      <c r="B26" s="23">
        <v>2209.4446419831097</v>
      </c>
      <c r="C26" s="24">
        <v>1.225490196078427E-3</v>
      </c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</row>
    <row r="27" spans="1:19" customFormat="1" x14ac:dyDescent="0.25">
      <c r="A27" s="22">
        <v>0.81799999999999995</v>
      </c>
      <c r="B27" s="23">
        <v>2212.1489805901874</v>
      </c>
      <c r="C27" s="24">
        <v>1.2239902080779519E-3</v>
      </c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</row>
    <row r="28" spans="1:19" customFormat="1" x14ac:dyDescent="0.25">
      <c r="A28" s="22">
        <v>0.81899999999999995</v>
      </c>
      <c r="B28" s="23">
        <v>2214.853319197266</v>
      </c>
      <c r="C28" s="24">
        <v>1.2224938875307068E-3</v>
      </c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</row>
    <row r="29" spans="1:19" customFormat="1" x14ac:dyDescent="0.25">
      <c r="A29" s="22">
        <v>0.82</v>
      </c>
      <c r="B29" s="23">
        <v>2217.5576578043447</v>
      </c>
      <c r="C29" s="24">
        <v>1.2210012210012167E-3</v>
      </c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</row>
    <row r="30" spans="1:19" customFormat="1" x14ac:dyDescent="0.25">
      <c r="A30" s="22">
        <v>0.82099999999999995</v>
      </c>
      <c r="B30" s="23">
        <v>2220.2619964114233</v>
      </c>
      <c r="C30" s="24">
        <v>1.2195121951219523E-3</v>
      </c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</row>
    <row r="31" spans="1:19" customFormat="1" x14ac:dyDescent="0.25">
      <c r="A31" s="22">
        <v>0.82199999999999995</v>
      </c>
      <c r="B31" s="23">
        <v>2222.9663350185015</v>
      </c>
      <c r="C31" s="24">
        <v>1.2180267965893332E-3</v>
      </c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</row>
    <row r="32" spans="1:19" customFormat="1" x14ac:dyDescent="0.25">
      <c r="A32" s="22">
        <v>0.82299999999999995</v>
      </c>
      <c r="B32" s="23">
        <v>2225.6706736255805</v>
      </c>
      <c r="C32" s="24">
        <v>1.2165450121657262E-3</v>
      </c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</row>
    <row r="33" spans="1:19" customFormat="1" x14ac:dyDescent="0.25">
      <c r="A33" s="22">
        <v>0.82399999999999995</v>
      </c>
      <c r="B33" s="23">
        <v>2228.3750122326583</v>
      </c>
      <c r="C33" s="24">
        <v>1.2150668286752264E-3</v>
      </c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</row>
    <row r="34" spans="1:19" customFormat="1" x14ac:dyDescent="0.25">
      <c r="A34" s="22">
        <v>0.82499999999999996</v>
      </c>
      <c r="B34" s="23">
        <v>2231.0793508397369</v>
      </c>
      <c r="C34" s="24">
        <v>1.2135922330098747E-3</v>
      </c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</row>
    <row r="35" spans="1:19" customFormat="1" x14ac:dyDescent="0.25">
      <c r="A35" s="22">
        <v>0.82599999999999996</v>
      </c>
      <c r="B35" s="23">
        <v>2233.7836894468155</v>
      </c>
      <c r="C35" s="24">
        <v>1.2121212121212199E-3</v>
      </c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</row>
    <row r="36" spans="1:19" customFormat="1" x14ac:dyDescent="0.25">
      <c r="A36" s="22">
        <v>0.82699999999999996</v>
      </c>
      <c r="B36" s="23">
        <v>2236.4880280538941</v>
      </c>
      <c r="C36" s="24">
        <v>1.210653753026758E-3</v>
      </c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</row>
    <row r="37" spans="1:19" customFormat="1" x14ac:dyDescent="0.25">
      <c r="A37" s="22">
        <v>0.82799999999999996</v>
      </c>
      <c r="B37" s="23">
        <v>2239.1923666609723</v>
      </c>
      <c r="C37" s="24">
        <v>1.2091898428052694E-3</v>
      </c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</row>
    <row r="38" spans="1:19" customFormat="1" x14ac:dyDescent="0.25">
      <c r="A38" s="22">
        <v>0.82899999999999996</v>
      </c>
      <c r="B38" s="23">
        <v>2241.8967052680509</v>
      </c>
      <c r="C38" s="24">
        <v>1.2077294685990392E-3</v>
      </c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</row>
    <row r="39" spans="1:19" customFormat="1" x14ac:dyDescent="0.25">
      <c r="A39" s="22">
        <v>0.83</v>
      </c>
      <c r="B39" s="23">
        <v>2244.6010438751296</v>
      </c>
      <c r="C39" s="24">
        <v>1.2062726176116367E-3</v>
      </c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</row>
    <row r="40" spans="1:19" customFormat="1" x14ac:dyDescent="0.25">
      <c r="A40" s="22">
        <v>0.83099999999999996</v>
      </c>
      <c r="B40" s="23">
        <v>2247.3053824822077</v>
      </c>
      <c r="C40" s="24">
        <v>1.2048192771083599E-3</v>
      </c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</row>
    <row r="41" spans="1:19" customFormat="1" x14ac:dyDescent="0.25">
      <c r="A41" s="22">
        <v>0.83199999999999996</v>
      </c>
      <c r="B41" s="23">
        <v>2250.0097210892864</v>
      </c>
      <c r="C41" s="24">
        <v>1.2033694344164569E-3</v>
      </c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</row>
    <row r="42" spans="1:19" customFormat="1" x14ac:dyDescent="0.25">
      <c r="A42" s="22">
        <v>0.83299999999999996</v>
      </c>
      <c r="B42" s="23">
        <v>2252.7140596963641</v>
      </c>
      <c r="C42" s="24">
        <v>1.2019230769226841E-3</v>
      </c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</row>
    <row r="43" spans="1:19" customFormat="1" x14ac:dyDescent="0.25">
      <c r="A43" s="22">
        <v>0.83399999999999996</v>
      </c>
      <c r="B43" s="23">
        <v>2255.4183983034432</v>
      </c>
      <c r="C43" s="24">
        <v>1.2004801920770802E-3</v>
      </c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</row>
    <row r="44" spans="1:19" customFormat="1" x14ac:dyDescent="0.25">
      <c r="A44" s="22">
        <v>0.83499999999999996</v>
      </c>
      <c r="B44" s="23">
        <v>2258.1227369105213</v>
      </c>
      <c r="C44" s="24">
        <v>1.1990407673858616E-3</v>
      </c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</row>
    <row r="45" spans="1:19" customFormat="1" x14ac:dyDescent="0.25">
      <c r="A45" s="22">
        <v>0.83599999999999997</v>
      </c>
      <c r="B45" s="23">
        <v>2260.8270755176</v>
      </c>
      <c r="C45" s="24">
        <v>1.1976047904191933E-3</v>
      </c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</row>
    <row r="46" spans="1:19" customFormat="1" x14ac:dyDescent="0.25">
      <c r="A46" s="22">
        <v>0.83699999999999997</v>
      </c>
      <c r="B46" s="23">
        <v>2263.5314141246781</v>
      </c>
      <c r="C46" s="24">
        <v>1.1961722488036397E-3</v>
      </c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</row>
    <row r="47" spans="1:19" customFormat="1" x14ac:dyDescent="0.25">
      <c r="A47" s="22">
        <v>0.83799999999999997</v>
      </c>
      <c r="B47" s="23">
        <v>2266.2357527317572</v>
      </c>
      <c r="C47" s="24">
        <v>1.1947431302272715E-3</v>
      </c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</row>
    <row r="48" spans="1:19" customFormat="1" x14ac:dyDescent="0.25">
      <c r="A48" s="22">
        <v>0.83899999999999997</v>
      </c>
      <c r="B48" s="23">
        <v>2268.9400913388358</v>
      </c>
      <c r="C48" s="24">
        <v>1.1933174224343368E-3</v>
      </c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</row>
    <row r="49" spans="1:19" customFormat="1" x14ac:dyDescent="0.25">
      <c r="A49" s="22">
        <v>0.84</v>
      </c>
      <c r="B49" s="23">
        <v>2271.644429945914</v>
      </c>
      <c r="C49" s="24">
        <v>1.1918951132299238E-3</v>
      </c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</row>
    <row r="50" spans="1:19" customFormat="1" x14ac:dyDescent="0.25">
      <c r="A50" s="22">
        <v>0.84099999999999997</v>
      </c>
      <c r="B50" s="23">
        <v>2274.3487685529931</v>
      </c>
      <c r="C50" s="24">
        <v>1.1904761904764083E-3</v>
      </c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</row>
    <row r="51" spans="1:19" customFormat="1" x14ac:dyDescent="0.25">
      <c r="A51" s="22">
        <v>0.84199999999999997</v>
      </c>
      <c r="B51" s="23">
        <v>2277.0531071600712</v>
      </c>
      <c r="C51" s="24">
        <v>1.1890606420925653E-3</v>
      </c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</row>
    <row r="52" spans="1:19" customFormat="1" x14ac:dyDescent="0.25">
      <c r="A52" s="22">
        <v>0.84299999999999997</v>
      </c>
      <c r="B52" s="23">
        <v>2279.7574457671494</v>
      </c>
      <c r="C52" s="24">
        <v>1.1876484560569001E-3</v>
      </c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</row>
    <row r="53" spans="1:19" customFormat="1" x14ac:dyDescent="0.25">
      <c r="A53" s="22">
        <v>0.84399999999999997</v>
      </c>
      <c r="B53" s="23">
        <v>2282.4617843742276</v>
      </c>
      <c r="C53" s="24">
        <v>1.1862396204032066E-3</v>
      </c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</row>
    <row r="54" spans="1:19" customFormat="1" x14ac:dyDescent="0.25">
      <c r="A54" s="22">
        <v>0.84499999999999997</v>
      </c>
      <c r="B54" s="23">
        <v>2285.1661229813067</v>
      </c>
      <c r="C54" s="24">
        <v>1.1848341232230108E-3</v>
      </c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</row>
    <row r="55" spans="1:19" customFormat="1" x14ac:dyDescent="0.25">
      <c r="A55" s="22">
        <v>0.84599999999999997</v>
      </c>
      <c r="B55" s="23">
        <v>2287.8704615883848</v>
      </c>
      <c r="C55" s="24">
        <v>1.1834319526626835E-3</v>
      </c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</row>
    <row r="56" spans="1:19" customFormat="1" x14ac:dyDescent="0.25">
      <c r="A56" s="22">
        <v>0.84699999999999998</v>
      </c>
      <c r="B56" s="23">
        <v>2290.5748001954635</v>
      </c>
      <c r="C56" s="24">
        <v>1.1820330969267712E-3</v>
      </c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</row>
    <row r="57" spans="1:19" customFormat="1" x14ac:dyDescent="0.25">
      <c r="A57" s="22">
        <v>0.84799999999999998</v>
      </c>
      <c r="B57" s="23">
        <v>2293.2791388025416</v>
      </c>
      <c r="C57" s="24">
        <v>1.1806375442737771E-3</v>
      </c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</row>
    <row r="58" spans="1:19" customFormat="1" x14ac:dyDescent="0.25">
      <c r="A58" s="22">
        <v>0.84899999999999998</v>
      </c>
      <c r="B58" s="23">
        <v>2295.9834774096207</v>
      </c>
      <c r="C58" s="24">
        <v>1.1792452830190481E-3</v>
      </c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</row>
    <row r="59" spans="1:19" customFormat="1" x14ac:dyDescent="0.25">
      <c r="A59" s="22">
        <v>0.85</v>
      </c>
      <c r="B59" s="23">
        <v>2298.6878160166989</v>
      </c>
      <c r="C59" s="24">
        <v>1.1778563015309995E-3</v>
      </c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</row>
    <row r="60" spans="1:19" customFormat="1" x14ac:dyDescent="0.25">
      <c r="A60" s="22">
        <v>0.85099999999999998</v>
      </c>
      <c r="B60" s="23">
        <v>2301.3921546237775</v>
      </c>
      <c r="C60" s="24">
        <v>1.1764705882353343E-3</v>
      </c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</row>
    <row r="61" spans="1:19" customFormat="1" x14ac:dyDescent="0.25">
      <c r="A61" s="22">
        <v>0.85199999999999998</v>
      </c>
      <c r="B61" s="23">
        <v>2304.0964932308557</v>
      </c>
      <c r="C61" s="24">
        <v>1.1750881316097139E-3</v>
      </c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</row>
    <row r="62" spans="1:19" customFormat="1" x14ac:dyDescent="0.25">
      <c r="A62" s="22">
        <v>0.85299999999999998</v>
      </c>
      <c r="B62" s="23">
        <v>2306.8008318379348</v>
      </c>
      <c r="C62" s="24">
        <v>1.1737089201879769E-3</v>
      </c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</row>
    <row r="63" spans="1:19" customFormat="1" x14ac:dyDescent="0.25">
      <c r="A63" s="22">
        <v>0.85399999999999998</v>
      </c>
      <c r="B63" s="23">
        <v>2309.5051704450134</v>
      </c>
      <c r="C63" s="24">
        <v>1.1723329425556983E-3</v>
      </c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</row>
    <row r="64" spans="1:19" customFormat="1" x14ac:dyDescent="0.25">
      <c r="A64" s="22">
        <v>0.85499999999999998</v>
      </c>
      <c r="B64" s="23">
        <v>2312.2095090520911</v>
      </c>
      <c r="C64" s="24">
        <v>1.1709601873532982E-3</v>
      </c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</row>
    <row r="65" spans="1:19" customFormat="1" x14ac:dyDescent="0.25">
      <c r="A65" s="22">
        <v>0.85599999999999998</v>
      </c>
      <c r="B65" s="23">
        <v>2314.9138476591697</v>
      </c>
      <c r="C65" s="24">
        <v>1.1695906432749315E-3</v>
      </c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</row>
    <row r="66" spans="1:19" customFormat="1" x14ac:dyDescent="0.25">
      <c r="A66" s="22">
        <v>0.85699999999999998</v>
      </c>
      <c r="B66" s="23">
        <v>2317.6181862662488</v>
      </c>
      <c r="C66" s="24">
        <v>1.1682242990656011E-3</v>
      </c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</row>
    <row r="67" spans="1:19" customFormat="1" x14ac:dyDescent="0.25">
      <c r="A67" s="22">
        <v>0.85799999999999998</v>
      </c>
      <c r="B67" s="23">
        <v>2320.3225248733274</v>
      </c>
      <c r="C67" s="24">
        <v>1.166861143524045E-3</v>
      </c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</row>
    <row r="68" spans="1:19" customFormat="1" x14ac:dyDescent="0.25">
      <c r="A68" s="22">
        <v>0.85899999999999999</v>
      </c>
      <c r="B68" s="23">
        <v>2323.0268634804047</v>
      </c>
      <c r="C68" s="24">
        <v>1.1655011655007375E-3</v>
      </c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</row>
    <row r="69" spans="1:19" customFormat="1" x14ac:dyDescent="0.25">
      <c r="A69" s="22">
        <v>0.86</v>
      </c>
      <c r="B69" s="23">
        <v>2325.7312020874838</v>
      </c>
      <c r="C69" s="24">
        <v>1.1641443539001095E-3</v>
      </c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</row>
    <row r="70" spans="1:19" customFormat="1" x14ac:dyDescent="0.25">
      <c r="A70" s="22">
        <v>0.86099999999999999</v>
      </c>
      <c r="B70" s="23">
        <v>2328.435540694562</v>
      </c>
      <c r="C70" s="24">
        <v>1.1627906976743319E-3</v>
      </c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</row>
    <row r="71" spans="1:19" customFormat="1" x14ac:dyDescent="0.25">
      <c r="A71" s="22">
        <v>0.86199999999999999</v>
      </c>
      <c r="B71" s="23">
        <v>2331.1398793016406</v>
      </c>
      <c r="C71" s="24">
        <v>1.1614401858304202E-3</v>
      </c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</row>
    <row r="72" spans="1:19" customFormat="1" x14ac:dyDescent="0.25">
      <c r="A72" s="22">
        <v>0.86299999999999999</v>
      </c>
      <c r="B72" s="23">
        <v>2333.8442179087187</v>
      </c>
      <c r="C72" s="24">
        <v>1.1600928074244621E-3</v>
      </c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</row>
    <row r="73" spans="1:19" customFormat="1" x14ac:dyDescent="0.25">
      <c r="A73" s="22">
        <v>0.86399999999999999</v>
      </c>
      <c r="B73" s="23">
        <v>2336.5485565157978</v>
      </c>
      <c r="C73" s="24">
        <v>1.1587485515645035E-3</v>
      </c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</row>
    <row r="74" spans="1:19" customFormat="1" x14ac:dyDescent="0.25">
      <c r="A74" s="22">
        <v>0.86499999999999999</v>
      </c>
      <c r="B74" s="23">
        <v>2339.252895122876</v>
      </c>
      <c r="C74" s="24">
        <v>1.1574074074072183E-3</v>
      </c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</row>
    <row r="75" spans="1:19" customFormat="1" x14ac:dyDescent="0.25">
      <c r="A75" s="22">
        <v>0.86599999999999999</v>
      </c>
      <c r="B75" s="23">
        <v>2341.9572337299542</v>
      </c>
      <c r="C75" s="24">
        <v>1.1560693641616826E-3</v>
      </c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</row>
    <row r="76" spans="1:19" customFormat="1" x14ac:dyDescent="0.25">
      <c r="A76" s="22">
        <v>0.86699999999999999</v>
      </c>
      <c r="B76" s="23">
        <v>2344.6615723370337</v>
      </c>
      <c r="C76" s="24">
        <v>1.1547344110858226E-3</v>
      </c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</row>
    <row r="77" spans="1:19" customFormat="1" x14ac:dyDescent="0.25">
      <c r="A77" s="22">
        <v>0.86799999999999999</v>
      </c>
      <c r="B77" s="23">
        <v>2347.3659109441114</v>
      </c>
      <c r="C77" s="24">
        <v>1.1534025374853041E-3</v>
      </c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</row>
    <row r="78" spans="1:19" customFormat="1" x14ac:dyDescent="0.25">
      <c r="A78" s="22">
        <v>0.86899999999999999</v>
      </c>
      <c r="B78" s="23">
        <v>2350.0702495511905</v>
      </c>
      <c r="C78" s="24">
        <v>1.1520737327190833E-3</v>
      </c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</row>
    <row r="79" spans="1:19" customFormat="1" x14ac:dyDescent="0.25">
      <c r="A79" s="22">
        <v>0.87</v>
      </c>
      <c r="B79" s="23">
        <v>2352.7745881582687</v>
      </c>
      <c r="C79" s="24">
        <v>1.1507479861909697E-3</v>
      </c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</row>
    <row r="80" spans="1:19" customFormat="1" x14ac:dyDescent="0.25">
      <c r="A80" s="22">
        <v>0.871</v>
      </c>
      <c r="B80" s="23">
        <v>2355.4789267653478</v>
      </c>
      <c r="C80" s="24">
        <v>1.1494252873565092E-3</v>
      </c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</row>
    <row r="81" spans="1:19" customFormat="1" x14ac:dyDescent="0.25">
      <c r="A81" s="22">
        <v>0.872</v>
      </c>
      <c r="B81" s="23">
        <v>2358.1832653724264</v>
      </c>
      <c r="C81" s="24">
        <v>1.1481056257176547E-3</v>
      </c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</row>
    <row r="82" spans="1:19" customFormat="1" x14ac:dyDescent="0.25">
      <c r="A82" s="22">
        <v>0.873</v>
      </c>
      <c r="B82" s="23">
        <v>2360.8876039795055</v>
      </c>
      <c r="C82" s="24">
        <v>1.1467889908258755E-3</v>
      </c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</row>
    <row r="83" spans="1:19" customFormat="1" x14ac:dyDescent="0.25">
      <c r="A83" s="22">
        <v>0.874</v>
      </c>
      <c r="B83" s="23">
        <v>2363.5919425865832</v>
      </c>
      <c r="C83" s="24">
        <v>1.1454753722792699E-3</v>
      </c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</row>
    <row r="84" spans="1:19" customFormat="1" x14ac:dyDescent="0.25">
      <c r="A84" s="22">
        <v>0.875</v>
      </c>
      <c r="B84" s="23">
        <v>2366.2962811936618</v>
      </c>
      <c r="C84" s="24">
        <v>1.1441647597254523E-3</v>
      </c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</row>
    <row r="85" spans="1:19" customFormat="1" x14ac:dyDescent="0.25">
      <c r="A85" s="22">
        <v>0.876</v>
      </c>
      <c r="B85" s="23">
        <v>2369.0006198007404</v>
      </c>
      <c r="C85" s="24">
        <v>1.1428571428571122E-3</v>
      </c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</row>
    <row r="86" spans="1:19" customFormat="1" x14ac:dyDescent="0.25">
      <c r="A86" s="22">
        <v>0.877</v>
      </c>
      <c r="B86" s="23">
        <v>2371.704958407819</v>
      </c>
      <c r="C86" s="24">
        <v>1.1415525114155667E-3</v>
      </c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</row>
    <row r="87" spans="1:19" customFormat="1" x14ac:dyDescent="0.25">
      <c r="A87" s="22">
        <v>0.878</v>
      </c>
      <c r="B87" s="23">
        <v>2374.4092970148981</v>
      </c>
      <c r="C87" s="24">
        <v>1.1402508551883184E-3</v>
      </c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</row>
    <row r="88" spans="1:19" customFormat="1" x14ac:dyDescent="0.25">
      <c r="A88" s="22">
        <v>0.879</v>
      </c>
      <c r="B88" s="23">
        <v>2377.1136356219772</v>
      </c>
      <c r="C88" s="24">
        <v>1.138952164009277E-3</v>
      </c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</row>
    <row r="89" spans="1:19" customFormat="1" x14ac:dyDescent="0.25">
      <c r="A89" s="22">
        <v>0.88</v>
      </c>
      <c r="B89" s="23">
        <v>2379.8179742290554</v>
      </c>
      <c r="C89" s="24">
        <v>1.1376564277587597E-3</v>
      </c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</row>
    <row r="90" spans="1:19" customFormat="1" x14ac:dyDescent="0.25">
      <c r="A90" s="22">
        <v>0.88100000000000001</v>
      </c>
      <c r="B90" s="23">
        <v>2382.5223128361336</v>
      </c>
      <c r="C90" s="24">
        <v>1.136363636363491E-3</v>
      </c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</row>
    <row r="91" spans="1:19" customFormat="1" x14ac:dyDescent="0.25">
      <c r="A91" s="22">
        <v>0.88200000000000001</v>
      </c>
      <c r="B91" s="23">
        <v>2385.2266514432122</v>
      </c>
      <c r="C91" s="24">
        <v>1.1350737797957144E-3</v>
      </c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</row>
    <row r="92" spans="1:19" customFormat="1" x14ac:dyDescent="0.25">
      <c r="A92" s="22">
        <v>0.88300000000000001</v>
      </c>
      <c r="B92" s="23">
        <v>2387.9309900502913</v>
      </c>
      <c r="C92" s="24">
        <v>1.1337868480727487E-3</v>
      </c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</row>
    <row r="93" spans="1:19" customFormat="1" x14ac:dyDescent="0.25">
      <c r="A93" s="22">
        <v>0.88400000000000001</v>
      </c>
      <c r="B93" s="23">
        <v>2390.6353286573694</v>
      </c>
      <c r="C93" s="24">
        <v>1.1325028312569874E-3</v>
      </c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</row>
    <row r="94" spans="1:19" customFormat="1" x14ac:dyDescent="0.25">
      <c r="A94" s="22">
        <v>0.88500000000000001</v>
      </c>
      <c r="B94" s="23">
        <v>2393.3396672644471</v>
      </c>
      <c r="C94" s="24">
        <v>1.1312217194567875E-3</v>
      </c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</row>
    <row r="95" spans="1:19" customFormat="1" x14ac:dyDescent="0.25">
      <c r="A95" s="22">
        <v>0.88600000000000001</v>
      </c>
      <c r="B95" s="23">
        <v>2396.0440058715262</v>
      </c>
      <c r="C95" s="24">
        <v>1.129943502825137E-3</v>
      </c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</row>
    <row r="96" spans="1:19" customFormat="1" x14ac:dyDescent="0.25">
      <c r="A96" s="22">
        <v>0.88700000000000001</v>
      </c>
      <c r="B96" s="23">
        <v>2398.7483444786044</v>
      </c>
      <c r="C96" s="24">
        <v>1.1286681715574343E-3</v>
      </c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</row>
    <row r="97" spans="1:19" customFormat="1" x14ac:dyDescent="0.25">
      <c r="A97" s="22">
        <v>0.88800000000000001</v>
      </c>
      <c r="B97" s="23">
        <v>2401.452683085683</v>
      </c>
      <c r="C97" s="24">
        <v>1.1273957158963732E-3</v>
      </c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</row>
    <row r="98" spans="1:19" customFormat="1" x14ac:dyDescent="0.25">
      <c r="A98" s="22">
        <v>0.88900000000000001</v>
      </c>
      <c r="B98" s="23">
        <v>2404.1570216927616</v>
      </c>
      <c r="C98" s="24">
        <v>1.1261261261261701E-3</v>
      </c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</row>
    <row r="99" spans="1:19" customFormat="1" x14ac:dyDescent="0.25">
      <c r="A99" s="22">
        <v>0.89</v>
      </c>
      <c r="B99" s="23">
        <v>2406.8613602998398</v>
      </c>
      <c r="C99" s="24">
        <v>1.1248593925758943E-3</v>
      </c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</row>
    <row r="100" spans="1:19" customFormat="1" x14ac:dyDescent="0.25">
      <c r="A100" s="22">
        <v>0.89100000000000001</v>
      </c>
      <c r="B100" s="23">
        <v>2409.5656989069184</v>
      </c>
      <c r="C100" s="24">
        <v>1.1235955056181357E-3</v>
      </c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</row>
    <row r="101" spans="1:19" customFormat="1" x14ac:dyDescent="0.25">
      <c r="A101" s="22">
        <v>0.89200000000000002</v>
      </c>
      <c r="B101" s="23">
        <v>2412.2700375139966</v>
      </c>
      <c r="C101" s="24">
        <v>1.1223344556676729E-3</v>
      </c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</row>
    <row r="102" spans="1:19" customFormat="1" x14ac:dyDescent="0.25">
      <c r="A102" s="22">
        <v>0.89300000000000002</v>
      </c>
      <c r="B102" s="23">
        <v>2414.9743761210752</v>
      </c>
      <c r="C102" s="24">
        <v>1.1210762331839152E-3</v>
      </c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</row>
    <row r="103" spans="1:19" customFormat="1" x14ac:dyDescent="0.25">
      <c r="A103" s="22">
        <v>0.89400000000000002</v>
      </c>
      <c r="B103" s="23">
        <v>2417.6787147281534</v>
      </c>
      <c r="C103" s="24">
        <v>1.1198208286673506E-3</v>
      </c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</row>
    <row r="104" spans="1:19" customFormat="1" x14ac:dyDescent="0.25">
      <c r="A104" s="22">
        <v>0.89500000000000002</v>
      </c>
      <c r="B104" s="23">
        <v>2420.383053335232</v>
      </c>
      <c r="C104" s="24">
        <v>1.1185682326622093E-3</v>
      </c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</row>
    <row r="105" spans="1:19" customFormat="1" x14ac:dyDescent="0.25">
      <c r="A105" s="22">
        <v>0.89600000000000002</v>
      </c>
      <c r="B105" s="23">
        <v>2423.0873919423102</v>
      </c>
      <c r="C105" s="24">
        <v>1.1173184357540222E-3</v>
      </c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</row>
    <row r="106" spans="1:19" customFormat="1" x14ac:dyDescent="0.25">
      <c r="A106" s="22">
        <v>0.89700000000000002</v>
      </c>
      <c r="B106" s="23">
        <v>2425.7917305493884</v>
      </c>
      <c r="C106" s="24">
        <v>1.1160714285713969E-3</v>
      </c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</row>
    <row r="107" spans="1:19" customFormat="1" x14ac:dyDescent="0.25">
      <c r="A107" s="22">
        <v>0.89800000000000002</v>
      </c>
      <c r="B107" s="23">
        <v>2428.496069156467</v>
      </c>
      <c r="C107" s="24">
        <v>1.1148272017837968E-3</v>
      </c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</row>
    <row r="108" spans="1:19" customFormat="1" x14ac:dyDescent="0.25">
      <c r="A108" s="22">
        <v>0.89900000000000002</v>
      </c>
      <c r="B108" s="23">
        <v>2431.2004077635456</v>
      </c>
      <c r="C108" s="24">
        <v>1.1135857461024301E-3</v>
      </c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</row>
    <row r="109" spans="1:19" customFormat="1" x14ac:dyDescent="0.25">
      <c r="A109" s="19">
        <v>0.9</v>
      </c>
      <c r="B109" s="20">
        <v>3650.8571195559348</v>
      </c>
      <c r="C109" s="21">
        <v>0.50166852057841993</v>
      </c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</row>
    <row r="110" spans="1:19" customFormat="1" x14ac:dyDescent="0.25">
      <c r="A110" s="22">
        <v>0.90100000000000002</v>
      </c>
      <c r="B110" s="23">
        <v>3654.913627466553</v>
      </c>
      <c r="C110" s="24">
        <v>1.1111111111112848E-3</v>
      </c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</row>
    <row r="111" spans="1:19" customFormat="1" x14ac:dyDescent="0.25">
      <c r="A111" s="22">
        <v>0.90200000000000002</v>
      </c>
      <c r="B111" s="23">
        <v>3658.9701353771707</v>
      </c>
      <c r="C111" s="24">
        <v>1.1098779134295356E-3</v>
      </c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</row>
    <row r="112" spans="1:19" customFormat="1" x14ac:dyDescent="0.25">
      <c r="A112" s="22">
        <v>0.90300000000000002</v>
      </c>
      <c r="B112" s="23">
        <v>3663.0266432877888</v>
      </c>
      <c r="C112" s="24">
        <v>1.1086474501109667E-3</v>
      </c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</row>
    <row r="113" spans="1:19" customFormat="1" x14ac:dyDescent="0.25">
      <c r="A113" s="22">
        <v>0.90400000000000003</v>
      </c>
      <c r="B113" s="23">
        <v>3667.0831511984074</v>
      </c>
      <c r="C113" s="24">
        <v>1.1074197120710672E-3</v>
      </c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</row>
    <row r="114" spans="1:19" customFormat="1" x14ac:dyDescent="0.25">
      <c r="A114" s="22">
        <v>0.90500000000000003</v>
      </c>
      <c r="B114" s="23">
        <v>3671.1396591090243</v>
      </c>
      <c r="C114" s="24">
        <v>1.1061946902652942E-3</v>
      </c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</row>
    <row r="115" spans="1:19" customFormat="1" x14ac:dyDescent="0.25">
      <c r="A115" s="22">
        <v>0.90600000000000003</v>
      </c>
      <c r="B115" s="23">
        <v>3675.1961670196411</v>
      </c>
      <c r="C115" s="24">
        <v>1.1049723756904051E-3</v>
      </c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</row>
    <row r="116" spans="1:19" customFormat="1" x14ac:dyDescent="0.25">
      <c r="A116" s="22">
        <v>0.90700000000000003</v>
      </c>
      <c r="B116" s="23">
        <v>3679.2526749302583</v>
      </c>
      <c r="C116" s="24">
        <v>1.1037527593817931E-3</v>
      </c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</row>
    <row r="117" spans="1:19" customFormat="1" x14ac:dyDescent="0.25">
      <c r="A117" s="22">
        <v>0.90800000000000003</v>
      </c>
      <c r="B117" s="23">
        <v>3683.309182840876</v>
      </c>
      <c r="C117" s="24">
        <v>1.1025358324145973E-3</v>
      </c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</row>
    <row r="118" spans="1:19" customFormat="1" x14ac:dyDescent="0.25">
      <c r="A118" s="22">
        <v>0.90900000000000003</v>
      </c>
      <c r="B118" s="23">
        <v>3687.3656907514928</v>
      </c>
      <c r="C118" s="24">
        <v>1.1013215859028147E-3</v>
      </c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</row>
    <row r="119" spans="1:19" customFormat="1" x14ac:dyDescent="0.25">
      <c r="A119" s="22">
        <v>0.91</v>
      </c>
      <c r="B119" s="23">
        <v>3691.4221986621114</v>
      </c>
      <c r="C119" s="24">
        <v>1.1001100110012985E-3</v>
      </c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</row>
    <row r="120" spans="1:19" customFormat="1" x14ac:dyDescent="0.25">
      <c r="A120" s="22">
        <v>0.91100000000000003</v>
      </c>
      <c r="B120" s="23">
        <v>3695.4787065727292</v>
      </c>
      <c r="C120" s="24">
        <v>1.098901098901095E-3</v>
      </c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</row>
    <row r="121" spans="1:19" customFormat="1" x14ac:dyDescent="0.25">
      <c r="A121" s="22">
        <v>0.91200000000000003</v>
      </c>
      <c r="B121" s="23">
        <v>3699.5352144833478</v>
      </c>
      <c r="C121" s="24">
        <v>1.097694840834551E-3</v>
      </c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</row>
    <row r="122" spans="1:19" customFormat="1" x14ac:dyDescent="0.25">
      <c r="A122" s="22">
        <v>0.91300000000000003</v>
      </c>
      <c r="B122" s="23">
        <v>3703.5917223939655</v>
      </c>
      <c r="C122" s="24">
        <v>1.0964912280702066E-3</v>
      </c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</row>
    <row r="123" spans="1:19" customFormat="1" x14ac:dyDescent="0.25">
      <c r="A123" s="22">
        <v>0.91400000000000003</v>
      </c>
      <c r="B123" s="23">
        <v>3707.6482303045832</v>
      </c>
      <c r="C123" s="24">
        <v>1.0952902519167917E-3</v>
      </c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</row>
    <row r="124" spans="1:19" customFormat="1" x14ac:dyDescent="0.25">
      <c r="A124" s="22">
        <v>0.91500000000000004</v>
      </c>
      <c r="B124" s="23">
        <v>3711.7047382152009</v>
      </c>
      <c r="C124" s="24">
        <v>1.094091903719896E-3</v>
      </c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</row>
    <row r="125" spans="1:19" customFormat="1" x14ac:dyDescent="0.25">
      <c r="A125" s="22">
        <v>0.91600000000000004</v>
      </c>
      <c r="B125" s="23">
        <v>3715.7612461258191</v>
      </c>
      <c r="C125" s="24">
        <v>1.0928961748635224E-3</v>
      </c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</row>
    <row r="126" spans="1:19" customFormat="1" x14ac:dyDescent="0.25">
      <c r="A126" s="22">
        <v>0.91700000000000004</v>
      </c>
      <c r="B126" s="23">
        <v>3719.8177540364368</v>
      </c>
      <c r="C126" s="24">
        <v>1.0917030567685337E-3</v>
      </c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</row>
    <row r="127" spans="1:19" customFormat="1" x14ac:dyDescent="0.25">
      <c r="A127" s="22">
        <v>0.91800000000000004</v>
      </c>
      <c r="B127" s="23">
        <v>3723.8742619470536</v>
      </c>
      <c r="C127" s="24">
        <v>1.0905125408939842E-3</v>
      </c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</row>
    <row r="128" spans="1:19" customFormat="1" x14ac:dyDescent="0.25">
      <c r="A128" s="22">
        <v>0.91900000000000004</v>
      </c>
      <c r="B128" s="23">
        <v>3727.9307698576708</v>
      </c>
      <c r="C128" s="24">
        <v>1.0893246187362315E-3</v>
      </c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</row>
    <row r="129" spans="1:19" customFormat="1" x14ac:dyDescent="0.25">
      <c r="A129" s="22">
        <v>0.92</v>
      </c>
      <c r="B129" s="23">
        <v>3731.9872777682895</v>
      </c>
      <c r="C129" s="24">
        <v>1.0881392818282709E-3</v>
      </c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</row>
    <row r="130" spans="1:19" customFormat="1" x14ac:dyDescent="0.25">
      <c r="A130" s="22">
        <v>0.92100000000000004</v>
      </c>
      <c r="B130" s="23">
        <v>3736.0437856789067</v>
      </c>
      <c r="C130" s="24">
        <v>1.0869565217390686E-3</v>
      </c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</row>
    <row r="131" spans="1:19" customFormat="1" x14ac:dyDescent="0.25">
      <c r="A131" s="22">
        <v>0.92200000000000004</v>
      </c>
      <c r="B131" s="23">
        <v>3740.1002935895253</v>
      </c>
      <c r="C131" s="24">
        <v>1.0857763300762269E-3</v>
      </c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</row>
    <row r="132" spans="1:19" customFormat="1" x14ac:dyDescent="0.25">
      <c r="A132" s="22">
        <v>0.92300000000000004</v>
      </c>
      <c r="B132" s="23">
        <v>3744.1568015001421</v>
      </c>
      <c r="C132" s="24">
        <v>1.0845986984813205E-3</v>
      </c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</row>
    <row r="133" spans="1:19" customFormat="1" x14ac:dyDescent="0.25">
      <c r="A133" s="22">
        <v>0.92400000000000004</v>
      </c>
      <c r="B133" s="23">
        <v>3748.2133094107603</v>
      </c>
      <c r="C133" s="24">
        <v>1.0834236186350044E-3</v>
      </c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</row>
    <row r="134" spans="1:19" customFormat="1" x14ac:dyDescent="0.25">
      <c r="A134" s="22">
        <v>0.92500000000000004</v>
      </c>
      <c r="B134" s="23">
        <v>3752.2698173213785</v>
      </c>
      <c r="C134" s="24">
        <v>1.0822510822512399E-3</v>
      </c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</row>
    <row r="135" spans="1:19" customFormat="1" x14ac:dyDescent="0.25">
      <c r="A135" s="22">
        <v>0.92600000000000005</v>
      </c>
      <c r="B135" s="23">
        <v>3756.3263252319953</v>
      </c>
      <c r="C135" s="24">
        <v>1.081081081080848E-3</v>
      </c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</row>
    <row r="136" spans="1:19" customFormat="1" x14ac:dyDescent="0.25">
      <c r="A136" s="22">
        <v>0.92700000000000005</v>
      </c>
      <c r="B136" s="23">
        <v>3760.3828331426139</v>
      </c>
      <c r="C136" s="24">
        <v>1.079913606911731E-3</v>
      </c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</row>
    <row r="137" spans="1:19" customFormat="1" x14ac:dyDescent="0.25">
      <c r="A137" s="22">
        <v>0.92800000000000005</v>
      </c>
      <c r="B137" s="23">
        <v>3764.4393410532316</v>
      </c>
      <c r="C137" s="24">
        <v>1.0787486515642097E-3</v>
      </c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</row>
    <row r="138" spans="1:19" customFormat="1" x14ac:dyDescent="0.25">
      <c r="A138" s="22">
        <v>0.92900000000000005</v>
      </c>
      <c r="B138" s="23">
        <v>3768.4958489638502</v>
      </c>
      <c r="C138" s="24">
        <v>1.0775862068967967E-3</v>
      </c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</row>
    <row r="139" spans="1:19" customFormat="1" x14ac:dyDescent="0.25">
      <c r="A139" s="22">
        <v>0.93</v>
      </c>
      <c r="B139" s="23">
        <v>3772.552356874467</v>
      </c>
      <c r="C139" s="24">
        <v>1.0764262648006451E-3</v>
      </c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</row>
    <row r="140" spans="1:19" customFormat="1" x14ac:dyDescent="0.25">
      <c r="A140" s="22">
        <v>0.93100000000000005</v>
      </c>
      <c r="B140" s="23">
        <v>3776.6088647850843</v>
      </c>
      <c r="C140" s="24">
        <v>1.0752688172042113E-3</v>
      </c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</row>
    <row r="141" spans="1:19" customFormat="1" x14ac:dyDescent="0.25">
      <c r="A141" s="22">
        <v>0.93200000000000005</v>
      </c>
      <c r="B141" s="23">
        <v>3780.6653726957015</v>
      </c>
      <c r="C141" s="24">
        <v>1.0741138560685926E-3</v>
      </c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</row>
    <row r="142" spans="1:19" customFormat="1" x14ac:dyDescent="0.25">
      <c r="A142" s="22">
        <v>0.93300000000000005</v>
      </c>
      <c r="B142" s="23">
        <v>3784.7218806063197</v>
      </c>
      <c r="C142" s="24">
        <v>1.0729613733906351E-3</v>
      </c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</row>
    <row r="143" spans="1:19" customFormat="1" x14ac:dyDescent="0.25">
      <c r="A143" s="22">
        <v>0.93400000000000005</v>
      </c>
      <c r="B143" s="23">
        <v>3788.7783885169379</v>
      </c>
      <c r="C143" s="24">
        <v>1.071811361200492E-3</v>
      </c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</row>
    <row r="144" spans="1:19" customFormat="1" x14ac:dyDescent="0.25">
      <c r="A144" s="22">
        <v>0.93500000000000005</v>
      </c>
      <c r="B144" s="23">
        <v>3792.8348964275556</v>
      </c>
      <c r="C144" s="24">
        <v>1.0706638115631772E-3</v>
      </c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</row>
    <row r="145" spans="1:19" customFormat="1" x14ac:dyDescent="0.25">
      <c r="A145" s="22">
        <v>0.93600000000000005</v>
      </c>
      <c r="B145" s="23">
        <v>3796.8914043381728</v>
      </c>
      <c r="C145" s="24">
        <v>1.0695187165774556E-3</v>
      </c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</row>
    <row r="146" spans="1:19" customFormat="1" x14ac:dyDescent="0.25">
      <c r="A146" s="22">
        <v>0.93700000000000006</v>
      </c>
      <c r="B146" s="23">
        <v>3800.9479122487915</v>
      </c>
      <c r="C146" s="24">
        <v>1.0683760683762866E-3</v>
      </c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</row>
    <row r="147" spans="1:19" customFormat="1" x14ac:dyDescent="0.25">
      <c r="A147" s="22">
        <v>0.93799999999999994</v>
      </c>
      <c r="B147" s="23">
        <v>3805.0044201594083</v>
      </c>
      <c r="C147" s="24">
        <v>1.0672358591246045E-3</v>
      </c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</row>
    <row r="148" spans="1:19" customFormat="1" x14ac:dyDescent="0.25">
      <c r="A148" s="22">
        <v>0.93899999999999995</v>
      </c>
      <c r="B148" s="23">
        <v>3809.0609280700264</v>
      </c>
      <c r="C148" s="24">
        <v>1.0660980810235365E-3</v>
      </c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</row>
    <row r="149" spans="1:19" customFormat="1" x14ac:dyDescent="0.25">
      <c r="A149" s="22">
        <v>0.94</v>
      </c>
      <c r="B149" s="23">
        <v>3813.1174359806441</v>
      </c>
      <c r="C149" s="24">
        <v>1.0649627263046302E-3</v>
      </c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</row>
    <row r="150" spans="1:19" customFormat="1" x14ac:dyDescent="0.25">
      <c r="A150" s="22">
        <v>0.94099999999999995</v>
      </c>
      <c r="B150" s="23">
        <v>3817.1739438912609</v>
      </c>
      <c r="C150" s="24">
        <v>1.0638297872338498E-3</v>
      </c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</row>
    <row r="151" spans="1:19" customFormat="1" x14ac:dyDescent="0.25">
      <c r="A151" s="22">
        <v>0.94199999999999995</v>
      </c>
      <c r="B151" s="23">
        <v>3821.2304518018791</v>
      </c>
      <c r="C151" s="24">
        <v>1.0626992561106885E-3</v>
      </c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</row>
    <row r="152" spans="1:19" customFormat="1" x14ac:dyDescent="0.25">
      <c r="A152" s="22">
        <v>0.94299999999999995</v>
      </c>
      <c r="B152" s="23">
        <v>3825.2869597124973</v>
      </c>
      <c r="C152" s="24">
        <v>1.0615711252655036E-3</v>
      </c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</row>
    <row r="153" spans="1:19" customFormat="1" x14ac:dyDescent="0.25">
      <c r="A153" s="22">
        <v>0.94399999999999995</v>
      </c>
      <c r="B153" s="23">
        <v>3829.3434676231145</v>
      </c>
      <c r="C153" s="24">
        <v>1.0604453870624031E-3</v>
      </c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</row>
    <row r="154" spans="1:19" customFormat="1" x14ac:dyDescent="0.25">
      <c r="A154" s="22">
        <v>0.94499999999999995</v>
      </c>
      <c r="B154" s="23">
        <v>3833.3999755337322</v>
      </c>
      <c r="C154" s="24">
        <v>1.0593220338983578E-3</v>
      </c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</row>
    <row r="155" spans="1:19" customFormat="1" x14ac:dyDescent="0.25">
      <c r="A155" s="22">
        <v>0.94599999999999995</v>
      </c>
      <c r="B155" s="23">
        <v>3837.4564834443504</v>
      </c>
      <c r="C155" s="24">
        <v>1.0582010582012025E-3</v>
      </c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</row>
    <row r="156" spans="1:19" customFormat="1" x14ac:dyDescent="0.25">
      <c r="A156" s="22">
        <v>0.94699999999999995</v>
      </c>
      <c r="B156" s="23">
        <v>3841.5129913549686</v>
      </c>
      <c r="C156" s="24">
        <v>1.0570824524314126E-3</v>
      </c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</row>
    <row r="157" spans="1:19" customFormat="1" x14ac:dyDescent="0.25">
      <c r="A157" s="22">
        <v>0.94799999999999995</v>
      </c>
      <c r="B157" s="23">
        <v>3845.5694992655867</v>
      </c>
      <c r="C157" s="24">
        <v>1.0559662090814381E-3</v>
      </c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</row>
    <row r="158" spans="1:19" customFormat="1" x14ac:dyDescent="0.25">
      <c r="A158" s="22">
        <v>0.94899999999999995</v>
      </c>
      <c r="B158" s="23">
        <v>3849.6260071762049</v>
      </c>
      <c r="C158" s="24">
        <v>1.0548523206752591E-3</v>
      </c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</row>
    <row r="159" spans="1:19" customFormat="1" x14ac:dyDescent="0.25">
      <c r="A159" s="22">
        <v>0.95</v>
      </c>
      <c r="B159" s="23">
        <v>3853.6825150868226</v>
      </c>
      <c r="C159" s="24">
        <v>1.0537407797681642E-3</v>
      </c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</row>
    <row r="160" spans="1:19" customFormat="1" x14ac:dyDescent="0.25">
      <c r="A160" s="22">
        <v>0.95099999999999996</v>
      </c>
      <c r="B160" s="23">
        <v>3857.7390229974399</v>
      </c>
      <c r="C160" s="24">
        <v>1.0526315789471941E-3</v>
      </c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</row>
    <row r="161" spans="1:19" customFormat="1" x14ac:dyDescent="0.25">
      <c r="A161" s="22">
        <v>0.95199999999999996</v>
      </c>
      <c r="B161" s="23">
        <v>3861.7955309080576</v>
      </c>
      <c r="C161" s="24">
        <v>1.051524710830698E-3</v>
      </c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</row>
    <row r="162" spans="1:19" customFormat="1" x14ac:dyDescent="0.25">
      <c r="A162" s="22">
        <v>0.95299999999999996</v>
      </c>
      <c r="B162" s="23">
        <v>3865.8520388186753</v>
      </c>
      <c r="C162" s="24">
        <v>1.0504201680672232E-3</v>
      </c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</row>
    <row r="163" spans="1:19" customFormat="1" x14ac:dyDescent="0.25">
      <c r="A163" s="22">
        <v>0.95399999999999996</v>
      </c>
      <c r="B163" s="23">
        <v>3869.908546729293</v>
      </c>
      <c r="C163" s="24">
        <v>1.0493179433368471E-3</v>
      </c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</row>
    <row r="164" spans="1:19" customFormat="1" x14ac:dyDescent="0.25">
      <c r="A164" s="22">
        <v>0.95499999999999996</v>
      </c>
      <c r="B164" s="23">
        <v>3873.9650546399116</v>
      </c>
      <c r="C164" s="24">
        <v>1.0482180293502896E-3</v>
      </c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</row>
    <row r="165" spans="1:19" customFormat="1" x14ac:dyDescent="0.25">
      <c r="A165" s="22">
        <v>0.95599999999999996</v>
      </c>
      <c r="B165" s="23">
        <v>3878.0215625505289</v>
      </c>
      <c r="C165" s="24">
        <v>1.0471204188480243E-3</v>
      </c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</row>
    <row r="166" spans="1:19" customFormat="1" x14ac:dyDescent="0.25">
      <c r="A166" s="22">
        <v>0.95699999999999996</v>
      </c>
      <c r="B166" s="23">
        <v>3882.0780704611466</v>
      </c>
      <c r="C166" s="24">
        <v>1.0460251046024993E-3</v>
      </c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</row>
    <row r="167" spans="1:19" customFormat="1" x14ac:dyDescent="0.25">
      <c r="A167" s="22">
        <v>0.95799999999999996</v>
      </c>
      <c r="B167" s="23">
        <v>3886.1345783717643</v>
      </c>
      <c r="C167" s="24">
        <v>1.0449320794148065E-3</v>
      </c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</row>
    <row r="168" spans="1:19" customFormat="1" x14ac:dyDescent="0.25">
      <c r="A168" s="22">
        <v>0.95899999999999996</v>
      </c>
      <c r="B168" s="23">
        <v>3890.1910862823811</v>
      </c>
      <c r="C168" s="24">
        <v>1.0438413361166798E-3</v>
      </c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</row>
    <row r="169" spans="1:19" customFormat="1" x14ac:dyDescent="0.25">
      <c r="A169" s="22">
        <v>0.96</v>
      </c>
      <c r="B169" s="23">
        <v>3894.2475941929993</v>
      </c>
      <c r="C169" s="24">
        <v>1.0427528675704956E-3</v>
      </c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</row>
    <row r="170" spans="1:19" customFormat="1" x14ac:dyDescent="0.25">
      <c r="A170" s="22">
        <v>0.96099999999999997</v>
      </c>
      <c r="B170" s="23">
        <v>3898.3041021036165</v>
      </c>
      <c r="C170" s="24">
        <v>1.0416666666666075E-3</v>
      </c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</row>
    <row r="171" spans="1:19" customFormat="1" x14ac:dyDescent="0.25">
      <c r="A171" s="22">
        <v>0.96199999999999997</v>
      </c>
      <c r="B171" s="23">
        <v>3902.3606100142333</v>
      </c>
      <c r="C171" s="24">
        <v>1.0405827263264555E-3</v>
      </c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</row>
    <row r="172" spans="1:19" customFormat="1" x14ac:dyDescent="0.25">
      <c r="A172" s="22">
        <v>0.96299999999999997</v>
      </c>
      <c r="B172" s="23">
        <v>3906.4171179248519</v>
      </c>
      <c r="C172" s="24">
        <v>1.0395010395012338E-3</v>
      </c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</row>
    <row r="173" spans="1:19" customFormat="1" x14ac:dyDescent="0.25">
      <c r="A173" s="22">
        <v>0.96399999999999997</v>
      </c>
      <c r="B173" s="23">
        <v>3910.4736258354696</v>
      </c>
      <c r="C173" s="24">
        <v>1.0384215991692258E-3</v>
      </c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</row>
    <row r="174" spans="1:19" customFormat="1" x14ac:dyDescent="0.25">
      <c r="A174" s="22">
        <v>0.96499999999999997</v>
      </c>
      <c r="B174" s="23">
        <v>3914.5301337460883</v>
      </c>
      <c r="C174" s="24">
        <v>1.0373443983404673E-3</v>
      </c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</row>
    <row r="175" spans="1:19" customFormat="1" x14ac:dyDescent="0.25">
      <c r="A175" s="22">
        <v>0.96599999999999997</v>
      </c>
      <c r="B175" s="23">
        <v>3918.586641656706</v>
      </c>
      <c r="C175" s="24">
        <v>1.0362694300518616E-3</v>
      </c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</row>
    <row r="176" spans="1:19" customFormat="1" x14ac:dyDescent="0.25">
      <c r="A176" s="22">
        <v>0.96699999999999997</v>
      </c>
      <c r="B176" s="23">
        <v>3922.6431495673232</v>
      </c>
      <c r="C176" s="24">
        <v>1.0351966873705098E-3</v>
      </c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</row>
    <row r="177" spans="1:19" customFormat="1" x14ac:dyDescent="0.25">
      <c r="A177" s="22">
        <v>0.96799999999999997</v>
      </c>
      <c r="B177" s="23">
        <v>3926.6996574779409</v>
      </c>
      <c r="C177" s="24">
        <v>1.0341261633919352E-3</v>
      </c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</row>
    <row r="178" spans="1:19" customFormat="1" x14ac:dyDescent="0.25">
      <c r="A178" s="22">
        <v>0.96899999999999997</v>
      </c>
      <c r="B178" s="23">
        <v>3930.7561653885587</v>
      </c>
      <c r="C178" s="24">
        <v>1.0330578512396382E-3</v>
      </c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</row>
    <row r="179" spans="1:19" customFormat="1" x14ac:dyDescent="0.25">
      <c r="A179" s="22">
        <v>0.97</v>
      </c>
      <c r="B179" s="23">
        <v>3934.8126732991759</v>
      </c>
      <c r="C179" s="24">
        <v>1.0319917440659854E-3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</row>
    <row r="180" spans="1:19" customFormat="1" x14ac:dyDescent="0.25">
      <c r="A180" s="22">
        <v>0.97099999999999997</v>
      </c>
      <c r="B180" s="23">
        <v>3938.8691812097927</v>
      </c>
      <c r="C180" s="24">
        <v>1.0309278350513207E-3</v>
      </c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</row>
    <row r="181" spans="1:19" customFormat="1" x14ac:dyDescent="0.25">
      <c r="A181" s="22">
        <v>0.97199999999999998</v>
      </c>
      <c r="B181" s="23">
        <v>3942.9256891204109</v>
      </c>
      <c r="C181" s="24">
        <v>1.029866117404854E-3</v>
      </c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</row>
    <row r="182" spans="1:19" customFormat="1" x14ac:dyDescent="0.25">
      <c r="A182" s="22">
        <v>0.97299999999999998</v>
      </c>
      <c r="B182" s="23">
        <v>3946.9821970310281</v>
      </c>
      <c r="C182" s="24">
        <v>1.0288065843619965E-3</v>
      </c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</row>
    <row r="183" spans="1:19" customFormat="1" x14ac:dyDescent="0.25">
      <c r="A183" s="22">
        <v>0.97399999999999998</v>
      </c>
      <c r="B183" s="23">
        <v>3951.0387049416458</v>
      </c>
      <c r="C183" s="24">
        <v>1.0277492291881352E-3</v>
      </c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</row>
    <row r="184" spans="1:19" customFormat="1" x14ac:dyDescent="0.25">
      <c r="A184" s="22">
        <v>0.97499999999999998</v>
      </c>
      <c r="B184" s="23">
        <v>3955.095212852264</v>
      </c>
      <c r="C184" s="24">
        <v>1.0266940451746365E-3</v>
      </c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</row>
    <row r="185" spans="1:19" customFormat="1" x14ac:dyDescent="0.25">
      <c r="A185" s="22">
        <v>0.97599999999999998</v>
      </c>
      <c r="B185" s="23">
        <v>3959.1517207628808</v>
      </c>
      <c r="C185" s="24">
        <v>1.0256410256408444E-3</v>
      </c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</row>
    <row r="186" spans="1:19" customFormat="1" x14ac:dyDescent="0.25">
      <c r="A186" s="22">
        <v>0.97699999999999998</v>
      </c>
      <c r="B186" s="23">
        <v>3963.208228673499</v>
      </c>
      <c r="C186" s="24">
        <v>1.0245901639345245E-3</v>
      </c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</row>
    <row r="187" spans="1:19" customFormat="1" x14ac:dyDescent="0.25">
      <c r="A187" s="22">
        <v>0.97799999999999998</v>
      </c>
      <c r="B187" s="23">
        <v>3967.2647365841171</v>
      </c>
      <c r="C187" s="24">
        <v>1.0235414534289777E-3</v>
      </c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</row>
    <row r="188" spans="1:19" customFormat="1" x14ac:dyDescent="0.25">
      <c r="A188" s="22">
        <v>0.97899999999999998</v>
      </c>
      <c r="B188" s="23">
        <v>3971.3212444947344</v>
      </c>
      <c r="C188" s="24">
        <v>1.0224948875254825E-3</v>
      </c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</row>
    <row r="189" spans="1:19" customFormat="1" x14ac:dyDescent="0.25">
      <c r="A189" s="22">
        <v>0.98</v>
      </c>
      <c r="B189" s="23">
        <v>3975.3777524053535</v>
      </c>
      <c r="C189" s="24">
        <v>1.0214504596530727E-3</v>
      </c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</row>
    <row r="190" spans="1:19" customFormat="1" x14ac:dyDescent="0.25">
      <c r="A190" s="22">
        <v>0.98099999999999998</v>
      </c>
      <c r="B190" s="23">
        <v>3979.4342603159716</v>
      </c>
      <c r="C190" s="24">
        <v>1.0204081632654294E-3</v>
      </c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</row>
    <row r="191" spans="1:19" customFormat="1" x14ac:dyDescent="0.25">
      <c r="A191" s="22">
        <v>0.98199999999999998</v>
      </c>
      <c r="B191" s="23">
        <v>3983.4907682265894</v>
      </c>
      <c r="C191" s="24">
        <v>1.0193679918450993E-3</v>
      </c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</row>
    <row r="192" spans="1:19" customFormat="1" x14ac:dyDescent="0.25">
      <c r="A192" s="22">
        <v>0.98299999999999998</v>
      </c>
      <c r="B192" s="23">
        <v>3987.5472761372071</v>
      </c>
      <c r="C192" s="24">
        <v>1.0183299389001643E-3</v>
      </c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</row>
    <row r="193" spans="1:19" customFormat="1" x14ac:dyDescent="0.25">
      <c r="A193" s="22">
        <v>0.98399999999999999</v>
      </c>
      <c r="B193" s="23">
        <v>3991.6037840478243</v>
      </c>
      <c r="C193" s="24">
        <v>1.0172939979653517E-3</v>
      </c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</row>
    <row r="194" spans="1:19" customFormat="1" x14ac:dyDescent="0.25">
      <c r="A194" s="22">
        <v>0.98499999999999999</v>
      </c>
      <c r="B194" s="23">
        <v>3995.660291958442</v>
      </c>
      <c r="C194" s="24">
        <v>1.0162601626015899E-3</v>
      </c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</row>
    <row r="195" spans="1:19" customFormat="1" x14ac:dyDescent="0.25">
      <c r="A195" s="22">
        <v>0.98599999999999999</v>
      </c>
      <c r="B195" s="23">
        <v>3999.7167998690593</v>
      </c>
      <c r="C195" s="24">
        <v>1.0152284263957867E-3</v>
      </c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</row>
    <row r="196" spans="1:19" customFormat="1" x14ac:dyDescent="0.25">
      <c r="A196" s="22">
        <v>0.98699999999999999</v>
      </c>
      <c r="B196" s="23">
        <v>4003.7733077796779</v>
      </c>
      <c r="C196" s="24">
        <v>1.0141987829617172E-3</v>
      </c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</row>
    <row r="197" spans="1:19" customFormat="1" x14ac:dyDescent="0.25">
      <c r="A197" s="22">
        <v>0.98799999999999999</v>
      </c>
      <c r="B197" s="23">
        <v>4007.8298156902947</v>
      </c>
      <c r="C197" s="24">
        <v>1.0131712259369152E-3</v>
      </c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</row>
    <row r="198" spans="1:19" customFormat="1" x14ac:dyDescent="0.25">
      <c r="A198" s="22">
        <v>0.98899999999999999</v>
      </c>
      <c r="B198" s="23">
        <v>4011.8863236009129</v>
      </c>
      <c r="C198" s="24">
        <v>1.0121457489880026E-3</v>
      </c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</row>
    <row r="199" spans="1:19" customFormat="1" x14ac:dyDescent="0.25">
      <c r="A199" s="22">
        <v>0.99</v>
      </c>
      <c r="B199" s="23">
        <v>4015.9428315115306</v>
      </c>
      <c r="C199" s="24">
        <v>1.0111223458038054E-3</v>
      </c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</row>
    <row r="200" spans="1:19" customFormat="1" x14ac:dyDescent="0.25">
      <c r="A200" s="22">
        <v>0.99099999999999999</v>
      </c>
      <c r="B200" s="23">
        <v>4019.9993394221488</v>
      </c>
      <c r="C200" s="24">
        <v>1.0101010101011276E-3</v>
      </c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</row>
    <row r="201" spans="1:19" customFormat="1" x14ac:dyDescent="0.25">
      <c r="A201" s="22">
        <v>0.99199999999999999</v>
      </c>
      <c r="B201" s="23">
        <v>4024.0558473327669</v>
      </c>
      <c r="C201" s="24">
        <v>1.0090817356207538E-3</v>
      </c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</row>
    <row r="202" spans="1:19" customFormat="1" x14ac:dyDescent="0.25">
      <c r="A202" s="22">
        <v>0.99299999999999999</v>
      </c>
      <c r="B202" s="23">
        <v>4028.1123552433837</v>
      </c>
      <c r="C202" s="24">
        <v>1.0080645161287816E-3</v>
      </c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</row>
    <row r="203" spans="1:19" customFormat="1" x14ac:dyDescent="0.25">
      <c r="A203" s="22">
        <v>0.99399999999999999</v>
      </c>
      <c r="B203" s="23">
        <v>4032.1688631540005</v>
      </c>
      <c r="C203" s="24">
        <v>1.0070493454177321E-3</v>
      </c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</row>
    <row r="204" spans="1:19" customFormat="1" x14ac:dyDescent="0.25">
      <c r="A204" s="22">
        <v>0.995</v>
      </c>
      <c r="B204" s="23">
        <v>4036.2253710646196</v>
      </c>
      <c r="C204" s="24">
        <v>1.0060362173041071E-3</v>
      </c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</row>
    <row r="205" spans="1:19" customFormat="1" x14ac:dyDescent="0.25">
      <c r="A205" s="22">
        <v>0.996</v>
      </c>
      <c r="B205" s="23">
        <v>4040.2818789752373</v>
      </c>
      <c r="C205" s="24">
        <v>1.0050251256281673E-3</v>
      </c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</row>
    <row r="206" spans="1:19" customFormat="1" x14ac:dyDescent="0.25">
      <c r="A206" s="22">
        <v>0.997</v>
      </c>
      <c r="B206" s="23">
        <v>4044.338386885855</v>
      </c>
      <c r="C206" s="24">
        <v>1.0040160642570406E-3</v>
      </c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</row>
    <row r="207" spans="1:19" customFormat="1" x14ac:dyDescent="0.25">
      <c r="A207" s="22">
        <v>0.998</v>
      </c>
      <c r="B207" s="23">
        <v>4048.3948947964732</v>
      </c>
      <c r="C207" s="24">
        <v>1.0030090270813918E-3</v>
      </c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</row>
    <row r="208" spans="1:19" customFormat="1" x14ac:dyDescent="0.25">
      <c r="A208" s="22">
        <v>0.999</v>
      </c>
      <c r="B208" s="23">
        <v>4052.4514027070909</v>
      </c>
      <c r="C208" s="24">
        <v>1.0020040080160886E-3</v>
      </c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</row>
    <row r="209" spans="1:19" customFormat="1" x14ac:dyDescent="0.25">
      <c r="A209" s="25">
        <v>1</v>
      </c>
      <c r="B209" s="26">
        <v>5408.6772141569454</v>
      </c>
      <c r="C209" s="27">
        <v>0.33466800133466812</v>
      </c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</row>
    <row r="210" spans="1:19" customFormat="1" x14ac:dyDescent="0.25">
      <c r="A210" s="28">
        <v>1.0009999999999999</v>
      </c>
      <c r="B210" s="29">
        <v>5413.5450236496854</v>
      </c>
      <c r="C210" s="30">
        <v>9.9999999999966782E-4</v>
      </c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</row>
    <row r="211" spans="1:19" customFormat="1" x14ac:dyDescent="0.25">
      <c r="A211" s="28">
        <v>1.002</v>
      </c>
      <c r="B211" s="29">
        <v>5418.4128331424272</v>
      </c>
      <c r="C211" s="30">
        <v>9.9900099900129824E-4</v>
      </c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</row>
    <row r="212" spans="1:19" customFormat="1" x14ac:dyDescent="0.25">
      <c r="A212" s="28">
        <v>1.0029999999999999</v>
      </c>
      <c r="B212" s="29">
        <v>5423.2806426351681</v>
      </c>
      <c r="C212" s="30">
        <v>9.9800399201588341E-4</v>
      </c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</row>
    <row r="213" spans="1:19" customFormat="1" x14ac:dyDescent="0.25">
      <c r="A213" s="28">
        <v>1.004</v>
      </c>
      <c r="B213" s="29">
        <v>5428.148452127909</v>
      </c>
      <c r="C213" s="30">
        <v>9.9700897308085956E-4</v>
      </c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</row>
    <row r="214" spans="1:19" customFormat="1" x14ac:dyDescent="0.25">
      <c r="A214" s="28">
        <v>1.0049999999999999</v>
      </c>
      <c r="B214" s="29">
        <v>5433.0162616206508</v>
      </c>
      <c r="C214" s="30">
        <v>9.960159362549792E-4</v>
      </c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</row>
    <row r="215" spans="1:19" customFormat="1" x14ac:dyDescent="0.25">
      <c r="A215" s="28">
        <v>1.006</v>
      </c>
      <c r="B215" s="29">
        <v>5437.8840711133926</v>
      </c>
      <c r="C215" s="30">
        <v>9.9502487562208586E-4</v>
      </c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</row>
    <row r="216" spans="1:19" customFormat="1" x14ac:dyDescent="0.25">
      <c r="A216" s="28">
        <v>1.0069999999999999</v>
      </c>
      <c r="B216" s="29">
        <v>5442.7518806061335</v>
      </c>
      <c r="C216" s="30">
        <v>9.9403578528800551E-4</v>
      </c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</row>
    <row r="217" spans="1:19" customFormat="1" x14ac:dyDescent="0.25">
      <c r="A217" s="28">
        <v>1.008</v>
      </c>
      <c r="B217" s="29">
        <v>5447.6196900988743</v>
      </c>
      <c r="C217" s="30">
        <v>9.930486593843213E-4</v>
      </c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</row>
    <row r="218" spans="1:19" customFormat="1" x14ac:dyDescent="0.25">
      <c r="A218" s="28">
        <v>1.0089999999999999</v>
      </c>
      <c r="B218" s="29">
        <v>5452.4874995916161</v>
      </c>
      <c r="C218" s="30">
        <v>9.9206349206348854E-4</v>
      </c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</row>
    <row r="219" spans="1:19" customFormat="1" x14ac:dyDescent="0.25">
      <c r="A219" s="28">
        <v>1.01</v>
      </c>
      <c r="B219" s="29">
        <v>5457.3553090843579</v>
      </c>
      <c r="C219" s="30">
        <v>9.9108027750260952E-4</v>
      </c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</row>
    <row r="220" spans="1:19" customFormat="1" x14ac:dyDescent="0.25">
      <c r="A220" s="28">
        <v>1.0109999999999999</v>
      </c>
      <c r="B220" s="29">
        <v>5462.2231185770979</v>
      </c>
      <c r="C220" s="30">
        <v>9.9009900990076893E-4</v>
      </c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</row>
    <row r="221" spans="1:19" customFormat="1" x14ac:dyDescent="0.25">
      <c r="A221" s="28">
        <v>1.012</v>
      </c>
      <c r="B221" s="29">
        <v>5467.0909280698397</v>
      </c>
      <c r="C221" s="30">
        <v>9.8911968348169843E-4</v>
      </c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</row>
    <row r="222" spans="1:19" customFormat="1" x14ac:dyDescent="0.25">
      <c r="A222" s="28">
        <v>1.0129999999999999</v>
      </c>
      <c r="B222" s="29">
        <v>5471.9587375625815</v>
      </c>
      <c r="C222" s="30">
        <v>9.8814229249022389E-4</v>
      </c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</row>
    <row r="223" spans="1:19" customFormat="1" x14ac:dyDescent="0.25">
      <c r="A223" s="28">
        <v>1.014</v>
      </c>
      <c r="B223" s="29">
        <v>5476.8265470553224</v>
      </c>
      <c r="C223" s="30">
        <v>9.8716683119448589E-4</v>
      </c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</row>
    <row r="224" spans="1:19" customFormat="1" x14ac:dyDescent="0.25">
      <c r="A224" s="28">
        <v>1.0149999999999999</v>
      </c>
      <c r="B224" s="29">
        <v>5481.6943565480633</v>
      </c>
      <c r="C224" s="30">
        <v>9.8619329388549559E-4</v>
      </c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</row>
    <row r="225" spans="1:19" customFormat="1" x14ac:dyDescent="0.25">
      <c r="A225" s="28">
        <v>1.016</v>
      </c>
      <c r="B225" s="29">
        <v>5486.562166040806</v>
      </c>
      <c r="C225" s="30">
        <v>9.8522167487713475E-4</v>
      </c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</row>
    <row r="226" spans="1:19" customFormat="1" x14ac:dyDescent="0.25">
      <c r="A226" s="28">
        <v>1.0169999999999999</v>
      </c>
      <c r="B226" s="29">
        <v>5491.4299755335451</v>
      </c>
      <c r="C226" s="30">
        <v>9.8425196850371321E-4</v>
      </c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</row>
    <row r="227" spans="1:19" customFormat="1" x14ac:dyDescent="0.25">
      <c r="A227" s="28">
        <v>1.018</v>
      </c>
      <c r="B227" s="29">
        <v>5496.2977850262887</v>
      </c>
      <c r="C227" s="30">
        <v>9.8328416912507599E-4</v>
      </c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</row>
    <row r="228" spans="1:19" customFormat="1" x14ac:dyDescent="0.25">
      <c r="A228" s="28">
        <v>1.0189999999999999</v>
      </c>
      <c r="B228" s="29">
        <v>5501.1655945190278</v>
      </c>
      <c r="C228" s="30">
        <v>9.8231827111971981E-4</v>
      </c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</row>
    <row r="229" spans="1:19" customFormat="1" x14ac:dyDescent="0.25">
      <c r="A229" s="28">
        <v>1.02</v>
      </c>
      <c r="B229" s="29">
        <v>5506.0334040117687</v>
      </c>
      <c r="C229" s="30">
        <v>9.8135426889101041E-4</v>
      </c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</row>
    <row r="230" spans="1:19" customFormat="1" x14ac:dyDescent="0.25">
      <c r="A230" s="28">
        <v>1.0209999999999999</v>
      </c>
      <c r="B230" s="29">
        <v>5510.9012135045105</v>
      </c>
      <c r="C230" s="30">
        <v>9.8039215686274161E-4</v>
      </c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</row>
    <row r="231" spans="1:19" customFormat="1" x14ac:dyDescent="0.25">
      <c r="A231" s="28">
        <v>1.022</v>
      </c>
      <c r="B231" s="29">
        <v>5515.7690229972523</v>
      </c>
      <c r="C231" s="30">
        <v>9.7943192948091173E-4</v>
      </c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</row>
    <row r="232" spans="1:19" customFormat="1" x14ac:dyDescent="0.25">
      <c r="A232" s="28">
        <v>1.0229999999999999</v>
      </c>
      <c r="B232" s="29">
        <v>5520.6368324899922</v>
      </c>
      <c r="C232" s="30">
        <v>9.7847358121305739E-4</v>
      </c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</row>
    <row r="233" spans="1:19" customFormat="1" x14ac:dyDescent="0.25">
      <c r="A233" s="28">
        <v>1.024</v>
      </c>
      <c r="B233" s="29">
        <v>5525.504641982734</v>
      </c>
      <c r="C233" s="30">
        <v>9.7751710654958579E-4</v>
      </c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</row>
    <row r="234" spans="1:19" customFormat="1" x14ac:dyDescent="0.25">
      <c r="A234" s="28">
        <v>1.0249999999999999</v>
      </c>
      <c r="B234" s="29">
        <v>5530.3724514754758</v>
      </c>
      <c r="C234" s="30">
        <v>9.765625E-4</v>
      </c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</row>
    <row r="235" spans="1:19" customFormat="1" x14ac:dyDescent="0.25">
      <c r="A235" s="28">
        <v>1.026</v>
      </c>
      <c r="B235" s="29">
        <v>5535.2402609682176</v>
      </c>
      <c r="C235" s="30">
        <v>9.7560975609756184E-4</v>
      </c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</row>
    <row r="236" spans="1:19" customFormat="1" x14ac:dyDescent="0.25">
      <c r="A236" s="28">
        <v>1.0269999999999999</v>
      </c>
      <c r="B236" s="29">
        <v>5540.1080704609576</v>
      </c>
      <c r="C236" s="30">
        <v>9.7465886939551716E-4</v>
      </c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</row>
    <row r="237" spans="1:19" customFormat="1" x14ac:dyDescent="0.25">
      <c r="A237" s="28">
        <v>1.028</v>
      </c>
      <c r="B237" s="29">
        <v>5544.9758799536994</v>
      </c>
      <c r="C237" s="30">
        <v>9.7370983446953829E-4</v>
      </c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</row>
    <row r="238" spans="1:19" customFormat="1" x14ac:dyDescent="0.25">
      <c r="A238" s="28">
        <v>1.0289999999999999</v>
      </c>
      <c r="B238" s="29">
        <v>5549.8436894464412</v>
      </c>
      <c r="C238" s="30">
        <v>9.7276264591439343E-4</v>
      </c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</row>
    <row r="239" spans="1:19" customFormat="1" x14ac:dyDescent="0.25">
      <c r="A239" s="28">
        <v>1.03</v>
      </c>
      <c r="B239" s="29">
        <v>5554.711498939183</v>
      </c>
      <c r="C239" s="30">
        <v>9.7181729834794339E-4</v>
      </c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</row>
    <row r="240" spans="1:19" customFormat="1" x14ac:dyDescent="0.25">
      <c r="A240" s="28">
        <v>1.0309999999999999</v>
      </c>
      <c r="B240" s="29">
        <v>5559.579308431923</v>
      </c>
      <c r="C240" s="30">
        <v>9.7087378640758892E-4</v>
      </c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</row>
    <row r="241" spans="1:19" customFormat="1" x14ac:dyDescent="0.25">
      <c r="A241" s="28">
        <v>1.032</v>
      </c>
      <c r="B241" s="29">
        <v>5564.4471179246648</v>
      </c>
      <c r="C241" s="30">
        <v>9.6993210475271319E-4</v>
      </c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</row>
    <row r="242" spans="1:19" customFormat="1" x14ac:dyDescent="0.25">
      <c r="A242" s="28">
        <v>1.0329999999999999</v>
      </c>
      <c r="B242" s="29">
        <v>5569.3149274174066</v>
      </c>
      <c r="C242" s="30">
        <v>9.6899224806201723E-4</v>
      </c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</row>
    <row r="243" spans="1:19" customFormat="1" x14ac:dyDescent="0.25">
      <c r="A243" s="28">
        <v>1.034</v>
      </c>
      <c r="B243" s="29">
        <v>5574.1827369101484</v>
      </c>
      <c r="C243" s="30">
        <v>9.6805421103596245E-4</v>
      </c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</row>
    <row r="244" spans="1:19" customFormat="1" x14ac:dyDescent="0.25">
      <c r="A244" s="28">
        <v>1.0349999999999999</v>
      </c>
      <c r="B244" s="29">
        <v>5579.0505464028902</v>
      </c>
      <c r="C244" s="30">
        <v>9.6711798839455021E-4</v>
      </c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</row>
    <row r="245" spans="1:19" customFormat="1" x14ac:dyDescent="0.25">
      <c r="A245" s="28">
        <v>1.036</v>
      </c>
      <c r="B245" s="29">
        <v>5583.9183558956329</v>
      </c>
      <c r="C245" s="30">
        <v>9.6618357487954221E-4</v>
      </c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</row>
    <row r="246" spans="1:19" customFormat="1" x14ac:dyDescent="0.25">
      <c r="A246" s="28">
        <v>1.0369999999999999</v>
      </c>
      <c r="B246" s="29">
        <v>5588.786165388372</v>
      </c>
      <c r="C246" s="30">
        <v>9.6525096525068577E-4</v>
      </c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</row>
    <row r="247" spans="1:19" customFormat="1" x14ac:dyDescent="0.25">
      <c r="A247" s="28">
        <v>1.038</v>
      </c>
      <c r="B247" s="29">
        <v>5593.6539748811156</v>
      </c>
      <c r="C247" s="30">
        <v>9.6432015429148699E-4</v>
      </c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</row>
    <row r="248" spans="1:19" customFormat="1" x14ac:dyDescent="0.25">
      <c r="A248" s="28">
        <v>1.0389999999999999</v>
      </c>
      <c r="B248" s="29">
        <v>5598.5217843738556</v>
      </c>
      <c r="C248" s="30">
        <v>9.6339113680121713E-4</v>
      </c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</row>
    <row r="249" spans="1:19" customFormat="1" x14ac:dyDescent="0.25">
      <c r="A249" s="28">
        <v>1.04</v>
      </c>
      <c r="B249" s="29">
        <v>5603.3895938665974</v>
      </c>
      <c r="C249" s="30">
        <v>9.6246390760379441E-4</v>
      </c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</row>
    <row r="250" spans="1:19" customFormat="1" x14ac:dyDescent="0.25">
      <c r="A250" s="28">
        <v>1.0409999999999999</v>
      </c>
      <c r="B250" s="29">
        <v>5608.2574033593392</v>
      </c>
      <c r="C250" s="30">
        <v>9.6153846153845812E-4</v>
      </c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</row>
    <row r="251" spans="1:19" customFormat="1" x14ac:dyDescent="0.25">
      <c r="A251" s="28">
        <v>1.042</v>
      </c>
      <c r="B251" s="29">
        <v>5613.1252128520809</v>
      </c>
      <c r="C251" s="30">
        <v>9.6061479346798428E-4</v>
      </c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</row>
    <row r="252" spans="1:19" customFormat="1" x14ac:dyDescent="0.25">
      <c r="A252" s="28">
        <v>1.0429999999999999</v>
      </c>
      <c r="B252" s="29">
        <v>5617.9930223448227</v>
      </c>
      <c r="C252" s="30">
        <v>9.596928982724684E-4</v>
      </c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</row>
    <row r="253" spans="1:19" customFormat="1" x14ac:dyDescent="0.25">
      <c r="A253" s="28">
        <v>1.044</v>
      </c>
      <c r="B253" s="29">
        <v>5622.8608318375645</v>
      </c>
      <c r="C253" s="30">
        <v>9.5877277085332224E-4</v>
      </c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</row>
    <row r="254" spans="1:19" customFormat="1" x14ac:dyDescent="0.25">
      <c r="A254" s="28">
        <v>1.0449999999999999</v>
      </c>
      <c r="B254" s="29">
        <v>5627.7286413303045</v>
      </c>
      <c r="C254" s="30">
        <v>9.5785440613016526E-4</v>
      </c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</row>
    <row r="255" spans="1:19" customFormat="1" x14ac:dyDescent="0.25">
      <c r="A255" s="28">
        <v>1.046</v>
      </c>
      <c r="B255" s="29">
        <v>5632.5964508230463</v>
      </c>
      <c r="C255" s="30">
        <v>9.5693779904304499E-4</v>
      </c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</row>
    <row r="256" spans="1:19" customFormat="1" x14ac:dyDescent="0.25">
      <c r="A256" s="28">
        <v>1.0469999999999999</v>
      </c>
      <c r="B256" s="29">
        <v>5637.4642603157881</v>
      </c>
      <c r="C256" s="30">
        <v>9.5602294455066072E-4</v>
      </c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</row>
    <row r="257" spans="1:19" customFormat="1" x14ac:dyDescent="0.25">
      <c r="A257" s="28">
        <v>1.048</v>
      </c>
      <c r="B257" s="29">
        <v>5642.3320698085299</v>
      </c>
      <c r="C257" s="30">
        <v>9.5510983763147372E-4</v>
      </c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</row>
    <row r="258" spans="1:19" customFormat="1" x14ac:dyDescent="0.25">
      <c r="A258" s="28">
        <v>1.0489999999999999</v>
      </c>
      <c r="B258" s="29">
        <v>5647.1998793012708</v>
      </c>
      <c r="C258" s="30">
        <v>9.5419847328237495E-4</v>
      </c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</row>
    <row r="259" spans="1:19" customFormat="1" x14ac:dyDescent="0.25">
      <c r="A259" s="28">
        <v>1.05</v>
      </c>
      <c r="B259" s="29">
        <v>5652.0676887940117</v>
      </c>
      <c r="C259" s="30">
        <v>9.5328884652046142E-4</v>
      </c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</row>
    <row r="260" spans="1:19" customFormat="1" x14ac:dyDescent="0.25">
      <c r="A260" s="28">
        <v>1.0509999999999999</v>
      </c>
      <c r="B260" s="29">
        <v>5656.9354982867535</v>
      </c>
      <c r="C260" s="30">
        <v>9.5238095238103782E-4</v>
      </c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</row>
    <row r="261" spans="1:19" customFormat="1" x14ac:dyDescent="0.25">
      <c r="A261" s="28">
        <v>1.052</v>
      </c>
      <c r="B261" s="29">
        <v>5661.8033077794944</v>
      </c>
      <c r="C261" s="30">
        <v>9.5147478591806056E-4</v>
      </c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</row>
    <row r="262" spans="1:19" customFormat="1" x14ac:dyDescent="0.25">
      <c r="A262" s="28">
        <v>1.0529999999999999</v>
      </c>
      <c r="B262" s="29">
        <v>5666.6711172722344</v>
      </c>
      <c r="C262" s="30">
        <v>9.5057034220524805E-4</v>
      </c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</row>
    <row r="263" spans="1:19" customFormat="1" x14ac:dyDescent="0.25">
      <c r="A263" s="28">
        <v>1.054</v>
      </c>
      <c r="B263" s="29">
        <v>5671.5389267649771</v>
      </c>
      <c r="C263" s="30">
        <v>9.4966761633452634E-4</v>
      </c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</row>
    <row r="264" spans="1:19" customFormat="1" x14ac:dyDescent="0.25">
      <c r="A264" s="28">
        <v>1.0549999999999999</v>
      </c>
      <c r="B264" s="29">
        <v>5676.4067362577161</v>
      </c>
      <c r="C264" s="30">
        <v>9.4876660341536301E-4</v>
      </c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</row>
    <row r="265" spans="1:19" customFormat="1" x14ac:dyDescent="0.25">
      <c r="A265" s="28">
        <v>1.056</v>
      </c>
      <c r="B265" s="29">
        <v>5681.274545750457</v>
      </c>
      <c r="C265" s="30">
        <v>9.4786729857809782E-4</v>
      </c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</row>
    <row r="266" spans="1:19" customFormat="1" x14ac:dyDescent="0.25">
      <c r="A266" s="28">
        <v>1.0569999999999999</v>
      </c>
      <c r="B266" s="29">
        <v>5686.1423552431988</v>
      </c>
      <c r="C266" s="30">
        <v>9.4696969696972388E-4</v>
      </c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</row>
    <row r="267" spans="1:19" customFormat="1" x14ac:dyDescent="0.25">
      <c r="A267" s="28">
        <v>1.0580000000000001</v>
      </c>
      <c r="B267" s="29">
        <v>5691.0101647359397</v>
      </c>
      <c r="C267" s="30">
        <v>9.4607379375588607E-4</v>
      </c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</row>
    <row r="268" spans="1:19" customFormat="1" x14ac:dyDescent="0.25">
      <c r="A268" s="28">
        <v>1.0589999999999999</v>
      </c>
      <c r="B268" s="29">
        <v>5695.8779742286806</v>
      </c>
      <c r="C268" s="30">
        <v>9.4517958412088099E-4</v>
      </c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</row>
    <row r="269" spans="1:19" customFormat="1" x14ac:dyDescent="0.25">
      <c r="A269" s="28">
        <v>1.06</v>
      </c>
      <c r="B269" s="29">
        <v>5700.7457837214224</v>
      </c>
      <c r="C269" s="30">
        <v>9.442870632672129E-4</v>
      </c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</row>
    <row r="270" spans="1:19" customFormat="1" x14ac:dyDescent="0.25">
      <c r="A270" s="28">
        <v>1.0609999999999999</v>
      </c>
      <c r="B270" s="29">
        <v>5705.6135932141624</v>
      </c>
      <c r="C270" s="30">
        <v>9.433962264149276E-4</v>
      </c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</row>
    <row r="271" spans="1:19" customFormat="1" x14ac:dyDescent="0.25">
      <c r="A271" s="28">
        <v>1.0620000000000001</v>
      </c>
      <c r="B271" s="29">
        <v>5710.481402706906</v>
      </c>
      <c r="C271" s="30">
        <v>9.4250706880338875E-4</v>
      </c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</row>
    <row r="272" spans="1:19" customFormat="1" x14ac:dyDescent="0.25">
      <c r="A272" s="28">
        <v>1.0629999999999999</v>
      </c>
      <c r="B272" s="29">
        <v>5715.349212199646</v>
      </c>
      <c r="C272" s="30">
        <v>9.4161958568705906E-4</v>
      </c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</row>
    <row r="273" spans="1:19" customFormat="1" x14ac:dyDescent="0.25">
      <c r="A273" s="28">
        <v>1.0640000000000001</v>
      </c>
      <c r="B273" s="29">
        <v>5720.217021692386</v>
      </c>
      <c r="C273" s="30">
        <v>9.4073377234238365E-4</v>
      </c>
      <c r="E273" s="152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</row>
    <row r="274" spans="1:19" customFormat="1" x14ac:dyDescent="0.25">
      <c r="A274" s="28">
        <v>1.0649999999999999</v>
      </c>
      <c r="B274" s="29">
        <v>5725.0848311851278</v>
      </c>
      <c r="C274" s="30">
        <v>9.3984962406001848E-4</v>
      </c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</row>
    <row r="275" spans="1:19" customFormat="1" x14ac:dyDescent="0.25">
      <c r="A275" s="28">
        <v>1.0660000000000001</v>
      </c>
      <c r="B275" s="29">
        <v>5729.9526406778696</v>
      </c>
      <c r="C275" s="30">
        <v>9.3896713615038152E-4</v>
      </c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</row>
    <row r="276" spans="1:19" customFormat="1" x14ac:dyDescent="0.25">
      <c r="A276" s="28">
        <v>1.0669999999999999</v>
      </c>
      <c r="B276" s="29">
        <v>5734.8204501706095</v>
      </c>
      <c r="C276" s="30">
        <v>9.3808630393965586E-4</v>
      </c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</row>
    <row r="277" spans="1:19" customFormat="1" x14ac:dyDescent="0.25">
      <c r="A277" s="28">
        <v>1.0680000000000001</v>
      </c>
      <c r="B277" s="29">
        <v>5739.6882596633532</v>
      </c>
      <c r="C277" s="30">
        <v>9.3720712277445273E-4</v>
      </c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</row>
    <row r="278" spans="1:19" customFormat="1" x14ac:dyDescent="0.25">
      <c r="A278" s="28">
        <v>1.069</v>
      </c>
      <c r="B278" s="29">
        <v>5744.556069156095</v>
      </c>
      <c r="C278" s="30">
        <v>9.3632958801515009E-4</v>
      </c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</row>
    <row r="279" spans="1:19" customFormat="1" x14ac:dyDescent="0.25">
      <c r="A279" s="28">
        <v>1.07</v>
      </c>
      <c r="B279" s="29">
        <v>5749.4238786488349</v>
      </c>
      <c r="C279" s="30">
        <v>9.3545369504188791E-4</v>
      </c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</row>
    <row r="280" spans="1:19" customFormat="1" x14ac:dyDescent="0.25">
      <c r="A280" s="28">
        <v>1.071</v>
      </c>
      <c r="B280" s="29">
        <v>5754.2916881415767</v>
      </c>
      <c r="C280" s="30">
        <v>9.3457943925234765E-4</v>
      </c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</row>
    <row r="281" spans="1:19" customFormat="1" x14ac:dyDescent="0.25">
      <c r="A281" s="28">
        <v>1.0720000000000001</v>
      </c>
      <c r="B281" s="29">
        <v>5759.1594976343176</v>
      </c>
      <c r="C281" s="30">
        <v>9.3370681605975392E-4</v>
      </c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</row>
    <row r="282" spans="1:19" customFormat="1" x14ac:dyDescent="0.25">
      <c r="A282" s="28">
        <v>1.073</v>
      </c>
      <c r="B282" s="29">
        <v>5764.0273071270603</v>
      </c>
      <c r="C282" s="30">
        <v>9.3283582089553896E-4</v>
      </c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</row>
    <row r="283" spans="1:19" customFormat="1" x14ac:dyDescent="0.25">
      <c r="A283" s="28">
        <v>1.0740000000000001</v>
      </c>
      <c r="B283" s="29">
        <v>5768.8951166197994</v>
      </c>
      <c r="C283" s="30">
        <v>9.3196644920778837E-4</v>
      </c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</row>
    <row r="284" spans="1:19" customFormat="1" x14ac:dyDescent="0.25">
      <c r="A284" s="28">
        <v>1.075</v>
      </c>
      <c r="B284" s="29">
        <v>5773.7629261125421</v>
      </c>
      <c r="C284" s="30">
        <v>9.3109869646190724E-4</v>
      </c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</row>
    <row r="285" spans="1:19" customFormat="1" x14ac:dyDescent="0.25">
      <c r="A285" s="28">
        <v>1.0760000000000001</v>
      </c>
      <c r="B285" s="29">
        <v>5778.630735605283</v>
      </c>
      <c r="C285" s="30">
        <v>9.3023255813950989E-4</v>
      </c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</row>
    <row r="286" spans="1:19" customFormat="1" x14ac:dyDescent="0.25">
      <c r="A286" s="28">
        <v>1.077</v>
      </c>
      <c r="B286" s="29">
        <v>5783.4985450980257</v>
      </c>
      <c r="C286" s="30">
        <v>9.2936802973975219E-4</v>
      </c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</row>
    <row r="287" spans="1:19" customFormat="1" x14ac:dyDescent="0.25">
      <c r="A287" s="28">
        <v>1.0780000000000001</v>
      </c>
      <c r="B287" s="29">
        <v>5788.3663545907666</v>
      </c>
      <c r="C287" s="30">
        <v>9.2850510677822129E-4</v>
      </c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</row>
    <row r="288" spans="1:19" customFormat="1" x14ac:dyDescent="0.25">
      <c r="A288" s="28">
        <v>1.079</v>
      </c>
      <c r="B288" s="29">
        <v>5793.2341640835075</v>
      </c>
      <c r="C288" s="30">
        <v>9.2764378478649157E-4</v>
      </c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</row>
    <row r="289" spans="1:19" customFormat="1" x14ac:dyDescent="0.25">
      <c r="A289" s="28">
        <v>1.08</v>
      </c>
      <c r="B289" s="29">
        <v>5798.1019735762502</v>
      </c>
      <c r="C289" s="30">
        <v>9.2678405931434504E-4</v>
      </c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</row>
    <row r="290" spans="1:19" customFormat="1" x14ac:dyDescent="0.25">
      <c r="A290" s="28">
        <v>1.081</v>
      </c>
      <c r="B290" s="29">
        <v>5802.9697830689902</v>
      </c>
      <c r="C290" s="30">
        <v>9.2592592592577461E-4</v>
      </c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</row>
    <row r="291" spans="1:19" customFormat="1" x14ac:dyDescent="0.25">
      <c r="A291" s="28">
        <v>1.0820000000000001</v>
      </c>
      <c r="B291" s="29">
        <v>5807.8375925617329</v>
      </c>
      <c r="C291" s="30">
        <v>9.2506938020364693E-4</v>
      </c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</row>
    <row r="292" spans="1:19" customFormat="1" x14ac:dyDescent="0.25">
      <c r="A292" s="28">
        <v>1.083</v>
      </c>
      <c r="B292" s="29">
        <v>5812.7054020544729</v>
      </c>
      <c r="C292" s="30">
        <v>9.2421441774459545E-4</v>
      </c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</row>
    <row r="293" spans="1:19" customFormat="1" x14ac:dyDescent="0.25">
      <c r="A293" s="28">
        <v>1.0840000000000001</v>
      </c>
      <c r="B293" s="29">
        <v>5817.5732115472147</v>
      </c>
      <c r="C293" s="30">
        <v>9.2336103416457149E-4</v>
      </c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</row>
    <row r="294" spans="1:19" customFormat="1" x14ac:dyDescent="0.25">
      <c r="A294" s="28">
        <v>1.085</v>
      </c>
      <c r="B294" s="29">
        <v>5822.4410210399565</v>
      </c>
      <c r="C294" s="30">
        <v>9.2250922509218292E-4</v>
      </c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</row>
    <row r="295" spans="1:19" customFormat="1" x14ac:dyDescent="0.25">
      <c r="A295" s="28">
        <v>1.0860000000000001</v>
      </c>
      <c r="B295" s="29">
        <v>5827.3088305326974</v>
      </c>
      <c r="C295" s="30">
        <v>9.2165898617513342E-4</v>
      </c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</row>
    <row r="296" spans="1:19" customFormat="1" x14ac:dyDescent="0.25">
      <c r="A296" s="28">
        <v>1.087</v>
      </c>
      <c r="B296" s="29">
        <v>5832.1766400254382</v>
      </c>
      <c r="C296" s="30">
        <v>9.2081031307533756E-4</v>
      </c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</row>
    <row r="297" spans="1:19" customFormat="1" x14ac:dyDescent="0.25">
      <c r="A297" s="28">
        <v>1.0880000000000001</v>
      </c>
      <c r="B297" s="29">
        <v>5837.0444495181819</v>
      </c>
      <c r="C297" s="30">
        <v>9.1996320147225141E-4</v>
      </c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</row>
    <row r="298" spans="1:19" customFormat="1" x14ac:dyDescent="0.25">
      <c r="A298" s="28">
        <v>1.089</v>
      </c>
      <c r="B298" s="29">
        <v>5841.9122590109218</v>
      </c>
      <c r="C298" s="30">
        <v>9.1911764705865373E-4</v>
      </c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</row>
    <row r="299" spans="1:19" customFormat="1" x14ac:dyDescent="0.25">
      <c r="A299" s="28">
        <v>1.0900000000000001</v>
      </c>
      <c r="B299" s="29">
        <v>5846.7800685036636</v>
      </c>
      <c r="C299" s="30">
        <v>9.182736455464191E-4</v>
      </c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</row>
    <row r="300" spans="1:19" customFormat="1" x14ac:dyDescent="0.25">
      <c r="A300" s="28">
        <v>1.091</v>
      </c>
      <c r="B300" s="29">
        <v>5851.6478779964045</v>
      </c>
      <c r="C300" s="30">
        <v>9.1743119266052275E-4</v>
      </c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</row>
    <row r="301" spans="1:19" customFormat="1" x14ac:dyDescent="0.25">
      <c r="A301" s="28">
        <v>1.0920000000000001</v>
      </c>
      <c r="B301" s="29">
        <v>5856.5156874891472</v>
      </c>
      <c r="C301" s="30">
        <v>9.1659028414325938E-4</v>
      </c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</row>
    <row r="302" spans="1:19" customFormat="1" x14ac:dyDescent="0.25">
      <c r="A302" s="28">
        <v>1.093</v>
      </c>
      <c r="B302" s="29">
        <v>5861.3834969818881</v>
      </c>
      <c r="C302" s="30">
        <v>9.157509157509125E-4</v>
      </c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</row>
    <row r="303" spans="1:19" customFormat="1" x14ac:dyDescent="0.25">
      <c r="A303" s="28">
        <v>1.0940000000000001</v>
      </c>
      <c r="B303" s="29">
        <v>5866.2513064746308</v>
      </c>
      <c r="C303" s="30">
        <v>9.1491308325708509E-4</v>
      </c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</row>
    <row r="304" spans="1:19" customFormat="1" x14ac:dyDescent="0.25">
      <c r="A304" s="28">
        <v>1.095</v>
      </c>
      <c r="B304" s="29">
        <v>5871.1191159673726</v>
      </c>
      <c r="C304" s="30">
        <v>9.140767824500351E-4</v>
      </c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</row>
    <row r="305" spans="1:19" customFormat="1" x14ac:dyDescent="0.25">
      <c r="A305" s="28">
        <v>1.0960000000000001</v>
      </c>
      <c r="B305" s="29">
        <v>5875.9869254601126</v>
      </c>
      <c r="C305" s="30">
        <v>9.132420091322313E-4</v>
      </c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</row>
    <row r="306" spans="1:19" customFormat="1" x14ac:dyDescent="0.25">
      <c r="A306" s="28">
        <v>1.097</v>
      </c>
      <c r="B306" s="29">
        <v>5880.8547349528526</v>
      </c>
      <c r="C306" s="30">
        <v>9.1240875912390607E-4</v>
      </c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</row>
    <row r="307" spans="1:19" customFormat="1" x14ac:dyDescent="0.25">
      <c r="A307" s="28">
        <v>1.0980000000000001</v>
      </c>
      <c r="B307" s="29">
        <v>5885.7225444455944</v>
      </c>
      <c r="C307" s="30">
        <v>9.1157702825905851E-4</v>
      </c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</row>
    <row r="308" spans="1:19" customFormat="1" x14ac:dyDescent="0.25">
      <c r="A308" s="28">
        <v>1.099</v>
      </c>
      <c r="B308" s="29">
        <v>5890.5903539383362</v>
      </c>
      <c r="C308" s="30">
        <v>9.1074681238612065E-4</v>
      </c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</row>
    <row r="309" spans="1:19" customFormat="1" x14ac:dyDescent="0.25">
      <c r="A309" s="31">
        <v>1.1000000000000001</v>
      </c>
      <c r="B309" s="32">
        <v>7501.8352960356924</v>
      </c>
      <c r="C309" s="31">
        <v>0.3011828935395815</v>
      </c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</row>
    <row r="310" spans="1:19" customFormat="1" x14ac:dyDescent="0.25">
      <c r="A310" s="33">
        <v>1.101</v>
      </c>
      <c r="B310" s="34">
        <v>7508.1634483762555</v>
      </c>
      <c r="C310" s="33">
        <v>9.0909090909074841E-4</v>
      </c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</row>
    <row r="311" spans="1:19" customFormat="1" x14ac:dyDescent="0.25">
      <c r="A311" s="33">
        <v>1.1020000000000001</v>
      </c>
      <c r="B311" s="34">
        <v>7514.4916007168213</v>
      </c>
      <c r="C311" s="33">
        <v>9.0826521344267164E-4</v>
      </c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</row>
    <row r="312" spans="1:19" customFormat="1" x14ac:dyDescent="0.25">
      <c r="A312" s="33">
        <v>1.103</v>
      </c>
      <c r="B312" s="34">
        <v>7520.8197530573834</v>
      </c>
      <c r="C312" s="33">
        <v>9.0744101633388752E-4</v>
      </c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</row>
    <row r="313" spans="1:19" customFormat="1" x14ac:dyDescent="0.25">
      <c r="A313" s="33">
        <v>1.1040000000000001</v>
      </c>
      <c r="B313" s="34">
        <v>7527.1479053979474</v>
      </c>
      <c r="C313" s="33">
        <v>9.0661831368987755E-4</v>
      </c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</row>
    <row r="314" spans="1:19" customFormat="1" x14ac:dyDescent="0.25">
      <c r="A314" s="33">
        <v>1.105</v>
      </c>
      <c r="B314" s="34">
        <v>7533.4760577385105</v>
      </c>
      <c r="C314" s="33">
        <v>9.0579710144922387E-4</v>
      </c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</row>
    <row r="315" spans="1:19" customFormat="1" x14ac:dyDescent="0.25">
      <c r="A315" s="33">
        <v>1.1060000000000001</v>
      </c>
      <c r="B315" s="34">
        <v>7539.8042100790735</v>
      </c>
      <c r="C315" s="33">
        <v>9.0497737556560764E-4</v>
      </c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</row>
    <row r="316" spans="1:19" customFormat="1" x14ac:dyDescent="0.25">
      <c r="A316" s="33">
        <v>1.107</v>
      </c>
      <c r="B316" s="34">
        <v>7546.1323624196393</v>
      </c>
      <c r="C316" s="33">
        <v>9.0415913200758702E-4</v>
      </c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</row>
    <row r="317" spans="1:19" customFormat="1" x14ac:dyDescent="0.25">
      <c r="A317" s="33">
        <v>1.1080000000000001</v>
      </c>
      <c r="B317" s="34">
        <v>7552.4605147602015</v>
      </c>
      <c r="C317" s="33">
        <v>9.0334236675682078E-4</v>
      </c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</row>
    <row r="318" spans="1:19" customFormat="1" x14ac:dyDescent="0.25">
      <c r="A318" s="33">
        <v>1.109</v>
      </c>
      <c r="B318" s="34">
        <v>7558.7886671007627</v>
      </c>
      <c r="C318" s="33">
        <v>9.025270758118431E-4</v>
      </c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</row>
    <row r="319" spans="1:19" customFormat="1" x14ac:dyDescent="0.25">
      <c r="A319" s="33">
        <v>1.1100000000000001</v>
      </c>
      <c r="B319" s="34">
        <v>7565.1168194413276</v>
      </c>
      <c r="C319" s="33">
        <v>9.0171325518495493E-4</v>
      </c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</row>
    <row r="320" spans="1:19" customFormat="1" x14ac:dyDescent="0.25">
      <c r="A320" s="33">
        <v>1.111</v>
      </c>
      <c r="B320" s="34">
        <v>7571.4449717818916</v>
      </c>
      <c r="C320" s="33">
        <v>9.0090090090111374E-4</v>
      </c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</row>
    <row r="321" spans="1:19" customFormat="1" x14ac:dyDescent="0.25">
      <c r="A321" s="33">
        <v>1.1120000000000001</v>
      </c>
      <c r="B321" s="34">
        <v>7577.7731241224574</v>
      </c>
      <c r="C321" s="33">
        <v>9.0009000900104219E-4</v>
      </c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</row>
    <row r="322" spans="1:19" customFormat="1" x14ac:dyDescent="0.25">
      <c r="A322" s="33">
        <v>1.113</v>
      </c>
      <c r="B322" s="34">
        <v>7584.1012764630177</v>
      </c>
      <c r="C322" s="33">
        <v>8.9928057553922969E-4</v>
      </c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</row>
    <row r="323" spans="1:19" customFormat="1" x14ac:dyDescent="0.25">
      <c r="A323" s="33">
        <v>1.1140000000000001</v>
      </c>
      <c r="B323" s="34">
        <v>7590.4294288035817</v>
      </c>
      <c r="C323" s="33">
        <v>8.9847259658570877E-4</v>
      </c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</row>
    <row r="324" spans="1:19" customFormat="1" x14ac:dyDescent="0.25">
      <c r="A324" s="33">
        <v>1.115</v>
      </c>
      <c r="B324" s="34">
        <v>7596.7575811441448</v>
      </c>
      <c r="C324" s="33">
        <v>8.9766606822272443E-4</v>
      </c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</row>
    <row r="325" spans="1:19" customFormat="1" x14ac:dyDescent="0.25">
      <c r="A325" s="33">
        <v>1.1160000000000001</v>
      </c>
      <c r="B325" s="34">
        <v>7603.0857334847096</v>
      </c>
      <c r="C325" s="33">
        <v>8.9686098654717661E-4</v>
      </c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</row>
    <row r="326" spans="1:19" customFormat="1" x14ac:dyDescent="0.25">
      <c r="A326" s="33">
        <v>1.117</v>
      </c>
      <c r="B326" s="34">
        <v>7609.41388582527</v>
      </c>
      <c r="C326" s="33">
        <v>8.9605734766995404E-4</v>
      </c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</row>
    <row r="327" spans="1:19" customFormat="1" x14ac:dyDescent="0.25">
      <c r="A327" s="33">
        <v>1.1180000000000001</v>
      </c>
      <c r="B327" s="34">
        <v>7615.7420381658358</v>
      </c>
      <c r="C327" s="33">
        <v>8.9525514771726655E-4</v>
      </c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</row>
    <row r="328" spans="1:19" customFormat="1" x14ac:dyDescent="0.25">
      <c r="A328" s="33">
        <v>1.119</v>
      </c>
      <c r="B328" s="34">
        <v>7622.0701905063997</v>
      </c>
      <c r="C328" s="33">
        <v>8.944543828264262E-4</v>
      </c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</row>
    <row r="329" spans="1:19" customFormat="1" x14ac:dyDescent="0.25">
      <c r="A329" s="33">
        <v>1.1200000000000001</v>
      </c>
      <c r="B329" s="34">
        <v>7628.3983428469619</v>
      </c>
      <c r="C329" s="33">
        <v>8.9365504915095428E-4</v>
      </c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</row>
    <row r="330" spans="1:19" customFormat="1" x14ac:dyDescent="0.25">
      <c r="A330" s="33">
        <v>1.121</v>
      </c>
      <c r="B330" s="34">
        <v>7634.726495187525</v>
      </c>
      <c r="C330" s="33">
        <v>8.9285714285702866E-4</v>
      </c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</row>
    <row r="331" spans="1:19" customFormat="1" x14ac:dyDescent="0.25">
      <c r="A331" s="33">
        <v>1.1220000000000001</v>
      </c>
      <c r="B331" s="34">
        <v>7641.0546475280908</v>
      </c>
      <c r="C331" s="33">
        <v>8.9206066012526009E-4</v>
      </c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</row>
    <row r="332" spans="1:19" customFormat="1" x14ac:dyDescent="0.25">
      <c r="A332" s="33">
        <v>1.123</v>
      </c>
      <c r="B332" s="34">
        <v>7647.382799868652</v>
      </c>
      <c r="C332" s="33">
        <v>8.9126559714758358E-4</v>
      </c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</row>
    <row r="333" spans="1:19" customFormat="1" x14ac:dyDescent="0.25">
      <c r="A333" s="33">
        <v>1.1240000000000001</v>
      </c>
      <c r="B333" s="34">
        <v>7653.7109522092169</v>
      </c>
      <c r="C333" s="33">
        <v>8.9047195013369773E-4</v>
      </c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</row>
    <row r="334" spans="1:19" customFormat="1" x14ac:dyDescent="0.25">
      <c r="A334" s="33">
        <v>1.125</v>
      </c>
      <c r="B334" s="34">
        <v>7660.0391045497799</v>
      </c>
      <c r="C334" s="33">
        <v>8.8967971530240497E-4</v>
      </c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</row>
    <row r="335" spans="1:19" customFormat="1" x14ac:dyDescent="0.25">
      <c r="A335" s="33">
        <v>1.1259999999999999</v>
      </c>
      <c r="B335" s="34">
        <v>7666.3672568903421</v>
      </c>
      <c r="C335" s="33">
        <v>8.8888888888871698E-4</v>
      </c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</row>
    <row r="336" spans="1:19" customFormat="1" x14ac:dyDescent="0.25">
      <c r="A336" s="33">
        <v>1.127</v>
      </c>
      <c r="B336" s="34">
        <v>7672.695409230907</v>
      </c>
      <c r="C336" s="33">
        <v>8.8809946714052401E-4</v>
      </c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</row>
    <row r="337" spans="1:19" customFormat="1" x14ac:dyDescent="0.25">
      <c r="A337" s="33">
        <v>1.1279999999999999</v>
      </c>
      <c r="B337" s="34">
        <v>7679.0235615714701</v>
      </c>
      <c r="C337" s="33">
        <v>8.8731144631748471E-4</v>
      </c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</row>
    <row r="338" spans="1:19" customFormat="1" x14ac:dyDescent="0.25">
      <c r="A338" s="33">
        <v>1.129</v>
      </c>
      <c r="B338" s="34">
        <v>7685.3517139120349</v>
      </c>
      <c r="C338" s="33">
        <v>8.8652482269524491E-4</v>
      </c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</row>
    <row r="339" spans="1:19" customFormat="1" x14ac:dyDescent="0.25">
      <c r="A339" s="33">
        <v>1.1299999999999999</v>
      </c>
      <c r="B339" s="34">
        <v>7691.6798662525962</v>
      </c>
      <c r="C339" s="33">
        <v>8.8573959255944246E-4</v>
      </c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</row>
    <row r="340" spans="1:19" customFormat="1" x14ac:dyDescent="0.25">
      <c r="A340" s="33">
        <v>1.131</v>
      </c>
      <c r="B340" s="34">
        <v>7698.008018593162</v>
      </c>
      <c r="C340" s="33">
        <v>8.8495575221281264E-4</v>
      </c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</row>
    <row r="341" spans="1:19" customFormat="1" x14ac:dyDescent="0.25">
      <c r="A341" s="33">
        <v>1.1319999999999999</v>
      </c>
      <c r="B341" s="34">
        <v>7704.336170933726</v>
      </c>
      <c r="C341" s="33">
        <v>8.8417329796630639E-4</v>
      </c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</row>
    <row r="342" spans="1:19" customFormat="1" x14ac:dyDescent="0.25">
      <c r="A342" s="33">
        <v>1.133</v>
      </c>
      <c r="B342" s="34">
        <v>7710.6643232742899</v>
      </c>
      <c r="C342" s="33">
        <v>8.8339222614841617E-4</v>
      </c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</row>
    <row r="343" spans="1:19" customFormat="1" x14ac:dyDescent="0.25">
      <c r="A343" s="33">
        <v>1.1339999999999999</v>
      </c>
      <c r="B343" s="34">
        <v>7716.9924756148521</v>
      </c>
      <c r="C343" s="33">
        <v>8.8261253309784848E-4</v>
      </c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</row>
    <row r="344" spans="1:19" customFormat="1" x14ac:dyDescent="0.25">
      <c r="A344" s="33">
        <v>1.135</v>
      </c>
      <c r="B344" s="34">
        <v>7723.320627955417</v>
      </c>
      <c r="C344" s="33">
        <v>8.8183421516774274E-4</v>
      </c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</row>
    <row r="345" spans="1:19" customFormat="1" x14ac:dyDescent="0.25">
      <c r="A345" s="33">
        <v>1.1359999999999999</v>
      </c>
      <c r="B345" s="34">
        <v>7729.6487802959773</v>
      </c>
      <c r="C345" s="33">
        <v>8.8105726872211854E-4</v>
      </c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</row>
    <row r="346" spans="1:19" customFormat="1" x14ac:dyDescent="0.25">
      <c r="A346" s="33">
        <v>1.137</v>
      </c>
      <c r="B346" s="34">
        <v>7735.9769326365422</v>
      </c>
      <c r="C346" s="33">
        <v>8.8028169014098268E-4</v>
      </c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</row>
    <row r="347" spans="1:19" customFormat="1" x14ac:dyDescent="0.25">
      <c r="A347" s="33">
        <v>1.1379999999999999</v>
      </c>
      <c r="B347" s="34">
        <v>7742.305084977108</v>
      </c>
      <c r="C347" s="33">
        <v>8.7950747581366784E-4</v>
      </c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</row>
    <row r="348" spans="1:19" customFormat="1" x14ac:dyDescent="0.25">
      <c r="A348" s="33">
        <v>1.139</v>
      </c>
      <c r="B348" s="34">
        <v>7748.633237317672</v>
      </c>
      <c r="C348" s="33">
        <v>8.7873462214416165E-4</v>
      </c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</row>
    <row r="349" spans="1:19" customFormat="1" x14ac:dyDescent="0.25">
      <c r="A349" s="33">
        <v>1.1399999999999999</v>
      </c>
      <c r="B349" s="34">
        <v>7754.9613896582341</v>
      </c>
      <c r="C349" s="33">
        <v>8.7796312554866418E-4</v>
      </c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</row>
    <row r="350" spans="1:19" customFormat="1" x14ac:dyDescent="0.25">
      <c r="A350" s="33">
        <v>1.141</v>
      </c>
      <c r="B350" s="34">
        <v>7761.289541998799</v>
      </c>
      <c r="C350" s="33">
        <v>8.771929824562541E-4</v>
      </c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</row>
    <row r="351" spans="1:19" customFormat="1" x14ac:dyDescent="0.25">
      <c r="A351" s="33">
        <v>1.1419999999999999</v>
      </c>
      <c r="B351" s="34">
        <v>7767.6176943393639</v>
      </c>
      <c r="C351" s="33">
        <v>8.7642418930777843E-4</v>
      </c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</row>
    <row r="352" spans="1:19" customFormat="1" x14ac:dyDescent="0.25">
      <c r="A352" s="33">
        <v>1.143</v>
      </c>
      <c r="B352" s="34">
        <v>7773.9458466799279</v>
      </c>
      <c r="C352" s="33">
        <v>8.756567425569628E-4</v>
      </c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</row>
    <row r="353" spans="1:19" customFormat="1" x14ac:dyDescent="0.25">
      <c r="A353" s="33">
        <v>1.1439999999999999</v>
      </c>
      <c r="B353" s="34">
        <v>7780.2739990204882</v>
      </c>
      <c r="C353" s="33">
        <v>8.7489063866974526E-4</v>
      </c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</row>
    <row r="354" spans="1:19" customFormat="1" x14ac:dyDescent="0.25">
      <c r="A354" s="33">
        <v>1.145</v>
      </c>
      <c r="B354" s="34">
        <v>7786.602151361054</v>
      </c>
      <c r="C354" s="33">
        <v>8.7412587412605269E-4</v>
      </c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</row>
    <row r="355" spans="1:19" customFormat="1" x14ac:dyDescent="0.25">
      <c r="A355" s="33">
        <v>1.1459999999999999</v>
      </c>
      <c r="B355" s="34">
        <v>7792.930303701618</v>
      </c>
      <c r="C355" s="33">
        <v>8.7336244541491581E-4</v>
      </c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</row>
    <row r="356" spans="1:19" customFormat="1" x14ac:dyDescent="0.25">
      <c r="A356" s="33">
        <v>1.147</v>
      </c>
      <c r="B356" s="34">
        <v>7799.2584560421819</v>
      </c>
      <c r="C356" s="33">
        <v>8.7260034904024231E-4</v>
      </c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</row>
    <row r="357" spans="1:19" customFormat="1" x14ac:dyDescent="0.25">
      <c r="A357" s="33">
        <v>1.1479999999999999</v>
      </c>
      <c r="B357" s="34">
        <v>7805.5866083827441</v>
      </c>
      <c r="C357" s="33">
        <v>8.7183958151682006E-4</v>
      </c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</row>
    <row r="358" spans="1:19" customFormat="1" x14ac:dyDescent="0.25">
      <c r="A358" s="33">
        <v>1.149</v>
      </c>
      <c r="B358" s="34">
        <v>7811.9147607233072</v>
      </c>
      <c r="C358" s="33">
        <v>8.7108013937275963E-4</v>
      </c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</row>
    <row r="359" spans="1:19" customFormat="1" x14ac:dyDescent="0.25">
      <c r="A359" s="33">
        <v>1.1499999999999999</v>
      </c>
      <c r="B359" s="34">
        <v>7818.242913063872</v>
      </c>
      <c r="C359" s="33">
        <v>8.7032201914727381E-4</v>
      </c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</row>
    <row r="360" spans="1:19" customFormat="1" x14ac:dyDescent="0.25">
      <c r="A360" s="33">
        <v>1.151</v>
      </c>
      <c r="B360" s="34">
        <v>7824.571065404436</v>
      </c>
      <c r="C360" s="33">
        <v>8.6956521739134374E-4</v>
      </c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</row>
    <row r="361" spans="1:19" customFormat="1" x14ac:dyDescent="0.25">
      <c r="A361" s="33">
        <v>1.1519999999999999</v>
      </c>
      <c r="B361" s="34">
        <v>7830.8992177449982</v>
      </c>
      <c r="C361" s="33">
        <v>8.6880973066882916E-4</v>
      </c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</row>
    <row r="362" spans="1:19" customFormat="1" x14ac:dyDescent="0.25">
      <c r="A362" s="33">
        <v>1.153</v>
      </c>
      <c r="B362" s="34">
        <v>7837.2273700855612</v>
      </c>
      <c r="C362" s="33">
        <v>8.6805555555535818E-4</v>
      </c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</row>
    <row r="363" spans="1:19" customFormat="1" x14ac:dyDescent="0.25">
      <c r="A363" s="33">
        <v>1.1539999999999999</v>
      </c>
      <c r="B363" s="34">
        <v>7843.5555224261261</v>
      </c>
      <c r="C363" s="33">
        <v>8.6730268863854931E-4</v>
      </c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</row>
    <row r="364" spans="1:19" customFormat="1" x14ac:dyDescent="0.25">
      <c r="A364" s="33">
        <v>1.155</v>
      </c>
      <c r="B364" s="34">
        <v>7849.8836747666901</v>
      </c>
      <c r="C364" s="33">
        <v>8.665511265166792E-4</v>
      </c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</row>
    <row r="365" spans="1:19" customFormat="1" x14ac:dyDescent="0.25">
      <c r="A365" s="33">
        <v>1.1559999999999999</v>
      </c>
      <c r="B365" s="34">
        <v>7856.2118271072532</v>
      </c>
      <c r="C365" s="33">
        <v>8.6580086580068105E-4</v>
      </c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</row>
    <row r="366" spans="1:19" customFormat="1" x14ac:dyDescent="0.25">
      <c r="A366" s="33">
        <v>1.157</v>
      </c>
      <c r="B366" s="34">
        <v>7862.5399794478162</v>
      </c>
      <c r="C366" s="33">
        <v>8.6505190311414459E-4</v>
      </c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</row>
    <row r="367" spans="1:19" customFormat="1" x14ac:dyDescent="0.25">
      <c r="A367" s="33">
        <v>1.1579999999999999</v>
      </c>
      <c r="B367" s="34">
        <v>7868.8681317883811</v>
      </c>
      <c r="C367" s="33">
        <v>8.6430423509087362E-4</v>
      </c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</row>
    <row r="368" spans="1:19" customFormat="1" x14ac:dyDescent="0.25">
      <c r="A368" s="33">
        <v>1.159</v>
      </c>
      <c r="B368" s="34">
        <v>7875.1962841289442</v>
      </c>
      <c r="C368" s="33">
        <v>8.6355785837644028E-4</v>
      </c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</row>
    <row r="369" spans="1:19" customFormat="1" x14ac:dyDescent="0.25">
      <c r="A369" s="33">
        <v>1.1599999999999999</v>
      </c>
      <c r="B369" s="34">
        <v>7881.5244364695081</v>
      </c>
      <c r="C369" s="33">
        <v>8.6281276962907327E-4</v>
      </c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</row>
    <row r="370" spans="1:19" customFormat="1" x14ac:dyDescent="0.25">
      <c r="A370" s="33">
        <v>1.161</v>
      </c>
      <c r="B370" s="34">
        <v>7887.8525888100712</v>
      </c>
      <c r="C370" s="33">
        <v>8.6206896551721535E-4</v>
      </c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</row>
    <row r="371" spans="1:19" customFormat="1" x14ac:dyDescent="0.25">
      <c r="A371" s="33">
        <v>1.1619999999999999</v>
      </c>
      <c r="B371" s="34">
        <v>7894.1807411506352</v>
      </c>
      <c r="C371" s="33">
        <v>8.6132644272174375E-4</v>
      </c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</row>
    <row r="372" spans="1:19" customFormat="1" x14ac:dyDescent="0.25">
      <c r="A372" s="33">
        <v>1.163</v>
      </c>
      <c r="B372" s="34">
        <v>7900.5088934911992</v>
      </c>
      <c r="C372" s="33">
        <v>8.6058519793463795E-4</v>
      </c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</row>
    <row r="373" spans="1:19" customFormat="1" x14ac:dyDescent="0.25">
      <c r="A373" s="33">
        <v>1.1639999999999999</v>
      </c>
      <c r="B373" s="34">
        <v>7906.8370458317622</v>
      </c>
      <c r="C373" s="33">
        <v>8.5984522785897965E-4</v>
      </c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</row>
    <row r="374" spans="1:19" customFormat="1" x14ac:dyDescent="0.25">
      <c r="A374" s="33">
        <v>1.165</v>
      </c>
      <c r="B374" s="34">
        <v>7913.1651981723271</v>
      </c>
      <c r="C374" s="33">
        <v>8.5910652920984099E-4</v>
      </c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</row>
    <row r="375" spans="1:19" customFormat="1" x14ac:dyDescent="0.25">
      <c r="A375" s="33">
        <v>1.1659999999999999</v>
      </c>
      <c r="B375" s="34">
        <v>7919.4933505128902</v>
      </c>
      <c r="C375" s="33">
        <v>8.5836909871228606E-4</v>
      </c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</row>
    <row r="376" spans="1:19" customFormat="1" x14ac:dyDescent="0.25">
      <c r="A376" s="33">
        <v>1.167</v>
      </c>
      <c r="B376" s="34">
        <v>7925.821502853456</v>
      </c>
      <c r="C376" s="33">
        <v>8.5763293310470168E-4</v>
      </c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</row>
    <row r="377" spans="1:19" customFormat="1" x14ac:dyDescent="0.25">
      <c r="A377" s="33">
        <v>1.1679999999999999</v>
      </c>
      <c r="B377" s="34">
        <v>7932.1496551940181</v>
      </c>
      <c r="C377" s="33">
        <v>8.5689802913457847E-4</v>
      </c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</row>
    <row r="378" spans="1:19" customFormat="1" x14ac:dyDescent="0.25">
      <c r="A378" s="33">
        <v>1.169</v>
      </c>
      <c r="B378" s="34">
        <v>7938.4778075345857</v>
      </c>
      <c r="C378" s="33">
        <v>8.5616438356206359E-4</v>
      </c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</row>
    <row r="379" spans="1:19" customFormat="1" x14ac:dyDescent="0.25">
      <c r="A379" s="33">
        <v>1.17</v>
      </c>
      <c r="B379" s="34">
        <v>7944.805959875147</v>
      </c>
      <c r="C379" s="33">
        <v>8.5543199315618601E-4</v>
      </c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</row>
    <row r="380" spans="1:19" customFormat="1" x14ac:dyDescent="0.25">
      <c r="A380" s="33">
        <v>1.171</v>
      </c>
      <c r="B380" s="34">
        <v>7951.1341122157119</v>
      </c>
      <c r="C380" s="33">
        <v>8.5470085470107371E-4</v>
      </c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</row>
    <row r="381" spans="1:19" customFormat="1" x14ac:dyDescent="0.25">
      <c r="A381" s="33">
        <v>1.1719999999999999</v>
      </c>
      <c r="B381" s="34">
        <v>7957.4622645562749</v>
      </c>
      <c r="C381" s="33">
        <v>8.5397096498707192E-4</v>
      </c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</row>
    <row r="382" spans="1:19" customFormat="1" x14ac:dyDescent="0.25">
      <c r="A382" s="33">
        <v>1.173</v>
      </c>
      <c r="B382" s="34">
        <v>7963.790416896838</v>
      </c>
      <c r="C382" s="33">
        <v>8.5324232081895879E-4</v>
      </c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</row>
    <row r="383" spans="1:19" customFormat="1" x14ac:dyDescent="0.25">
      <c r="A383" s="33">
        <v>1.1739999999999999</v>
      </c>
      <c r="B383" s="34">
        <v>7970.1185692374029</v>
      </c>
      <c r="C383" s="33">
        <v>8.525149190112824E-4</v>
      </c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</row>
    <row r="384" spans="1:19" customFormat="1" x14ac:dyDescent="0.25">
      <c r="A384" s="33">
        <v>1.175</v>
      </c>
      <c r="B384" s="34">
        <v>7976.4467215779678</v>
      </c>
      <c r="C384" s="33">
        <v>8.5178875638858287E-4</v>
      </c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</row>
    <row r="385" spans="1:19" customFormat="1" x14ac:dyDescent="0.25">
      <c r="A385" s="33">
        <v>1.1759999999999999</v>
      </c>
      <c r="B385" s="34">
        <v>7982.7748739185299</v>
      </c>
      <c r="C385" s="33">
        <v>8.5106382978694661E-4</v>
      </c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</row>
    <row r="386" spans="1:19" customFormat="1" x14ac:dyDescent="0.25">
      <c r="A386" s="33">
        <v>1.177</v>
      </c>
      <c r="B386" s="34">
        <v>7989.103026259093</v>
      </c>
      <c r="C386" s="33">
        <v>8.5034013605445047E-4</v>
      </c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</row>
    <row r="387" spans="1:19" customFormat="1" x14ac:dyDescent="0.25">
      <c r="A387" s="33">
        <v>1.1779999999999999</v>
      </c>
      <c r="B387" s="34">
        <v>7995.4311785996561</v>
      </c>
      <c r="C387" s="33">
        <v>8.4961767204760896E-4</v>
      </c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</row>
    <row r="388" spans="1:19" customFormat="1" x14ac:dyDescent="0.25">
      <c r="A388" s="33">
        <v>1.179</v>
      </c>
      <c r="B388" s="34">
        <v>8001.7593309402191</v>
      </c>
      <c r="C388" s="33">
        <v>8.4889643463492703E-4</v>
      </c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</row>
    <row r="389" spans="1:19" customFormat="1" x14ac:dyDescent="0.25">
      <c r="A389" s="33">
        <v>1.18</v>
      </c>
      <c r="B389" s="34">
        <v>8008.0874832807822</v>
      </c>
      <c r="C389" s="33">
        <v>8.4817642069534571E-4</v>
      </c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</row>
    <row r="390" spans="1:19" customFormat="1" x14ac:dyDescent="0.25">
      <c r="A390" s="33">
        <v>1.181</v>
      </c>
      <c r="B390" s="34">
        <v>8014.4156356213462</v>
      </c>
      <c r="C390" s="33">
        <v>8.4745762711868622E-4</v>
      </c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</row>
    <row r="391" spans="1:19" customFormat="1" x14ac:dyDescent="0.25">
      <c r="A391" s="33">
        <v>1.1819999999999999</v>
      </c>
      <c r="B391" s="34">
        <v>8020.7437879619101</v>
      </c>
      <c r="C391" s="33">
        <v>8.4674005080453973E-4</v>
      </c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</row>
    <row r="392" spans="1:19" customFormat="1" x14ac:dyDescent="0.25">
      <c r="A392" s="33">
        <v>1.1830000000000001</v>
      </c>
      <c r="B392" s="34">
        <v>8027.0719403024741</v>
      </c>
      <c r="C392" s="33">
        <v>8.4602368866315558E-4</v>
      </c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</row>
    <row r="393" spans="1:19" customFormat="1" x14ac:dyDescent="0.25">
      <c r="A393" s="33">
        <v>1.1839999999999999</v>
      </c>
      <c r="B393" s="34">
        <v>8033.4000926430372</v>
      </c>
      <c r="C393" s="33">
        <v>8.4530853761610736E-4</v>
      </c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</row>
    <row r="394" spans="1:19" customFormat="1" x14ac:dyDescent="0.25">
      <c r="A394" s="33">
        <v>1.1850000000000001</v>
      </c>
      <c r="B394" s="34">
        <v>8039.7282449836002</v>
      </c>
      <c r="C394" s="33">
        <v>8.4459459459451658E-4</v>
      </c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</row>
    <row r="395" spans="1:19" customFormat="1" x14ac:dyDescent="0.25">
      <c r="A395" s="33">
        <v>1.1859999999999999</v>
      </c>
      <c r="B395" s="34">
        <v>8046.0563973241651</v>
      </c>
      <c r="C395" s="33">
        <v>8.438818565401629E-4</v>
      </c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</row>
    <row r="396" spans="1:19" customFormat="1" x14ac:dyDescent="0.25">
      <c r="A396" s="33">
        <v>1.1870000000000001</v>
      </c>
      <c r="B396" s="34">
        <v>8052.38454966473</v>
      </c>
      <c r="C396" s="33">
        <v>8.4317032040481799E-4</v>
      </c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</row>
    <row r="397" spans="1:19" customFormat="1" x14ac:dyDescent="0.25">
      <c r="A397" s="33">
        <v>1.1879999999999999</v>
      </c>
      <c r="B397" s="34">
        <v>8058.7127020052949</v>
      </c>
      <c r="C397" s="33">
        <v>8.4245998315091164E-4</v>
      </c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</row>
    <row r="398" spans="1:19" customFormat="1" x14ac:dyDescent="0.25">
      <c r="A398" s="33">
        <v>1.1890000000000001</v>
      </c>
      <c r="B398" s="34">
        <v>8065.040854345858</v>
      </c>
      <c r="C398" s="33">
        <v>8.4175084175086567E-4</v>
      </c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</row>
    <row r="399" spans="1:19" customFormat="1" x14ac:dyDescent="0.25">
      <c r="A399" s="33">
        <v>1.19</v>
      </c>
      <c r="B399" s="34">
        <v>8071.3690066864219</v>
      </c>
      <c r="C399" s="33">
        <v>8.41042893187538E-4</v>
      </c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</row>
    <row r="400" spans="1:19" customFormat="1" x14ac:dyDescent="0.25">
      <c r="A400" s="33">
        <v>1.1910000000000001</v>
      </c>
      <c r="B400" s="34">
        <v>8077.6971590269859</v>
      </c>
      <c r="C400" s="33">
        <v>8.4033613445400057E-4</v>
      </c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</row>
    <row r="401" spans="1:19" customFormat="1" x14ac:dyDescent="0.25">
      <c r="A401" s="33">
        <v>1.1919999999999999</v>
      </c>
      <c r="B401" s="34">
        <v>8084.0253113675499</v>
      </c>
      <c r="C401" s="33">
        <v>8.3963056255242918E-4</v>
      </c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</row>
    <row r="402" spans="1:19" customFormat="1" x14ac:dyDescent="0.25">
      <c r="A402" s="33">
        <v>1.1930000000000001</v>
      </c>
      <c r="B402" s="34">
        <v>8090.3534637081148</v>
      </c>
      <c r="C402" s="33">
        <v>8.3892617449676798E-4</v>
      </c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</row>
    <row r="403" spans="1:19" customFormat="1" x14ac:dyDescent="0.25">
      <c r="A403" s="33">
        <v>1.194</v>
      </c>
      <c r="B403" s="34">
        <v>8096.6816160486778</v>
      </c>
      <c r="C403" s="33">
        <v>8.3822296730917678E-4</v>
      </c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</row>
    <row r="404" spans="1:19" customFormat="1" x14ac:dyDescent="0.25">
      <c r="A404" s="33">
        <v>1.1950000000000001</v>
      </c>
      <c r="B404" s="34">
        <v>8103.0097683892409</v>
      </c>
      <c r="C404" s="33">
        <v>8.3752093802336169E-4</v>
      </c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</row>
    <row r="405" spans="1:19" customFormat="1" x14ac:dyDescent="0.25">
      <c r="A405" s="33">
        <v>1.196</v>
      </c>
      <c r="B405" s="34">
        <v>8109.3379207298058</v>
      </c>
      <c r="C405" s="33">
        <v>8.3682008368213268E-4</v>
      </c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</row>
    <row r="406" spans="1:19" customFormat="1" x14ac:dyDescent="0.25">
      <c r="A406" s="33">
        <v>1.1970000000000001</v>
      </c>
      <c r="B406" s="34">
        <v>8115.6660730703697</v>
      </c>
      <c r="C406" s="33">
        <v>8.361204013378476E-4</v>
      </c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</row>
    <row r="407" spans="1:19" customFormat="1" x14ac:dyDescent="0.25">
      <c r="A407" s="33">
        <v>1.198</v>
      </c>
      <c r="B407" s="34">
        <v>8121.9942254109292</v>
      </c>
      <c r="C407" s="33">
        <v>8.3542188805307838E-4</v>
      </c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</row>
    <row r="408" spans="1:19" customFormat="1" x14ac:dyDescent="0.25">
      <c r="A408" s="33">
        <v>1.1990000000000001</v>
      </c>
      <c r="B408" s="34">
        <v>8128.3223777514941</v>
      </c>
      <c r="C408" s="33">
        <v>8.3472454090172121E-4</v>
      </c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</row>
    <row r="409" spans="1:19" customFormat="1" x14ac:dyDescent="0.25">
      <c r="A409" s="31">
        <v>1.2</v>
      </c>
      <c r="B409" s="32">
        <v>9711.8208057402262</v>
      </c>
      <c r="C409" s="31">
        <v>0.2086995573234105</v>
      </c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</row>
    <row r="410" spans="1:19" customFormat="1" x14ac:dyDescent="0.25">
      <c r="A410" s="33">
        <v>1.2010000000000001</v>
      </c>
      <c r="B410" s="34">
        <v>9719.463266643832</v>
      </c>
      <c r="C410" s="33">
        <v>8.333333333334636E-4</v>
      </c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</row>
    <row r="411" spans="1:19" customFormat="1" x14ac:dyDescent="0.25">
      <c r="A411" s="33">
        <v>1.202</v>
      </c>
      <c r="B411" s="34">
        <v>9727.1057275474341</v>
      </c>
      <c r="C411" s="33">
        <v>8.3263946711054082E-4</v>
      </c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</row>
    <row r="412" spans="1:19" customFormat="1" x14ac:dyDescent="0.25">
      <c r="A412" s="33">
        <v>1.2030000000000001</v>
      </c>
      <c r="B412" s="34">
        <v>9734.7481884510398</v>
      </c>
      <c r="C412" s="33">
        <v>8.3194675540787522E-4</v>
      </c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</row>
    <row r="413" spans="1:19" customFormat="1" x14ac:dyDescent="0.25">
      <c r="A413" s="33">
        <v>1.204</v>
      </c>
      <c r="B413" s="34">
        <v>9742.3906493546419</v>
      </c>
      <c r="C413" s="33">
        <v>8.3125519534466008E-4</v>
      </c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</row>
    <row r="414" spans="1:19" customFormat="1" x14ac:dyDescent="0.25">
      <c r="A414" s="33">
        <v>1.2050000000000001</v>
      </c>
      <c r="B414" s="34">
        <v>9750.0331102582477</v>
      </c>
      <c r="C414" s="33">
        <v>8.3056478405341139E-4</v>
      </c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</row>
    <row r="415" spans="1:19" customFormat="1" x14ac:dyDescent="0.25">
      <c r="A415" s="33">
        <v>1.206</v>
      </c>
      <c r="B415" s="34">
        <v>9757.6755711618498</v>
      </c>
      <c r="C415" s="33">
        <v>8.2987551867197418E-4</v>
      </c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</row>
    <row r="416" spans="1:19" customFormat="1" x14ac:dyDescent="0.25">
      <c r="A416" s="33">
        <v>1.2070000000000001</v>
      </c>
      <c r="B416" s="34">
        <v>9765.3180320654537</v>
      </c>
      <c r="C416" s="33">
        <v>8.2918739635173822E-4</v>
      </c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</row>
    <row r="417" spans="1:19" customFormat="1" x14ac:dyDescent="0.25">
      <c r="A417" s="33">
        <v>1.208</v>
      </c>
      <c r="B417" s="34">
        <v>9772.9604929690613</v>
      </c>
      <c r="C417" s="33">
        <v>8.2850041425053256E-4</v>
      </c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</row>
    <row r="418" spans="1:19" customFormat="1" x14ac:dyDescent="0.25">
      <c r="A418" s="33">
        <v>1.2090000000000001</v>
      </c>
      <c r="B418" s="34">
        <v>9780.6029538726634</v>
      </c>
      <c r="C418" s="33">
        <v>8.2781456953640031E-4</v>
      </c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</row>
    <row r="419" spans="1:19" customFormat="1" x14ac:dyDescent="0.25">
      <c r="A419" s="33">
        <v>1.21</v>
      </c>
      <c r="B419" s="34">
        <v>9788.2454147762674</v>
      </c>
      <c r="C419" s="33">
        <v>8.2712985938804273E-4</v>
      </c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</row>
    <row r="420" spans="1:19" customFormat="1" x14ac:dyDescent="0.25">
      <c r="A420" s="33">
        <v>1.2110000000000001</v>
      </c>
      <c r="B420" s="34">
        <v>9795.8878756798731</v>
      </c>
      <c r="C420" s="33">
        <v>8.2644628099171058E-4</v>
      </c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</row>
    <row r="421" spans="1:19" customFormat="1" x14ac:dyDescent="0.25">
      <c r="A421" s="33">
        <v>1.212</v>
      </c>
      <c r="B421" s="34">
        <v>9803.5303365834734</v>
      </c>
      <c r="C421" s="33">
        <v>8.2576383154386868E-4</v>
      </c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</row>
    <row r="422" spans="1:19" customFormat="1" x14ac:dyDescent="0.25">
      <c r="A422" s="33">
        <v>1.2130000000000001</v>
      </c>
      <c r="B422" s="34">
        <v>9811.1727974870773</v>
      </c>
      <c r="C422" s="33">
        <v>8.2508250825097385E-4</v>
      </c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</row>
    <row r="423" spans="1:19" customFormat="1" x14ac:dyDescent="0.25">
      <c r="A423" s="33">
        <v>1.214</v>
      </c>
      <c r="B423" s="34">
        <v>9818.8152583906813</v>
      </c>
      <c r="C423" s="33">
        <v>8.244023083263663E-4</v>
      </c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</row>
    <row r="424" spans="1:19" customFormat="1" x14ac:dyDescent="0.25">
      <c r="A424" s="33">
        <v>1.2150000000000001</v>
      </c>
      <c r="B424" s="34">
        <v>9826.4577192942852</v>
      </c>
      <c r="C424" s="33">
        <v>8.237232289951546E-4</v>
      </c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</row>
    <row r="425" spans="1:19" customFormat="1" x14ac:dyDescent="0.25">
      <c r="A425" s="33">
        <v>1.216</v>
      </c>
      <c r="B425" s="34">
        <v>9834.1001801978909</v>
      </c>
      <c r="C425" s="33">
        <v>8.230452674897748E-4</v>
      </c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</row>
    <row r="426" spans="1:19" customFormat="1" x14ac:dyDescent="0.25">
      <c r="A426" s="33">
        <v>1.2170000000000001</v>
      </c>
      <c r="B426" s="34">
        <v>9841.7426411014931</v>
      </c>
      <c r="C426" s="33">
        <v>8.2236842105265495E-4</v>
      </c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</row>
    <row r="427" spans="1:19" customFormat="1" x14ac:dyDescent="0.25">
      <c r="A427" s="33">
        <v>1.218</v>
      </c>
      <c r="B427" s="34">
        <v>9849.385102005097</v>
      </c>
      <c r="C427" s="33">
        <v>8.2169268693510489E-4</v>
      </c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</row>
    <row r="428" spans="1:19" customFormat="1" x14ac:dyDescent="0.25">
      <c r="A428" s="33">
        <v>1.2190000000000001</v>
      </c>
      <c r="B428" s="34">
        <v>9857.0275629087009</v>
      </c>
      <c r="C428" s="33">
        <v>8.2101806239731623E-4</v>
      </c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</row>
    <row r="429" spans="1:19" customFormat="1" x14ac:dyDescent="0.25">
      <c r="A429" s="33">
        <v>1.22</v>
      </c>
      <c r="B429" s="34">
        <v>9864.6700238123012</v>
      </c>
      <c r="C429" s="33">
        <v>8.2034454470858442E-4</v>
      </c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</row>
    <row r="430" spans="1:19" customFormat="1" x14ac:dyDescent="0.25">
      <c r="A430" s="33">
        <v>1.2210000000000001</v>
      </c>
      <c r="B430" s="34">
        <v>9872.3124847159052</v>
      </c>
      <c r="C430" s="33">
        <v>8.1967213114753079E-4</v>
      </c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</row>
    <row r="431" spans="1:19" customFormat="1" x14ac:dyDescent="0.25">
      <c r="A431" s="33">
        <v>1.222</v>
      </c>
      <c r="B431" s="34">
        <v>9879.9549456195091</v>
      </c>
      <c r="C431" s="33">
        <v>8.1900081900077026E-4</v>
      </c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</row>
    <row r="432" spans="1:19" customFormat="1" x14ac:dyDescent="0.25">
      <c r="A432" s="33">
        <v>1.2230000000000001</v>
      </c>
      <c r="B432" s="34">
        <v>9887.597406523113</v>
      </c>
      <c r="C432" s="33">
        <v>8.1833060556468773E-4</v>
      </c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</row>
    <row r="433" spans="1:19" customFormat="1" x14ac:dyDescent="0.25">
      <c r="A433" s="33">
        <v>1.224</v>
      </c>
      <c r="B433" s="34">
        <v>9895.239867426717</v>
      </c>
      <c r="C433" s="33">
        <v>8.1766148814388373E-4</v>
      </c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</row>
    <row r="434" spans="1:19" customFormat="1" x14ac:dyDescent="0.25">
      <c r="A434" s="33">
        <v>1.2250000000000001</v>
      </c>
      <c r="B434" s="34">
        <v>9902.8823283303209</v>
      </c>
      <c r="C434" s="33">
        <v>8.1699346405228468E-4</v>
      </c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</row>
    <row r="435" spans="1:19" customFormat="1" x14ac:dyDescent="0.25">
      <c r="A435" s="33">
        <v>1.226</v>
      </c>
      <c r="B435" s="34">
        <v>9910.524789233923</v>
      </c>
      <c r="C435" s="33">
        <v>8.1632653061225469E-4</v>
      </c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</row>
    <row r="436" spans="1:19" customFormat="1" x14ac:dyDescent="0.25">
      <c r="A436" s="33">
        <v>1.2270000000000001</v>
      </c>
      <c r="B436" s="34">
        <v>9918.1672501375251</v>
      </c>
      <c r="C436" s="33">
        <v>8.156606851548176E-4</v>
      </c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</row>
    <row r="437" spans="1:19" customFormat="1" x14ac:dyDescent="0.25">
      <c r="A437" s="33">
        <v>1.228</v>
      </c>
      <c r="B437" s="34">
        <v>9925.809711041129</v>
      </c>
      <c r="C437" s="33">
        <v>8.1499592502032314E-4</v>
      </c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</row>
    <row r="438" spans="1:19" customFormat="1" x14ac:dyDescent="0.25">
      <c r="A438" s="33">
        <v>1.2290000000000001</v>
      </c>
      <c r="B438" s="34">
        <v>9933.4521719447348</v>
      </c>
      <c r="C438" s="33">
        <v>8.1433224755733669E-4</v>
      </c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</row>
    <row r="439" spans="1:19" customFormat="1" x14ac:dyDescent="0.25">
      <c r="A439" s="33">
        <v>1.23</v>
      </c>
      <c r="B439" s="34">
        <v>9941.0946328483369</v>
      </c>
      <c r="C439" s="33">
        <v>8.1366965012197312E-4</v>
      </c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</row>
    <row r="440" spans="1:19" customFormat="1" x14ac:dyDescent="0.25">
      <c r="A440" s="33">
        <v>1.2310000000000001</v>
      </c>
      <c r="B440" s="34">
        <v>9948.7370937519427</v>
      </c>
      <c r="C440" s="33">
        <v>8.1300813008144956E-4</v>
      </c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</row>
    <row r="441" spans="1:19" customFormat="1" x14ac:dyDescent="0.25">
      <c r="A441" s="33">
        <v>1.232</v>
      </c>
      <c r="B441" s="34">
        <v>9956.3795546555448</v>
      </c>
      <c r="C441" s="33">
        <v>8.1234768480897834E-4</v>
      </c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</row>
    <row r="442" spans="1:19" customFormat="1" x14ac:dyDescent="0.25">
      <c r="A442" s="33">
        <v>1.2330000000000001</v>
      </c>
      <c r="B442" s="34">
        <v>9964.0220155591505</v>
      </c>
      <c r="C442" s="33">
        <v>8.1168831168842992E-4</v>
      </c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</row>
    <row r="443" spans="1:19" customFormat="1" x14ac:dyDescent="0.25">
      <c r="A443" s="33">
        <v>1.234</v>
      </c>
      <c r="B443" s="34">
        <v>9971.6644764627563</v>
      </c>
      <c r="C443" s="33">
        <v>8.110300081103361E-4</v>
      </c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</row>
    <row r="444" spans="1:19" customFormat="1" x14ac:dyDescent="0.25">
      <c r="A444" s="33">
        <v>1.2350000000000001</v>
      </c>
      <c r="B444" s="34">
        <v>9979.3069373663566</v>
      </c>
      <c r="C444" s="33">
        <v>8.1037277147455455E-4</v>
      </c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</row>
    <row r="445" spans="1:19" customFormat="1" x14ac:dyDescent="0.25">
      <c r="A445" s="33">
        <v>1.236</v>
      </c>
      <c r="B445" s="34">
        <v>9986.9493982699587</v>
      </c>
      <c r="C445" s="33">
        <v>8.0971659919026884E-4</v>
      </c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</row>
    <row r="446" spans="1:19" customFormat="1" x14ac:dyDescent="0.25">
      <c r="A446" s="33">
        <v>1.2370000000000001</v>
      </c>
      <c r="B446" s="34">
        <v>9994.5918591735608</v>
      </c>
      <c r="C446" s="33">
        <v>8.0906148867310179E-4</v>
      </c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</row>
    <row r="447" spans="1:19" customFormat="1" x14ac:dyDescent="0.25">
      <c r="A447" s="33">
        <v>1.238</v>
      </c>
      <c r="B447" s="34">
        <v>10002.234320077165</v>
      </c>
      <c r="C447" s="33">
        <v>8.0840743734844622E-4</v>
      </c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</row>
    <row r="448" spans="1:19" customFormat="1" x14ac:dyDescent="0.25">
      <c r="A448" s="33">
        <v>1.2390000000000001</v>
      </c>
      <c r="B448" s="34">
        <v>10009.876780980769</v>
      </c>
      <c r="C448" s="33">
        <v>8.077544426494665E-4</v>
      </c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</row>
    <row r="449" spans="1:19" customFormat="1" x14ac:dyDescent="0.25">
      <c r="A449" s="33">
        <v>1.24</v>
      </c>
      <c r="B449" s="34">
        <v>10017.519241884373</v>
      </c>
      <c r="C449" s="33">
        <v>8.0710250201754263E-4</v>
      </c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</row>
    <row r="450" spans="1:19" customFormat="1" x14ac:dyDescent="0.25">
      <c r="A450" s="33">
        <v>1.2410000000000001</v>
      </c>
      <c r="B450" s="34">
        <v>10025.161702787977</v>
      </c>
      <c r="C450" s="33">
        <v>8.0645161290338052E-4</v>
      </c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</row>
    <row r="451" spans="1:19" customFormat="1" x14ac:dyDescent="0.25">
      <c r="A451" s="33">
        <v>1.242</v>
      </c>
      <c r="B451" s="34">
        <v>10032.804163691577</v>
      </c>
      <c r="C451" s="33">
        <v>8.0580177276368126E-4</v>
      </c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</row>
    <row r="452" spans="1:19" customFormat="1" x14ac:dyDescent="0.25">
      <c r="A452" s="33">
        <v>1.2430000000000001</v>
      </c>
      <c r="B452" s="34">
        <v>10040.446624595179</v>
      </c>
      <c r="C452" s="33">
        <v>8.0515297906580408E-4</v>
      </c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</row>
    <row r="453" spans="1:19" customFormat="1" x14ac:dyDescent="0.25">
      <c r="A453" s="33">
        <v>1.244</v>
      </c>
      <c r="B453" s="34">
        <v>10048.089085498785</v>
      </c>
      <c r="C453" s="33">
        <v>8.0450522928421364E-4</v>
      </c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</row>
    <row r="454" spans="1:19" customFormat="1" x14ac:dyDescent="0.25">
      <c r="A454" s="33">
        <v>1.2450000000000001</v>
      </c>
      <c r="B454" s="34">
        <v>10055.73154640239</v>
      </c>
      <c r="C454" s="33">
        <v>8.0385852090048004E-4</v>
      </c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</row>
    <row r="455" spans="1:19" customFormat="1" x14ac:dyDescent="0.25">
      <c r="A455" s="33">
        <v>1.246</v>
      </c>
      <c r="B455" s="34">
        <v>10063.374007305993</v>
      </c>
      <c r="C455" s="33">
        <v>8.0321285140549925E-4</v>
      </c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</row>
    <row r="456" spans="1:19" customFormat="1" x14ac:dyDescent="0.25">
      <c r="A456" s="33">
        <v>1.2470000000000001</v>
      </c>
      <c r="B456" s="34">
        <v>10071.016468209598</v>
      </c>
      <c r="C456" s="33">
        <v>8.0256821829860492E-4</v>
      </c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</row>
    <row r="457" spans="1:19" customFormat="1" x14ac:dyDescent="0.25">
      <c r="A457" s="33">
        <v>1.248</v>
      </c>
      <c r="B457" s="34">
        <v>10078.6589291132</v>
      </c>
      <c r="C457" s="33">
        <v>8.0192461908557E-4</v>
      </c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</row>
    <row r="458" spans="1:19" customFormat="1" x14ac:dyDescent="0.25">
      <c r="A458" s="33">
        <v>1.2490000000000001</v>
      </c>
      <c r="B458" s="34">
        <v>10086.301390016804</v>
      </c>
      <c r="C458" s="33">
        <v>8.0128205128215946E-4</v>
      </c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</row>
    <row r="459" spans="1:19" customFormat="1" x14ac:dyDescent="0.25">
      <c r="A459" s="33">
        <v>1.25</v>
      </c>
      <c r="B459" s="34">
        <v>10093.943850920406</v>
      </c>
      <c r="C459" s="33">
        <v>8.0064051240968936E-4</v>
      </c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</row>
    <row r="460" spans="1:19" customFormat="1" x14ac:dyDescent="0.25">
      <c r="A460" s="33">
        <v>1.2509999999999999</v>
      </c>
      <c r="B460" s="34">
        <v>10101.586311824009</v>
      </c>
      <c r="C460" s="33">
        <v>7.9999999999991189E-4</v>
      </c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</row>
    <row r="461" spans="1:19" customFormat="1" x14ac:dyDescent="0.25">
      <c r="A461" s="33">
        <v>1.252</v>
      </c>
      <c r="B461" s="34">
        <v>10109.228772727616</v>
      </c>
      <c r="C461" s="33">
        <v>7.9936051159101851E-4</v>
      </c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</row>
    <row r="462" spans="1:19" customFormat="1" x14ac:dyDescent="0.25">
      <c r="A462" s="33">
        <v>1.2529999999999999</v>
      </c>
      <c r="B462" s="34">
        <v>10116.87123363122</v>
      </c>
      <c r="C462" s="33">
        <v>7.987220447283061E-4</v>
      </c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</row>
    <row r="463" spans="1:19" customFormat="1" x14ac:dyDescent="0.25">
      <c r="A463" s="33">
        <v>1.254</v>
      </c>
      <c r="B463" s="34">
        <v>10124.513694534826</v>
      </c>
      <c r="C463" s="33">
        <v>7.9808459696750766E-4</v>
      </c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</row>
    <row r="464" spans="1:19" customFormat="1" x14ac:dyDescent="0.25">
      <c r="A464" s="33">
        <v>1.2549999999999999</v>
      </c>
      <c r="B464" s="34">
        <v>10132.156155438428</v>
      </c>
      <c r="C464" s="33">
        <v>7.9744816586901912E-4</v>
      </c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</row>
    <row r="465" spans="1:19" customFormat="1" x14ac:dyDescent="0.25">
      <c r="A465" s="33">
        <v>1.256</v>
      </c>
      <c r="B465" s="34">
        <v>10139.798616342032</v>
      </c>
      <c r="C465" s="33">
        <v>7.9681274900411658E-4</v>
      </c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</row>
    <row r="466" spans="1:19" customFormat="1" x14ac:dyDescent="0.25">
      <c r="A466" s="33">
        <v>1.2569999999999999</v>
      </c>
      <c r="B466" s="34">
        <v>10147.441077245636</v>
      </c>
      <c r="C466" s="33">
        <v>7.9617834394896114E-4</v>
      </c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</row>
    <row r="467" spans="1:19" customFormat="1" x14ac:dyDescent="0.25">
      <c r="A467" s="33">
        <v>1.258</v>
      </c>
      <c r="B467" s="34">
        <v>10155.08353814924</v>
      </c>
      <c r="C467" s="33">
        <v>7.955449482897059E-4</v>
      </c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</row>
    <row r="468" spans="1:19" customFormat="1" x14ac:dyDescent="0.25">
      <c r="A468" s="33">
        <v>1.2589999999999999</v>
      </c>
      <c r="B468" s="34">
        <v>10162.725999052842</v>
      </c>
      <c r="C468" s="33">
        <v>7.9491255961827711E-4</v>
      </c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</row>
    <row r="469" spans="1:19" customFormat="1" x14ac:dyDescent="0.25">
      <c r="A469" s="33">
        <v>1.26</v>
      </c>
      <c r="B469" s="34">
        <v>10170.368459956448</v>
      </c>
      <c r="C469" s="33">
        <v>7.9428117553637101E-4</v>
      </c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</row>
    <row r="470" spans="1:19" customFormat="1" x14ac:dyDescent="0.25">
      <c r="A470" s="33">
        <v>1.2609999999999999</v>
      </c>
      <c r="B470" s="34">
        <v>10178.01092086005</v>
      </c>
      <c r="C470" s="33">
        <v>7.9365079365056879E-4</v>
      </c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</row>
    <row r="471" spans="1:19" customFormat="1" x14ac:dyDescent="0.25">
      <c r="A471" s="33">
        <v>1.262</v>
      </c>
      <c r="B471" s="34">
        <v>10185.653381763655</v>
      </c>
      <c r="C471" s="33">
        <v>7.9302141157810979E-4</v>
      </c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</row>
    <row r="472" spans="1:19" customFormat="1" x14ac:dyDescent="0.25">
      <c r="A472" s="33">
        <v>1.2629999999999999</v>
      </c>
      <c r="B472" s="34">
        <v>10193.295842667256</v>
      </c>
      <c r="C472" s="33">
        <v>7.9239302694134039E-4</v>
      </c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</row>
    <row r="473" spans="1:19" customFormat="1" x14ac:dyDescent="0.25">
      <c r="A473" s="33">
        <v>1.264</v>
      </c>
      <c r="B473" s="34">
        <v>10200.93830357086</v>
      </c>
      <c r="C473" s="33">
        <v>7.9176563737126671E-4</v>
      </c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</row>
    <row r="474" spans="1:19" customFormat="1" x14ac:dyDescent="0.25">
      <c r="A474" s="33">
        <v>1.2649999999999999</v>
      </c>
      <c r="B474" s="34">
        <v>10208.580764474464</v>
      </c>
      <c r="C474" s="33">
        <v>7.9113924050644435E-4</v>
      </c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</row>
    <row r="475" spans="1:19" customFormat="1" x14ac:dyDescent="0.25">
      <c r="A475" s="33">
        <v>1.266</v>
      </c>
      <c r="B475" s="34">
        <v>10216.223225378071</v>
      </c>
      <c r="C475" s="33">
        <v>7.9051383399231234E-4</v>
      </c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</row>
    <row r="476" spans="1:19" customFormat="1" x14ac:dyDescent="0.25">
      <c r="A476" s="33">
        <v>1.2669999999999999</v>
      </c>
      <c r="B476" s="34">
        <v>10223.865686281672</v>
      </c>
      <c r="C476" s="33">
        <v>7.8988941548163716E-4</v>
      </c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</row>
    <row r="477" spans="1:19" customFormat="1" x14ac:dyDescent="0.25">
      <c r="A477" s="33">
        <v>1.268</v>
      </c>
      <c r="B477" s="34">
        <v>10231.508147185277</v>
      </c>
      <c r="C477" s="33">
        <v>7.8926598263628911E-4</v>
      </c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</row>
    <row r="478" spans="1:19" customFormat="1" x14ac:dyDescent="0.25">
      <c r="A478" s="33">
        <v>1.2689999999999999</v>
      </c>
      <c r="B478" s="34">
        <v>10239.150608088879</v>
      </c>
      <c r="C478" s="33">
        <v>7.8864353312280144E-4</v>
      </c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</row>
    <row r="479" spans="1:19" customFormat="1" x14ac:dyDescent="0.25">
      <c r="A479" s="33">
        <v>1.27</v>
      </c>
      <c r="B479" s="34">
        <v>10246.793068992487</v>
      </c>
      <c r="C479" s="33">
        <v>7.880220646181435E-4</v>
      </c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</row>
    <row r="480" spans="1:19" customFormat="1" x14ac:dyDescent="0.25">
      <c r="A480" s="33">
        <v>1.2709999999999999</v>
      </c>
      <c r="B480" s="34">
        <v>10254.435529896089</v>
      </c>
      <c r="C480" s="33">
        <v>7.8740157480305939E-4</v>
      </c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</row>
    <row r="481" spans="1:19" customFormat="1" x14ac:dyDescent="0.25">
      <c r="A481" s="33">
        <v>1.272</v>
      </c>
      <c r="B481" s="34">
        <v>10262.077990799691</v>
      </c>
      <c r="C481" s="33">
        <v>7.8678206136895135E-4</v>
      </c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</row>
    <row r="482" spans="1:19" customFormat="1" x14ac:dyDescent="0.25">
      <c r="A482" s="33">
        <v>1.2729999999999999</v>
      </c>
      <c r="B482" s="34">
        <v>10269.720451703295</v>
      </c>
      <c r="C482" s="33">
        <v>7.8616352201255069E-4</v>
      </c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</row>
    <row r="483" spans="1:19" customFormat="1" x14ac:dyDescent="0.25">
      <c r="A483" s="33">
        <v>1.274</v>
      </c>
      <c r="B483" s="34">
        <v>10277.362912606899</v>
      </c>
      <c r="C483" s="33">
        <v>7.8554595443836028E-4</v>
      </c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</row>
    <row r="484" spans="1:19" customFormat="1" x14ac:dyDescent="0.25">
      <c r="A484" s="33">
        <v>1.2749999999999999</v>
      </c>
      <c r="B484" s="34">
        <v>10285.005373510499</v>
      </c>
      <c r="C484" s="33">
        <v>7.8492935635776639E-4</v>
      </c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</row>
    <row r="485" spans="1:19" customFormat="1" x14ac:dyDescent="0.25">
      <c r="A485" s="33">
        <v>1.276</v>
      </c>
      <c r="B485" s="34">
        <v>10292.647834414107</v>
      </c>
      <c r="C485" s="33">
        <v>7.8431372549037093E-4</v>
      </c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</row>
    <row r="486" spans="1:19" customFormat="1" x14ac:dyDescent="0.25">
      <c r="A486" s="33">
        <v>1.2769999999999999</v>
      </c>
      <c r="B486" s="34">
        <v>10300.290295317707</v>
      </c>
      <c r="C486" s="33">
        <v>7.8369905956088282E-4</v>
      </c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</row>
    <row r="487" spans="1:19" customFormat="1" x14ac:dyDescent="0.25">
      <c r="A487" s="33">
        <v>1.278</v>
      </c>
      <c r="B487" s="34">
        <v>10307.932756221311</v>
      </c>
      <c r="C487" s="33">
        <v>7.83085356304003E-4</v>
      </c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</row>
    <row r="488" spans="1:19" customFormat="1" x14ac:dyDescent="0.25">
      <c r="A488" s="33">
        <v>1.2789999999999999</v>
      </c>
      <c r="B488" s="34">
        <v>10315.575217124911</v>
      </c>
      <c r="C488" s="33">
        <v>7.8247261345820718E-4</v>
      </c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</row>
    <row r="489" spans="1:19" customFormat="1" x14ac:dyDescent="0.25">
      <c r="A489" s="33">
        <v>1.28</v>
      </c>
      <c r="B489" s="34">
        <v>10323.217678028515</v>
      </c>
      <c r="C489" s="33">
        <v>7.8186082877262919E-4</v>
      </c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</row>
    <row r="490" spans="1:19" customFormat="1" x14ac:dyDescent="0.25">
      <c r="A490" s="33">
        <v>1.2809999999999999</v>
      </c>
      <c r="B490" s="34">
        <v>10330.860138932119</v>
      </c>
      <c r="C490" s="33">
        <v>7.8124999999995559E-4</v>
      </c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</row>
    <row r="491" spans="1:19" customFormat="1" x14ac:dyDescent="0.25">
      <c r="A491" s="33">
        <v>1.282</v>
      </c>
      <c r="B491" s="34">
        <v>10338.502599835727</v>
      </c>
      <c r="C491" s="33">
        <v>7.806401249026429E-4</v>
      </c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</row>
    <row r="492" spans="1:19" customFormat="1" x14ac:dyDescent="0.25">
      <c r="A492" s="33">
        <v>1.2829999999999999</v>
      </c>
      <c r="B492" s="34">
        <v>10346.145060739329</v>
      </c>
      <c r="C492" s="33">
        <v>7.800312012480326E-4</v>
      </c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</row>
    <row r="493" spans="1:19" customFormat="1" x14ac:dyDescent="0.25">
      <c r="A493" s="33">
        <v>1.284</v>
      </c>
      <c r="B493" s="34">
        <v>10353.787521642935</v>
      </c>
      <c r="C493" s="33">
        <v>7.7942322681234799E-4</v>
      </c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</row>
    <row r="494" spans="1:19" customFormat="1" x14ac:dyDescent="0.25">
      <c r="A494" s="33">
        <v>1.2849999999999999</v>
      </c>
      <c r="B494" s="34">
        <v>10361.429982546535</v>
      </c>
      <c r="C494" s="33">
        <v>7.7881619937669733E-4</v>
      </c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</row>
    <row r="495" spans="1:19" customFormat="1" x14ac:dyDescent="0.25">
      <c r="A495" s="33">
        <v>1.286</v>
      </c>
      <c r="B495" s="34">
        <v>10369.072443450143</v>
      </c>
      <c r="C495" s="33">
        <v>7.7821011673173679E-4</v>
      </c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</row>
    <row r="496" spans="1:19" customFormat="1" x14ac:dyDescent="0.25">
      <c r="A496" s="33">
        <v>1.2869999999999999</v>
      </c>
      <c r="B496" s="34">
        <v>10376.714904353743</v>
      </c>
      <c r="C496" s="33">
        <v>7.7760497667145323E-4</v>
      </c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</row>
    <row r="497" spans="1:19" customFormat="1" x14ac:dyDescent="0.25">
      <c r="A497" s="33">
        <v>1.288</v>
      </c>
      <c r="B497" s="34">
        <v>10384.357365257347</v>
      </c>
      <c r="C497" s="33">
        <v>7.7700077700093573E-4</v>
      </c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</row>
    <row r="498" spans="1:19" customFormat="1" x14ac:dyDescent="0.25">
      <c r="A498" s="33">
        <v>1.2889999999999999</v>
      </c>
      <c r="B498" s="34">
        <v>10391.999826160951</v>
      </c>
      <c r="C498" s="33">
        <v>7.763975155279379E-4</v>
      </c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</row>
    <row r="499" spans="1:19" customFormat="1" x14ac:dyDescent="0.25">
      <c r="A499" s="33">
        <v>1.29</v>
      </c>
      <c r="B499" s="34">
        <v>10399.642287064553</v>
      </c>
      <c r="C499" s="33">
        <v>7.7579519006976128E-4</v>
      </c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</row>
    <row r="500" spans="1:19" customFormat="1" x14ac:dyDescent="0.25">
      <c r="A500" s="33">
        <v>1.2909999999999999</v>
      </c>
      <c r="B500" s="34">
        <v>10407.284747968157</v>
      </c>
      <c r="C500" s="33">
        <v>7.7519379844948055E-4</v>
      </c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</row>
    <row r="501" spans="1:19" customFormat="1" x14ac:dyDescent="0.25">
      <c r="A501" s="33">
        <v>1.292</v>
      </c>
      <c r="B501" s="34">
        <v>10414.927208871763</v>
      </c>
      <c r="C501" s="33">
        <v>7.745933384974979E-4</v>
      </c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</row>
    <row r="502" spans="1:19" customFormat="1" x14ac:dyDescent="0.25">
      <c r="A502" s="33">
        <v>1.2929999999999999</v>
      </c>
      <c r="B502" s="34">
        <v>10422.569669775363</v>
      </c>
      <c r="C502" s="33">
        <v>7.739938080493225E-4</v>
      </c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</row>
    <row r="503" spans="1:19" customFormat="1" x14ac:dyDescent="0.25">
      <c r="A503" s="33">
        <v>1.294</v>
      </c>
      <c r="B503" s="34">
        <v>10430.21213067897</v>
      </c>
      <c r="C503" s="33">
        <v>7.7339520495001146E-4</v>
      </c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</row>
    <row r="504" spans="1:19" customFormat="1" x14ac:dyDescent="0.25">
      <c r="A504" s="33">
        <v>1.2949999999999999</v>
      </c>
      <c r="B504" s="34">
        <v>10437.854591582571</v>
      </c>
      <c r="C504" s="33">
        <v>7.7279752704750848E-4</v>
      </c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</row>
    <row r="505" spans="1:19" customFormat="1" x14ac:dyDescent="0.25">
      <c r="A505" s="33">
        <v>1.296</v>
      </c>
      <c r="B505" s="34">
        <v>10445.497052486178</v>
      </c>
      <c r="C505" s="33">
        <v>7.7220077220108152E-4</v>
      </c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</row>
    <row r="506" spans="1:19" customFormat="1" x14ac:dyDescent="0.25">
      <c r="A506" s="33">
        <v>1.2969999999999999</v>
      </c>
      <c r="B506" s="34">
        <v>10453.13951338978</v>
      </c>
      <c r="C506" s="33">
        <v>7.7160493827155285E-4</v>
      </c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</row>
    <row r="507" spans="1:19" customFormat="1" x14ac:dyDescent="0.25">
      <c r="A507" s="33">
        <v>1.298</v>
      </c>
      <c r="B507" s="34">
        <v>10460.781974293383</v>
      </c>
      <c r="C507" s="33">
        <v>7.7101002313018085E-4</v>
      </c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</row>
    <row r="508" spans="1:19" customFormat="1" x14ac:dyDescent="0.25">
      <c r="A508" s="33">
        <v>1.2989999999999999</v>
      </c>
      <c r="B508" s="34">
        <v>10468.424435196986</v>
      </c>
      <c r="C508" s="33">
        <v>7.7041602465333092E-4</v>
      </c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</row>
    <row r="509" spans="1:19" customFormat="1" x14ac:dyDescent="0.25">
      <c r="A509" s="31">
        <v>1.3</v>
      </c>
      <c r="B509" s="32">
        <v>10539.348419506226</v>
      </c>
      <c r="C509" s="31">
        <v>7.1441530231486361E-3</v>
      </c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</row>
    <row r="510" spans="1:19" customFormat="1" x14ac:dyDescent="0.25">
      <c r="A510" s="33">
        <v>1.3009999999999999</v>
      </c>
      <c r="B510" s="34">
        <v>10547.039558504759</v>
      </c>
      <c r="C510" s="33">
        <v>7.6923076923085532E-4</v>
      </c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</row>
    <row r="511" spans="1:19" customFormat="1" x14ac:dyDescent="0.25">
      <c r="A511" s="33">
        <v>1.302</v>
      </c>
      <c r="B511" s="34">
        <v>10554.730697503288</v>
      </c>
      <c r="C511" s="33">
        <v>7.68639508070601E-4</v>
      </c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</row>
    <row r="512" spans="1:19" customFormat="1" x14ac:dyDescent="0.25">
      <c r="A512" s="33">
        <v>1.3029999999999999</v>
      </c>
      <c r="B512" s="34">
        <v>10562.421836501821</v>
      </c>
      <c r="C512" s="33">
        <v>7.6804915514605554E-4</v>
      </c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</row>
    <row r="513" spans="1:19" customFormat="1" x14ac:dyDescent="0.25">
      <c r="A513" s="33">
        <v>1.304</v>
      </c>
      <c r="B513" s="34">
        <v>10570.112975500349</v>
      </c>
      <c r="C513" s="33">
        <v>7.6745970836511468E-4</v>
      </c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</row>
    <row r="514" spans="1:19" customFormat="1" x14ac:dyDescent="0.25">
      <c r="A514" s="33">
        <v>1.3049999999999999</v>
      </c>
      <c r="B514" s="34">
        <v>10577.804114498882</v>
      </c>
      <c r="C514" s="33">
        <v>7.6687116564433389E-4</v>
      </c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</row>
    <row r="515" spans="1:19" customFormat="1" x14ac:dyDescent="0.25">
      <c r="A515" s="33">
        <v>1.306</v>
      </c>
      <c r="B515" s="34">
        <v>10585.495253497415</v>
      </c>
      <c r="C515" s="33">
        <v>7.6628352490404339E-4</v>
      </c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</row>
    <row r="516" spans="1:19" customFormat="1" x14ac:dyDescent="0.25">
      <c r="A516" s="33">
        <v>1.3069999999999999</v>
      </c>
      <c r="B516" s="34">
        <v>10593.186392495943</v>
      </c>
      <c r="C516" s="33">
        <v>7.6569678407345521E-4</v>
      </c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</row>
    <row r="517" spans="1:19" customFormat="1" x14ac:dyDescent="0.25">
      <c r="A517" s="33">
        <v>1.3080000000000001</v>
      </c>
      <c r="B517" s="34">
        <v>10600.877531494476</v>
      </c>
      <c r="C517" s="33">
        <v>7.6511094108644429E-4</v>
      </c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</row>
    <row r="518" spans="1:19" customFormat="1" x14ac:dyDescent="0.25">
      <c r="A518" s="33">
        <v>1.3089999999999999</v>
      </c>
      <c r="B518" s="34">
        <v>10608.568670493005</v>
      </c>
      <c r="C518" s="33">
        <v>7.6452599388376896E-4</v>
      </c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</row>
    <row r="519" spans="1:19" customFormat="1" x14ac:dyDescent="0.25">
      <c r="A519" s="33">
        <v>1.31</v>
      </c>
      <c r="B519" s="34">
        <v>10616.259809491537</v>
      </c>
      <c r="C519" s="33">
        <v>7.6394194041262686E-4</v>
      </c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</row>
    <row r="520" spans="1:19" customFormat="1" x14ac:dyDescent="0.25">
      <c r="A520" s="33">
        <v>1.3109999999999999</v>
      </c>
      <c r="B520" s="34">
        <v>10623.950948490066</v>
      </c>
      <c r="C520" s="33">
        <v>7.6335877862576673E-4</v>
      </c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</row>
    <row r="521" spans="1:19" customFormat="1" x14ac:dyDescent="0.25">
      <c r="A521" s="33">
        <v>1.3120000000000001</v>
      </c>
      <c r="B521" s="34">
        <v>10631.642087488601</v>
      </c>
      <c r="C521" s="33">
        <v>7.6277650648393092E-4</v>
      </c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</row>
    <row r="522" spans="1:19" customFormat="1" x14ac:dyDescent="0.25">
      <c r="A522" s="33">
        <v>1.3129999999999999</v>
      </c>
      <c r="B522" s="34">
        <v>10639.333226487131</v>
      </c>
      <c r="C522" s="33">
        <v>7.6219512195119243E-4</v>
      </c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</row>
    <row r="523" spans="1:19" customFormat="1" x14ac:dyDescent="0.25">
      <c r="A523" s="33">
        <v>1.3140000000000001</v>
      </c>
      <c r="B523" s="34">
        <v>10647.024365485664</v>
      </c>
      <c r="C523" s="33">
        <v>7.6161462300095017E-4</v>
      </c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</row>
    <row r="524" spans="1:19" customFormat="1" x14ac:dyDescent="0.25">
      <c r="A524" s="33">
        <v>1.3149999999999999</v>
      </c>
      <c r="B524" s="34">
        <v>10654.715504484197</v>
      </c>
      <c r="C524" s="33">
        <v>7.6103500761037779E-4</v>
      </c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</row>
    <row r="525" spans="1:19" customFormat="1" x14ac:dyDescent="0.25">
      <c r="A525" s="33">
        <v>1.3160000000000001</v>
      </c>
      <c r="B525" s="34">
        <v>10662.406643482725</v>
      </c>
      <c r="C525" s="33">
        <v>7.6045627376419844E-4</v>
      </c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</row>
    <row r="526" spans="1:19" customFormat="1" x14ac:dyDescent="0.25">
      <c r="A526" s="33">
        <v>1.3169999999999999</v>
      </c>
      <c r="B526" s="34">
        <v>10670.097782481258</v>
      </c>
      <c r="C526" s="33">
        <v>7.5987841945290846E-4</v>
      </c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</row>
    <row r="527" spans="1:19" customFormat="1" x14ac:dyDescent="0.25">
      <c r="A527" s="33">
        <v>1.3180000000000001</v>
      </c>
      <c r="B527" s="34">
        <v>10677.788921479791</v>
      </c>
      <c r="C527" s="33">
        <v>7.5930144267277733E-4</v>
      </c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</row>
    <row r="528" spans="1:19" customFormat="1" x14ac:dyDescent="0.25">
      <c r="A528" s="33">
        <v>1.319</v>
      </c>
      <c r="B528" s="34">
        <v>10685.48006047832</v>
      </c>
      <c r="C528" s="33">
        <v>7.5872534142629178E-4</v>
      </c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</row>
    <row r="529" spans="1:19" customFormat="1" x14ac:dyDescent="0.25">
      <c r="A529" s="33">
        <v>1.32</v>
      </c>
      <c r="B529" s="34">
        <v>10693.17119947685</v>
      </c>
      <c r="C529" s="33">
        <v>7.5815011372237784E-4</v>
      </c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</row>
    <row r="530" spans="1:19" customFormat="1" x14ac:dyDescent="0.25">
      <c r="A530" s="33">
        <v>1.321</v>
      </c>
      <c r="B530" s="34">
        <v>10700.862338475381</v>
      </c>
      <c r="C530" s="33">
        <v>7.575757575757347E-4</v>
      </c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</row>
    <row r="531" spans="1:19" customFormat="1" x14ac:dyDescent="0.25">
      <c r="A531" s="33">
        <v>1.3220000000000001</v>
      </c>
      <c r="B531" s="34">
        <v>10708.553477473914</v>
      </c>
      <c r="C531" s="33">
        <v>7.570022710068347E-4</v>
      </c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</row>
    <row r="532" spans="1:19" customFormat="1" x14ac:dyDescent="0.25">
      <c r="A532" s="33">
        <v>1.323</v>
      </c>
      <c r="B532" s="34">
        <v>10716.244616472446</v>
      </c>
      <c r="C532" s="33">
        <v>7.564296520425895E-4</v>
      </c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</row>
    <row r="533" spans="1:19" customFormat="1" x14ac:dyDescent="0.25">
      <c r="A533" s="33">
        <v>1.3240000000000001</v>
      </c>
      <c r="B533" s="34">
        <v>10723.935755470975</v>
      </c>
      <c r="C533" s="33">
        <v>7.5585789871501774E-4</v>
      </c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</row>
    <row r="534" spans="1:19" customFormat="1" x14ac:dyDescent="0.25">
      <c r="A534" s="33">
        <v>1.325</v>
      </c>
      <c r="B534" s="34">
        <v>10731.626894469504</v>
      </c>
      <c r="C534" s="33">
        <v>7.5528700906324353E-4</v>
      </c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</row>
    <row r="535" spans="1:19" customFormat="1" x14ac:dyDescent="0.25">
      <c r="A535" s="33">
        <v>1.3260000000000001</v>
      </c>
      <c r="B535" s="34">
        <v>10739.318033468036</v>
      </c>
      <c r="C535" s="33">
        <v>7.5471698113216412E-4</v>
      </c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</row>
    <row r="536" spans="1:19" customFormat="1" x14ac:dyDescent="0.25">
      <c r="A536" s="33">
        <v>1.327</v>
      </c>
      <c r="B536" s="34">
        <v>10747.009172466569</v>
      </c>
      <c r="C536" s="33">
        <v>7.541478129713397E-4</v>
      </c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</row>
    <row r="537" spans="1:19" customFormat="1" x14ac:dyDescent="0.25">
      <c r="A537" s="33">
        <v>1.3280000000000001</v>
      </c>
      <c r="B537" s="34">
        <v>10754.700311465098</v>
      </c>
      <c r="C537" s="33">
        <v>7.5357950263721385E-4</v>
      </c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</row>
    <row r="538" spans="1:19" customFormat="1" x14ac:dyDescent="0.25">
      <c r="A538" s="33">
        <v>1.329</v>
      </c>
      <c r="B538" s="34">
        <v>10762.391450463632</v>
      </c>
      <c r="C538" s="33">
        <v>7.5301204819311351E-4</v>
      </c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</row>
    <row r="539" spans="1:19" customFormat="1" x14ac:dyDescent="0.25">
      <c r="A539" s="33">
        <v>1.33</v>
      </c>
      <c r="B539" s="34">
        <v>10770.082589462163</v>
      </c>
      <c r="C539" s="33">
        <v>7.5244544770503019E-4</v>
      </c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</row>
    <row r="540" spans="1:19" customFormat="1" x14ac:dyDescent="0.25">
      <c r="A540" s="33">
        <v>1.331</v>
      </c>
      <c r="B540" s="34">
        <v>10777.773728460694</v>
      </c>
      <c r="C540" s="33">
        <v>7.518796992480592E-4</v>
      </c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</row>
    <row r="541" spans="1:19" customFormat="1" x14ac:dyDescent="0.25">
      <c r="A541" s="33">
        <v>1.3320000000000001</v>
      </c>
      <c r="B541" s="34">
        <v>10785.464867459228</v>
      </c>
      <c r="C541" s="33">
        <v>7.5131480090173675E-4</v>
      </c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</row>
    <row r="542" spans="1:19" customFormat="1" x14ac:dyDescent="0.25">
      <c r="A542" s="33">
        <v>1.333</v>
      </c>
      <c r="B542" s="34">
        <v>10793.156006457759</v>
      </c>
      <c r="C542" s="33">
        <v>7.5075075075070608E-4</v>
      </c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</row>
    <row r="543" spans="1:19" customFormat="1" x14ac:dyDescent="0.25">
      <c r="A543" s="33">
        <v>1.3340000000000001</v>
      </c>
      <c r="B543" s="34">
        <v>10800.84714545629</v>
      </c>
      <c r="C543" s="33">
        <v>7.5018754688671585E-4</v>
      </c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</row>
    <row r="544" spans="1:19" customFormat="1" x14ac:dyDescent="0.25">
      <c r="A544" s="33">
        <v>1.335</v>
      </c>
      <c r="B544" s="34">
        <v>10808.538284454822</v>
      </c>
      <c r="C544" s="33">
        <v>7.4962518740639972E-4</v>
      </c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</row>
    <row r="545" spans="1:19" customFormat="1" x14ac:dyDescent="0.25">
      <c r="A545" s="33">
        <v>1.3360000000000001</v>
      </c>
      <c r="B545" s="34">
        <v>10816.229423453351</v>
      </c>
      <c r="C545" s="33">
        <v>7.4906367041194244E-4</v>
      </c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</row>
    <row r="546" spans="1:19" customFormat="1" x14ac:dyDescent="0.25">
      <c r="A546" s="33">
        <v>1.337</v>
      </c>
      <c r="B546" s="34">
        <v>10823.920562451884</v>
      </c>
      <c r="C546" s="33">
        <v>7.4850299401196807E-4</v>
      </c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</row>
    <row r="547" spans="1:19" customFormat="1" x14ac:dyDescent="0.25">
      <c r="A547" s="33">
        <v>1.3380000000000001</v>
      </c>
      <c r="B547" s="34">
        <v>10831.611701450413</v>
      </c>
      <c r="C547" s="33">
        <v>7.4794315631998565E-4</v>
      </c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</row>
    <row r="548" spans="1:19" customFormat="1" x14ac:dyDescent="0.25">
      <c r="A548" s="33">
        <v>1.339</v>
      </c>
      <c r="B548" s="34">
        <v>10839.302840448945</v>
      </c>
      <c r="C548" s="33">
        <v>7.473841554559435E-4</v>
      </c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</row>
    <row r="549" spans="1:19" customFormat="1" x14ac:dyDescent="0.25">
      <c r="A549" s="33">
        <v>1.34</v>
      </c>
      <c r="B549" s="34">
        <v>10846.993979447478</v>
      </c>
      <c r="C549" s="33">
        <v>7.4682598954467494E-4</v>
      </c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</row>
    <row r="550" spans="1:19" customFormat="1" x14ac:dyDescent="0.25">
      <c r="A550" s="33">
        <v>1.341</v>
      </c>
      <c r="B550" s="34">
        <v>10854.685118446007</v>
      </c>
      <c r="C550" s="33">
        <v>7.462686567161203E-4</v>
      </c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</row>
    <row r="551" spans="1:19" customFormat="1" x14ac:dyDescent="0.25">
      <c r="A551" s="33">
        <v>1.3420000000000001</v>
      </c>
      <c r="B551" s="34">
        <v>10862.376257444539</v>
      </c>
      <c r="C551" s="33">
        <v>7.4571215510821354E-4</v>
      </c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</row>
    <row r="552" spans="1:19" customFormat="1" x14ac:dyDescent="0.25">
      <c r="A552" s="33">
        <v>1.343</v>
      </c>
      <c r="B552" s="34">
        <v>10870.06739644307</v>
      </c>
      <c r="C552" s="33">
        <v>7.4515648286133107E-4</v>
      </c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</row>
    <row r="553" spans="1:19" customFormat="1" x14ac:dyDescent="0.25">
      <c r="A553" s="33">
        <v>1.3440000000000001</v>
      </c>
      <c r="B553" s="34">
        <v>10877.758535441601</v>
      </c>
      <c r="C553" s="33">
        <v>7.446016381236209E-4</v>
      </c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</row>
    <row r="554" spans="1:19" customFormat="1" x14ac:dyDescent="0.25">
      <c r="A554" s="33">
        <v>1.345</v>
      </c>
      <c r="B554" s="34">
        <v>10885.449674440131</v>
      </c>
      <c r="C554" s="33">
        <v>7.4404761904744987E-4</v>
      </c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</row>
    <row r="555" spans="1:19" customFormat="1" x14ac:dyDescent="0.25">
      <c r="A555" s="33">
        <v>1.3460000000000001</v>
      </c>
      <c r="B555" s="34">
        <v>10893.140813438666</v>
      </c>
      <c r="C555" s="33">
        <v>7.434944237920682E-4</v>
      </c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</row>
    <row r="556" spans="1:19" customFormat="1" x14ac:dyDescent="0.25">
      <c r="A556" s="33">
        <v>1.347</v>
      </c>
      <c r="B556" s="34">
        <v>10900.831952437195</v>
      </c>
      <c r="C556" s="33">
        <v>7.4294205051983475E-4</v>
      </c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</row>
    <row r="557" spans="1:19" customFormat="1" x14ac:dyDescent="0.25">
      <c r="A557" s="33">
        <v>1.3480000000000001</v>
      </c>
      <c r="B557" s="34">
        <v>10908.523091435723</v>
      </c>
      <c r="C557" s="33">
        <v>7.423904974017681E-4</v>
      </c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</row>
    <row r="558" spans="1:19" customFormat="1" x14ac:dyDescent="0.25">
      <c r="A558" s="33">
        <v>1.349</v>
      </c>
      <c r="B558" s="34">
        <v>10916.214230434254</v>
      </c>
      <c r="C558" s="33">
        <v>7.4183976261110729E-4</v>
      </c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</row>
    <row r="559" spans="1:19" customFormat="1" x14ac:dyDescent="0.25">
      <c r="A559" s="33">
        <v>1.35</v>
      </c>
      <c r="B559" s="34">
        <v>10923.905369432789</v>
      </c>
      <c r="C559" s="33">
        <v>7.41289844329307E-4</v>
      </c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</row>
    <row r="560" spans="1:19" customFormat="1" x14ac:dyDescent="0.25">
      <c r="A560" s="33">
        <v>1.351</v>
      </c>
      <c r="B560" s="34">
        <v>10931.596508431321</v>
      </c>
      <c r="C560" s="33">
        <v>7.4074074074093055E-4</v>
      </c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</row>
    <row r="561" spans="1:19" customFormat="1" x14ac:dyDescent="0.25">
      <c r="A561" s="33">
        <v>1.3520000000000001</v>
      </c>
      <c r="B561" s="34">
        <v>10939.287647429852</v>
      </c>
      <c r="C561" s="33">
        <v>7.4019245003698053E-4</v>
      </c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</row>
    <row r="562" spans="1:19" customFormat="1" x14ac:dyDescent="0.25">
      <c r="A562" s="33">
        <v>1.353</v>
      </c>
      <c r="B562" s="34">
        <v>10946.978786428381</v>
      </c>
      <c r="C562" s="33">
        <v>7.3964497041401067E-4</v>
      </c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</row>
    <row r="563" spans="1:19" customFormat="1" x14ac:dyDescent="0.25">
      <c r="A563" s="33">
        <v>1.3540000000000001</v>
      </c>
      <c r="B563" s="34">
        <v>10954.669925426913</v>
      </c>
      <c r="C563" s="33">
        <v>7.3909830007390376E-4</v>
      </c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</row>
    <row r="564" spans="1:19" customFormat="1" x14ac:dyDescent="0.25">
      <c r="A564" s="33">
        <v>1.355</v>
      </c>
      <c r="B564" s="34">
        <v>10962.361064425448</v>
      </c>
      <c r="C564" s="33">
        <v>7.3855243722320552E-4</v>
      </c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</row>
    <row r="565" spans="1:19" customFormat="1" x14ac:dyDescent="0.25">
      <c r="A565" s="33">
        <v>1.3560000000000001</v>
      </c>
      <c r="B565" s="34">
        <v>10970.052203423978</v>
      </c>
      <c r="C565" s="33">
        <v>7.3800738007379074E-4</v>
      </c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</row>
    <row r="566" spans="1:19" customFormat="1" x14ac:dyDescent="0.25">
      <c r="A566" s="33">
        <v>1.357</v>
      </c>
      <c r="B566" s="34">
        <v>10977.743342422506</v>
      </c>
      <c r="C566" s="33">
        <v>7.3746312684330739E-4</v>
      </c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</row>
    <row r="567" spans="1:19" customFormat="1" x14ac:dyDescent="0.25">
      <c r="A567" s="33">
        <v>1.3580000000000001</v>
      </c>
      <c r="B567" s="34">
        <v>10985.434481421038</v>
      </c>
      <c r="C567" s="33">
        <v>7.3691967575539863E-4</v>
      </c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</row>
    <row r="568" spans="1:19" customFormat="1" x14ac:dyDescent="0.25">
      <c r="A568" s="33">
        <v>1.359</v>
      </c>
      <c r="B568" s="34">
        <v>10993.125620419569</v>
      </c>
      <c r="C568" s="33">
        <v>7.3637702503681624E-4</v>
      </c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</row>
    <row r="569" spans="1:19" customFormat="1" x14ac:dyDescent="0.25">
      <c r="A569" s="33">
        <v>1.36</v>
      </c>
      <c r="B569" s="34">
        <v>11000.816759418103</v>
      </c>
      <c r="C569" s="33">
        <v>7.3583517292141742E-4</v>
      </c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</row>
    <row r="570" spans="1:19" customFormat="1" x14ac:dyDescent="0.25">
      <c r="A570" s="33">
        <v>1.361</v>
      </c>
      <c r="B570" s="34">
        <v>11008.507898416634</v>
      </c>
      <c r="C570" s="33">
        <v>7.3529411764705621E-4</v>
      </c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</row>
    <row r="571" spans="1:19" customFormat="1" x14ac:dyDescent="0.25">
      <c r="A571" s="33">
        <v>1.3620000000000001</v>
      </c>
      <c r="B571" s="34">
        <v>11016.199037415165</v>
      </c>
      <c r="C571" s="33">
        <v>7.3475385745780386E-4</v>
      </c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</row>
    <row r="572" spans="1:19" customFormat="1" x14ac:dyDescent="0.25">
      <c r="A572" s="33">
        <v>1.363</v>
      </c>
      <c r="B572" s="34">
        <v>11023.890176413694</v>
      </c>
      <c r="C572" s="33">
        <v>7.3421439060172844E-4</v>
      </c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</row>
    <row r="573" spans="1:19" customFormat="1" x14ac:dyDescent="0.25">
      <c r="A573" s="33">
        <v>1.3640000000000001</v>
      </c>
      <c r="B573" s="34">
        <v>11031.58131541223</v>
      </c>
      <c r="C573" s="33">
        <v>7.3367571533422549E-4</v>
      </c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</row>
    <row r="574" spans="1:19" customFormat="1" x14ac:dyDescent="0.25">
      <c r="A574" s="33">
        <v>1.365</v>
      </c>
      <c r="B574" s="34">
        <v>11039.272454410759</v>
      </c>
      <c r="C574" s="33">
        <v>7.3313782991180076E-4</v>
      </c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</row>
    <row r="575" spans="1:19" customFormat="1" x14ac:dyDescent="0.25">
      <c r="A575" s="33">
        <v>1.3660000000000001</v>
      </c>
      <c r="B575" s="34">
        <v>11046.963593409291</v>
      </c>
      <c r="C575" s="33">
        <v>7.3260073260073E-4</v>
      </c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</row>
    <row r="576" spans="1:19" customFormat="1" x14ac:dyDescent="0.25">
      <c r="A576" s="33">
        <v>1.367</v>
      </c>
      <c r="B576" s="34">
        <v>11054.654732407824</v>
      </c>
      <c r="C576" s="33">
        <v>7.3206442166928731E-4</v>
      </c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</row>
    <row r="577" spans="1:19" customFormat="1" x14ac:dyDescent="0.25">
      <c r="A577" s="33">
        <v>1.3680000000000001</v>
      </c>
      <c r="B577" s="34">
        <v>11062.345871406353</v>
      </c>
      <c r="C577" s="33">
        <v>7.3152889539129795E-4</v>
      </c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</row>
    <row r="578" spans="1:19" customFormat="1" x14ac:dyDescent="0.25">
      <c r="A578" s="33">
        <v>1.369</v>
      </c>
      <c r="B578" s="34">
        <v>11070.037010404885</v>
      </c>
      <c r="C578" s="33">
        <v>7.309941520468044E-4</v>
      </c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</row>
    <row r="579" spans="1:19" customFormat="1" x14ac:dyDescent="0.25">
      <c r="A579" s="33">
        <v>1.37</v>
      </c>
      <c r="B579" s="34">
        <v>11077.728149403418</v>
      </c>
      <c r="C579" s="33">
        <v>7.3046018991984596E-4</v>
      </c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</row>
    <row r="580" spans="1:19" customFormat="1" x14ac:dyDescent="0.25">
      <c r="A580" s="33">
        <v>1.371</v>
      </c>
      <c r="B580" s="34">
        <v>11085.41928840195</v>
      </c>
      <c r="C580" s="33">
        <v>7.2992700729912485E-4</v>
      </c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</row>
    <row r="581" spans="1:19" customFormat="1" x14ac:dyDescent="0.25">
      <c r="A581" s="33">
        <v>1.3720000000000001</v>
      </c>
      <c r="B581" s="34">
        <v>11093.110427400479</v>
      </c>
      <c r="C581" s="33">
        <v>7.2939460247978261E-4</v>
      </c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</row>
    <row r="582" spans="1:19" customFormat="1" x14ac:dyDescent="0.25">
      <c r="A582" s="33">
        <v>1.373</v>
      </c>
      <c r="B582" s="34">
        <v>11100.801566399012</v>
      </c>
      <c r="C582" s="33">
        <v>7.2886297376095754E-4</v>
      </c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</row>
    <row r="583" spans="1:19" customFormat="1" x14ac:dyDescent="0.25">
      <c r="A583" s="33">
        <v>1.3740000000000001</v>
      </c>
      <c r="B583" s="34">
        <v>11108.492705397544</v>
      </c>
      <c r="C583" s="33">
        <v>7.2833211944667298E-4</v>
      </c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</row>
    <row r="584" spans="1:19" customFormat="1" x14ac:dyDescent="0.25">
      <c r="A584" s="33">
        <v>1.375</v>
      </c>
      <c r="B584" s="34">
        <v>11116.183844396075</v>
      </c>
      <c r="C584" s="33">
        <v>7.2780203784561515E-4</v>
      </c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</row>
    <row r="585" spans="1:19" customFormat="1" x14ac:dyDescent="0.25">
      <c r="A585" s="33">
        <v>1.3759999999999999</v>
      </c>
      <c r="B585" s="34">
        <v>11123.874983394606</v>
      </c>
      <c r="C585" s="33">
        <v>7.2727272727268755E-4</v>
      </c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</row>
    <row r="586" spans="1:19" customFormat="1" x14ac:dyDescent="0.25">
      <c r="A586" s="33">
        <v>1.377</v>
      </c>
      <c r="B586" s="34">
        <v>11131.566122393135</v>
      </c>
      <c r="C586" s="33">
        <v>7.2674418604634639E-4</v>
      </c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</row>
    <row r="587" spans="1:19" customFormat="1" x14ac:dyDescent="0.25">
      <c r="A587" s="33">
        <v>1.3779999999999999</v>
      </c>
      <c r="B587" s="34">
        <v>11139.257261391667</v>
      </c>
      <c r="C587" s="33">
        <v>7.2621641249104307E-4</v>
      </c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</row>
    <row r="588" spans="1:19" customFormat="1" x14ac:dyDescent="0.25">
      <c r="A588" s="33">
        <v>1.379</v>
      </c>
      <c r="B588" s="34">
        <v>11146.948400390198</v>
      </c>
      <c r="C588" s="33">
        <v>7.2568940493478173E-4</v>
      </c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</row>
    <row r="589" spans="1:19" customFormat="1" x14ac:dyDescent="0.25">
      <c r="A589" s="33">
        <v>1.38</v>
      </c>
      <c r="B589" s="34">
        <v>11154.639539388729</v>
      </c>
      <c r="C589" s="33">
        <v>7.2516316171133965E-4</v>
      </c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</row>
    <row r="590" spans="1:19" customFormat="1" x14ac:dyDescent="0.25">
      <c r="A590" s="33">
        <v>1.381</v>
      </c>
      <c r="B590" s="34">
        <v>11162.330678387258</v>
      </c>
      <c r="C590" s="33">
        <v>7.2463768115915705E-4</v>
      </c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</row>
    <row r="591" spans="1:19" customFormat="1" x14ac:dyDescent="0.25">
      <c r="A591" s="33">
        <v>1.3819999999999999</v>
      </c>
      <c r="B591" s="34">
        <v>11170.02181738579</v>
      </c>
      <c r="C591" s="33">
        <v>7.2411296162222527E-4</v>
      </c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</row>
    <row r="592" spans="1:19" customFormat="1" x14ac:dyDescent="0.25">
      <c r="A592" s="33">
        <v>1.383</v>
      </c>
      <c r="B592" s="34">
        <v>11177.712956384323</v>
      </c>
      <c r="C592" s="33">
        <v>7.2358900144720018E-4</v>
      </c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</row>
    <row r="593" spans="1:19" customFormat="1" x14ac:dyDescent="0.25">
      <c r="A593" s="33">
        <v>1.3839999999999999</v>
      </c>
      <c r="B593" s="34">
        <v>11185.404095382852</v>
      </c>
      <c r="C593" s="33">
        <v>7.2306579898739898E-4</v>
      </c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</row>
    <row r="594" spans="1:19" customFormat="1" x14ac:dyDescent="0.25">
      <c r="A594" s="33">
        <v>1.385</v>
      </c>
      <c r="B594" s="34">
        <v>11193.095234381386</v>
      </c>
      <c r="C594" s="33">
        <v>7.2254335260146796E-4</v>
      </c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</row>
    <row r="595" spans="1:19" customFormat="1" x14ac:dyDescent="0.25">
      <c r="A595" s="33">
        <v>1.3859999999999999</v>
      </c>
      <c r="B595" s="34">
        <v>11200.78637337992</v>
      </c>
      <c r="C595" s="33">
        <v>7.2202166064982976E-4</v>
      </c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</row>
    <row r="596" spans="1:19" customFormat="1" x14ac:dyDescent="0.25">
      <c r="A596" s="33">
        <v>1.387</v>
      </c>
      <c r="B596" s="34">
        <v>11208.477512378453</v>
      </c>
      <c r="C596" s="33">
        <v>7.2150072150090061E-4</v>
      </c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</row>
    <row r="597" spans="1:19" customFormat="1" x14ac:dyDescent="0.25">
      <c r="A597" s="33">
        <v>1.3879999999999999</v>
      </c>
      <c r="B597" s="34">
        <v>11216.168651376982</v>
      </c>
      <c r="C597" s="33">
        <v>7.2098053352553926E-4</v>
      </c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</row>
    <row r="598" spans="1:19" customFormat="1" x14ac:dyDescent="0.25">
      <c r="A598" s="33">
        <v>1.389</v>
      </c>
      <c r="B598" s="34">
        <v>11223.859790375514</v>
      </c>
      <c r="C598" s="33">
        <v>7.2046109510104372E-4</v>
      </c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</row>
    <row r="599" spans="1:19" customFormat="1" x14ac:dyDescent="0.25">
      <c r="A599" s="33">
        <v>1.39</v>
      </c>
      <c r="B599" s="34">
        <v>11231.550929374047</v>
      </c>
      <c r="C599" s="33">
        <v>7.1994240460759862E-4</v>
      </c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</row>
    <row r="600" spans="1:19" customFormat="1" x14ac:dyDescent="0.25">
      <c r="A600" s="33">
        <v>1.391</v>
      </c>
      <c r="B600" s="34">
        <v>11239.24206837258</v>
      </c>
      <c r="C600" s="33">
        <v>7.1942446043182784E-4</v>
      </c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</row>
    <row r="601" spans="1:19" customFormat="1" x14ac:dyDescent="0.25">
      <c r="A601" s="33">
        <v>1.3919999999999999</v>
      </c>
      <c r="B601" s="34">
        <v>11246.933207371108</v>
      </c>
      <c r="C601" s="33">
        <v>7.1890726096301982E-4</v>
      </c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</row>
    <row r="602" spans="1:19" customFormat="1" x14ac:dyDescent="0.25">
      <c r="A602" s="33">
        <v>1.393</v>
      </c>
      <c r="B602" s="34">
        <v>11254.624346369639</v>
      </c>
      <c r="C602" s="33">
        <v>7.1839080459779048E-4</v>
      </c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</row>
    <row r="603" spans="1:19" customFormat="1" x14ac:dyDescent="0.25">
      <c r="A603" s="33">
        <v>1.3939999999999999</v>
      </c>
      <c r="B603" s="34">
        <v>11262.315485368172</v>
      </c>
      <c r="C603" s="33">
        <v>7.1787508973453207E-4</v>
      </c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</row>
    <row r="604" spans="1:19" customFormat="1" x14ac:dyDescent="0.25">
      <c r="A604" s="33">
        <v>1.395</v>
      </c>
      <c r="B604" s="34">
        <v>11270.006624366704</v>
      </c>
      <c r="C604" s="33">
        <v>7.1736011477763206E-4</v>
      </c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</row>
    <row r="605" spans="1:19" customFormat="1" x14ac:dyDescent="0.25">
      <c r="A605" s="33">
        <v>1.3959999999999999</v>
      </c>
      <c r="B605" s="34">
        <v>11277.697763365235</v>
      </c>
      <c r="C605" s="33">
        <v>7.1684587813614087E-4</v>
      </c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</row>
    <row r="606" spans="1:19" customFormat="1" x14ac:dyDescent="0.25">
      <c r="A606" s="33">
        <v>1.397</v>
      </c>
      <c r="B606" s="34">
        <v>11285.388902363764</v>
      </c>
      <c r="C606" s="33">
        <v>7.1633237822332774E-4</v>
      </c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</row>
    <row r="607" spans="1:19" customFormat="1" x14ac:dyDescent="0.25">
      <c r="A607" s="33">
        <v>1.3979999999999999</v>
      </c>
      <c r="B607" s="34">
        <v>11293.080041362296</v>
      </c>
      <c r="C607" s="33">
        <v>7.158196134573469E-4</v>
      </c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</row>
    <row r="608" spans="1:19" customFormat="1" x14ac:dyDescent="0.25">
      <c r="A608" s="33">
        <v>1.399</v>
      </c>
      <c r="B608" s="34">
        <v>11300.771180360829</v>
      </c>
      <c r="C608" s="33">
        <v>7.1530758226057145E-4</v>
      </c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</row>
    <row r="609" spans="1:19" customFormat="1" x14ac:dyDescent="0.25">
      <c r="A609" s="31">
        <v>1.4</v>
      </c>
      <c r="B609" s="32">
        <v>11376.611652257736</v>
      </c>
      <c r="C609" s="31">
        <v>7.0484342342176376E-3</v>
      </c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</row>
    <row r="610" spans="1:19" customFormat="1" x14ac:dyDescent="0.25">
      <c r="A610" s="33">
        <v>1.401</v>
      </c>
      <c r="B610" s="34">
        <v>11384.351469351193</v>
      </c>
      <c r="C610" s="33">
        <v>7.1428571428588938E-4</v>
      </c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</row>
    <row r="611" spans="1:19" customFormat="1" x14ac:dyDescent="0.25">
      <c r="A611" s="33">
        <v>1.4019999999999999</v>
      </c>
      <c r="B611" s="34">
        <v>11392.091286444651</v>
      </c>
      <c r="C611" s="33">
        <v>7.1377587437537748E-4</v>
      </c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</row>
    <row r="612" spans="1:19" customFormat="1" x14ac:dyDescent="0.25">
      <c r="A612" s="33">
        <v>1.403</v>
      </c>
      <c r="B612" s="34">
        <v>11399.831103538112</v>
      </c>
      <c r="C612" s="33">
        <v>7.1326676176908244E-4</v>
      </c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</row>
    <row r="613" spans="1:19" customFormat="1" x14ac:dyDescent="0.25">
      <c r="A613" s="33">
        <v>1.4039999999999999</v>
      </c>
      <c r="B613" s="34">
        <v>11407.570920631566</v>
      </c>
      <c r="C613" s="33">
        <v>7.127583749106936E-4</v>
      </c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</row>
    <row r="614" spans="1:19" customFormat="1" x14ac:dyDescent="0.25">
      <c r="A614" s="33">
        <v>1.405</v>
      </c>
      <c r="B614" s="34">
        <v>11415.310737725024</v>
      </c>
      <c r="C614" s="33">
        <v>7.1225071225056169E-4</v>
      </c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</row>
    <row r="615" spans="1:19" customFormat="1" x14ac:dyDescent="0.25">
      <c r="A615" s="33">
        <v>1.4059999999999999</v>
      </c>
      <c r="B615" s="34">
        <v>11423.050554818485</v>
      </c>
      <c r="C615" s="33">
        <v>7.1174377224214602E-4</v>
      </c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</row>
    <row r="616" spans="1:19" customFormat="1" x14ac:dyDescent="0.25">
      <c r="A616" s="33">
        <v>1.407</v>
      </c>
      <c r="B616" s="34">
        <v>11430.790371911942</v>
      </c>
      <c r="C616" s="33">
        <v>7.1123755334268068E-4</v>
      </c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</row>
    <row r="617" spans="1:19" customFormat="1" x14ac:dyDescent="0.25">
      <c r="A617" s="33">
        <v>1.4079999999999999</v>
      </c>
      <c r="B617" s="34">
        <v>11438.530189005398</v>
      </c>
      <c r="C617" s="33">
        <v>7.1073205401539497E-4</v>
      </c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</row>
    <row r="618" spans="1:19" customFormat="1" x14ac:dyDescent="0.25">
      <c r="A618" s="33">
        <v>1.409</v>
      </c>
      <c r="B618" s="34">
        <v>11446.270006098857</v>
      </c>
      <c r="C618" s="33">
        <v>7.1022727272729291E-4</v>
      </c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</row>
    <row r="619" spans="1:19" customFormat="1" x14ac:dyDescent="0.25">
      <c r="A619" s="33">
        <v>1.41</v>
      </c>
      <c r="B619" s="34">
        <v>11454.009823192315</v>
      </c>
      <c r="C619" s="33">
        <v>7.0972320794893129E-4</v>
      </c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</row>
    <row r="620" spans="1:19" customFormat="1" x14ac:dyDescent="0.25">
      <c r="A620" s="33">
        <v>1.411</v>
      </c>
      <c r="B620" s="34">
        <v>11461.749640285776</v>
      </c>
      <c r="C620" s="33">
        <v>7.0921985815619593E-4</v>
      </c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</row>
    <row r="621" spans="1:19" customFormat="1" x14ac:dyDescent="0.25">
      <c r="A621" s="33">
        <v>1.4119999999999999</v>
      </c>
      <c r="B621" s="34">
        <v>11469.489457379232</v>
      </c>
      <c r="C621" s="33">
        <v>7.0871722182830332E-4</v>
      </c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</row>
    <row r="622" spans="1:19" customFormat="1" x14ac:dyDescent="0.25">
      <c r="A622" s="33">
        <v>1.413</v>
      </c>
      <c r="B622" s="34">
        <v>11477.229274472691</v>
      </c>
      <c r="C622" s="33">
        <v>7.0821529745046519E-4</v>
      </c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</row>
    <row r="623" spans="1:19" customFormat="1" x14ac:dyDescent="0.25">
      <c r="A623" s="33">
        <v>1.4139999999999999</v>
      </c>
      <c r="B623" s="34">
        <v>11484.969091566149</v>
      </c>
      <c r="C623" s="33">
        <v>7.0771408351011367E-4</v>
      </c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</row>
    <row r="624" spans="1:19" customFormat="1" x14ac:dyDescent="0.25">
      <c r="A624" s="33">
        <v>1.415</v>
      </c>
      <c r="B624" s="34">
        <v>11492.708908659608</v>
      </c>
      <c r="C624" s="33">
        <v>7.0721357850089817E-4</v>
      </c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</row>
    <row r="625" spans="1:19" customFormat="1" x14ac:dyDescent="0.25">
      <c r="A625" s="33">
        <v>1.4159999999999999</v>
      </c>
      <c r="B625" s="34">
        <v>11500.448725753069</v>
      </c>
      <c r="C625" s="33">
        <v>7.0671378091868853E-4</v>
      </c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</row>
    <row r="626" spans="1:19" customFormat="1" x14ac:dyDescent="0.25">
      <c r="A626" s="33">
        <v>1.417</v>
      </c>
      <c r="B626" s="34">
        <v>11508.188542846527</v>
      </c>
      <c r="C626" s="33">
        <v>7.0621468926557185E-4</v>
      </c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</row>
    <row r="627" spans="1:19" customFormat="1" x14ac:dyDescent="0.25">
      <c r="A627" s="33">
        <v>1.4179999999999999</v>
      </c>
      <c r="B627" s="34">
        <v>11515.928359939986</v>
      </c>
      <c r="C627" s="33">
        <v>7.057163020465218E-4</v>
      </c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</row>
    <row r="628" spans="1:19" customFormat="1" x14ac:dyDescent="0.25">
      <c r="A628" s="33">
        <v>1.419</v>
      </c>
      <c r="B628" s="34">
        <v>11523.668177033447</v>
      </c>
      <c r="C628" s="33">
        <v>7.0521861777161909E-4</v>
      </c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</row>
    <row r="629" spans="1:19" customFormat="1" x14ac:dyDescent="0.25">
      <c r="A629" s="33">
        <v>1.42</v>
      </c>
      <c r="B629" s="34">
        <v>11531.407994126903</v>
      </c>
      <c r="C629" s="33">
        <v>7.0472163495405304E-4</v>
      </c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</row>
    <row r="630" spans="1:19" customFormat="1" x14ac:dyDescent="0.25">
      <c r="A630" s="33">
        <v>1.421</v>
      </c>
      <c r="B630" s="34">
        <v>11539.147811220366</v>
      </c>
      <c r="C630" s="33">
        <v>7.0422535211300819E-4</v>
      </c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</row>
    <row r="631" spans="1:19" customFormat="1" x14ac:dyDescent="0.25">
      <c r="A631" s="33">
        <v>1.4219999999999999</v>
      </c>
      <c r="B631" s="34">
        <v>11546.887628313823</v>
      </c>
      <c r="C631" s="33">
        <v>7.0372976776922336E-4</v>
      </c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</row>
    <row r="632" spans="1:19" customFormat="1" x14ac:dyDescent="0.25">
      <c r="A632" s="33">
        <v>1.423</v>
      </c>
      <c r="B632" s="34">
        <v>11554.627445407283</v>
      </c>
      <c r="C632" s="33">
        <v>7.0323488045009874E-4</v>
      </c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</row>
    <row r="633" spans="1:19" customFormat="1" x14ac:dyDescent="0.25">
      <c r="A633" s="33">
        <v>1.4239999999999999</v>
      </c>
      <c r="B633" s="34">
        <v>11562.36726250074</v>
      </c>
      <c r="C633" s="33">
        <v>7.0274068868569906E-4</v>
      </c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</row>
    <row r="634" spans="1:19" customFormat="1" x14ac:dyDescent="0.25">
      <c r="A634" s="33">
        <v>1.425</v>
      </c>
      <c r="B634" s="34">
        <v>11570.1070795942</v>
      </c>
      <c r="C634" s="33">
        <v>7.0224719101141808E-4</v>
      </c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</row>
    <row r="635" spans="1:19" customFormat="1" x14ac:dyDescent="0.25">
      <c r="A635" s="33">
        <v>1.4259999999999999</v>
      </c>
      <c r="B635" s="34">
        <v>11577.846896687659</v>
      </c>
      <c r="C635" s="33">
        <v>7.0175438596487005E-4</v>
      </c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</row>
    <row r="636" spans="1:19" customFormat="1" x14ac:dyDescent="0.25">
      <c r="A636" s="33">
        <v>1.427</v>
      </c>
      <c r="B636" s="34">
        <v>11585.58671378112</v>
      </c>
      <c r="C636" s="33">
        <v>7.0126227208988645E-4</v>
      </c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</row>
    <row r="637" spans="1:19" customFormat="1" x14ac:dyDescent="0.25">
      <c r="A637" s="33">
        <v>1.4279999999999999</v>
      </c>
      <c r="B637" s="34">
        <v>11593.326530874579</v>
      </c>
      <c r="C637" s="33">
        <v>7.0077084793274125E-4</v>
      </c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</row>
    <row r="638" spans="1:19" customFormat="1" x14ac:dyDescent="0.25">
      <c r="A638" s="33">
        <v>1.429</v>
      </c>
      <c r="B638" s="34">
        <v>11601.066347968037</v>
      </c>
      <c r="C638" s="33">
        <v>7.0028011204481544E-4</v>
      </c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</row>
    <row r="639" spans="1:19" customFormat="1" x14ac:dyDescent="0.25">
      <c r="A639" s="33">
        <v>1.43</v>
      </c>
      <c r="B639" s="34">
        <v>11608.806165061498</v>
      </c>
      <c r="C639" s="33">
        <v>6.9979006298126478E-4</v>
      </c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</row>
    <row r="640" spans="1:19" customFormat="1" x14ac:dyDescent="0.25">
      <c r="A640" s="33">
        <v>1.431</v>
      </c>
      <c r="B640" s="34">
        <v>11616.545982154956</v>
      </c>
      <c r="C640" s="33">
        <v>6.993006993005757E-4</v>
      </c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</row>
    <row r="641" spans="1:19" customFormat="1" x14ac:dyDescent="0.25">
      <c r="A641" s="33">
        <v>1.4319999999999999</v>
      </c>
      <c r="B641" s="34">
        <v>11624.285799248413</v>
      </c>
      <c r="C641" s="33">
        <v>6.9881201956656369E-4</v>
      </c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</row>
    <row r="642" spans="1:19" customFormat="1" x14ac:dyDescent="0.25">
      <c r="A642" s="33">
        <v>1.4330000000000001</v>
      </c>
      <c r="B642" s="34">
        <v>11632.025616341871</v>
      </c>
      <c r="C642" s="33">
        <v>6.9832402234637492E-4</v>
      </c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</row>
    <row r="643" spans="1:19" customFormat="1" x14ac:dyDescent="0.25">
      <c r="A643" s="33">
        <v>1.4339999999999999</v>
      </c>
      <c r="B643" s="34">
        <v>11639.76543343533</v>
      </c>
      <c r="C643" s="33">
        <v>6.9783670621070826E-4</v>
      </c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</row>
    <row r="644" spans="1:19" customFormat="1" x14ac:dyDescent="0.25">
      <c r="A644" s="33">
        <v>1.4350000000000001</v>
      </c>
      <c r="B644" s="34">
        <v>11647.505250528793</v>
      </c>
      <c r="C644" s="33">
        <v>6.9735006973536962E-4</v>
      </c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</row>
    <row r="645" spans="1:19" customFormat="1" x14ac:dyDescent="0.25">
      <c r="A645" s="33">
        <v>1.4359999999999999</v>
      </c>
      <c r="B645" s="34">
        <v>11655.245067622249</v>
      </c>
      <c r="C645" s="33">
        <v>6.968641114981633E-4</v>
      </c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</row>
    <row r="646" spans="1:19" customFormat="1" x14ac:dyDescent="0.25">
      <c r="A646" s="33">
        <v>1.4370000000000001</v>
      </c>
      <c r="B646" s="34">
        <v>11662.984884715708</v>
      </c>
      <c r="C646" s="33">
        <v>6.9637883008355494E-4</v>
      </c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</row>
    <row r="647" spans="1:19" customFormat="1" x14ac:dyDescent="0.25">
      <c r="A647" s="33">
        <v>1.4379999999999999</v>
      </c>
      <c r="B647" s="34">
        <v>11670.724701809166</v>
      </c>
      <c r="C647" s="33">
        <v>6.9589422407778656E-4</v>
      </c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</row>
    <row r="648" spans="1:19" customFormat="1" x14ac:dyDescent="0.25">
      <c r="A648" s="33">
        <v>1.4390000000000001</v>
      </c>
      <c r="B648" s="34">
        <v>11678.464518902627</v>
      </c>
      <c r="C648" s="33">
        <v>6.9541029207242921E-4</v>
      </c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</row>
    <row r="649" spans="1:19" customFormat="1" x14ac:dyDescent="0.25">
      <c r="A649" s="33">
        <v>1.44</v>
      </c>
      <c r="B649" s="34">
        <v>11686.204335996083</v>
      </c>
      <c r="C649" s="33">
        <v>6.9492703266149647E-4</v>
      </c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</row>
    <row r="650" spans="1:19" customFormat="1" x14ac:dyDescent="0.25">
      <c r="A650" s="33">
        <v>1.4410000000000001</v>
      </c>
      <c r="B650" s="34">
        <v>11693.944153089542</v>
      </c>
      <c r="C650" s="33">
        <v>6.94444444444553E-4</v>
      </c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</row>
    <row r="651" spans="1:19" customFormat="1" x14ac:dyDescent="0.25">
      <c r="A651" s="33">
        <v>1.4419999999999999</v>
      </c>
      <c r="B651" s="34">
        <v>11701.683970183003</v>
      </c>
      <c r="C651" s="33">
        <v>6.9396252602360597E-4</v>
      </c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</row>
    <row r="652" spans="1:19" customFormat="1" x14ac:dyDescent="0.25">
      <c r="A652" s="33">
        <v>1.4430000000000001</v>
      </c>
      <c r="B652" s="34">
        <v>11709.423787276461</v>
      </c>
      <c r="C652" s="33">
        <v>6.9348127600554754E-4</v>
      </c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</row>
    <row r="653" spans="1:19" customFormat="1" x14ac:dyDescent="0.25">
      <c r="A653" s="33">
        <v>1.444</v>
      </c>
      <c r="B653" s="34">
        <v>11717.163604369918</v>
      </c>
      <c r="C653" s="33">
        <v>6.9300069300060052E-4</v>
      </c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</row>
    <row r="654" spans="1:19" customFormat="1" x14ac:dyDescent="0.25">
      <c r="A654" s="33">
        <v>1.4450000000000001</v>
      </c>
      <c r="B654" s="34">
        <v>11724.903421463379</v>
      </c>
      <c r="C654" s="33">
        <v>6.9252077562342862E-4</v>
      </c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</row>
    <row r="655" spans="1:19" customFormat="1" x14ac:dyDescent="0.25">
      <c r="A655" s="33">
        <v>1.446</v>
      </c>
      <c r="B655" s="34">
        <v>11732.643238556837</v>
      </c>
      <c r="C655" s="33">
        <v>6.9204152249136008E-4</v>
      </c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</row>
    <row r="656" spans="1:19" customFormat="1" x14ac:dyDescent="0.25">
      <c r="A656" s="33">
        <v>1.4470000000000001</v>
      </c>
      <c r="B656" s="34">
        <v>11740.383055650296</v>
      </c>
      <c r="C656" s="33">
        <v>6.9156293222683018E-4</v>
      </c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</row>
    <row r="657" spans="1:19" customFormat="1" x14ac:dyDescent="0.25">
      <c r="A657" s="33">
        <v>1.448</v>
      </c>
      <c r="B657" s="34">
        <v>11748.122872743756</v>
      </c>
      <c r="C657" s="33">
        <v>6.9108500345538282E-4</v>
      </c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</row>
    <row r="658" spans="1:19" customFormat="1" x14ac:dyDescent="0.25">
      <c r="A658" s="33">
        <v>1.4490000000000001</v>
      </c>
      <c r="B658" s="34">
        <v>11755.862689837213</v>
      </c>
      <c r="C658" s="33">
        <v>6.9060773480655868E-4</v>
      </c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</row>
    <row r="659" spans="1:19" customFormat="1" x14ac:dyDescent="0.25">
      <c r="A659" s="33">
        <v>1.45</v>
      </c>
      <c r="B659" s="34">
        <v>11763.602506930671</v>
      </c>
      <c r="C659" s="33">
        <v>6.9013112491389528E-4</v>
      </c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</row>
    <row r="660" spans="1:19" customFormat="1" x14ac:dyDescent="0.25">
      <c r="A660" s="33">
        <v>1.4510000000000001</v>
      </c>
      <c r="B660" s="34">
        <v>11771.342324024132</v>
      </c>
      <c r="C660" s="33">
        <v>6.8965517241381669E-4</v>
      </c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</row>
    <row r="661" spans="1:19" customFormat="1" x14ac:dyDescent="0.25">
      <c r="A661" s="33">
        <v>1.452</v>
      </c>
      <c r="B661" s="34">
        <v>11779.082141117586</v>
      </c>
      <c r="C661" s="33">
        <v>6.8917987594740993E-4</v>
      </c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</row>
    <row r="662" spans="1:19" customFormat="1" x14ac:dyDescent="0.25">
      <c r="A662" s="33">
        <v>1.4530000000000001</v>
      </c>
      <c r="B662" s="34">
        <v>11786.821958211047</v>
      </c>
      <c r="C662" s="33">
        <v>6.8870523415998086E-4</v>
      </c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</row>
    <row r="663" spans="1:19" customFormat="1" x14ac:dyDescent="0.25">
      <c r="A663" s="33">
        <v>1.454</v>
      </c>
      <c r="B663" s="34">
        <v>11794.561775304506</v>
      </c>
      <c r="C663" s="33">
        <v>6.8823124569861172E-4</v>
      </c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</row>
    <row r="664" spans="1:19" customFormat="1" x14ac:dyDescent="0.25">
      <c r="A664" s="33">
        <v>1.4550000000000001</v>
      </c>
      <c r="B664" s="34">
        <v>11802.301592397966</v>
      </c>
      <c r="C664" s="33">
        <v>6.8775790921593583E-4</v>
      </c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</row>
    <row r="665" spans="1:19" customFormat="1" x14ac:dyDescent="0.25">
      <c r="A665" s="33">
        <v>1.456</v>
      </c>
      <c r="B665" s="34">
        <v>11810.041409491423</v>
      </c>
      <c r="C665" s="33">
        <v>6.8728522336769515E-4</v>
      </c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</row>
    <row r="666" spans="1:19" customFormat="1" x14ac:dyDescent="0.25">
      <c r="A666" s="33">
        <v>1.4570000000000001</v>
      </c>
      <c r="B666" s="34">
        <v>11817.781226584881</v>
      </c>
      <c r="C666" s="33">
        <v>6.8681318681318437E-4</v>
      </c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</row>
    <row r="667" spans="1:19" customFormat="1" x14ac:dyDescent="0.25">
      <c r="A667" s="33">
        <v>1.458</v>
      </c>
      <c r="B667" s="34">
        <v>11825.521043678342</v>
      </c>
      <c r="C667" s="33">
        <v>6.8634179821547292E-4</v>
      </c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</row>
    <row r="668" spans="1:19" customFormat="1" x14ac:dyDescent="0.25">
      <c r="A668" s="33">
        <v>1.4590000000000001</v>
      </c>
      <c r="B668" s="34">
        <v>11833.260860771799</v>
      </c>
      <c r="C668" s="33">
        <v>6.8587105624140499E-4</v>
      </c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</row>
    <row r="669" spans="1:19" customFormat="1" x14ac:dyDescent="0.25">
      <c r="A669" s="33">
        <v>1.46</v>
      </c>
      <c r="B669" s="34">
        <v>11841.000677865259</v>
      </c>
      <c r="C669" s="33">
        <v>6.8540095956137748E-4</v>
      </c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</row>
    <row r="670" spans="1:19" customFormat="1" x14ac:dyDescent="0.25">
      <c r="A670" s="33">
        <v>1.4610000000000001</v>
      </c>
      <c r="B670" s="34">
        <v>11848.740494958718</v>
      </c>
      <c r="C670" s="33">
        <v>6.8493150684934001E-4</v>
      </c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</row>
    <row r="671" spans="1:19" customFormat="1" x14ac:dyDescent="0.25">
      <c r="A671" s="33">
        <v>1.462</v>
      </c>
      <c r="B671" s="34">
        <v>11856.480312052176</v>
      </c>
      <c r="C671" s="33">
        <v>6.8446269678301697E-4</v>
      </c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</row>
    <row r="672" spans="1:19" customFormat="1" x14ac:dyDescent="0.25">
      <c r="A672" s="33">
        <v>1.4630000000000001</v>
      </c>
      <c r="B672" s="34">
        <v>11864.220129145637</v>
      </c>
      <c r="C672" s="33">
        <v>6.8399452804390748E-4</v>
      </c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</row>
    <row r="673" spans="1:19" customFormat="1" x14ac:dyDescent="0.25">
      <c r="A673" s="33">
        <v>1.464</v>
      </c>
      <c r="B673" s="34">
        <v>11871.959946239094</v>
      </c>
      <c r="C673" s="33">
        <v>6.8352699931639727E-4</v>
      </c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</row>
    <row r="674" spans="1:19" customFormat="1" x14ac:dyDescent="0.25">
      <c r="A674" s="33">
        <v>1.4650000000000001</v>
      </c>
      <c r="B674" s="34">
        <v>11879.699763332555</v>
      </c>
      <c r="C674" s="33">
        <v>6.8306010928975702E-4</v>
      </c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</row>
    <row r="675" spans="1:19" customFormat="1" x14ac:dyDescent="0.25">
      <c r="A675" s="33">
        <v>1.466</v>
      </c>
      <c r="B675" s="34">
        <v>11887.439580426013</v>
      </c>
      <c r="C675" s="33">
        <v>6.8259385665525585E-4</v>
      </c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</row>
    <row r="676" spans="1:19" customFormat="1" x14ac:dyDescent="0.25">
      <c r="A676" s="33">
        <v>1.4670000000000001</v>
      </c>
      <c r="B676" s="34">
        <v>11895.179397519474</v>
      </c>
      <c r="C676" s="33">
        <v>6.8212824010926987E-4</v>
      </c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</row>
    <row r="677" spans="1:19" customFormat="1" x14ac:dyDescent="0.25">
      <c r="A677" s="33">
        <v>1.468</v>
      </c>
      <c r="B677" s="34">
        <v>11902.919214612928</v>
      </c>
      <c r="C677" s="33">
        <v>6.8166325835017361E-4</v>
      </c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</row>
    <row r="678" spans="1:19" customFormat="1" x14ac:dyDescent="0.25">
      <c r="A678" s="33">
        <v>1.4690000000000001</v>
      </c>
      <c r="B678" s="34">
        <v>11910.659031706386</v>
      </c>
      <c r="C678" s="33">
        <v>6.8119891008167066E-4</v>
      </c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</row>
    <row r="679" spans="1:19" customFormat="1" x14ac:dyDescent="0.25">
      <c r="A679" s="33">
        <v>1.47</v>
      </c>
      <c r="B679" s="34">
        <v>11918.398848799847</v>
      </c>
      <c r="C679" s="33">
        <v>6.8073519400968507E-4</v>
      </c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</row>
    <row r="680" spans="1:19" customFormat="1" x14ac:dyDescent="0.25">
      <c r="A680" s="33">
        <v>1.4710000000000001</v>
      </c>
      <c r="B680" s="34">
        <v>11926.138665893308</v>
      </c>
      <c r="C680" s="33">
        <v>6.802721088436936E-4</v>
      </c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</row>
    <row r="681" spans="1:19" customFormat="1" x14ac:dyDescent="0.25">
      <c r="A681" s="33">
        <v>1.472</v>
      </c>
      <c r="B681" s="34">
        <v>11933.878482986765</v>
      </c>
      <c r="C681" s="33">
        <v>6.7980965329694776E-4</v>
      </c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</row>
    <row r="682" spans="1:19" customFormat="1" x14ac:dyDescent="0.25">
      <c r="A682" s="33">
        <v>1.4730000000000001</v>
      </c>
      <c r="B682" s="34">
        <v>11941.618300080223</v>
      </c>
      <c r="C682" s="33">
        <v>6.7934782608713995E-4</v>
      </c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</row>
    <row r="683" spans="1:19" customFormat="1" x14ac:dyDescent="0.25">
      <c r="A683" s="33">
        <v>1.474</v>
      </c>
      <c r="B683" s="34">
        <v>11949.358117173684</v>
      </c>
      <c r="C683" s="33">
        <v>6.788866259335169E-4</v>
      </c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</row>
    <row r="684" spans="1:19" customFormat="1" x14ac:dyDescent="0.25">
      <c r="A684" s="33">
        <v>1.4750000000000001</v>
      </c>
      <c r="B684" s="34">
        <v>11957.097934267142</v>
      </c>
      <c r="C684" s="33">
        <v>6.7842605156043234E-4</v>
      </c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</row>
    <row r="685" spans="1:19" customFormat="1" x14ac:dyDescent="0.25">
      <c r="A685" s="33">
        <v>1.476</v>
      </c>
      <c r="B685" s="34">
        <v>11964.837751360599</v>
      </c>
      <c r="C685" s="33">
        <v>6.7796610169468252E-4</v>
      </c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</row>
    <row r="686" spans="1:19" customFormat="1" x14ac:dyDescent="0.25">
      <c r="A686" s="33">
        <v>1.4770000000000001</v>
      </c>
      <c r="B686" s="34">
        <v>11972.577568454057</v>
      </c>
      <c r="C686" s="33">
        <v>6.7750677506772661E-4</v>
      </c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</row>
    <row r="687" spans="1:19" customFormat="1" x14ac:dyDescent="0.25">
      <c r="A687" s="33">
        <v>1.478</v>
      </c>
      <c r="B687" s="34">
        <v>11980.317385547516</v>
      </c>
      <c r="C687" s="33">
        <v>6.7704807041302217E-4</v>
      </c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</row>
    <row r="688" spans="1:19" customFormat="1" x14ac:dyDescent="0.25">
      <c r="A688" s="33">
        <v>1.4790000000000001</v>
      </c>
      <c r="B688" s="34">
        <v>11988.057202640975</v>
      </c>
      <c r="C688" s="33">
        <v>6.7658998646824564E-4</v>
      </c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</row>
    <row r="689" spans="1:19" customFormat="1" x14ac:dyDescent="0.25">
      <c r="A689" s="33">
        <v>1.48</v>
      </c>
      <c r="B689" s="34">
        <v>11995.797019734437</v>
      </c>
      <c r="C689" s="33">
        <v>6.7613252197462614E-4</v>
      </c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</row>
    <row r="690" spans="1:19" customFormat="1" x14ac:dyDescent="0.25">
      <c r="A690" s="33">
        <v>1.4810000000000001</v>
      </c>
      <c r="B690" s="34">
        <v>12003.536836827894</v>
      </c>
      <c r="C690" s="33">
        <v>6.7567567567561326E-4</v>
      </c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</row>
    <row r="691" spans="1:19" customFormat="1" x14ac:dyDescent="0.25">
      <c r="A691" s="33">
        <v>1.482</v>
      </c>
      <c r="B691" s="34">
        <v>12011.276653921348</v>
      </c>
      <c r="C691" s="33">
        <v>6.7521944631976361E-4</v>
      </c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</row>
    <row r="692" spans="1:19" customFormat="1" x14ac:dyDescent="0.25">
      <c r="A692" s="33">
        <v>1.4830000000000001</v>
      </c>
      <c r="B692" s="34">
        <v>12019.016471014809</v>
      </c>
      <c r="C692" s="33">
        <v>6.747638326587424E-4</v>
      </c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</row>
    <row r="693" spans="1:19" customFormat="1" x14ac:dyDescent="0.25">
      <c r="A693" s="33">
        <v>1.484</v>
      </c>
      <c r="B693" s="34">
        <v>12026.756288108267</v>
      </c>
      <c r="C693" s="33">
        <v>6.7430883344554715E-4</v>
      </c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</row>
    <row r="694" spans="1:19" customFormat="1" x14ac:dyDescent="0.25">
      <c r="A694" s="33">
        <v>1.4850000000000001</v>
      </c>
      <c r="B694" s="34">
        <v>12034.496105201728</v>
      </c>
      <c r="C694" s="33">
        <v>6.7385444743961465E-4</v>
      </c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</row>
    <row r="695" spans="1:19" customFormat="1" x14ac:dyDescent="0.25">
      <c r="A695" s="33">
        <v>1.486</v>
      </c>
      <c r="B695" s="34">
        <v>12042.235922295185</v>
      </c>
      <c r="C695" s="33">
        <v>6.7340067340038168E-4</v>
      </c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</row>
    <row r="696" spans="1:19" customFormat="1" x14ac:dyDescent="0.25">
      <c r="A696" s="33">
        <v>1.4870000000000001</v>
      </c>
      <c r="B696" s="34">
        <v>12049.975739388643</v>
      </c>
      <c r="C696" s="33">
        <v>6.7294751009439047E-4</v>
      </c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</row>
    <row r="697" spans="1:19" customFormat="1" x14ac:dyDescent="0.25">
      <c r="A697" s="33">
        <v>1.488</v>
      </c>
      <c r="B697" s="34">
        <v>12057.715556482104</v>
      </c>
      <c r="C697" s="33">
        <v>6.7249495628773914E-4</v>
      </c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</row>
    <row r="698" spans="1:19" customFormat="1" x14ac:dyDescent="0.25">
      <c r="A698" s="33">
        <v>1.4890000000000001</v>
      </c>
      <c r="B698" s="34">
        <v>12065.455373575565</v>
      </c>
      <c r="C698" s="33">
        <v>6.7204301075296513E-4</v>
      </c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</row>
    <row r="699" spans="1:19" customFormat="1" x14ac:dyDescent="0.25">
      <c r="A699" s="33">
        <v>1.49</v>
      </c>
      <c r="B699" s="34">
        <v>12073.195190669023</v>
      </c>
      <c r="C699" s="33">
        <v>6.7159167226327199E-4</v>
      </c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</row>
    <row r="700" spans="1:19" customFormat="1" x14ac:dyDescent="0.25">
      <c r="A700" s="33">
        <v>1.4910000000000001</v>
      </c>
      <c r="B700" s="34">
        <v>12080.935007762482</v>
      </c>
      <c r="C700" s="33">
        <v>6.7114093959741439E-4</v>
      </c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</row>
    <row r="701" spans="1:19" customFormat="1" x14ac:dyDescent="0.25">
      <c r="A701" s="33">
        <v>1.492</v>
      </c>
      <c r="B701" s="34">
        <v>12088.67482485594</v>
      </c>
      <c r="C701" s="33">
        <v>6.7069081153570131E-4</v>
      </c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</row>
    <row r="702" spans="1:19" customFormat="1" x14ac:dyDescent="0.25">
      <c r="A702" s="33">
        <v>1.4930000000000001</v>
      </c>
      <c r="B702" s="34">
        <v>12096.414641949399</v>
      </c>
      <c r="C702" s="33">
        <v>6.7024128686332674E-4</v>
      </c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</row>
    <row r="703" spans="1:19" customFormat="1" x14ac:dyDescent="0.25">
      <c r="A703" s="33">
        <v>1.494</v>
      </c>
      <c r="B703" s="34">
        <v>12104.154459042853</v>
      </c>
      <c r="C703" s="33">
        <v>6.6979236436681688E-4</v>
      </c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</row>
    <row r="704" spans="1:19" customFormat="1" x14ac:dyDescent="0.25">
      <c r="A704" s="33">
        <v>1.4950000000000001</v>
      </c>
      <c r="B704" s="34">
        <v>12111.89427613632</v>
      </c>
      <c r="C704" s="33">
        <v>6.6934404283847115E-4</v>
      </c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</row>
    <row r="705" spans="1:19" customFormat="1" x14ac:dyDescent="0.25">
      <c r="A705" s="33">
        <v>1.496</v>
      </c>
      <c r="B705" s="34">
        <v>12119.634093229777</v>
      </c>
      <c r="C705" s="33">
        <v>6.6889632107014485E-4</v>
      </c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</row>
    <row r="706" spans="1:19" customFormat="1" x14ac:dyDescent="0.25">
      <c r="A706" s="33">
        <v>1.4970000000000001</v>
      </c>
      <c r="B706" s="34">
        <v>12127.373910323235</v>
      </c>
      <c r="C706" s="33">
        <v>6.6844919786102075E-4</v>
      </c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</row>
    <row r="707" spans="1:19" customFormat="1" x14ac:dyDescent="0.25">
      <c r="A707" s="33">
        <v>1.498</v>
      </c>
      <c r="B707" s="34">
        <v>12135.113727416692</v>
      </c>
      <c r="C707" s="33">
        <v>6.6800267201072572E-4</v>
      </c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</row>
    <row r="708" spans="1:19" customFormat="1" x14ac:dyDescent="0.25">
      <c r="A708" s="33">
        <v>1.4990000000000001</v>
      </c>
      <c r="B708" s="34">
        <v>12142.853544510155</v>
      </c>
      <c r="C708" s="33">
        <v>6.6755674232332751E-4</v>
      </c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</row>
    <row r="709" spans="1:19" customFormat="1" x14ac:dyDescent="0.25">
      <c r="A709" s="31">
        <v>1.5</v>
      </c>
      <c r="B709" s="32">
        <v>12223.610503994732</v>
      </c>
      <c r="C709" s="31">
        <v>6.9606152529357868E-3</v>
      </c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��
</file>

<file path=customXml/item3.xml>��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0501451DF3505243A228614F59E741BF" ma:contentTypeVersion="11" ma:contentTypeDescription="Crie um novo documento." ma:contentTypeScope="" ma:versionID="ba73b4e8c952753a43010271c3919fa8">
  <xsd:schema xmlns:xsd="http://www.w3.org/2001/XMLSchema" xmlns:xs="http://www.w3.org/2001/XMLSchema" xmlns:p="http://schemas.microsoft.com/office/2006/metadata/properties" xmlns:ns3="896fe6eb-5f29-4571-a8a6-59d7a5302ed0" xmlns:ns4="d9082921-9335-4357-a717-920ec1340a82" targetNamespace="http://schemas.microsoft.com/office/2006/metadata/properties" ma:root="true" ma:fieldsID="d82de12f92766380b502148ffc2e8230" ns3:_="" ns4:_="">
    <xsd:import namespace="896fe6eb-5f29-4571-a8a6-59d7a5302ed0"/>
    <xsd:import namespace="d9082921-9335-4357-a717-920ec1340a82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DateTaken" minOccurs="0"/>
                <xsd:element ref="ns3:MediaServiceLocation" minOccurs="0"/>
                <xsd:element ref="ns4:SharedWithUsers" minOccurs="0"/>
                <xsd:element ref="ns4:SharedWithDetails" minOccurs="0"/>
                <xsd:element ref="ns4:SharingHintHash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96fe6eb-5f29-4571-a8a6-59d7a5302ed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9082921-9335-4357-a717-920ec1340a82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Com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Detalhes de Compartilhado Com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8" nillable="true" ma:displayName="Hash de Dica de Compartilhamento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17.xml>��
</file>

<file path=customXml/item18.xml>��
</file>

<file path=customXml/item19.xml>��
</file>

<file path=customXml/item20.xml>��
</file>

<file path=customXml/itemProps1.xml><?xml version="1.0" encoding="utf-8"?>
<ds:datastoreItem xmlns:ds="http://schemas.openxmlformats.org/officeDocument/2006/customXml" ds:itemID="{350122EC-EB85-4716-8C59-CF8823D164FA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66B45A57-EA75-4C94-9971-13CDD23276D7}">
  <ds:schemaRefs/>
</ds:datastoreItem>
</file>

<file path=customXml/itemProps3.xml><?xml version="1.0" encoding="utf-8"?>
<ds:datastoreItem xmlns:ds="http://schemas.openxmlformats.org/officeDocument/2006/customXml" ds:itemID="{974DD2C4-F05C-4069-8876-54CEB23BA90B}">
  <ds:schemaRefs/>
</ds:datastoreItem>
</file>

<file path=customXml/itemProps4.xml><?xml version="1.0" encoding="utf-8"?>
<ds:datastoreItem xmlns:ds="http://schemas.openxmlformats.org/officeDocument/2006/customXml" ds:itemID="{9F732ED5-B0ED-4BF7-B6EF-2CC446B8C38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96fe6eb-5f29-4571-a8a6-59d7a5302ed0"/>
    <ds:schemaRef ds:uri="d9082921-9335-4357-a717-920ec1340a82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5.xml><?xml version="1.0" encoding="utf-8"?>
<ds:datastoreItem xmlns:ds="http://schemas.openxmlformats.org/officeDocument/2006/customXml" ds:itemID="{AC873E6F-5C3F-4AC0-8B72-623EBCF0C8DF}">
  <ds:schemaRefs/>
</ds:datastoreItem>
</file>

<file path=customXml/itemProps6.xml><?xml version="1.0" encoding="utf-8"?>
<ds:datastoreItem xmlns:ds="http://schemas.openxmlformats.org/officeDocument/2006/customXml" ds:itemID="{60F8248E-CB84-4080-A56A-7575235712DF}">
  <ds:schemaRefs/>
</ds:datastoreItem>
</file>

<file path=customXml/itemProps7.xml><?xml version="1.0" encoding="utf-8"?>
<ds:datastoreItem xmlns:ds="http://schemas.openxmlformats.org/officeDocument/2006/customXml" ds:itemID="{8F5947F3-C917-4050-B5F2-EA836A5F685E}">
  <ds:schemaRefs/>
</ds:datastoreItem>
</file>

<file path=customXml/itemProps8.xml><?xml version="1.0" encoding="utf-8"?>
<ds:datastoreItem xmlns:ds="http://schemas.openxmlformats.org/officeDocument/2006/customXml" ds:itemID="{BE86B42C-D9E4-47B5-A49D-ABD8D471525F}">
  <ds:schemaRefs/>
</ds:datastoreItem>
</file>

<file path=customXml/itemProps9.xml><?xml version="1.0" encoding="utf-8"?>
<ds:datastoreItem xmlns:ds="http://schemas.openxmlformats.org/officeDocument/2006/customXml" ds:itemID="{BE40807D-1612-41DE-AD4C-C6158156CC6A}">
  <ds:schemaRefs/>
</ds:datastoreItem>
</file>

<file path=customXml/itemProps10.xml><?xml version="1.0" encoding="utf-8"?>
<ds:datastoreItem xmlns:ds="http://schemas.openxmlformats.org/officeDocument/2006/customXml" ds:itemID="{DA4A8024-3F31-4FCB-BA8F-8A76CAC3F14A}">
  <ds:schemaRefs/>
</ds:datastoreItem>
</file>

<file path=customXml/itemProps11.xml><?xml version="1.0" encoding="utf-8"?>
<ds:datastoreItem xmlns:ds="http://schemas.openxmlformats.org/officeDocument/2006/customXml" ds:itemID="{8C4E8C29-6633-4730-93BC-E7AE984E3F0E}">
  <ds:schemaRefs/>
</ds:datastoreItem>
</file>

<file path=customXml/itemProps12.xml><?xml version="1.0" encoding="utf-8"?>
<ds:datastoreItem xmlns:ds="http://schemas.openxmlformats.org/officeDocument/2006/customXml" ds:itemID="{89D7D874-B91D-4333-BAF2-3E9B23CFB025}">
  <ds:schemaRefs/>
</ds:datastoreItem>
</file>

<file path=customXml/itemProps13.xml><?xml version="1.0" encoding="utf-8"?>
<ds:datastoreItem xmlns:ds="http://schemas.openxmlformats.org/officeDocument/2006/customXml" ds:itemID="{D4AAF80E-B874-4D63-896D-744C3D0C2919}">
  <ds:schemaRefs/>
</ds:datastoreItem>
</file>

<file path=customXml/itemProps14.xml><?xml version="1.0" encoding="utf-8"?>
<ds:datastoreItem xmlns:ds="http://schemas.openxmlformats.org/officeDocument/2006/customXml" ds:itemID="{002B65DD-3710-43A9-B33F-2EB9286CB2C3}">
  <ds:schemaRefs/>
</ds:datastoreItem>
</file>

<file path=customXml/itemProps15.xml><?xml version="1.0" encoding="utf-8"?>
<ds:datastoreItem xmlns:ds="http://schemas.openxmlformats.org/officeDocument/2006/customXml" ds:itemID="{0F7C3584-72FA-41E7-8838-72DFF739480C}">
  <ds:schemaRefs/>
</ds:datastoreItem>
</file>

<file path=customXml/itemProps16.xml><?xml version="1.0" encoding="utf-8"?>
<ds:datastoreItem xmlns:ds="http://schemas.openxmlformats.org/officeDocument/2006/customXml" ds:itemID="{CA1787A6-390A-43FB-B56F-FAC02FFDB15B}">
  <ds:schemaRefs>
    <ds:schemaRef ds:uri="http://schemas.microsoft.com/sharepoint/v3/contenttype/forms"/>
  </ds:schemaRefs>
</ds:datastoreItem>
</file>

<file path=customXml/itemProps17.xml><?xml version="1.0" encoding="utf-8"?>
<ds:datastoreItem xmlns:ds="http://schemas.openxmlformats.org/officeDocument/2006/customXml" ds:itemID="{B4CCE224-97EF-4620-B988-EB09B2AAC482}">
  <ds:schemaRefs/>
</ds:datastoreItem>
</file>

<file path=customXml/itemProps18.xml><?xml version="1.0" encoding="utf-8"?>
<ds:datastoreItem xmlns:ds="http://schemas.openxmlformats.org/officeDocument/2006/customXml" ds:itemID="{36030255-34B6-48D0-BCC8-87EC244CF929}">
  <ds:schemaRefs/>
</ds:datastoreItem>
</file>

<file path=customXml/itemProps19.xml><?xml version="1.0" encoding="utf-8"?>
<ds:datastoreItem xmlns:ds="http://schemas.openxmlformats.org/officeDocument/2006/customXml" ds:itemID="{C4A6DE87-3BF5-44D0-A457-DFD670337651}">
  <ds:schemaRefs>
    <ds:schemaRef ds:uri="http://schemas.microsoft.com/DataMashup"/>
  </ds:schemaRefs>
</ds:datastoreItem>
</file>

<file path=customXml/itemProps20.xml><?xml version="1.0" encoding="utf-8"?>
<ds:datastoreItem xmlns:ds="http://schemas.openxmlformats.org/officeDocument/2006/customXml" ds:itemID="{293EB6DB-EFBA-49C5-B268-B60F50222DA0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22</vt:i4>
      </vt:variant>
      <vt:variant>
        <vt:lpstr>Intervalos Nomeados</vt:lpstr>
      </vt:variant>
      <vt:variant>
        <vt:i4>42</vt:i4>
      </vt:variant>
    </vt:vector>
  </HeadingPairs>
  <TitlesOfParts>
    <vt:vector size="64" baseType="lpstr">
      <vt:lpstr>Instruções</vt:lpstr>
      <vt:lpstr>Setorizacao REP</vt:lpstr>
      <vt:lpstr>Tabela Periodos</vt:lpstr>
      <vt:lpstr>Resumo</vt:lpstr>
      <vt:lpstr>Demonstrativo REP</vt:lpstr>
      <vt:lpstr>Demostrativo Venda Detalhada</vt:lpstr>
      <vt:lpstr>Demonstrativo GR</vt:lpstr>
      <vt:lpstr>IV Venda Tri</vt:lpstr>
      <vt:lpstr>IV Venda Mensal</vt:lpstr>
      <vt:lpstr>IV Demanda REP Mensal</vt:lpstr>
      <vt:lpstr>IV Demanda REP Tri</vt:lpstr>
      <vt:lpstr>IV Visitas REP</vt:lpstr>
      <vt:lpstr>Representantes</vt:lpstr>
      <vt:lpstr>IV Demanda GR Tri</vt:lpstr>
      <vt:lpstr>IV Demanda GR Mensal</vt:lpstr>
      <vt:lpstr>IV Visitas - GR</vt:lpstr>
      <vt:lpstr>Demanda Setorizada GR</vt:lpstr>
      <vt:lpstr>Setorizacao GR</vt:lpstr>
      <vt:lpstr>Demanda Setorizada REP</vt:lpstr>
      <vt:lpstr>Venda Detalhada</vt:lpstr>
      <vt:lpstr>Tabela Valores REP</vt:lpstr>
      <vt:lpstr>Tabela Valores GR</vt:lpstr>
      <vt:lpstr>aq</vt:lpstr>
      <vt:lpstr>Cob_100_GR</vt:lpstr>
      <vt:lpstr>Cob_100_REP</vt:lpstr>
      <vt:lpstr>Cob_Max_GR</vt:lpstr>
      <vt:lpstr>Cob_Max_REP</vt:lpstr>
      <vt:lpstr>Cob_Min_GR</vt:lpstr>
      <vt:lpstr>Cob_Min_REP</vt:lpstr>
      <vt:lpstr>Demonstrativo_Calcular_Recuperavel_Tri</vt:lpstr>
      <vt:lpstr>Demonstrativo_Mes</vt:lpstr>
      <vt:lpstr>Demonstrativo_Tri</vt:lpstr>
      <vt:lpstr>Demostrativo_Ano</vt:lpstr>
      <vt:lpstr>'Demonstrativo GR'!Filtro_Demostrativo_GR_ANO</vt:lpstr>
      <vt:lpstr>'Demonstrativo GR'!Filtro_Demostrativo_GR_GR</vt:lpstr>
      <vt:lpstr>'Demonstrativo GR'!Filtro_Demostrativo_GR_MES</vt:lpstr>
      <vt:lpstr>'Demonstrativo GR'!Filtro_Demostrativo_GR_TRI</vt:lpstr>
      <vt:lpstr>Filtro_Demostrativo_Rep_ANO</vt:lpstr>
      <vt:lpstr>Filtro_Demostrativo_Rep_MES</vt:lpstr>
      <vt:lpstr>Filtro_Demostrativo_Rep_REP</vt:lpstr>
      <vt:lpstr>Filtro_Demostrativo_Rep_TRI</vt:lpstr>
      <vt:lpstr>Filtro_IV_Ano</vt:lpstr>
      <vt:lpstr>Filtro_IV_Mes</vt:lpstr>
      <vt:lpstr>Filtro_IV_Tri</vt:lpstr>
      <vt:lpstr>Filtro_IV_Tri_Recuperavel</vt:lpstr>
      <vt:lpstr>Peso_Demanda_GR_BERINERT</vt:lpstr>
      <vt:lpstr>Peso_Demanda_GR_BERIPLEX</vt:lpstr>
      <vt:lpstr>Peso_Demanda_GR_HAEMO</vt:lpstr>
      <vt:lpstr>Peso_Demanda_GR_HIZENTRA</vt:lpstr>
      <vt:lpstr>Peso_Demanda_GR_PRIVIGEN</vt:lpstr>
      <vt:lpstr>Peso_Venda_ALBUREX</vt:lpstr>
      <vt:lpstr>Peso_Venda_OUTROS</vt:lpstr>
      <vt:lpstr>Peso_Venda_RHOPYLAC</vt:lpstr>
      <vt:lpstr>Peso_Venda_Total_GR</vt:lpstr>
      <vt:lpstr>Peso_Visitas_GR</vt:lpstr>
      <vt:lpstr>Peso_Visitas_REP</vt:lpstr>
      <vt:lpstr>Tabela_Valores_GR</vt:lpstr>
      <vt:lpstr>Tabela_Valores_REP</vt:lpstr>
      <vt:lpstr>Vlr_100_GR</vt:lpstr>
      <vt:lpstr>Vlr_100_REP</vt:lpstr>
      <vt:lpstr>Vlr_Max_GR</vt:lpstr>
      <vt:lpstr>Vlr_Max_REP</vt:lpstr>
      <vt:lpstr>Vlr_Min_GR</vt:lpstr>
      <vt:lpstr>Vlr_Min_REP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Waldomiro Barbosa</dc:creator>
  <cp:lastModifiedBy>csl@wfbconsultoria.com.br</cp:lastModifiedBy>
  <dcterms:created xsi:type="dcterms:W3CDTF">2019-10-15T18:51:12Z</dcterms:created>
  <dcterms:modified xsi:type="dcterms:W3CDTF">2019-12-18T19:40:47Z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0x0101000501451DF3505243A228614F59E741BF</vt:lpwstr>
  </property>
  <property fmtid="{D5CDD505-2E9C-101B-9397-08002B2CF9AE}" pid="3" name="WorkbookGuid">
    <vt:lpwstr>688dda9c-f5d4-46de-b4ee-21015aad8398</vt:lpwstr>
  </property>
</Properties>
</file>