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ans_punt_wur_nl/Documents/Models/pbktool/pbpk_code_R/input/"/>
    </mc:Choice>
  </mc:AlternateContent>
  <xr:revisionPtr revIDLastSave="168" documentId="13_ncr:1_{2FEC664F-7131-4DF4-866E-4740B4A7E999}" xr6:coauthVersionLast="46" xr6:coauthVersionMax="46" xr10:uidLastSave="{6DD0D0B7-1F68-44B9-AF96-4BE2D9575BE2}"/>
  <bookViews>
    <workbookView xWindow="-110" yWindow="-110" windowWidth="19420" windowHeight="10420" xr2:uid="{00000000-000D-0000-FFFF-FFFF00000000}"/>
  </bookViews>
  <sheets>
    <sheet name="physiological_parameters" sheetId="1" r:id="rId1"/>
  </sheets>
  <calcPr calcId="191029"/>
</workbook>
</file>

<file path=xl/calcChain.xml><?xml version="1.0" encoding="utf-8"?>
<calcChain xmlns="http://schemas.openxmlformats.org/spreadsheetml/2006/main">
  <c r="E31" i="1" l="1"/>
  <c r="F31" i="1"/>
  <c r="F15" i="1"/>
  <c r="F13" i="1"/>
  <c r="F12" i="1"/>
  <c r="F11" i="1"/>
  <c r="F10" i="1"/>
  <c r="F9" i="1"/>
  <c r="F8" i="1"/>
  <c r="F7" i="1"/>
  <c r="F6" i="1"/>
  <c r="F5" i="1"/>
  <c r="F4" i="1"/>
  <c r="F3" i="1"/>
  <c r="F2" i="1"/>
  <c r="F29" i="1"/>
  <c r="F30" i="1"/>
  <c r="F28" i="1"/>
  <c r="F27" i="1"/>
  <c r="F26" i="1"/>
  <c r="F25" i="1"/>
  <c r="F24" i="1"/>
  <c r="F23" i="1"/>
  <c r="F22" i="1"/>
  <c r="F21" i="1"/>
  <c r="F20" i="1"/>
  <c r="F19" i="1"/>
  <c r="F18" i="1"/>
  <c r="F17" i="1"/>
  <c r="E44" i="1"/>
  <c r="E43" i="1"/>
  <c r="E42" i="1"/>
  <c r="E41" i="1"/>
  <c r="E40" i="1"/>
  <c r="E39" i="1"/>
  <c r="E38" i="1"/>
  <c r="E37" i="1"/>
  <c r="E36" i="1"/>
  <c r="E35" i="1"/>
  <c r="F43" i="1"/>
  <c r="F42" i="1"/>
  <c r="F41" i="1"/>
  <c r="F40" i="1"/>
  <c r="F39" i="1"/>
  <c r="F38" i="1"/>
  <c r="F37" i="1"/>
  <c r="F36" i="1"/>
  <c r="F35" i="1"/>
  <c r="E34" i="1"/>
  <c r="E33" i="1"/>
  <c r="E32" i="1"/>
  <c r="F44" i="1"/>
  <c r="F34" i="1"/>
  <c r="F33" i="1"/>
  <c r="F32" i="1"/>
  <c r="E2" i="1"/>
</calcChain>
</file>

<file path=xl/sharedStrings.xml><?xml version="1.0" encoding="utf-8"?>
<sst xmlns="http://schemas.openxmlformats.org/spreadsheetml/2006/main" count="139" uniqueCount="94">
  <si>
    <t>input</t>
  </si>
  <si>
    <t>parameter</t>
  </si>
  <si>
    <t>description</t>
  </si>
  <si>
    <t>unit</t>
  </si>
  <si>
    <t>human</t>
  </si>
  <si>
    <t>rat</t>
  </si>
  <si>
    <t>physiological parameter</t>
  </si>
  <si>
    <t>QC</t>
  </si>
  <si>
    <t>Cardiac output</t>
  </si>
  <si>
    <t>L/h</t>
  </si>
  <si>
    <t>FQad</t>
  </si>
  <si>
    <t>Fraction of the cardiac output, adipose</t>
  </si>
  <si>
    <t>FQbo</t>
  </si>
  <si>
    <t>Fraction of the cardiac output, bone</t>
  </si>
  <si>
    <t>FQbr</t>
  </si>
  <si>
    <t>Fraction of the cardiac output, brain</t>
  </si>
  <si>
    <t>FQgu</t>
  </si>
  <si>
    <t>Fraction of the cardiac output, gut</t>
  </si>
  <si>
    <t>FQhe</t>
  </si>
  <si>
    <t>Fraction of the cardiac output, heart</t>
  </si>
  <si>
    <t>FQki</t>
  </si>
  <si>
    <t>Fraction of the cardiac output, kidney</t>
  </si>
  <si>
    <t>FQh</t>
  </si>
  <si>
    <t xml:space="preserve">Fraction of the cardiac output, hepatic (venous side) </t>
  </si>
  <si>
    <t>FQlu</t>
  </si>
  <si>
    <t>Fraction of the cardiac output, lung</t>
  </si>
  <si>
    <t>FQmu</t>
  </si>
  <si>
    <t>Fraction of the cardiac output, muscle</t>
  </si>
  <si>
    <t>FQsk</t>
  </si>
  <si>
    <t>Fraction of the cardiac output, skin</t>
  </si>
  <si>
    <t>FQsp</t>
  </si>
  <si>
    <t>Fraction of the cardiac output, spleen</t>
  </si>
  <si>
    <t>FQte</t>
  </si>
  <si>
    <t>Fraction of the cardiac output, testes/gonads</t>
  </si>
  <si>
    <t>FQre</t>
  </si>
  <si>
    <t>Fraction of the cardiac output, rest of body</t>
  </si>
  <si>
    <t>BW</t>
  </si>
  <si>
    <t>kg</t>
  </si>
  <si>
    <t>FVad</t>
  </si>
  <si>
    <t>Fractional tissue volumes, adipose</t>
  </si>
  <si>
    <t>FVbo</t>
  </si>
  <si>
    <t>Fractional tissue volumes, bone</t>
  </si>
  <si>
    <t>FVbr</t>
  </si>
  <si>
    <t>Fractional tissue volumes, brain</t>
  </si>
  <si>
    <t>FVgu</t>
  </si>
  <si>
    <t>Fractional tissue volumes, gut</t>
  </si>
  <si>
    <t>FVhe</t>
  </si>
  <si>
    <t>Fractional tissue volumes, heart</t>
  </si>
  <si>
    <t>FVki</t>
  </si>
  <si>
    <t>Fractional tissue volumes, kidney</t>
  </si>
  <si>
    <t>FVli</t>
  </si>
  <si>
    <t>Fractional tissue volumes, liver</t>
  </si>
  <si>
    <t>FVlu</t>
  </si>
  <si>
    <t>Fractional tissue volumes, lungs</t>
  </si>
  <si>
    <t>FVmu</t>
  </si>
  <si>
    <t>Fractional tissue volumes, muscle</t>
  </si>
  <si>
    <t>FVsk</t>
  </si>
  <si>
    <t>Fractional tissue volumes, skin</t>
  </si>
  <si>
    <t>FVsp</t>
  </si>
  <si>
    <t>Fractional tissue volumes, spleen</t>
  </si>
  <si>
    <t>FVte</t>
  </si>
  <si>
    <t>Fractional tissue volumes, testes/gonads</t>
  </si>
  <si>
    <t>FVve</t>
  </si>
  <si>
    <t>Fractional tissue volumes, venous</t>
  </si>
  <si>
    <t>FVar</t>
  </si>
  <si>
    <t>Fractional tissue volumes, arterial</t>
  </si>
  <si>
    <t>FVre</t>
  </si>
  <si>
    <t>Fractional tissue volumes, rest of body</t>
  </si>
  <si>
    <t>GER</t>
  </si>
  <si>
    <t>Gastric emtying rate</t>
  </si>
  <si>
    <t>/h</t>
  </si>
  <si>
    <t>Kt</t>
  </si>
  <si>
    <t>Intestinal transit time /h</t>
  </si>
  <si>
    <t>Kco</t>
  </si>
  <si>
    <t>Colon transit time /h</t>
  </si>
  <si>
    <t>FVst</t>
  </si>
  <si>
    <t>Fractional tissue volumes, stomach</t>
  </si>
  <si>
    <t>FVi1</t>
  </si>
  <si>
    <t>Fractional tissue volumes, instestine1</t>
  </si>
  <si>
    <t>FVi2</t>
  </si>
  <si>
    <t>Fractional tissue volumes, instestine2</t>
  </si>
  <si>
    <t>FVi3</t>
  </si>
  <si>
    <t>Fractional tissue volumes, instestine3</t>
  </si>
  <si>
    <t>FVi4</t>
  </si>
  <si>
    <t>Fractional tissue volumes, instestine4</t>
  </si>
  <si>
    <t>FVi5</t>
  </si>
  <si>
    <t>Fractional tissue volumes, instestine5</t>
  </si>
  <si>
    <t>FVi6</t>
  </si>
  <si>
    <t>Fractional tissue volumes, instestine6</t>
  </si>
  <si>
    <t>FVi7</t>
  </si>
  <si>
    <t>FVco</t>
  </si>
  <si>
    <t>Fractional tissue volumes, colon</t>
  </si>
  <si>
    <t>GFR</t>
  </si>
  <si>
    <t>Glomerular filtration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</si>
</sst>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165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workbookViewId="0">
      <selection activeCell="E5" sqref="E5"/>
    </sheetView>
  </sheetViews>
  <sheetFormatPr defaultRowHeight="14.5" x14ac:dyDescent="0.35"/>
  <cols>
    <col min="2" max="2" width="12.54296875" customWidth="1"/>
    <col min="3" max="3" width="28.7265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>
        <f>108.33/1000*60*60</f>
        <v>389.988</v>
      </c>
      <c r="F2">
        <f>80/1000*60</f>
        <v>4.8</v>
      </c>
    </row>
    <row r="3" spans="1:6" x14ac:dyDescent="0.35">
      <c r="A3" t="s">
        <v>6</v>
      </c>
      <c r="B3" t="s">
        <v>10</v>
      </c>
      <c r="C3" t="s">
        <v>11</v>
      </c>
      <c r="E3">
        <v>0.05</v>
      </c>
      <c r="F3">
        <f>5.9/100</f>
        <v>5.9000000000000004E-2</v>
      </c>
    </row>
    <row r="4" spans="1:6" x14ac:dyDescent="0.35">
      <c r="A4" t="s">
        <v>6</v>
      </c>
      <c r="B4" t="s">
        <v>12</v>
      </c>
      <c r="C4" t="s">
        <v>13</v>
      </c>
      <c r="E4">
        <v>0.05</v>
      </c>
      <c r="F4" s="1">
        <f>10.1/100</f>
        <v>0.10099999999999999</v>
      </c>
    </row>
    <row r="5" spans="1:6" x14ac:dyDescent="0.35">
      <c r="A5" t="s">
        <v>6</v>
      </c>
      <c r="B5" t="s">
        <v>14</v>
      </c>
      <c r="C5" t="s">
        <v>15</v>
      </c>
      <c r="E5">
        <v>0.12</v>
      </c>
      <c r="F5" s="1">
        <f>1.4/100</f>
        <v>1.3999999999999999E-2</v>
      </c>
    </row>
    <row r="6" spans="1:6" x14ac:dyDescent="0.35">
      <c r="A6" t="s">
        <v>6</v>
      </c>
      <c r="B6" t="s">
        <v>16</v>
      </c>
      <c r="C6" t="s">
        <v>17</v>
      </c>
      <c r="E6">
        <v>0.14646200000000001</v>
      </c>
      <c r="F6">
        <f>(1.7+6.2+2.2)/100</f>
        <v>0.10100000000000002</v>
      </c>
    </row>
    <row r="7" spans="1:6" x14ac:dyDescent="0.35">
      <c r="A7" t="s">
        <v>6</v>
      </c>
      <c r="B7" t="s">
        <v>18</v>
      </c>
      <c r="C7" t="s">
        <v>19</v>
      </c>
      <c r="E7">
        <v>0.04</v>
      </c>
      <c r="F7" s="1">
        <f>4/100</f>
        <v>0.04</v>
      </c>
    </row>
    <row r="8" spans="1:6" x14ac:dyDescent="0.35">
      <c r="A8" t="s">
        <v>6</v>
      </c>
      <c r="B8" t="s">
        <v>20</v>
      </c>
      <c r="C8" t="s">
        <v>21</v>
      </c>
      <c r="E8">
        <v>0.19</v>
      </c>
      <c r="F8" s="1">
        <f>14.5/100</f>
        <v>0.14499999999999999</v>
      </c>
    </row>
    <row r="9" spans="1:6" x14ac:dyDescent="0.35">
      <c r="A9" t="s">
        <v>6</v>
      </c>
      <c r="B9" t="s">
        <v>22</v>
      </c>
      <c r="C9" t="s">
        <v>23</v>
      </c>
      <c r="E9">
        <v>0.21538499999999999</v>
      </c>
      <c r="F9">
        <f>(22.6+1.6)/100</f>
        <v>0.24200000000000002</v>
      </c>
    </row>
    <row r="10" spans="1:6" x14ac:dyDescent="0.35">
      <c r="A10" t="s">
        <v>6</v>
      </c>
      <c r="B10" t="s">
        <v>24</v>
      </c>
      <c r="C10" t="s">
        <v>25</v>
      </c>
      <c r="E10">
        <v>1</v>
      </c>
      <c r="F10" s="1">
        <f>100/100</f>
        <v>1</v>
      </c>
    </row>
    <row r="11" spans="1:6" x14ac:dyDescent="0.35">
      <c r="A11" t="s">
        <v>6</v>
      </c>
      <c r="B11" t="s">
        <v>26</v>
      </c>
      <c r="C11" t="s">
        <v>27</v>
      </c>
      <c r="E11">
        <v>0.17</v>
      </c>
      <c r="F11" s="1">
        <f>23.7/100</f>
        <v>0.23699999999999999</v>
      </c>
    </row>
    <row r="12" spans="1:6" x14ac:dyDescent="0.35">
      <c r="A12" t="s">
        <v>6</v>
      </c>
      <c r="B12" t="s">
        <v>28</v>
      </c>
      <c r="C12" t="s">
        <v>29</v>
      </c>
      <c r="E12">
        <v>0.05</v>
      </c>
      <c r="F12" s="1">
        <f>5.1/100</f>
        <v>5.0999999999999997E-2</v>
      </c>
    </row>
    <row r="13" spans="1:6" x14ac:dyDescent="0.35">
      <c r="A13" t="s">
        <v>6</v>
      </c>
      <c r="B13" t="s">
        <v>30</v>
      </c>
      <c r="C13" t="s">
        <v>31</v>
      </c>
      <c r="E13">
        <v>1.7231E-2</v>
      </c>
      <c r="F13" s="1">
        <f>1.1/100</f>
        <v>1.1000000000000001E-2</v>
      </c>
    </row>
    <row r="14" spans="1:6" x14ac:dyDescent="0.35">
      <c r="A14" t="s">
        <v>6</v>
      </c>
      <c r="B14" t="s">
        <v>32</v>
      </c>
      <c r="C14" t="s">
        <v>33</v>
      </c>
      <c r="E14">
        <v>1.076E-2</v>
      </c>
      <c r="F14" s="1">
        <v>7.7999999999999996E-3</v>
      </c>
    </row>
    <row r="15" spans="1:6" x14ac:dyDescent="0.35">
      <c r="A15" t="s">
        <v>6</v>
      </c>
      <c r="B15" t="s">
        <v>34</v>
      </c>
      <c r="C15" t="s">
        <v>35</v>
      </c>
      <c r="E15">
        <v>0.103855</v>
      </c>
      <c r="F15">
        <f>1-SUM(F3,F4,F5,F7,F8,F9,F11,F12,F14)</f>
        <v>0.10319999999999996</v>
      </c>
    </row>
    <row r="16" spans="1:6" x14ac:dyDescent="0.35">
      <c r="A16" t="s">
        <v>6</v>
      </c>
      <c r="B16" t="s">
        <v>36</v>
      </c>
      <c r="C16" t="s">
        <v>36</v>
      </c>
      <c r="D16" t="s">
        <v>37</v>
      </c>
      <c r="E16">
        <v>70</v>
      </c>
      <c r="F16" s="1">
        <v>0.25</v>
      </c>
    </row>
    <row r="17" spans="1:6" x14ac:dyDescent="0.35">
      <c r="A17" t="s">
        <v>6</v>
      </c>
      <c r="B17" t="s">
        <v>38</v>
      </c>
      <c r="C17" t="s">
        <v>39</v>
      </c>
      <c r="E17">
        <v>0.21299999999999999</v>
      </c>
      <c r="F17">
        <f>17.5/1000/$F$16</f>
        <v>7.0000000000000007E-2</v>
      </c>
    </row>
    <row r="18" spans="1:6" x14ac:dyDescent="0.35">
      <c r="A18" t="s">
        <v>6</v>
      </c>
      <c r="B18" t="s">
        <v>40</v>
      </c>
      <c r="C18" t="s">
        <v>41</v>
      </c>
      <c r="E18">
        <v>8.5628999999999997E-2</v>
      </c>
      <c r="F18">
        <f>16.47/1000/$F$16</f>
        <v>6.5879999999999994E-2</v>
      </c>
    </row>
    <row r="19" spans="1:6" x14ac:dyDescent="0.35">
      <c r="A19" t="s">
        <v>6</v>
      </c>
      <c r="B19" t="s">
        <v>42</v>
      </c>
      <c r="C19" t="s">
        <v>43</v>
      </c>
      <c r="E19">
        <v>0.02</v>
      </c>
      <c r="F19">
        <f>1.3/1000/$F$16</f>
        <v>5.1999999999999998E-3</v>
      </c>
    </row>
    <row r="20" spans="1:6" x14ac:dyDescent="0.35">
      <c r="A20" t="s">
        <v>6</v>
      </c>
      <c r="B20" t="s">
        <v>44</v>
      </c>
      <c r="C20" t="s">
        <v>45</v>
      </c>
      <c r="E20">
        <v>1.7100000000000001E-2</v>
      </c>
      <c r="F20">
        <f>6.5/1000/$F$16</f>
        <v>2.5999999999999999E-2</v>
      </c>
    </row>
    <row r="21" spans="1:6" x14ac:dyDescent="0.35">
      <c r="A21" t="s">
        <v>6</v>
      </c>
      <c r="B21" t="s">
        <v>46</v>
      </c>
      <c r="C21" t="s">
        <v>47</v>
      </c>
      <c r="E21">
        <v>4.7000000000000002E-3</v>
      </c>
      <c r="F21">
        <f>1.1/1000/$F$16</f>
        <v>4.4000000000000003E-3</v>
      </c>
    </row>
    <row r="22" spans="1:6" x14ac:dyDescent="0.35">
      <c r="A22" t="s">
        <v>6</v>
      </c>
      <c r="B22" t="s">
        <v>48</v>
      </c>
      <c r="C22" t="s">
        <v>49</v>
      </c>
      <c r="E22">
        <v>4.4000000000000003E-3</v>
      </c>
      <c r="F22">
        <f>2.3/1000/$F$16</f>
        <v>9.1999999999999998E-3</v>
      </c>
    </row>
    <row r="23" spans="1:6" x14ac:dyDescent="0.35">
      <c r="A23" t="s">
        <v>6</v>
      </c>
      <c r="B23" t="s">
        <v>50</v>
      </c>
      <c r="C23" t="s">
        <v>51</v>
      </c>
      <c r="E23">
        <v>2.1000000000000001E-2</v>
      </c>
      <c r="F23">
        <f>9/1000/$F$16</f>
        <v>3.5999999999999997E-2</v>
      </c>
    </row>
    <row r="24" spans="1:6" x14ac:dyDescent="0.35">
      <c r="A24" t="s">
        <v>6</v>
      </c>
      <c r="B24" t="s">
        <v>52</v>
      </c>
      <c r="C24" t="s">
        <v>53</v>
      </c>
      <c r="E24">
        <v>7.6E-3</v>
      </c>
      <c r="F24">
        <f>1.3/1000/$F$16</f>
        <v>5.1999999999999998E-3</v>
      </c>
    </row>
    <row r="25" spans="1:6" x14ac:dyDescent="0.35">
      <c r="A25" t="s">
        <v>6</v>
      </c>
      <c r="B25" t="s">
        <v>54</v>
      </c>
      <c r="C25" t="s">
        <v>55</v>
      </c>
      <c r="E25">
        <v>0.4</v>
      </c>
      <c r="F25">
        <f>122/1000/$F$16</f>
        <v>0.48799999999999999</v>
      </c>
    </row>
    <row r="26" spans="1:6" x14ac:dyDescent="0.35">
      <c r="A26" t="s">
        <v>6</v>
      </c>
      <c r="B26" t="s">
        <v>56</v>
      </c>
      <c r="C26" t="s">
        <v>57</v>
      </c>
      <c r="E26">
        <v>3.7100000000000001E-2</v>
      </c>
      <c r="F26">
        <f>41.4/1000/$F$16</f>
        <v>0.1656</v>
      </c>
    </row>
    <row r="27" spans="1:6" x14ac:dyDescent="0.35">
      <c r="A27" t="s">
        <v>6</v>
      </c>
      <c r="B27" t="s">
        <v>58</v>
      </c>
      <c r="C27" t="s">
        <v>59</v>
      </c>
      <c r="E27">
        <v>2.5999999999999999E-3</v>
      </c>
      <c r="F27">
        <f>0.6/1000/$F$16</f>
        <v>2.3999999999999998E-3</v>
      </c>
    </row>
    <row r="28" spans="1:6" x14ac:dyDescent="0.35">
      <c r="A28" t="s">
        <v>6</v>
      </c>
      <c r="B28" t="s">
        <v>60</v>
      </c>
      <c r="C28" t="s">
        <v>61</v>
      </c>
      <c r="E28">
        <v>0.01</v>
      </c>
      <c r="F28" s="1">
        <f>3/1000/$F$16</f>
        <v>1.2E-2</v>
      </c>
    </row>
    <row r="29" spans="1:6" x14ac:dyDescent="0.35">
      <c r="A29" t="s">
        <v>6</v>
      </c>
      <c r="B29" t="s">
        <v>62</v>
      </c>
      <c r="C29" t="s">
        <v>63</v>
      </c>
      <c r="E29">
        <v>5.1400000000000001E-2</v>
      </c>
      <c r="F29" s="2">
        <f>(10.55+5.55)/1000/$F$16*2/3</f>
        <v>4.293333333333333E-2</v>
      </c>
    </row>
    <row r="30" spans="1:6" x14ac:dyDescent="0.35">
      <c r="A30" t="s">
        <v>6</v>
      </c>
      <c r="B30" t="s">
        <v>64</v>
      </c>
      <c r="C30" t="s">
        <v>65</v>
      </c>
      <c r="E30">
        <v>2.5700000000000001E-2</v>
      </c>
      <c r="F30" s="2">
        <f>(10.55+5.55)/1000/$F$16*1/3</f>
        <v>2.1466666666666665E-2</v>
      </c>
    </row>
    <row r="31" spans="1:6" x14ac:dyDescent="0.35">
      <c r="A31" t="s">
        <v>6</v>
      </c>
      <c r="B31" t="s">
        <v>66</v>
      </c>
      <c r="C31" t="s">
        <v>67</v>
      </c>
      <c r="E31" s="4">
        <f>1-SUM(E17:E30)</f>
        <v>9.9770999999999832E-2</v>
      </c>
      <c r="F31" s="3">
        <f>1-SUM(F17:F30)</f>
        <v>4.5719999999999983E-2</v>
      </c>
    </row>
    <row r="32" spans="1:6" x14ac:dyDescent="0.35">
      <c r="A32" s="1" t="s">
        <v>6</v>
      </c>
      <c r="B32" s="1" t="s">
        <v>68</v>
      </c>
      <c r="C32" s="1" t="s">
        <v>69</v>
      </c>
      <c r="D32" s="1" t="s">
        <v>70</v>
      </c>
      <c r="E32" s="1">
        <f>1/(30/60)</f>
        <v>2</v>
      </c>
      <c r="F32" s="1">
        <f>1/(10/60)</f>
        <v>6</v>
      </c>
    </row>
    <row r="33" spans="1:6" x14ac:dyDescent="0.35">
      <c r="A33" s="1" t="s">
        <v>6</v>
      </c>
      <c r="B33" s="1" t="s">
        <v>71</v>
      </c>
      <c r="C33" s="1" t="s">
        <v>72</v>
      </c>
      <c r="D33" s="1"/>
      <c r="E33" s="1">
        <f>1/(199.2/60)</f>
        <v>0.30120481927710846</v>
      </c>
      <c r="F33" s="1">
        <f>1/(88/60)</f>
        <v>0.68181818181818188</v>
      </c>
    </row>
    <row r="34" spans="1:6" x14ac:dyDescent="0.35">
      <c r="A34" s="1" t="s">
        <v>6</v>
      </c>
      <c r="B34" s="1" t="s">
        <v>73</v>
      </c>
      <c r="C34" s="1" t="s">
        <v>74</v>
      </c>
      <c r="D34" s="1"/>
      <c r="E34" s="1">
        <f>1/(11)</f>
        <v>9.0909090909090912E-2</v>
      </c>
      <c r="F34" s="1">
        <f>1/(228/60)</f>
        <v>0.26315789473684209</v>
      </c>
    </row>
    <row r="35" spans="1:6" x14ac:dyDescent="0.35">
      <c r="A35" s="1" t="s">
        <v>6</v>
      </c>
      <c r="B35" s="1" t="s">
        <v>75</v>
      </c>
      <c r="C35" s="1" t="s">
        <v>76</v>
      </c>
      <c r="D35" s="1"/>
      <c r="E35" s="1">
        <f>50/1000/$E$16</f>
        <v>7.1428571428571429E-4</v>
      </c>
      <c r="F35" s="1">
        <f>3/1000/$F$16</f>
        <v>1.2E-2</v>
      </c>
    </row>
    <row r="36" spans="1:6" x14ac:dyDescent="0.35">
      <c r="A36" s="1" t="s">
        <v>6</v>
      </c>
      <c r="B36" s="1" t="s">
        <v>77</v>
      </c>
      <c r="C36" s="1" t="s">
        <v>78</v>
      </c>
      <c r="D36" s="1"/>
      <c r="E36" s="1">
        <f>105/1000/$E$16</f>
        <v>1.5E-3</v>
      </c>
      <c r="F36" s="1">
        <f>6/1000/$F$16</f>
        <v>2.4E-2</v>
      </c>
    </row>
    <row r="37" spans="1:6" x14ac:dyDescent="0.35">
      <c r="A37" s="1" t="s">
        <v>6</v>
      </c>
      <c r="B37" s="1" t="s">
        <v>79</v>
      </c>
      <c r="C37" s="1" t="s">
        <v>80</v>
      </c>
      <c r="D37" s="1"/>
      <c r="E37" s="1">
        <f>110/1000/$E$16</f>
        <v>1.5714285714285715E-3</v>
      </c>
      <c r="F37" s="1">
        <f>0.66/1000/$F$16</f>
        <v>2.64E-3</v>
      </c>
    </row>
    <row r="38" spans="1:6" x14ac:dyDescent="0.35">
      <c r="A38" s="1" t="s">
        <v>6</v>
      </c>
      <c r="B38" s="1" t="s">
        <v>81</v>
      </c>
      <c r="C38" s="1" t="s">
        <v>82</v>
      </c>
      <c r="D38" s="1"/>
      <c r="E38" s="1">
        <f>110/1000/$E$16</f>
        <v>1.5714285714285715E-3</v>
      </c>
      <c r="F38" s="1">
        <f>0.66/$F$16</f>
        <v>2.64</v>
      </c>
    </row>
    <row r="39" spans="1:6" x14ac:dyDescent="0.35">
      <c r="A39" s="1" t="s">
        <v>6</v>
      </c>
      <c r="B39" s="1" t="s">
        <v>83</v>
      </c>
      <c r="C39" s="1" t="s">
        <v>84</v>
      </c>
      <c r="D39" s="1"/>
      <c r="E39" s="1">
        <f>69/1000/$E$16</f>
        <v>9.8571428571428573E-4</v>
      </c>
      <c r="F39" s="1">
        <f>0.66/$F$16</f>
        <v>2.64</v>
      </c>
    </row>
    <row r="40" spans="1:6" x14ac:dyDescent="0.35">
      <c r="A40" s="1" t="s">
        <v>6</v>
      </c>
      <c r="B40" s="1" t="s">
        <v>85</v>
      </c>
      <c r="C40" s="1" t="s">
        <v>86</v>
      </c>
      <c r="D40" s="1"/>
      <c r="E40" s="1">
        <f>69/1000/$E$16</f>
        <v>9.8571428571428573E-4</v>
      </c>
      <c r="F40" s="1">
        <f>0.41/1000/$F$16</f>
        <v>1.64E-3</v>
      </c>
    </row>
    <row r="41" spans="1:6" x14ac:dyDescent="0.35">
      <c r="A41" s="1" t="s">
        <v>6</v>
      </c>
      <c r="B41" s="1" t="s">
        <v>87</v>
      </c>
      <c r="C41" s="1" t="s">
        <v>88</v>
      </c>
      <c r="D41" s="1"/>
      <c r="E41" s="1">
        <f>69/1000/$E$16</f>
        <v>9.8571428571428573E-4</v>
      </c>
      <c r="F41" s="1">
        <f>0.41/1000/$F$16</f>
        <v>1.64E-3</v>
      </c>
    </row>
    <row r="42" spans="1:6" x14ac:dyDescent="0.35">
      <c r="A42" s="1" t="s">
        <v>6</v>
      </c>
      <c r="B42" s="1" t="s">
        <v>89</v>
      </c>
      <c r="C42" s="1" t="s">
        <v>88</v>
      </c>
      <c r="D42" s="1"/>
      <c r="E42" s="1">
        <f>69/1000/$E$16</f>
        <v>9.8571428571428573E-4</v>
      </c>
      <c r="F42" s="1">
        <f>0.41/1000/$F$16</f>
        <v>1.64E-3</v>
      </c>
    </row>
    <row r="43" spans="1:6" x14ac:dyDescent="0.35">
      <c r="A43" s="1" t="s">
        <v>6</v>
      </c>
      <c r="B43" s="1" t="s">
        <v>90</v>
      </c>
      <c r="C43" s="1" t="s">
        <v>91</v>
      </c>
      <c r="D43" s="1"/>
      <c r="E43" s="1">
        <f>1000/1000/$E$16</f>
        <v>1.4285714285714285E-2</v>
      </c>
      <c r="F43" s="1">
        <f>3/1000/$F$16</f>
        <v>1.2E-2</v>
      </c>
    </row>
    <row r="44" spans="1:6" x14ac:dyDescent="0.35">
      <c r="A44" s="1" t="s">
        <v>6</v>
      </c>
      <c r="B44" s="1" t="s">
        <v>92</v>
      </c>
      <c r="C44" s="1" t="s">
        <v>93</v>
      </c>
      <c r="D44" s="1" t="s">
        <v>9</v>
      </c>
      <c r="E44" s="1">
        <f>125/1000*60</f>
        <v>7.5</v>
      </c>
      <c r="F44" s="1">
        <f>1.31/1000*60</f>
        <v>7.8600000000000003E-2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physiological_parameters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 Punt</dc:creator>
  <cp:lastModifiedBy>Ans Punt</cp:lastModifiedBy>
  <dcterms:created xsi:type="dcterms:W3CDTF">2021-04-05T20:44:28Z</dcterms:created>
  <dcterms:modified xsi:type="dcterms:W3CDTF">2021-04-07T10:59:49Z</dcterms:modified>
</cp:coreProperties>
</file>