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2E71082-E10A-463F-9EF1-018AF1835836}" xr6:coauthVersionLast="45" xr6:coauthVersionMax="45" xr10:uidLastSave="{00000000-0000-0000-0000-000000000000}"/>
  <bookViews>
    <workbookView xWindow="-108" yWindow="-108" windowWidth="23256" windowHeight="12576" tabRatio="555" xr2:uid="{00000000-000D-0000-FFFF-FFFF00000000}"/>
  </bookViews>
  <sheets>
    <sheet name="dashboard" sheetId="13" r:id="rId1"/>
    <sheet name="questions" sheetId="8" r:id="rId2"/>
    <sheet name="influence-diagram" sheetId="3" r:id="rId3"/>
    <sheet name="data" sheetId="11" r:id="rId4"/>
    <sheet name="cost" sheetId="2" r:id="rId5"/>
    <sheet name="demand" sheetId="9" r:id="rId6"/>
    <sheet name="profit" sheetId="1" r:id="rId7"/>
    <sheet name="sensitivity" sheetId="4" r:id="rId8"/>
    <sheet name="plot-setup" sheetId="12" r:id="rId9"/>
    <sheet name="Goal Seek" sheetId="7" r:id="rId10"/>
    <sheet name="3 Year Profit Model" sheetId="10" r:id="rId11"/>
  </sheets>
  <definedNames>
    <definedName name="solver_adj" localSheetId="10" hidden="1">'3 Year Profit Model'!$D$4</definedName>
    <definedName name="solver_adj" localSheetId="6" hidden="1">profit!$B$3</definedName>
    <definedName name="solver_adj" localSheetId="7" hidden="1">sensitivity!$C$3</definedName>
    <definedName name="solver_cvg" localSheetId="10" hidden="1">0.0001</definedName>
    <definedName name="solver_cvg" localSheetId="6" hidden="1">0.0001</definedName>
    <definedName name="solver_cvg" localSheetId="7" hidden="1">0.0001</definedName>
    <definedName name="solver_drv" localSheetId="10" hidden="1">1</definedName>
    <definedName name="solver_drv" localSheetId="6" hidden="1">1</definedName>
    <definedName name="solver_drv" localSheetId="7" hidden="1">1</definedName>
    <definedName name="solver_eng" localSheetId="10" hidden="1">1</definedName>
    <definedName name="solver_eng" localSheetId="7" hidden="1">1</definedName>
    <definedName name="solver_est" localSheetId="10" hidden="1">1</definedName>
    <definedName name="solver_est" localSheetId="6" hidden="1">1</definedName>
    <definedName name="solver_est" localSheetId="7" hidden="1">1</definedName>
    <definedName name="solver_itr" localSheetId="10" hidden="1">100</definedName>
    <definedName name="solver_itr" localSheetId="6" hidden="1">100</definedName>
    <definedName name="solver_itr" localSheetId="7" hidden="1">2147483647</definedName>
    <definedName name="solver_lhs1" localSheetId="7" hidden="1">sensitivity!$C$3</definedName>
    <definedName name="solver_lin" localSheetId="10" hidden="1">2</definedName>
    <definedName name="solver_lin" localSheetId="6" hidden="1">2</definedName>
    <definedName name="solver_mip" localSheetId="10" hidden="1">2147483647</definedName>
    <definedName name="solver_mip" localSheetId="7" hidden="1">2147483647</definedName>
    <definedName name="solver_mni" localSheetId="10" hidden="1">30</definedName>
    <definedName name="solver_mni" localSheetId="7" hidden="1">30</definedName>
    <definedName name="solver_mrt" localSheetId="10" hidden="1">0.075</definedName>
    <definedName name="solver_mrt" localSheetId="7" hidden="1">0.075</definedName>
    <definedName name="solver_msl" localSheetId="10" hidden="1">2</definedName>
    <definedName name="solver_msl" localSheetId="7" hidden="1">2</definedName>
    <definedName name="solver_neg" localSheetId="10" hidden="1">1</definedName>
    <definedName name="solver_neg" localSheetId="6" hidden="1">2</definedName>
    <definedName name="solver_neg" localSheetId="7" hidden="1">1</definedName>
    <definedName name="solver_nod" localSheetId="10" hidden="1">2147483647</definedName>
    <definedName name="solver_nod" localSheetId="7" hidden="1">2147483647</definedName>
    <definedName name="solver_num" localSheetId="10" hidden="1">0</definedName>
    <definedName name="solver_num" localSheetId="6" hidden="1">0</definedName>
    <definedName name="solver_num" localSheetId="7" hidden="1">1</definedName>
    <definedName name="solver_nwt" localSheetId="10" hidden="1">1</definedName>
    <definedName name="solver_nwt" localSheetId="6" hidden="1">1</definedName>
    <definedName name="solver_nwt" localSheetId="7" hidden="1">1</definedName>
    <definedName name="solver_opt" localSheetId="10" hidden="1">'3 Year Profit Model'!#REF!</definedName>
    <definedName name="solver_opt" localSheetId="6" hidden="1">profit!$B$22</definedName>
    <definedName name="solver_opt" localSheetId="7" hidden="1">sensitivity!#REF!</definedName>
    <definedName name="solver_pre" localSheetId="10" hidden="1">0.000001</definedName>
    <definedName name="solver_pre" localSheetId="6" hidden="1">0.000001</definedName>
    <definedName name="solver_pre" localSheetId="7" hidden="1">0.000001</definedName>
    <definedName name="solver_rbv" localSheetId="10" hidden="1">1</definedName>
    <definedName name="solver_rbv" localSheetId="7" hidden="1">1</definedName>
    <definedName name="solver_rel1" localSheetId="7" hidden="1">3</definedName>
    <definedName name="solver_rhs1" localSheetId="7" hidden="1">0</definedName>
    <definedName name="solver_rlx" localSheetId="10" hidden="1">1</definedName>
    <definedName name="solver_rlx" localSheetId="7" hidden="1">2</definedName>
    <definedName name="solver_rsd" localSheetId="10" hidden="1">0</definedName>
    <definedName name="solver_rsd" localSheetId="7" hidden="1">0</definedName>
    <definedName name="solver_scl" localSheetId="10" hidden="1">2</definedName>
    <definedName name="solver_scl" localSheetId="6" hidden="1">2</definedName>
    <definedName name="solver_scl" localSheetId="7" hidden="1">1</definedName>
    <definedName name="solver_sho" localSheetId="10" hidden="1">2</definedName>
    <definedName name="solver_sho" localSheetId="6" hidden="1">2</definedName>
    <definedName name="solver_sho" localSheetId="7" hidden="1">2</definedName>
    <definedName name="solver_ssz" localSheetId="10" hidden="1">100</definedName>
    <definedName name="solver_ssz" localSheetId="7" hidden="1">100</definedName>
    <definedName name="solver_tim" localSheetId="10" hidden="1">100</definedName>
    <definedName name="solver_tim" localSheetId="6" hidden="1">100</definedName>
    <definedName name="solver_tim" localSheetId="7" hidden="1">2147483647</definedName>
    <definedName name="solver_tol" localSheetId="10" hidden="1">0.05</definedName>
    <definedName name="solver_tol" localSheetId="6" hidden="1">0.05</definedName>
    <definedName name="solver_tol" localSheetId="7" hidden="1">0.01</definedName>
    <definedName name="solver_typ" localSheetId="10" hidden="1">1</definedName>
    <definedName name="solver_typ" localSheetId="6" hidden="1">1</definedName>
    <definedName name="solver_typ" localSheetId="7" hidden="1">1</definedName>
    <definedName name="solver_val" localSheetId="10" hidden="1">0</definedName>
    <definedName name="solver_val" localSheetId="6" hidden="1">0</definedName>
    <definedName name="solver_val" localSheetId="7" hidden="1">0</definedName>
    <definedName name="solver_ver" localSheetId="10" hidden="1">3</definedName>
    <definedName name="solver_ver" localSheetId="7" hidden="1">3</definedName>
    <definedName name="X_1">cost!$B$5:$B$13</definedName>
    <definedName name="X_2">cost!$C$5:$C$13</definedName>
    <definedName name="Y">cost!$D$5:$D$13</definedName>
    <definedName name="Y_hat">cost!$E$5:$E$13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 i="12" l="1"/>
  <c r="B8" i="1" s="1"/>
  <c r="L9" i="13" s="1"/>
  <c r="K4" i="12"/>
  <c r="B7" i="1" s="1"/>
  <c r="L8" i="13" s="1"/>
  <c r="K3" i="12"/>
  <c r="B6" i="1" s="1"/>
  <c r="L7" i="13" s="1"/>
  <c r="H5" i="12"/>
  <c r="H4" i="12"/>
  <c r="H3" i="12"/>
  <c r="N12" i="2"/>
  <c r="I4" i="2" a="1"/>
  <c r="K4" i="2" s="1"/>
  <c r="D13" i="2"/>
  <c r="D12" i="2"/>
  <c r="D11" i="2"/>
  <c r="D10" i="2"/>
  <c r="D9" i="2"/>
  <c r="D8" i="2"/>
  <c r="D7" i="2"/>
  <c r="D6" i="2"/>
  <c r="D5" i="2"/>
  <c r="C3" i="2"/>
  <c r="D3" i="2"/>
  <c r="B13" i="2"/>
  <c r="B12" i="2"/>
  <c r="B11" i="2"/>
  <c r="B10" i="2"/>
  <c r="B9" i="2"/>
  <c r="B8" i="2"/>
  <c r="B7" i="2"/>
  <c r="B6" i="2"/>
  <c r="B5" i="2"/>
  <c r="B4" i="2"/>
  <c r="B3" i="2"/>
  <c r="B7" i="12"/>
  <c r="C13" i="9"/>
  <c r="H4" i="9"/>
  <c r="K9" i="13"/>
  <c r="F10" i="4"/>
  <c r="B12" i="1"/>
  <c r="L13" i="13" s="1"/>
  <c r="A1" i="13"/>
  <c r="K23" i="13"/>
  <c r="K22" i="13"/>
  <c r="K21" i="13"/>
  <c r="K20" i="13"/>
  <c r="K19" i="13"/>
  <c r="K18" i="13"/>
  <c r="K17" i="13"/>
  <c r="K16" i="13"/>
  <c r="K15" i="13"/>
  <c r="K14" i="13"/>
  <c r="K13" i="13"/>
  <c r="K12" i="13"/>
  <c r="K11" i="13"/>
  <c r="K8" i="13"/>
  <c r="K7" i="13"/>
  <c r="K6" i="13"/>
  <c r="K4" i="13"/>
  <c r="K3" i="13"/>
  <c r="C3" i="12"/>
  <c r="C5" i="4"/>
  <c r="B5" i="4"/>
  <c r="B3" i="4"/>
  <c r="B7" i="4"/>
  <c r="F8" i="4"/>
  <c r="C4" i="12"/>
  <c r="C5" i="12"/>
  <c r="D9" i="12" s="1"/>
  <c r="H20" i="9"/>
  <c r="C16" i="9"/>
  <c r="E6" i="9"/>
  <c r="E9" i="9"/>
  <c r="N8" i="2"/>
  <c r="M6" i="2"/>
  <c r="D20" i="1"/>
  <c r="D19" i="1"/>
  <c r="D18" i="1"/>
  <c r="D17" i="1"/>
  <c r="D16" i="1"/>
  <c r="D15" i="1"/>
  <c r="D22" i="1"/>
  <c r="D21" i="1"/>
  <c r="D14" i="1"/>
  <c r="D13" i="1"/>
  <c r="D12" i="1"/>
  <c r="D11" i="1"/>
  <c r="D8" i="1"/>
  <c r="D7" i="1"/>
  <c r="D6" i="1"/>
  <c r="D3" i="1"/>
  <c r="B20" i="4"/>
  <c r="B18" i="4"/>
  <c r="F18" i="4"/>
  <c r="C18" i="4"/>
  <c r="C15" i="2"/>
  <c r="E15" i="2"/>
  <c r="I10" i="2"/>
  <c r="J4" i="2" l="1"/>
  <c r="J6" i="2"/>
  <c r="K8" i="2"/>
  <c r="I6" i="2"/>
  <c r="K6" i="2"/>
  <c r="K5" i="2"/>
  <c r="I8" i="2"/>
  <c r="J5" i="2"/>
  <c r="I7" i="2"/>
  <c r="I4" i="2"/>
  <c r="J8" i="2"/>
  <c r="K7" i="2"/>
  <c r="I5" i="2"/>
  <c r="J7" i="2"/>
  <c r="F11" i="4"/>
  <c r="C3" i="4" s="1"/>
  <c r="B8" i="4"/>
  <c r="B9" i="4" s="1"/>
  <c r="B10" i="4" s="1"/>
  <c r="B11" i="4" s="1"/>
  <c r="B12" i="4" s="1"/>
  <c r="B13" i="4" s="1"/>
  <c r="B14" i="4" s="1"/>
  <c r="B15" i="4" s="1"/>
  <c r="C6" i="12"/>
  <c r="B3" i="1" l="1"/>
  <c r="L4" i="13" s="1"/>
  <c r="C9" i="12"/>
  <c r="C8" i="12"/>
  <c r="B34" i="10" l="1"/>
  <c r="B35" i="10" s="1"/>
  <c r="B36" i="10" s="1"/>
  <c r="B37" i="10" s="1"/>
  <c r="B38" i="10" s="1"/>
  <c r="B39" i="10" s="1"/>
  <c r="B40" i="10" s="1"/>
  <c r="B41" i="10" s="1"/>
  <c r="C26" i="10"/>
  <c r="E4" i="10"/>
  <c r="E12" i="10" s="1"/>
  <c r="D13" i="10"/>
  <c r="D12" i="10" s="1"/>
  <c r="D8" i="10"/>
  <c r="E8" i="10" s="1"/>
  <c r="F8" i="10" s="1"/>
  <c r="D7" i="10"/>
  <c r="E7" i="10" s="1"/>
  <c r="F7" i="10" s="1"/>
  <c r="C9" i="10"/>
  <c r="D9" i="10" s="1"/>
  <c r="H5" i="9"/>
  <c r="H6" i="9" s="1"/>
  <c r="H7" i="9" s="1"/>
  <c r="H8" i="9" s="1"/>
  <c r="H9" i="9" s="1"/>
  <c r="H10" i="9" s="1"/>
  <c r="H11" i="9" s="1"/>
  <c r="H12" i="9" s="1"/>
  <c r="H13" i="9" s="1"/>
  <c r="H14" i="9" s="1"/>
  <c r="H15" i="9" s="1"/>
  <c r="H16" i="9" s="1"/>
  <c r="H17" i="9" s="1"/>
  <c r="H18" i="9" s="1"/>
  <c r="D6" i="9"/>
  <c r="W23" i="8"/>
  <c r="W24" i="8" s="1"/>
  <c r="W25" i="8" s="1"/>
  <c r="W26" i="8" s="1"/>
  <c r="W27" i="8" s="1"/>
  <c r="W28" i="8" s="1"/>
  <c r="W29" i="8" s="1"/>
  <c r="W30" i="8" s="1"/>
  <c r="W31" i="8" s="1"/>
  <c r="W32" i="8" s="1"/>
  <c r="S24" i="8"/>
  <c r="H22" i="9"/>
  <c r="W33" i="8" l="1"/>
  <c r="W34" i="8" s="1"/>
  <c r="W35" i="8" s="1"/>
  <c r="W36" i="8" s="1"/>
  <c r="U24" i="8"/>
  <c r="D18" i="10"/>
  <c r="D21" i="10"/>
  <c r="E9" i="10"/>
  <c r="E19" i="10"/>
  <c r="E18" i="10"/>
  <c r="F4" i="10"/>
  <c r="F12" i="10" s="1"/>
  <c r="D19" i="10"/>
  <c r="D9" i="9"/>
  <c r="B13" i="1" l="1"/>
  <c r="L14" i="13" s="1"/>
  <c r="F9" i="10"/>
  <c r="F21" i="10" s="1"/>
  <c r="E21" i="10"/>
  <c r="F19" i="10"/>
  <c r="F18" i="10"/>
  <c r="C13" i="2" l="1"/>
  <c r="C12" i="2"/>
  <c r="C11" i="2"/>
  <c r="C10" i="2"/>
  <c r="C9" i="2"/>
  <c r="C8" i="2"/>
  <c r="C7" i="2"/>
  <c r="C6" i="2"/>
  <c r="C5" i="2"/>
  <c r="N4" i="2" l="1"/>
  <c r="M4" i="2"/>
  <c r="D16" i="10"/>
  <c r="B15" i="1"/>
  <c r="L16" i="13" s="1"/>
  <c r="F16" i="10" l="1"/>
  <c r="E16" i="10"/>
  <c r="E17" i="10"/>
  <c r="B16" i="1"/>
  <c r="L17" i="13" s="1"/>
  <c r="F17" i="10"/>
  <c r="D17" i="10"/>
  <c r="D15" i="10"/>
  <c r="D20" i="10" s="1"/>
  <c r="D22" i="10" s="1"/>
  <c r="D23" i="10" s="1"/>
  <c r="D25" i="10" s="1"/>
  <c r="D26" i="10" s="1"/>
  <c r="E5" i="2"/>
  <c r="B20" i="7"/>
  <c r="B11" i="7"/>
  <c r="B14" i="7" s="1"/>
  <c r="B19" i="7" s="1"/>
  <c r="F15" i="10" l="1"/>
  <c r="F20" i="10" s="1"/>
  <c r="F22" i="10" s="1"/>
  <c r="F23" i="10" s="1"/>
  <c r="F25" i="10" s="1"/>
  <c r="F26" i="10" s="1"/>
  <c r="C27" i="10" s="1"/>
  <c r="E15" i="10"/>
  <c r="E20" i="10" s="1"/>
  <c r="E22" i="10" s="1"/>
  <c r="E23" i="10" s="1"/>
  <c r="E25" i="10" s="1"/>
  <c r="E26" i="10" s="1"/>
  <c r="E6" i="2"/>
  <c r="E11" i="2"/>
  <c r="E8" i="2"/>
  <c r="E13" i="2"/>
  <c r="E12" i="2"/>
  <c r="E10" i="2"/>
  <c r="E7" i="2"/>
  <c r="E9" i="2"/>
  <c r="B18" i="7"/>
  <c r="B17" i="7"/>
  <c r="B11" i="1"/>
  <c r="B20" i="1"/>
  <c r="L21" i="13" s="1"/>
  <c r="B17" i="1" l="1"/>
  <c r="L18" i="13" s="1"/>
  <c r="L12" i="13"/>
  <c r="C32" i="10"/>
  <c r="P4" i="10"/>
  <c r="B18" i="1"/>
  <c r="L19" i="13" s="1"/>
  <c r="B14" i="1"/>
  <c r="B21" i="7"/>
  <c r="B22" i="7" s="1"/>
  <c r="F12" i="7" s="1"/>
  <c r="B19" i="1" l="1"/>
  <c r="L20" i="13" s="1"/>
  <c r="L15" i="13"/>
  <c r="B21" i="1" l="1"/>
  <c r="B22" i="1" s="1"/>
  <c r="L22" i="13" l="1"/>
  <c r="C6" i="4"/>
  <c r="L23" i="13"/>
</calcChain>
</file>

<file path=xl/sharedStrings.xml><?xml version="1.0" encoding="utf-8"?>
<sst xmlns="http://schemas.openxmlformats.org/spreadsheetml/2006/main" count="188" uniqueCount="124">
  <si>
    <t>Decision Variable</t>
  </si>
  <si>
    <t>Pie Price</t>
  </si>
  <si>
    <t>Model Parameters</t>
  </si>
  <si>
    <t>Fruit filling cost/pie</t>
  </si>
  <si>
    <t>Dough costs/pie</t>
  </si>
  <si>
    <t>Fixed Cost</t>
  </si>
  <si>
    <t>Physical Results</t>
  </si>
  <si>
    <t>Total Revenue</t>
  </si>
  <si>
    <t>Total Material Cost</t>
  </si>
  <si>
    <t>Total Cost</t>
  </si>
  <si>
    <t>Profit</t>
  </si>
  <si>
    <t>Intercept</t>
  </si>
  <si>
    <t>Slope</t>
  </si>
  <si>
    <t>Linear term</t>
  </si>
  <si>
    <t>Quadratic term +</t>
  </si>
  <si>
    <t>Processing Cost</t>
  </si>
  <si>
    <t xml:space="preserve">1)  Pie Demand = f(price) </t>
  </si>
  <si>
    <t>2)  Processing cost =f(demand)</t>
  </si>
  <si>
    <r>
      <rPr>
        <sz val="10"/>
        <rFont val="Calibri"/>
        <family val="2"/>
      </rPr>
      <t>÷</t>
    </r>
    <r>
      <rPr>
        <sz val="10"/>
        <rFont val="Arial"/>
        <family val="2"/>
      </rPr>
      <t xml:space="preserve"> 1000</t>
    </r>
  </si>
  <si>
    <t>Price</t>
  </si>
  <si>
    <t>Pie Making Cost Data (one driver)</t>
  </si>
  <si>
    <t>Number of Pies (x1000)</t>
  </si>
  <si>
    <t>X</t>
  </si>
  <si>
    <t>X^2</t>
  </si>
  <si>
    <t>Y</t>
  </si>
  <si>
    <t>Y_hat</t>
  </si>
  <si>
    <t>Predicted Cost</t>
  </si>
  <si>
    <t>b</t>
  </si>
  <si>
    <t>se</t>
  </si>
  <si>
    <t>R^2 / se_e</t>
  </si>
  <si>
    <t>SSR / SSE</t>
  </si>
  <si>
    <t>F / df</t>
  </si>
  <si>
    <t>constant</t>
  </si>
  <si>
    <t>Y = b_1*X + b_2*X^2 + e</t>
  </si>
  <si>
    <t>Make-A-Pie Co. -- Weekly Profit Model</t>
  </si>
  <si>
    <t>NOTEs</t>
  </si>
  <si>
    <t>&lt;== Value Chain / Supply Chain</t>
  </si>
  <si>
    <t>What are the coefficients of supply and demand?</t>
  </si>
  <si>
    <t xml:space="preserve">Cost = b_0 + b_1*X + b_2*X^2 </t>
  </si>
  <si>
    <t>Build algrebraic model of demand and cost</t>
  </si>
  <si>
    <t>X = a_0 + a_1*Price</t>
  </si>
  <si>
    <t>X = number of pies made and sold</t>
  </si>
  <si>
    <t>Use simple slope formulat to get demand coefficienst</t>
  </si>
  <si>
    <t>Build a regression model to get cost coefficients</t>
  </si>
  <si>
    <t>Calculate profit and use Goal Seek to find best Price</t>
  </si>
  <si>
    <t>calculate</t>
  </si>
  <si>
    <t>Set cell</t>
  </si>
  <si>
    <t>Profit = Revenue - Cost</t>
  </si>
  <si>
    <t>(Data &gt; What-If Analysis &gt; Goal Seek)</t>
  </si>
  <si>
    <r>
      <rPr>
        <sz val="11"/>
        <color theme="1"/>
        <rFont val="Calibri"/>
        <family val="2"/>
        <scheme val="minor"/>
      </rPr>
      <t>Profit</t>
    </r>
    <r>
      <rPr>
        <vertAlign val="subscript"/>
        <sz val="11"/>
        <color theme="1"/>
        <rFont val="Calibri"/>
        <family val="2"/>
        <scheme val="minor"/>
      </rPr>
      <t>0</t>
    </r>
  </si>
  <si>
    <t>To value</t>
  </si>
  <si>
    <t>Breakeven = 0</t>
  </si>
  <si>
    <t>By changing cell</t>
  </si>
  <si>
    <t>Decision variable</t>
  </si>
  <si>
    <t>Intercept: a_0</t>
  </si>
  <si>
    <t>Slope: a_1</t>
  </si>
  <si>
    <t>Quadratic term: b_2</t>
  </si>
  <si>
    <t>Linear term: b_1</t>
  </si>
  <si>
    <t>intercept: a_0 means zero demand</t>
  </si>
  <si>
    <t>Price_0</t>
  </si>
  <si>
    <t>Demand_0</t>
  </si>
  <si>
    <t>a_0</t>
  </si>
  <si>
    <t>a_1</t>
  </si>
  <si>
    <t>Demand</t>
  </si>
  <si>
    <t>Demand decrease</t>
  </si>
  <si>
    <t>Constant variable costs (not "Fixed" costs!)</t>
  </si>
  <si>
    <t>Use Goal Seek to find the optimal price</t>
  </si>
  <si>
    <t xml:space="preserve">http://www.mit.edu/~mbarker/formula1/f1help/04-g-m60.htm </t>
  </si>
  <si>
    <t>Make-A-Pie Co. -- Annual Profit Model</t>
  </si>
  <si>
    <t>Year</t>
  </si>
  <si>
    <t>Net Present Value</t>
  </si>
  <si>
    <t>Operations</t>
  </si>
  <si>
    <t>Production: Processing cost = b_1*X + b_2*X^2</t>
  </si>
  <si>
    <t>Growth rate</t>
  </si>
  <si>
    <t>Weekly profit versus price</t>
  </si>
  <si>
    <t xml:space="preserve">         Pie Price</t>
  </si>
  <si>
    <t>Discounted Value</t>
  </si>
  <si>
    <t>Appraised Value</t>
  </si>
  <si>
    <t>x (Pie Demand/1000)^2 +</t>
  </si>
  <si>
    <t>x Pie Demand/1000</t>
  </si>
  <si>
    <t>NPV</t>
  </si>
  <si>
    <t>x ( Pie Demand / 1000)^2 +</t>
  </si>
  <si>
    <t>x (Pie Demand / 1000)</t>
  </si>
  <si>
    <r>
      <rPr>
        <sz val="11"/>
        <color theme="1"/>
        <rFont val="Calibri"/>
        <family val="2"/>
        <scheme val="minor"/>
      </rPr>
      <t>NPV</t>
    </r>
    <r>
      <rPr>
        <vertAlign val="subscript"/>
        <sz val="11"/>
        <color theme="1"/>
        <rFont val="Calibri"/>
        <family val="2"/>
        <scheme val="minor"/>
      </rPr>
      <t>0</t>
    </r>
  </si>
  <si>
    <t>?</t>
  </si>
  <si>
    <t>Demand = a_0 + a_1*Price</t>
  </si>
  <si>
    <t xml:space="preserve">Consumer:  Pie Demand (X) = a_0 + a_1*Price </t>
  </si>
  <si>
    <t>Notes</t>
  </si>
  <si>
    <t>Actual Cost ($/1000 pies)</t>
  </si>
  <si>
    <t>H4:J8</t>
  </si>
  <si>
    <t>\</t>
  </si>
  <si>
    <t>for use in SUMPRODUCT()</t>
  </si>
  <si>
    <t>price</t>
  </si>
  <si>
    <t>Make-A-Pie Co. -- Weekly Profit Model: price sensitivity</t>
  </si>
  <si>
    <t>max profit</t>
  </si>
  <si>
    <t>x</t>
  </si>
  <si>
    <t>a</t>
  </si>
  <si>
    <t>y</t>
  </si>
  <si>
    <t>title</t>
  </si>
  <si>
    <t>y-axis</t>
  </si>
  <si>
    <t>x-axis</t>
  </si>
  <si>
    <t>max</t>
  </si>
  <si>
    <t>min</t>
  </si>
  <si>
    <t>nodes</t>
  </si>
  <si>
    <t>width</t>
  </si>
  <si>
    <t>C6:</t>
  </si>
  <si>
    <t>F6:</t>
  </si>
  <si>
    <t>B7:</t>
  </si>
  <si>
    <t>B8:</t>
  </si>
  <si>
    <t>Filling cost/pie</t>
  </si>
  <si>
    <t>optimal price</t>
  </si>
  <si>
    <t>M4:</t>
  </si>
  <si>
    <t>N4:</t>
  </si>
  <si>
    <t>C5:</t>
  </si>
  <si>
    <t>E5:</t>
  </si>
  <si>
    <t>Ordinary Least Squares Regression</t>
  </si>
  <si>
    <t>Note: Reversed for order of regressors X, X^2</t>
  </si>
  <si>
    <t>LINEST() documentation</t>
  </si>
  <si>
    <t>intercept: a_0 means zero price sensitive demand</t>
  </si>
  <si>
    <t>slope: "rise over run" demand sensitivity to price</t>
  </si>
  <si>
    <t>C13:</t>
  </si>
  <si>
    <t>H5:</t>
  </si>
  <si>
    <t>H4:</t>
  </si>
  <si>
    <t>Directed Acyclic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</si>
</sst>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0.0"/>
  </numFmts>
  <fonts count="17" x14ac:knownFonts="1">
    <font>
      <sz val="10"/>
      <name val="Arial"/>
    </font>
    <font>
      <sz val="11"/>
      <color theme="1"/>
      <name val="Calibri"/>
      <family val="2"/>
      <scheme val="minor"/>
    </font>
    <font>
      <sz val="10"/>
      <name val="Arial"/>
      <family val="2"/>
    </font>
    <font>
      <b/>
      <sz val="10"/>
      <name val="Arial"/>
      <family val="2"/>
    </font>
    <font>
      <b/>
      <sz val="14"/>
      <name val="Arial"/>
      <family val="2"/>
    </font>
    <font>
      <sz val="14"/>
      <name val="Arial"/>
      <family val="2"/>
    </font>
    <font>
      <b/>
      <sz val="12"/>
      <name val="Arial"/>
      <family val="2"/>
    </font>
    <font>
      <sz val="10"/>
      <name val="Calibri"/>
      <family val="2"/>
    </font>
    <font>
      <sz val="14"/>
      <name val="Arial"/>
      <family val="2"/>
    </font>
    <font>
      <sz val="10"/>
      <name val="Arial"/>
      <family val="2"/>
    </font>
    <font>
      <b/>
      <sz val="10"/>
      <name val="Arial"/>
      <family val="2"/>
    </font>
    <font>
      <sz val="10"/>
      <name val="Arial"/>
      <family val="2"/>
    </font>
    <font>
      <u/>
      <sz val="10"/>
      <color theme="10"/>
      <name val="Arial"/>
      <family val="2"/>
    </font>
    <font>
      <sz val="8"/>
      <color theme="1"/>
      <name val="Calibri"/>
      <family val="2"/>
      <scheme val="minor"/>
    </font>
    <font>
      <vertAlign val="subscript"/>
      <sz val="11"/>
      <color theme="1"/>
      <name val="Calibri"/>
      <family val="2"/>
      <scheme val="minor"/>
    </font>
    <font>
      <sz val="8"/>
      <name val="Arial"/>
      <family val="2"/>
    </font>
    <font>
      <sz val="9"/>
      <name val="Arial"/>
      <family val="2"/>
    </font>
  </fonts>
  <fills count="15">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15"/>
        <bgColor indexed="64"/>
      </patternFill>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
    <xf numFmtId="0" fontId="0" fillId="0" borderId="0"/>
    <xf numFmtId="44" fontId="2" fillId="0" borderId="0" applyFont="0" applyFill="0" applyBorder="0" applyAlignment="0" applyProtection="0"/>
    <xf numFmtId="43" fontId="11" fillId="0" borderId="0" applyFont="0" applyFill="0" applyBorder="0" applyAlignment="0" applyProtection="0"/>
    <xf numFmtId="0" fontId="12" fillId="0" borderId="0" applyNumberFormat="0" applyFill="0" applyBorder="0" applyAlignment="0" applyProtection="0"/>
  </cellStyleXfs>
  <cellXfs count="167">
    <xf numFmtId="0" fontId="0" fillId="0" borderId="0" xfId="0"/>
    <xf numFmtId="0" fontId="3" fillId="0" borderId="0" xfId="0" applyFont="1"/>
    <xf numFmtId="0" fontId="4" fillId="0" borderId="0" xfId="0" applyFont="1"/>
    <xf numFmtId="0" fontId="5" fillId="0" borderId="0" xfId="0" applyFont="1"/>
    <xf numFmtId="0" fontId="0" fillId="0" borderId="0" xfId="0" applyAlignment="1">
      <alignment horizontal="left" indent="3"/>
    </xf>
    <xf numFmtId="0" fontId="0" fillId="0" borderId="0" xfId="0" applyAlignment="1">
      <alignment horizontal="center"/>
    </xf>
    <xf numFmtId="0" fontId="6" fillId="0" borderId="0" xfId="0" applyFont="1"/>
    <xf numFmtId="0" fontId="3" fillId="0" borderId="0" xfId="0" applyFont="1" applyAlignment="1">
      <alignment horizontal="center"/>
    </xf>
    <xf numFmtId="0" fontId="0" fillId="2" borderId="1" xfId="0" applyFill="1" applyBorder="1" applyAlignment="1">
      <alignment horizontal="center"/>
    </xf>
    <xf numFmtId="44" fontId="0" fillId="0" borderId="0" xfId="1" applyFont="1" applyAlignment="1">
      <alignment horizontal="center"/>
    </xf>
    <xf numFmtId="0" fontId="0" fillId="0" borderId="0" xfId="0" applyAlignment="1">
      <alignment horizontal="left" indent="5"/>
    </xf>
    <xf numFmtId="164" fontId="0" fillId="3" borderId="1" xfId="0" applyNumberFormat="1" applyFill="1" applyBorder="1" applyAlignment="1">
      <alignment horizontal="center"/>
    </xf>
    <xf numFmtId="164" fontId="0" fillId="0" borderId="1" xfId="0" applyNumberFormat="1" applyFill="1" applyBorder="1"/>
    <xf numFmtId="164" fontId="0" fillId="0" borderId="0" xfId="0" applyNumberFormat="1"/>
    <xf numFmtId="39" fontId="0" fillId="0" borderId="0" xfId="1" applyNumberFormat="1" applyFont="1"/>
    <xf numFmtId="164" fontId="0" fillId="4" borderId="1" xfId="0" applyNumberFormat="1" applyFill="1" applyBorder="1"/>
    <xf numFmtId="164" fontId="0" fillId="0" borderId="0" xfId="0" applyNumberFormat="1" applyAlignment="1">
      <alignment horizontal="right"/>
    </xf>
    <xf numFmtId="44" fontId="0" fillId="0" borderId="0" xfId="0" applyNumberFormat="1" applyAlignment="1">
      <alignment horizontal="right"/>
    </xf>
    <xf numFmtId="2" fontId="0" fillId="0" borderId="0" xfId="0" applyNumberFormat="1"/>
    <xf numFmtId="0" fontId="3" fillId="0" borderId="0" xfId="0" applyFont="1" applyAlignment="1">
      <alignment horizontal="left"/>
    </xf>
    <xf numFmtId="164" fontId="0" fillId="0" borderId="0" xfId="0" applyNumberFormat="1" applyFill="1" applyBorder="1" applyAlignment="1">
      <alignment horizontal="center"/>
    </xf>
    <xf numFmtId="0" fontId="0" fillId="0" borderId="1" xfId="0" applyBorder="1"/>
    <xf numFmtId="0" fontId="2" fillId="0" borderId="0" xfId="0" applyFont="1"/>
    <xf numFmtId="0" fontId="2" fillId="0" borderId="0" xfId="0" quotePrefix="1" applyFont="1"/>
    <xf numFmtId="0" fontId="8" fillId="0" borderId="0" xfId="0" applyFont="1"/>
    <xf numFmtId="0" fontId="9" fillId="0" borderId="0" xfId="0" applyFont="1"/>
    <xf numFmtId="0" fontId="10" fillId="0" borderId="0" xfId="0" applyFont="1"/>
    <xf numFmtId="164" fontId="9" fillId="3" borderId="1" xfId="0" applyNumberFormat="1" applyFont="1" applyFill="1" applyBorder="1" applyAlignment="1">
      <alignment horizontal="center"/>
    </xf>
    <xf numFmtId="164" fontId="9" fillId="0" borderId="0" xfId="0" applyNumberFormat="1" applyFont="1" applyFill="1" applyBorder="1" applyAlignment="1">
      <alignment horizontal="center"/>
    </xf>
    <xf numFmtId="0" fontId="9" fillId="0" borderId="0" xfId="0" applyFont="1" applyAlignment="1">
      <alignment horizontal="center"/>
    </xf>
    <xf numFmtId="0" fontId="9" fillId="0" borderId="0" xfId="0" applyFont="1" applyAlignment="1">
      <alignment horizontal="left" indent="3"/>
    </xf>
    <xf numFmtId="44" fontId="9" fillId="0" borderId="0" xfId="1" applyFont="1" applyAlignment="1">
      <alignment horizontal="center"/>
    </xf>
    <xf numFmtId="39" fontId="9" fillId="0" borderId="0" xfId="1" applyNumberFormat="1" applyFont="1"/>
    <xf numFmtId="0" fontId="9" fillId="0" borderId="0" xfId="0" quotePrefix="1" applyFont="1"/>
    <xf numFmtId="0" fontId="9" fillId="2" borderId="1" xfId="0" applyFont="1" applyFill="1" applyBorder="1" applyAlignment="1">
      <alignment horizontal="center"/>
    </xf>
    <xf numFmtId="164" fontId="9" fillId="0" borderId="0" xfId="0" applyNumberFormat="1" applyFont="1" applyAlignment="1">
      <alignment horizontal="right"/>
    </xf>
    <xf numFmtId="0" fontId="10" fillId="0" borderId="0" xfId="0" applyFont="1" applyAlignment="1">
      <alignment horizontal="left"/>
    </xf>
    <xf numFmtId="164" fontId="9" fillId="0" borderId="1" xfId="0" applyNumberFormat="1" applyFont="1" applyFill="1" applyBorder="1"/>
    <xf numFmtId="44" fontId="9" fillId="0" borderId="0" xfId="0" applyNumberFormat="1" applyFont="1" applyAlignment="1">
      <alignment horizontal="right"/>
    </xf>
    <xf numFmtId="164" fontId="9" fillId="0" borderId="0" xfId="0" applyNumberFormat="1" applyFont="1"/>
    <xf numFmtId="164" fontId="9" fillId="4" borderId="1" xfId="0" applyNumberFormat="1" applyFont="1" applyFill="1" applyBorder="1"/>
    <xf numFmtId="0" fontId="2" fillId="0" borderId="1" xfId="0" applyFont="1" applyBorder="1" applyAlignment="1">
      <alignment horizontal="center"/>
    </xf>
    <xf numFmtId="0" fontId="2" fillId="0" borderId="2" xfId="0" applyFont="1" applyBorder="1" applyAlignment="1">
      <alignment horizontal="right"/>
    </xf>
    <xf numFmtId="0" fontId="2" fillId="0" borderId="4" xfId="0" applyFont="1" applyBorder="1" applyAlignment="1">
      <alignment horizontal="right"/>
    </xf>
    <xf numFmtId="0" fontId="2" fillId="0" borderId="4" xfId="0" applyFont="1" applyFill="1" applyBorder="1" applyAlignment="1">
      <alignment horizontal="right"/>
    </xf>
    <xf numFmtId="0" fontId="2" fillId="0" borderId="5" xfId="0" applyFont="1" applyBorder="1" applyAlignment="1">
      <alignment horizontal="right"/>
    </xf>
    <xf numFmtId="0" fontId="2" fillId="0" borderId="0" xfId="0" applyFont="1" applyAlignment="1">
      <alignment horizontal="right"/>
    </xf>
    <xf numFmtId="0" fontId="0" fillId="0" borderId="6" xfId="0" applyBorder="1"/>
    <xf numFmtId="0" fontId="0" fillId="5" borderId="7" xfId="0" applyFill="1" applyBorder="1"/>
    <xf numFmtId="0" fontId="0" fillId="5" borderId="8" xfId="0" applyFill="1" applyBorder="1"/>
    <xf numFmtId="0" fontId="2" fillId="0" borderId="0" xfId="0" applyFont="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165" fontId="0" fillId="0" borderId="6" xfId="0" applyNumberFormat="1" applyBorder="1" applyAlignment="1">
      <alignment horizontal="center"/>
    </xf>
    <xf numFmtId="165" fontId="0" fillId="0" borderId="7" xfId="0" applyNumberFormat="1" applyBorder="1" applyAlignment="1">
      <alignment horizontal="center"/>
    </xf>
    <xf numFmtId="165" fontId="0" fillId="0" borderId="8" xfId="0" applyNumberFormat="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6" borderId="0" xfId="0" applyFill="1"/>
    <xf numFmtId="0" fontId="0" fillId="0" borderId="0" xfId="0" applyAlignment="1">
      <alignment horizontal="right" vertical="center"/>
    </xf>
    <xf numFmtId="0" fontId="2" fillId="7" borderId="1" xfId="0" applyFont="1" applyFill="1" applyBorder="1" applyAlignment="1">
      <alignment horizontal="center" vertical="center"/>
    </xf>
    <xf numFmtId="2" fontId="0" fillId="0" borderId="1" xfId="2" applyNumberFormat="1" applyFont="1" applyBorder="1"/>
    <xf numFmtId="0" fontId="13" fillId="0" borderId="0" xfId="0" applyFont="1" applyAlignment="1">
      <alignment horizontal="right" vertical="center"/>
    </xf>
    <xf numFmtId="0" fontId="14" fillId="0" borderId="1" xfId="0" applyFont="1" applyBorder="1" applyAlignment="1">
      <alignment horizontal="center" vertical="center"/>
    </xf>
    <xf numFmtId="0" fontId="2" fillId="8" borderId="1" xfId="0" applyFont="1" applyFill="1" applyBorder="1" applyAlignment="1">
      <alignment horizontal="center" vertical="center"/>
    </xf>
    <xf numFmtId="0" fontId="2" fillId="0" borderId="0" xfId="0" applyFont="1" applyAlignment="1">
      <alignment horizontal="left" indent="3"/>
    </xf>
    <xf numFmtId="0" fontId="2" fillId="0" borderId="0" xfId="0" applyFont="1" applyAlignment="1">
      <alignment horizontal="left" indent="5"/>
    </xf>
    <xf numFmtId="0" fontId="12" fillId="0" borderId="0" xfId="3"/>
    <xf numFmtId="0" fontId="15" fillId="0" borderId="0" xfId="0" applyFont="1"/>
    <xf numFmtId="0" fontId="2" fillId="0" borderId="1" xfId="0" applyFont="1" applyBorder="1"/>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3" fillId="0" borderId="0" xfId="0" applyFont="1" applyFill="1" applyBorder="1"/>
    <xf numFmtId="0" fontId="2" fillId="0" borderId="1" xfId="0" applyFont="1" applyBorder="1" applyAlignment="1">
      <alignment horizontal="right"/>
    </xf>
    <xf numFmtId="0" fontId="0" fillId="0" borderId="2" xfId="0" applyBorder="1"/>
    <xf numFmtId="0" fontId="0" fillId="0" borderId="4" xfId="0" applyBorder="1"/>
    <xf numFmtId="0" fontId="0" fillId="0" borderId="5" xfId="0" applyBorder="1"/>
    <xf numFmtId="44" fontId="0" fillId="0" borderId="4" xfId="1" applyFont="1" applyBorder="1"/>
    <xf numFmtId="44" fontId="0" fillId="0" borderId="5" xfId="1" applyFont="1" applyBorder="1"/>
    <xf numFmtId="9" fontId="9" fillId="9" borderId="0" xfId="0" applyNumberFormat="1" applyFont="1" applyFill="1" applyAlignment="1">
      <alignment horizontal="center"/>
    </xf>
    <xf numFmtId="44" fontId="9" fillId="0" borderId="0" xfId="1" applyFont="1"/>
    <xf numFmtId="44" fontId="9" fillId="10" borderId="0" xfId="0" applyNumberFormat="1" applyFont="1" applyFill="1"/>
    <xf numFmtId="44" fontId="0" fillId="0" borderId="2" xfId="1" applyFont="1" applyBorder="1"/>
    <xf numFmtId="44" fontId="9" fillId="0" borderId="6" xfId="1" applyFont="1" applyBorder="1"/>
    <xf numFmtId="44" fontId="9" fillId="0" borderId="7" xfId="1" applyFont="1" applyBorder="1"/>
    <xf numFmtId="44" fontId="9" fillId="0" borderId="8" xfId="1" applyFont="1" applyBorder="1"/>
    <xf numFmtId="44" fontId="9" fillId="10" borderId="0" xfId="1" applyFont="1" applyFill="1"/>
    <xf numFmtId="44" fontId="9" fillId="0" borderId="1" xfId="1" applyFont="1" applyFill="1" applyBorder="1"/>
    <xf numFmtId="44" fontId="9" fillId="4" borderId="1" xfId="1" applyFont="1" applyFill="1" applyBorder="1"/>
    <xf numFmtId="44" fontId="9" fillId="0" borderId="0" xfId="1" applyFont="1" applyAlignment="1">
      <alignment horizontal="right"/>
    </xf>
    <xf numFmtId="2" fontId="2" fillId="0" borderId="1" xfId="2" applyNumberFormat="1" applyFont="1" applyBorder="1"/>
    <xf numFmtId="44" fontId="0" fillId="0" borderId="1" xfId="1" applyFont="1" applyBorder="1"/>
    <xf numFmtId="9" fontId="9" fillId="0" borderId="1" xfId="0" applyNumberFormat="1" applyFont="1" applyBorder="1" applyAlignment="1">
      <alignment horizontal="center"/>
    </xf>
    <xf numFmtId="9" fontId="2" fillId="0" borderId="1" xfId="1" applyNumberFormat="1" applyFont="1" applyBorder="1" applyAlignment="1">
      <alignment horizontal="center"/>
    </xf>
    <xf numFmtId="0" fontId="2" fillId="0" borderId="2" xfId="0" applyFont="1" applyBorder="1"/>
    <xf numFmtId="0" fontId="15" fillId="0" borderId="1" xfId="0" applyFont="1" applyBorder="1" applyAlignment="1"/>
    <xf numFmtId="0" fontId="0" fillId="0" borderId="0" xfId="0" applyAlignment="1">
      <alignment wrapText="1"/>
    </xf>
    <xf numFmtId="0" fontId="0" fillId="0" borderId="0" xfId="0" applyBorder="1" applyAlignment="1">
      <alignment horizontal="center"/>
    </xf>
    <xf numFmtId="165" fontId="0" fillId="0" borderId="0" xfId="0" applyNumberFormat="1" applyBorder="1" applyAlignment="1">
      <alignment horizontal="center"/>
    </xf>
    <xf numFmtId="164" fontId="0" fillId="0" borderId="0" xfId="0" applyNumberFormat="1" applyBorder="1" applyAlignment="1">
      <alignment horizontal="center"/>
    </xf>
    <xf numFmtId="2" fontId="4" fillId="0" borderId="0" xfId="0" applyNumberFormat="1" applyFont="1"/>
    <xf numFmtId="2" fontId="5" fillId="0" borderId="0" xfId="0" applyNumberFormat="1" applyFont="1"/>
    <xf numFmtId="2" fontId="3" fillId="0" borderId="0" xfId="0" applyNumberFormat="1" applyFont="1"/>
    <xf numFmtId="2" fontId="0" fillId="3" borderId="1" xfId="0" applyNumberFormat="1" applyFill="1" applyBorder="1" applyAlignment="1">
      <alignment horizontal="center"/>
    </xf>
    <xf numFmtId="2" fontId="2" fillId="0" borderId="1" xfId="0" applyNumberFormat="1" applyFont="1" applyBorder="1" applyAlignment="1">
      <alignment horizontal="right"/>
    </xf>
    <xf numFmtId="2" fontId="0" fillId="0" borderId="2" xfId="0" applyNumberFormat="1" applyBorder="1"/>
    <xf numFmtId="2" fontId="2" fillId="0" borderId="1" xfId="0" applyNumberFormat="1" applyFont="1" applyFill="1" applyBorder="1" applyAlignment="1">
      <alignment horizontal="right"/>
    </xf>
    <xf numFmtId="2" fontId="0" fillId="0" borderId="1" xfId="0" applyNumberFormat="1" applyBorder="1"/>
    <xf numFmtId="2" fontId="2" fillId="0" borderId="2" xfId="0" applyNumberFormat="1" applyFont="1" applyFill="1" applyBorder="1" applyAlignment="1">
      <alignment horizontal="right"/>
    </xf>
    <xf numFmtId="2" fontId="0" fillId="0" borderId="5" xfId="0" applyNumberFormat="1" applyBorder="1"/>
    <xf numFmtId="2" fontId="0" fillId="0" borderId="1" xfId="0" applyNumberFormat="1" applyFont="1" applyFill="1" applyBorder="1" applyAlignment="1">
      <alignment horizontal="center"/>
    </xf>
    <xf numFmtId="0" fontId="0" fillId="0" borderId="9" xfId="0" applyBorder="1"/>
    <xf numFmtId="0" fontId="0" fillId="0" borderId="10" xfId="0" applyBorder="1"/>
    <xf numFmtId="2" fontId="2" fillId="0" borderId="1" xfId="0" applyNumberFormat="1" applyFont="1" applyBorder="1" applyAlignment="1">
      <alignment horizontal="center"/>
    </xf>
    <xf numFmtId="2" fontId="2" fillId="0" borderId="3" xfId="0" applyNumberFormat="1" applyFont="1" applyBorder="1" applyAlignment="1">
      <alignment horizontal="center"/>
    </xf>
    <xf numFmtId="2" fontId="2" fillId="0" borderId="9" xfId="0" applyNumberFormat="1" applyFont="1" applyBorder="1" applyAlignment="1">
      <alignment horizontal="center"/>
    </xf>
    <xf numFmtId="2" fontId="2" fillId="0" borderId="10" xfId="0" applyNumberFormat="1" applyFont="1" applyBorder="1" applyAlignment="1">
      <alignment horizontal="center"/>
    </xf>
    <xf numFmtId="0" fontId="0" fillId="0" borderId="1" xfId="0" applyBorder="1" applyAlignment="1">
      <alignment horizontal="right"/>
    </xf>
    <xf numFmtId="2" fontId="2" fillId="0" borderId="2" xfId="0" applyNumberFormat="1" applyFont="1" applyBorder="1" applyAlignment="1">
      <alignment horizontal="right"/>
    </xf>
    <xf numFmtId="2" fontId="2" fillId="0" borderId="2" xfId="0" applyNumberFormat="1" applyFont="1" applyBorder="1" applyAlignment="1">
      <alignment horizontal="center"/>
    </xf>
    <xf numFmtId="2" fontId="0" fillId="0" borderId="11" xfId="0" applyNumberFormat="1" applyBorder="1"/>
    <xf numFmtId="2" fontId="0" fillId="10" borderId="12" xfId="0" applyNumberFormat="1" applyFill="1" applyBorder="1"/>
    <xf numFmtId="2" fontId="0" fillId="0" borderId="13" xfId="1" applyNumberFormat="1" applyFont="1" applyBorder="1"/>
    <xf numFmtId="2" fontId="0" fillId="0" borderId="14" xfId="1" applyNumberFormat="1" applyFont="1" applyBorder="1"/>
    <xf numFmtId="2" fontId="0" fillId="0" borderId="15" xfId="1" applyNumberFormat="1" applyFont="1" applyBorder="1"/>
    <xf numFmtId="2" fontId="0" fillId="0" borderId="16" xfId="1" applyNumberFormat="1" applyFont="1" applyBorder="1"/>
    <xf numFmtId="0" fontId="15" fillId="0" borderId="1" xfId="0" applyFont="1" applyBorder="1"/>
    <xf numFmtId="0" fontId="2" fillId="0" borderId="10" xfId="0" applyFont="1" applyBorder="1"/>
    <xf numFmtId="0" fontId="10" fillId="0" borderId="0" xfId="0" applyFont="1" applyAlignment="1">
      <alignment horizontal="right"/>
    </xf>
    <xf numFmtId="0" fontId="15" fillId="0" borderId="0" xfId="0" quotePrefix="1" applyFont="1"/>
    <xf numFmtId="0" fontId="9" fillId="0" borderId="1" xfId="0" applyFont="1" applyBorder="1"/>
    <xf numFmtId="0" fontId="2" fillId="0" borderId="0" xfId="0" applyFont="1" applyAlignment="1">
      <alignment horizontal="center" vertical="center" wrapText="1"/>
    </xf>
    <xf numFmtId="0" fontId="15" fillId="0" borderId="1" xfId="0" applyFont="1" applyBorder="1" applyAlignment="1">
      <alignment horizontal="left"/>
    </xf>
    <xf numFmtId="0" fontId="2" fillId="0" borderId="4" xfId="0" applyFont="1" applyBorder="1"/>
    <xf numFmtId="0" fontId="3" fillId="0" borderId="1" xfId="0" applyFont="1" applyBorder="1" applyAlignment="1">
      <alignment horizontal="center"/>
    </xf>
    <xf numFmtId="0" fontId="16" fillId="0" borderId="1" xfId="0" applyFont="1" applyBorder="1" applyAlignment="1">
      <alignment horizontal="left"/>
    </xf>
    <xf numFmtId="0" fontId="0" fillId="0" borderId="1" xfId="0" applyBorder="1" applyAlignment="1">
      <alignment horizontal="left"/>
    </xf>
    <xf numFmtId="0" fontId="2" fillId="0" borderId="1" xfId="0" applyFont="1" applyFill="1" applyBorder="1"/>
    <xf numFmtId="0" fontId="6" fillId="11" borderId="0" xfId="0" applyFont="1" applyFill="1"/>
    <xf numFmtId="0" fontId="0" fillId="11" borderId="0" xfId="0" applyFill="1"/>
    <xf numFmtId="0" fontId="10" fillId="11" borderId="0" xfId="0" applyFont="1" applyFill="1"/>
    <xf numFmtId="0" fontId="9" fillId="11" borderId="0" xfId="0" applyFont="1" applyFill="1"/>
    <xf numFmtId="164" fontId="9" fillId="11" borderId="0" xfId="0" applyNumberFormat="1" applyFont="1" applyFill="1" applyBorder="1" applyAlignment="1">
      <alignment horizontal="center"/>
    </xf>
    <xf numFmtId="0" fontId="9" fillId="11" borderId="0" xfId="0" applyFont="1" applyFill="1" applyAlignment="1">
      <alignment horizontal="center"/>
    </xf>
    <xf numFmtId="0" fontId="2" fillId="11" borderId="0" xfId="0" applyFont="1" applyFill="1"/>
    <xf numFmtId="0" fontId="9" fillId="11" borderId="0" xfId="0" applyFont="1" applyFill="1" applyAlignment="1">
      <alignment horizontal="right" indent="3"/>
    </xf>
    <xf numFmtId="44" fontId="9" fillId="11" borderId="0" xfId="1" applyFont="1" applyFill="1" applyAlignment="1">
      <alignment horizontal="center"/>
    </xf>
    <xf numFmtId="0" fontId="9" fillId="11" borderId="0" xfId="0" applyFont="1" applyFill="1" applyAlignment="1">
      <alignment horizontal="left" indent="3"/>
    </xf>
    <xf numFmtId="0" fontId="3" fillId="11" borderId="0" xfId="0" applyFont="1" applyFill="1"/>
    <xf numFmtId="0" fontId="2" fillId="11" borderId="0" xfId="0" applyFont="1" applyFill="1" applyAlignment="1">
      <alignment horizontal="left" indent="3"/>
    </xf>
    <xf numFmtId="39" fontId="9" fillId="11" borderId="0" xfId="1" applyNumberFormat="1" applyFont="1" applyFill="1"/>
    <xf numFmtId="0" fontId="9" fillId="11" borderId="0" xfId="0" quotePrefix="1" applyFont="1" applyFill="1"/>
    <xf numFmtId="0" fontId="2" fillId="11" borderId="0" xfId="0" applyFont="1" applyFill="1" applyAlignment="1">
      <alignment horizontal="right" indent="5"/>
    </xf>
    <xf numFmtId="164" fontId="9" fillId="11" borderId="0" xfId="0" applyNumberFormat="1" applyFont="1" applyFill="1" applyAlignment="1">
      <alignment horizontal="right"/>
    </xf>
    <xf numFmtId="0" fontId="2" fillId="11" borderId="0" xfId="0" quotePrefix="1" applyFont="1" applyFill="1"/>
    <xf numFmtId="0" fontId="10" fillId="11" borderId="0" xfId="0" applyFont="1" applyFill="1" applyAlignment="1">
      <alignment horizontal="left"/>
    </xf>
    <xf numFmtId="164" fontId="9" fillId="11" borderId="1" xfId="0" applyNumberFormat="1" applyFont="1" applyFill="1" applyBorder="1"/>
    <xf numFmtId="44" fontId="9" fillId="11" borderId="0" xfId="0" applyNumberFormat="1" applyFont="1" applyFill="1" applyAlignment="1">
      <alignment horizontal="right"/>
    </xf>
    <xf numFmtId="44" fontId="9" fillId="11" borderId="0" xfId="1" applyFont="1" applyFill="1" applyAlignment="1">
      <alignment horizontal="right"/>
    </xf>
    <xf numFmtId="164" fontId="9" fillId="11" borderId="0" xfId="0" applyNumberFormat="1" applyFont="1" applyFill="1"/>
    <xf numFmtId="0" fontId="10" fillId="11" borderId="0" xfId="0" applyFont="1" applyFill="1" applyAlignment="1">
      <alignment horizontal="right"/>
    </xf>
    <xf numFmtId="0" fontId="9" fillId="14" borderId="1" xfId="0" applyFont="1" applyFill="1" applyBorder="1" applyAlignment="1">
      <alignment horizontal="center"/>
    </xf>
    <xf numFmtId="44" fontId="0" fillId="14" borderId="0" xfId="0" applyNumberFormat="1" applyFill="1"/>
    <xf numFmtId="164" fontId="3" fillId="13" borderId="1" xfId="0" applyNumberFormat="1" applyFont="1" applyFill="1" applyBorder="1"/>
    <xf numFmtId="0" fontId="3" fillId="11" borderId="0" xfId="0" applyFont="1" applyFill="1" applyAlignment="1">
      <alignment horizontal="right"/>
    </xf>
    <xf numFmtId="164" fontId="3" fillId="12" borderId="1" xfId="0" applyNumberFormat="1" applyFont="1" applyFill="1" applyBorder="1" applyAlignment="1">
      <alignment horizontal="center"/>
    </xf>
  </cellXfs>
  <cellStyles count="4">
    <cellStyle name="Comma" xfId="2" builtinId="3"/>
    <cellStyle name="Currency" xfId="1"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'plot-setup'!$C$2:$F$2</c:f>
          <c:strCache>
            <c:ptCount val="4"/>
            <c:pt idx="0">
              <c:v>Weekly profit versus price</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'plot-setup'!$C$2:$F$2</c:f>
              <c:strCache>
                <c:ptCount val="1"/>
                <c:pt idx="0">
                  <c:v>Weekly profit versus price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sensitivity!$B$7:$B$15</c:f>
              <c:numCache>
                <c:formatCode>0.00</c:formatCode>
                <c:ptCount val="9"/>
                <c:pt idx="0">
                  <c:v>5</c:v>
                </c:pt>
                <c:pt idx="1">
                  <c:v>5.875</c:v>
                </c:pt>
                <c:pt idx="2">
                  <c:v>6.75</c:v>
                </c:pt>
                <c:pt idx="3">
                  <c:v>7.625</c:v>
                </c:pt>
                <c:pt idx="4">
                  <c:v>8.5</c:v>
                </c:pt>
                <c:pt idx="5">
                  <c:v>9.375</c:v>
                </c:pt>
                <c:pt idx="6">
                  <c:v>10.25</c:v>
                </c:pt>
                <c:pt idx="7">
                  <c:v>11.125</c:v>
                </c:pt>
                <c:pt idx="8">
                  <c:v>12</c:v>
                </c:pt>
              </c:numCache>
            </c:numRef>
          </c:xVal>
          <c:yVal>
            <c:numRef>
              <c:f>sensitivity!$C$7:$C$15</c:f>
              <c:numCache>
                <c:formatCode>0.00</c:formatCode>
                <c:ptCount val="9"/>
                <c:pt idx="0">
                  <c:v>-100525.27337376098</c:v>
                </c:pt>
                <c:pt idx="1">
                  <c:v>-62044.271289971017</c:v>
                </c:pt>
                <c:pt idx="2">
                  <c:v>-31431.938609629578</c:v>
                </c:pt>
                <c:pt idx="3">
                  <c:v>-8688.2753327366663</c:v>
                </c:pt>
                <c:pt idx="4">
                  <c:v>6186.7185407077341</c:v>
                </c:pt>
                <c:pt idx="5">
                  <c:v>13193.043010703594</c:v>
                </c:pt>
                <c:pt idx="6">
                  <c:v>12330.698077250927</c:v>
                </c:pt>
                <c:pt idx="7">
                  <c:v>3599.6837403497266</c:v>
                </c:pt>
                <c:pt idx="8">
                  <c:v>-13000</c:v>
                </c:pt>
              </c:numCache>
            </c:numRef>
          </c:yVal>
          <c:smooth val="1"/>
          <c:extLst>
            <c:ext xmlns:c16="http://schemas.microsoft.com/office/drawing/2014/chart" uri="{C3380CC4-5D6E-409C-BE32-E72D297353CC}">
              <c16:uniqueId val="{00000000-1601-464B-A94B-3C9E1A94B1D4}"/>
            </c:ext>
          </c:extLst>
        </c:ser>
        <c:ser>
          <c:idx val="1"/>
          <c:order val="1"/>
          <c:tx>
            <c:strRef>
              <c:f>'plot-setup'!$B$7</c:f>
              <c:strCache>
                <c:ptCount val="1"/>
                <c:pt idx="0">
                  <c:v>max profit</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'plot-setup'!$C$8:$C$9</c:f>
              <c:numCache>
                <c:formatCode>0.00</c:formatCode>
                <c:ptCount val="2"/>
                <c:pt idx="0">
                  <c:v>9.375</c:v>
                </c:pt>
                <c:pt idx="1">
                  <c:v>9.375</c:v>
                </c:pt>
              </c:numCache>
            </c:numRef>
          </c:xVal>
          <c:yVal>
            <c:numRef>
              <c:f>'plot-setup'!$D$8:$D$9</c:f>
              <c:numCache>
                <c:formatCode>0.00</c:formatCode>
                <c:ptCount val="2"/>
                <c:pt idx="0" formatCode="General">
                  <c:v>0</c:v>
                </c:pt>
                <c:pt idx="1">
                  <c:v>13193.043010703594</c:v>
                </c:pt>
              </c:numCache>
            </c:numRef>
          </c:yVal>
          <c:smooth val="1"/>
          <c:extLst>
            <c:ext xmlns:c16="http://schemas.microsoft.com/office/drawing/2014/chart" uri="{C3380CC4-5D6E-409C-BE32-E72D297353CC}">
              <c16:uniqueId val="{00000002-1601-464B-A94B-3C9E1A94B1D4}"/>
            </c:ext>
          </c:extLst>
        </c:ser>
        <c:dLbls>
          <c:showLegendKey val="0"/>
          <c:showVal val="0"/>
          <c:showCatName val="0"/>
          <c:showSerName val="0"/>
          <c:showPercent val="0"/>
          <c:showBubbleSize val="0"/>
        </c:dLbls>
        <c:axId val="1042906704"/>
        <c:axId val="727474736"/>
      </c:scatterChart>
      <c:valAx>
        <c:axId val="1042906704"/>
        <c:scaling>
          <c:orientation val="minMax"/>
          <c:max val="12"/>
          <c:min val="5"/>
        </c:scaling>
        <c:delete val="0"/>
        <c:axPos val="b"/>
        <c:majorGridlines>
          <c:spPr>
            <a:ln w="9525" cap="flat" cmpd="sng" algn="ctr">
              <a:solidFill>
                <a:schemeClr val="tx1">
                  <a:lumMod val="15000"/>
                  <a:lumOff val="85000"/>
                </a:schemeClr>
              </a:solidFill>
              <a:round/>
            </a:ln>
            <a:effectLst/>
          </c:spPr>
        </c:majorGridlines>
        <c:title>
          <c:tx>
            <c:strRef>
              <c:f>sensitivity!$B$5</c:f>
              <c:strCache>
                <c:ptCount val="1"/>
                <c:pt idx="0">
                  <c:v>Pie Price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74736"/>
        <c:crosses val="autoZero"/>
        <c:crossBetween val="midCat"/>
      </c:valAx>
      <c:valAx>
        <c:axId val="727474736"/>
        <c:scaling>
          <c:orientation val="minMax"/>
        </c:scaling>
        <c:delete val="0"/>
        <c:axPos val="l"/>
        <c:majorGridlines>
          <c:spPr>
            <a:ln w="9525" cap="flat" cmpd="sng" algn="ctr">
              <a:solidFill>
                <a:schemeClr val="tx1">
                  <a:lumMod val="15000"/>
                  <a:lumOff val="85000"/>
                </a:schemeClr>
              </a:solidFill>
              <a:round/>
            </a:ln>
            <a:effectLst/>
          </c:spPr>
        </c:majorGridlines>
        <c:title>
          <c:tx>
            <c:strRef>
              <c:f>'plot-setup'!$C$3:$F$3</c:f>
              <c:strCache>
                <c:ptCount val="4"/>
                <c:pt idx="0">
                  <c:v>Profit</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9067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cost!$A$1</c:f>
          <c:strCache>
            <c:ptCount val="1"/>
            <c:pt idx="0">
              <c:v>Pie Making Cost Data (one driver)</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cost!$A$1</c:f>
              <c:strCache>
                <c:ptCount val="1"/>
                <c:pt idx="0">
                  <c:v>Pie Making Cost Data (one driver)</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intercept val="0"/>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cost!$B$5:$B$13</c:f>
              <c:numCache>
                <c:formatCode>General</c:formatCode>
                <c:ptCount val="9"/>
                <c:pt idx="0">
                  <c:v>8</c:v>
                </c:pt>
                <c:pt idx="1">
                  <c:v>10</c:v>
                </c:pt>
                <c:pt idx="2">
                  <c:v>12</c:v>
                </c:pt>
                <c:pt idx="3">
                  <c:v>14</c:v>
                </c:pt>
                <c:pt idx="4">
                  <c:v>16</c:v>
                </c:pt>
                <c:pt idx="5">
                  <c:v>18</c:v>
                </c:pt>
                <c:pt idx="6">
                  <c:v>20</c:v>
                </c:pt>
                <c:pt idx="7">
                  <c:v>22</c:v>
                </c:pt>
                <c:pt idx="8">
                  <c:v>24</c:v>
                </c:pt>
              </c:numCache>
            </c:numRef>
          </c:xVal>
          <c:yVal>
            <c:numRef>
              <c:f>cost!$D$5:$D$13</c:f>
              <c:numCache>
                <c:formatCode>#,##0.0</c:formatCode>
                <c:ptCount val="9"/>
                <c:pt idx="0">
                  <c:v>12.8</c:v>
                </c:pt>
                <c:pt idx="1">
                  <c:v>17.5</c:v>
                </c:pt>
                <c:pt idx="2">
                  <c:v>21.6</c:v>
                </c:pt>
                <c:pt idx="3">
                  <c:v>25.9</c:v>
                </c:pt>
                <c:pt idx="4">
                  <c:v>32.799999999999997</c:v>
                </c:pt>
                <c:pt idx="5">
                  <c:v>39.6</c:v>
                </c:pt>
                <c:pt idx="6">
                  <c:v>46</c:v>
                </c:pt>
                <c:pt idx="7">
                  <c:v>56.1</c:v>
                </c:pt>
                <c:pt idx="8">
                  <c:v>63.6</c:v>
                </c:pt>
              </c:numCache>
            </c:numRef>
          </c:yVal>
          <c:smooth val="0"/>
          <c:extLst>
            <c:ext xmlns:c16="http://schemas.microsoft.com/office/drawing/2014/chart" uri="{C3380CC4-5D6E-409C-BE32-E72D297353CC}">
              <c16:uniqueId val="{00000004-01F7-4CD4-86C5-F0B0E8BA136D}"/>
            </c:ext>
          </c:extLst>
        </c:ser>
        <c:dLbls>
          <c:showLegendKey val="0"/>
          <c:showVal val="0"/>
          <c:showCatName val="0"/>
          <c:showSerName val="0"/>
          <c:showPercent val="0"/>
          <c:showBubbleSize val="0"/>
        </c:dLbls>
        <c:axId val="644337824"/>
        <c:axId val="644338808"/>
      </c:scatterChart>
      <c:valAx>
        <c:axId val="644337824"/>
        <c:scaling>
          <c:orientation val="minMax"/>
        </c:scaling>
        <c:delete val="0"/>
        <c:axPos val="b"/>
        <c:majorGridlines>
          <c:spPr>
            <a:ln w="9525" cap="flat" cmpd="sng" algn="ctr">
              <a:solidFill>
                <a:schemeClr val="tx1">
                  <a:lumMod val="15000"/>
                  <a:lumOff val="85000"/>
                </a:schemeClr>
              </a:solidFill>
              <a:round/>
            </a:ln>
            <a:effectLst/>
          </c:spPr>
        </c:majorGridlines>
        <c:title>
          <c:tx>
            <c:strRef>
              <c:f>cost!$B$3</c:f>
              <c:strCache>
                <c:ptCount val="1"/>
                <c:pt idx="0">
                  <c:v>Number of Pies (x1000)</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8808"/>
        <c:crosses val="autoZero"/>
        <c:crossBetween val="midCat"/>
      </c:valAx>
      <c:valAx>
        <c:axId val="644338808"/>
        <c:scaling>
          <c:orientation val="minMax"/>
        </c:scaling>
        <c:delete val="0"/>
        <c:axPos val="l"/>
        <c:majorGridlines>
          <c:spPr>
            <a:ln w="9525" cap="flat" cmpd="sng" algn="ctr">
              <a:solidFill>
                <a:schemeClr val="tx1">
                  <a:lumMod val="15000"/>
                  <a:lumOff val="85000"/>
                </a:schemeClr>
              </a:solidFill>
              <a:round/>
            </a:ln>
            <a:effectLst/>
          </c:spPr>
        </c:majorGridlines>
        <c:title>
          <c:tx>
            <c:strRef>
              <c:f>cost!$D$3</c:f>
              <c:strCache>
                <c:ptCount val="1"/>
                <c:pt idx="0">
                  <c:v>Actual Cost ($/1000 pies)</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337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demand!$H$3</c:f>
              <c:strCache>
                <c:ptCount val="1"/>
                <c:pt idx="0">
                  <c:v>Demand</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6.0039370078740159E-4"/>
                  <c:y val="-0.2587809857101195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demand!$I$4:$I$18</c:f>
              <c:numCache>
                <c:formatCode>General</c:formatCode>
                <c:ptCount val="15"/>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numCache>
            </c:numRef>
          </c:xVal>
          <c:yVal>
            <c:numRef>
              <c:f>demand!$H$4:$H$18</c:f>
              <c:numCache>
                <c:formatCode>General</c:formatCode>
                <c:ptCount val="15"/>
                <c:pt idx="0">
                  <c:v>48000</c:v>
                </c:pt>
                <c:pt idx="1">
                  <c:v>44000</c:v>
                </c:pt>
                <c:pt idx="2">
                  <c:v>40000</c:v>
                </c:pt>
                <c:pt idx="3">
                  <c:v>36000</c:v>
                </c:pt>
                <c:pt idx="4">
                  <c:v>32000</c:v>
                </c:pt>
                <c:pt idx="5">
                  <c:v>28000</c:v>
                </c:pt>
                <c:pt idx="6">
                  <c:v>24000</c:v>
                </c:pt>
                <c:pt idx="7">
                  <c:v>20000</c:v>
                </c:pt>
                <c:pt idx="8">
                  <c:v>16000</c:v>
                </c:pt>
                <c:pt idx="9">
                  <c:v>12000</c:v>
                </c:pt>
                <c:pt idx="10">
                  <c:v>8000</c:v>
                </c:pt>
                <c:pt idx="11">
                  <c:v>4000</c:v>
                </c:pt>
                <c:pt idx="12">
                  <c:v>0</c:v>
                </c:pt>
                <c:pt idx="13">
                  <c:v>-4000</c:v>
                </c:pt>
                <c:pt idx="14">
                  <c:v>-8000</c:v>
                </c:pt>
              </c:numCache>
            </c:numRef>
          </c:yVal>
          <c:smooth val="0"/>
          <c:extLst>
            <c:ext xmlns:c16="http://schemas.microsoft.com/office/drawing/2014/chart" uri="{C3380CC4-5D6E-409C-BE32-E72D297353CC}">
              <c16:uniqueId val="{00000010-412C-45D4-B376-02483F1D4EDA}"/>
            </c:ext>
          </c:extLst>
        </c:ser>
        <c:dLbls>
          <c:showLegendKey val="0"/>
          <c:showVal val="0"/>
          <c:showCatName val="0"/>
          <c:showSerName val="0"/>
          <c:showPercent val="0"/>
          <c:showBubbleSize val="0"/>
        </c:dLbls>
        <c:axId val="538695656"/>
        <c:axId val="538689424"/>
      </c:scatterChart>
      <c:valAx>
        <c:axId val="538695656"/>
        <c:scaling>
          <c:orientation val="minMax"/>
        </c:scaling>
        <c:delete val="0"/>
        <c:axPos val="b"/>
        <c:majorGridlines>
          <c:spPr>
            <a:ln w="9525" cap="flat" cmpd="sng" algn="ctr">
              <a:solidFill>
                <a:schemeClr val="tx1">
                  <a:lumMod val="15000"/>
                  <a:lumOff val="85000"/>
                </a:schemeClr>
              </a:solidFill>
              <a:round/>
            </a:ln>
            <a:effectLst/>
          </c:spPr>
        </c:majorGridlines>
        <c:title>
          <c:tx>
            <c:strRef>
              <c:f>demand!$I$3</c:f>
              <c:strCache>
                <c:ptCount val="1"/>
                <c:pt idx="0">
                  <c:v>Price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89424"/>
        <c:crosses val="autoZero"/>
        <c:crossBetween val="midCat"/>
      </c:valAx>
      <c:valAx>
        <c:axId val="538689424"/>
        <c:scaling>
          <c:orientation val="minMax"/>
        </c:scaling>
        <c:delete val="0"/>
        <c:axPos val="l"/>
        <c:majorGridlines>
          <c:spPr>
            <a:ln w="9525" cap="flat" cmpd="sng" algn="ctr">
              <a:solidFill>
                <a:schemeClr val="tx1">
                  <a:lumMod val="15000"/>
                  <a:lumOff val="85000"/>
                </a:schemeClr>
              </a:solidFill>
              <a:round/>
            </a:ln>
            <a:effectLst/>
          </c:spPr>
        </c:majorGridlines>
        <c:title>
          <c:tx>
            <c:strRef>
              <c:f>demand!$H$3</c:f>
              <c:strCache>
                <c:ptCount val="1"/>
                <c:pt idx="0">
                  <c:v>Demand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6956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'plot-setup'!$C$2</c:f>
          <c:strCache>
            <c:ptCount val="1"/>
            <c:pt idx="0">
              <c:v>Weekly profit versus price</c:v>
            </c:pt>
          </c:strCache>
        </c:strRef>
      </c:tx>
      <c:overlay val="0"/>
    </c:title>
    <c:autoTitleDeleted val="0"/>
    <c:plotArea>
      <c:layout/>
      <c:scatterChart>
        <c:scatterStyle val="lineMarker"/>
        <c:varyColors val="0"/>
        <c:ser>
          <c:idx val="1"/>
          <c:order val="0"/>
          <c:tx>
            <c:strRef>
              <c:f>sensitivity!$C$5</c:f>
              <c:strCache>
                <c:ptCount val="1"/>
                <c:pt idx="0">
                  <c:v>Profit</c:v>
                </c:pt>
              </c:strCache>
            </c:strRef>
          </c:tx>
          <c:xVal>
            <c:numRef>
              <c:f>sensitivity!$B$7:$B$15</c:f>
              <c:numCache>
                <c:formatCode>0.00</c:formatCode>
                <c:ptCount val="9"/>
                <c:pt idx="0">
                  <c:v>5</c:v>
                </c:pt>
                <c:pt idx="1">
                  <c:v>5.875</c:v>
                </c:pt>
                <c:pt idx="2">
                  <c:v>6.75</c:v>
                </c:pt>
                <c:pt idx="3">
                  <c:v>7.625</c:v>
                </c:pt>
                <c:pt idx="4">
                  <c:v>8.5</c:v>
                </c:pt>
                <c:pt idx="5">
                  <c:v>9.375</c:v>
                </c:pt>
                <c:pt idx="6">
                  <c:v>10.25</c:v>
                </c:pt>
                <c:pt idx="7">
                  <c:v>11.125</c:v>
                </c:pt>
                <c:pt idx="8">
                  <c:v>12</c:v>
                </c:pt>
              </c:numCache>
            </c:numRef>
          </c:xVal>
          <c:yVal>
            <c:numRef>
              <c:f>sensitivity!$C$7:$C$15</c:f>
              <c:numCache>
                <c:formatCode>0.00</c:formatCode>
                <c:ptCount val="9"/>
                <c:pt idx="0">
                  <c:v>-100525.27337376098</c:v>
                </c:pt>
                <c:pt idx="1">
                  <c:v>-62044.271289971017</c:v>
                </c:pt>
                <c:pt idx="2">
                  <c:v>-31431.938609629578</c:v>
                </c:pt>
                <c:pt idx="3">
                  <c:v>-8688.2753327366663</c:v>
                </c:pt>
                <c:pt idx="4">
                  <c:v>6186.7185407077341</c:v>
                </c:pt>
                <c:pt idx="5">
                  <c:v>13193.043010703594</c:v>
                </c:pt>
                <c:pt idx="6">
                  <c:v>12330.698077250927</c:v>
                </c:pt>
                <c:pt idx="7">
                  <c:v>3599.6837403497266</c:v>
                </c:pt>
                <c:pt idx="8">
                  <c:v>-13000</c:v>
                </c:pt>
              </c:numCache>
            </c:numRef>
          </c:yVal>
          <c:smooth val="0"/>
          <c:extLst>
            <c:ext xmlns:c16="http://schemas.microsoft.com/office/drawing/2014/chart" uri="{C3380CC4-5D6E-409C-BE32-E72D297353CC}">
              <c16:uniqueId val="{00000000-3063-4C0E-94FE-66EB0857FA5D}"/>
            </c:ext>
          </c:extLst>
        </c:ser>
        <c:ser>
          <c:idx val="0"/>
          <c:order val="1"/>
          <c:tx>
            <c:strRef>
              <c:f>'plot-setup'!$B$7</c:f>
              <c:strCache>
                <c:ptCount val="1"/>
                <c:pt idx="0">
                  <c:v>max profit</c:v>
                </c:pt>
              </c:strCache>
            </c:strRef>
          </c:tx>
          <c:xVal>
            <c:numRef>
              <c:f>'plot-setup'!$C$8:$C$9</c:f>
              <c:numCache>
                <c:formatCode>0.00</c:formatCode>
                <c:ptCount val="2"/>
                <c:pt idx="0">
                  <c:v>9.375</c:v>
                </c:pt>
                <c:pt idx="1">
                  <c:v>9.375</c:v>
                </c:pt>
              </c:numCache>
            </c:numRef>
          </c:xVal>
          <c:yVal>
            <c:numRef>
              <c:f>'plot-setup'!$D$8:$D$9</c:f>
              <c:numCache>
                <c:formatCode>0.00</c:formatCode>
                <c:ptCount val="2"/>
                <c:pt idx="0" formatCode="General">
                  <c:v>0</c:v>
                </c:pt>
                <c:pt idx="1">
                  <c:v>13193.043010703594</c:v>
                </c:pt>
              </c:numCache>
            </c:numRef>
          </c:yVal>
          <c:smooth val="0"/>
          <c:extLst>
            <c:ext xmlns:c16="http://schemas.microsoft.com/office/drawing/2014/chart" uri="{C3380CC4-5D6E-409C-BE32-E72D297353CC}">
              <c16:uniqueId val="{00000001-2A26-4946-9EC1-F44176770DED}"/>
            </c:ext>
          </c:extLst>
        </c:ser>
        <c:dLbls>
          <c:showLegendKey val="0"/>
          <c:showVal val="0"/>
          <c:showCatName val="0"/>
          <c:showSerName val="0"/>
          <c:showPercent val="0"/>
          <c:showBubbleSize val="0"/>
        </c:dLbls>
        <c:axId val="549555744"/>
        <c:axId val="549555352"/>
      </c:scatterChart>
      <c:valAx>
        <c:axId val="549555744"/>
        <c:scaling>
          <c:orientation val="minMax"/>
          <c:max val="10"/>
          <c:min val="6"/>
        </c:scaling>
        <c:delete val="0"/>
        <c:axPos val="b"/>
        <c:title>
          <c:tx>
            <c:strRef>
              <c:f>'plot-setup'!$C$4</c:f>
              <c:strCache>
                <c:ptCount val="1"/>
                <c:pt idx="0">
                  <c:v>Pie Price</c:v>
                </c:pt>
              </c:strCache>
            </c:strRef>
          </c:tx>
          <c:overlay val="0"/>
        </c:title>
        <c:numFmt formatCode="0.00" sourceLinked="1"/>
        <c:majorTickMark val="out"/>
        <c:minorTickMark val="none"/>
        <c:tickLblPos val="nextTo"/>
        <c:crossAx val="549555352"/>
        <c:crosses val="autoZero"/>
        <c:crossBetween val="midCat"/>
      </c:valAx>
      <c:valAx>
        <c:axId val="549555352"/>
        <c:scaling>
          <c:orientation val="minMax"/>
        </c:scaling>
        <c:delete val="0"/>
        <c:axPos val="l"/>
        <c:majorGridlines/>
        <c:title>
          <c:tx>
            <c:strRef>
              <c:f>'plot-setup'!$C$3</c:f>
              <c:strCache>
                <c:ptCount val="1"/>
                <c:pt idx="0">
                  <c:v>Profit</c:v>
                </c:pt>
              </c:strCache>
            </c:strRef>
          </c:tx>
          <c:overlay val="0"/>
        </c:title>
        <c:numFmt formatCode="0.00" sourceLinked="1"/>
        <c:majorTickMark val="out"/>
        <c:minorTickMark val="none"/>
        <c:tickLblPos val="nextTo"/>
        <c:crossAx val="549555744"/>
        <c:crosses val="autoZero"/>
        <c:crossBetween val="midCat"/>
      </c:valAx>
    </c:plotArea>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plot-setup'!$I$3" horiz="1" max="100" min="1" noThreeD="1" page="10" val="100"/>
</file>

<file path=xl/ctrlProps/ctrlProp2.xml><?xml version="1.0" encoding="utf-8"?>
<formControlPr xmlns="http://schemas.microsoft.com/office/spreadsheetml/2009/9/main" objectType="Scroll" dx="26" fmlaLink="'plot-setup'!$I$4" horiz="1" max="100" min="1" noThreeD="1" page="10" val="100"/>
</file>

<file path=xl/ctrlProps/ctrlProp3.xml><?xml version="1.0" encoding="utf-8"?>
<formControlPr xmlns="http://schemas.microsoft.com/office/spreadsheetml/2009/9/main" objectType="Scroll" dx="26" fmlaLink="'plot-setup'!$I$5" horiz="1" max="100" min="1" noThreeD="1" page="10" val="10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137160</xdr:colOff>
      <xdr:row>1</xdr:row>
      <xdr:rowOff>156210</xdr:rowOff>
    </xdr:from>
    <xdr:to>
      <xdr:col>9</xdr:col>
      <xdr:colOff>182880</xdr:colOff>
      <xdr:row>23</xdr:row>
      <xdr:rowOff>144780</xdr:rowOff>
    </xdr:to>
    <xdr:graphicFrame macro="">
      <xdr:nvGraphicFramePr>
        <xdr:cNvPr id="2" name="Chart 1">
          <a:extLst>
            <a:ext uri="{FF2B5EF4-FFF2-40B4-BE49-F238E27FC236}">
              <a16:creationId xmlns:a16="http://schemas.microsoft.com/office/drawing/2014/main" id="{850EFF9F-CD4B-44A3-93B5-6759B0AC34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7620</xdr:colOff>
          <xdr:row>6</xdr:row>
          <xdr:rowOff>7620</xdr:rowOff>
        </xdr:from>
        <xdr:to>
          <xdr:col>13</xdr:col>
          <xdr:colOff>586740</xdr:colOff>
          <xdr:row>7</xdr:row>
          <xdr:rowOff>0</xdr:rowOff>
        </xdr:to>
        <xdr:sp macro="" textlink="">
          <xdr:nvSpPr>
            <xdr:cNvPr id="11265" name="Scroll Bar 1" hidden="1">
              <a:extLst>
                <a:ext uri="{63B3BB69-23CF-44E3-9099-C40C66FF867C}">
                  <a14:compatExt spid="_x0000_s11265"/>
                </a:ext>
                <a:ext uri="{FF2B5EF4-FFF2-40B4-BE49-F238E27FC236}">
                  <a16:creationId xmlns:a16="http://schemas.microsoft.com/office/drawing/2014/main" id="{00000000-0008-0000-0000-0000012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oneCellAnchor>
        <xdr:from>
          <xdr:col>12</xdr:col>
          <xdr:colOff>7620</xdr:colOff>
          <xdr:row>6</xdr:row>
          <xdr:rowOff>160020</xdr:rowOff>
        </xdr:from>
        <xdr:ext cx="1188720" cy="160020"/>
        <xdr:sp macro="" textlink="">
          <xdr:nvSpPr>
            <xdr:cNvPr id="11266" name="Scroll Bar 2" hidden="1">
              <a:extLst>
                <a:ext uri="{63B3BB69-23CF-44E3-9099-C40C66FF867C}">
                  <a14:compatExt spid="_x0000_s11266"/>
                </a:ext>
                <a:ext uri="{FF2B5EF4-FFF2-40B4-BE49-F238E27FC236}">
                  <a16:creationId xmlns:a16="http://schemas.microsoft.com/office/drawing/2014/main" id="{533D1A7D-2470-4E75-9278-4E67813558B1}"/>
                </a:ext>
              </a:extLst>
            </xdr:cNvPr>
            <xdr:cNvSpPr/>
          </xdr:nvSpPr>
          <xdr:spPr bwMode="auto">
            <a:xfrm>
              <a:off x="0" y="0"/>
              <a:ext cx="0" cy="0"/>
            </a:xfrm>
            <a:prstGeom prst="rect">
              <a:avLst/>
            </a:prstGeom>
            <a:noFill/>
            <a:ln w="9525">
              <a:miter lim="800000"/>
              <a:headEnd/>
              <a:tailEnd/>
            </a:ln>
          </xdr:spPr>
        </xdr:sp>
        <xdr:clientData/>
      </xdr:oneCellAnchor>
    </mc:Choice>
    <mc:Fallback/>
  </mc:AlternateContent>
  <mc:AlternateContent xmlns:mc="http://schemas.openxmlformats.org/markup-compatibility/2006">
    <mc:Choice xmlns:a14="http://schemas.microsoft.com/office/drawing/2010/main" Requires="a14">
      <xdr:twoCellAnchor editAs="oneCell">
        <xdr:from>
          <xdr:col>12</xdr:col>
          <xdr:colOff>7620</xdr:colOff>
          <xdr:row>8</xdr:row>
          <xdr:rowOff>0</xdr:rowOff>
        </xdr:from>
        <xdr:to>
          <xdr:col>13</xdr:col>
          <xdr:colOff>586740</xdr:colOff>
          <xdr:row>8</xdr:row>
          <xdr:rowOff>160020</xdr:rowOff>
        </xdr:to>
        <xdr:sp macro="" textlink="">
          <xdr:nvSpPr>
            <xdr:cNvPr id="11267" name="Scroll Bar 3" hidden="1">
              <a:extLst>
                <a:ext uri="{63B3BB69-23CF-44E3-9099-C40C66FF867C}">
                  <a14:compatExt spid="_x0000_s11267"/>
                </a:ext>
                <a:ext uri="{FF2B5EF4-FFF2-40B4-BE49-F238E27FC236}">
                  <a16:creationId xmlns:a16="http://schemas.microsoft.com/office/drawing/2014/main" id="{2B13568B-D8C8-497A-828E-211C9AEEBC1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10</xdr:row>
      <xdr:rowOff>144463</xdr:rowOff>
    </xdr:from>
    <xdr:to>
      <xdr:col>6</xdr:col>
      <xdr:colOff>304800</xdr:colOff>
      <xdr:row>22</xdr:row>
      <xdr:rowOff>43556</xdr:rowOff>
    </xdr:to>
    <xdr:sp macro="" textlink="">
      <xdr:nvSpPr>
        <xdr:cNvPr id="2" name="Text Box 2">
          <a:extLst>
            <a:ext uri="{FF2B5EF4-FFF2-40B4-BE49-F238E27FC236}">
              <a16:creationId xmlns:a16="http://schemas.microsoft.com/office/drawing/2014/main" id="{E9A2BB88-4DD8-4C0A-86CD-F941090CF862}"/>
            </a:ext>
          </a:extLst>
        </xdr:cNvPr>
        <xdr:cNvSpPr txBox="1">
          <a:spLocks noChangeArrowheads="1"/>
        </xdr:cNvSpPr>
      </xdr:nvSpPr>
      <xdr:spPr bwMode="auto">
        <a:xfrm>
          <a:off x="609600" y="1777320"/>
          <a:ext cx="3352800" cy="1858522"/>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1.</a:t>
          </a:r>
          <a:r>
            <a:rPr lang="en-US" sz="2000">
              <a:latin typeface="Arial Narrow" pitchFamily="34" charset="0"/>
              <a:cs typeface="Times New Roman" pitchFamily="18" charset="0"/>
            </a:rPr>
            <a:t>  Make-A-Pie keeps track of weekly processing costs.  The table below shows this expense for various output levels.  </a:t>
          </a:r>
          <a:r>
            <a:rPr lang="en-US" sz="2000" b="1">
              <a:latin typeface="Arial Narrow" pitchFamily="34" charset="0"/>
              <a:cs typeface="Times New Roman" pitchFamily="18" charset="0"/>
            </a:rPr>
            <a:t>What is the relationship between output volume and processing</a:t>
          </a:r>
          <a:r>
            <a:rPr lang="en-US" sz="2000" b="1" baseline="0">
              <a:latin typeface="Arial Narrow" pitchFamily="34" charset="0"/>
              <a:cs typeface="Times New Roman" pitchFamily="18" charset="0"/>
            </a:rPr>
            <a:t> cost</a:t>
          </a:r>
          <a:r>
            <a:rPr lang="en-US" sz="2000" b="1">
              <a:latin typeface="Arial Narrow" pitchFamily="34" charset="0"/>
              <a:cs typeface="Times New Roman" pitchFamily="18" charset="0"/>
            </a:rPr>
            <a:t>?</a:t>
          </a:r>
          <a:r>
            <a:rPr lang="en-US" sz="2000">
              <a:latin typeface="Arial Narrow" pitchFamily="34" charset="0"/>
              <a:cs typeface="Times New Roman" pitchFamily="18" charset="0"/>
            </a:rPr>
            <a:t> </a:t>
          </a:r>
        </a:p>
      </xdr:txBody>
    </xdr:sp>
    <xdr:clientData/>
  </xdr:twoCellAnchor>
  <xdr:twoCellAnchor>
    <xdr:from>
      <xdr:col>1</xdr:col>
      <xdr:colOff>19050</xdr:colOff>
      <xdr:row>1</xdr:row>
      <xdr:rowOff>9525</xdr:rowOff>
    </xdr:from>
    <xdr:to>
      <xdr:col>14</xdr:col>
      <xdr:colOff>247650</xdr:colOff>
      <xdr:row>10</xdr:row>
      <xdr:rowOff>91533</xdr:rowOff>
    </xdr:to>
    <xdr:sp macro="" textlink="">
      <xdr:nvSpPr>
        <xdr:cNvPr id="3" name="Text Box 4">
          <a:extLst>
            <a:ext uri="{FF2B5EF4-FFF2-40B4-BE49-F238E27FC236}">
              <a16:creationId xmlns:a16="http://schemas.microsoft.com/office/drawing/2014/main" id="{18357293-3D34-447A-A1F0-6EB96DA1FC23}"/>
            </a:ext>
          </a:extLst>
        </xdr:cNvPr>
        <xdr:cNvSpPr txBox="1">
          <a:spLocks noChangeArrowheads="1"/>
        </xdr:cNvSpPr>
      </xdr:nvSpPr>
      <xdr:spPr bwMode="auto">
        <a:xfrm>
          <a:off x="628650" y="172811"/>
          <a:ext cx="8153400" cy="1551579"/>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ctr">
            <a:spcBef>
              <a:spcPct val="50000"/>
            </a:spcBef>
          </a:pPr>
          <a:r>
            <a:rPr lang="en-US">
              <a:solidFill>
                <a:schemeClr val="accent1"/>
              </a:solidFill>
              <a:latin typeface="Comic Sans MS" pitchFamily="66" charset="0"/>
              <a:cs typeface="Times New Roman" pitchFamily="18" charset="0"/>
            </a:rPr>
            <a:t>Make-A-Pie Co.</a:t>
          </a:r>
        </a:p>
        <a:p>
          <a:pPr algn="just">
            <a:spcBef>
              <a:spcPct val="50000"/>
            </a:spcBef>
          </a:pPr>
          <a:r>
            <a:rPr lang="en-US" sz="2000">
              <a:latin typeface="Arial Narrow" pitchFamily="34" charset="0"/>
              <a:cs typeface="Times New Roman" pitchFamily="18" charset="0"/>
            </a:rPr>
            <a:t>Make-A-Pie Co. generates profit by combining two purchased ingredients (vegetables</a:t>
          </a:r>
          <a:r>
            <a:rPr lang="en-US" sz="2000" baseline="0">
              <a:latin typeface="Arial Narrow" pitchFamily="34" charset="0"/>
              <a:cs typeface="Times New Roman" pitchFamily="18" charset="0"/>
            </a:rPr>
            <a:t> </a:t>
          </a:r>
          <a:r>
            <a:rPr lang="en-US" sz="2000">
              <a:latin typeface="Arial Narrow" pitchFamily="34" charset="0"/>
              <a:cs typeface="Times New Roman" pitchFamily="18" charset="0"/>
            </a:rPr>
            <a:t>and  sprouted flour</a:t>
          </a:r>
          <a:r>
            <a:rPr lang="en-US" sz="2000" baseline="0">
              <a:latin typeface="Arial Narrow" pitchFamily="34" charset="0"/>
              <a:cs typeface="Times New Roman" pitchFamily="18" charset="0"/>
            </a:rPr>
            <a:t> </a:t>
          </a:r>
          <a:r>
            <a:rPr lang="en-US" sz="2000">
              <a:latin typeface="Arial Narrow" pitchFamily="34" charset="0"/>
              <a:cs typeface="Times New Roman" pitchFamily="18" charset="0"/>
            </a:rPr>
            <a:t>dough) into pies, processing the pies (cooking, packaging, &amp; delivering), and selling them to local grocery stores.</a:t>
          </a:r>
          <a:endParaRPr lang="en-US" sz="2000">
            <a:latin typeface="Arial Narrow" pitchFamily="34" charset="0"/>
          </a:endParaRPr>
        </a:p>
      </xdr:txBody>
    </xdr:sp>
    <xdr:clientData/>
  </xdr:twoCellAnchor>
  <xdr:twoCellAnchor>
    <xdr:from>
      <xdr:col>7</xdr:col>
      <xdr:colOff>304799</xdr:colOff>
      <xdr:row>10</xdr:row>
      <xdr:rowOff>152400</xdr:rowOff>
    </xdr:from>
    <xdr:to>
      <xdr:col>14</xdr:col>
      <xdr:colOff>244928</xdr:colOff>
      <xdr:row>26</xdr:row>
      <xdr:rowOff>85867</xdr:rowOff>
    </xdr:to>
    <xdr:sp macro="" textlink="">
      <xdr:nvSpPr>
        <xdr:cNvPr id="4" name="Text Box 5">
          <a:extLst>
            <a:ext uri="{FF2B5EF4-FFF2-40B4-BE49-F238E27FC236}">
              <a16:creationId xmlns:a16="http://schemas.microsoft.com/office/drawing/2014/main" id="{129CFB26-9905-4BD8-A389-D1B70902D5ED}"/>
            </a:ext>
          </a:extLst>
        </xdr:cNvPr>
        <xdr:cNvSpPr txBox="1">
          <a:spLocks noChangeArrowheads="1"/>
        </xdr:cNvSpPr>
      </xdr:nvSpPr>
      <xdr:spPr bwMode="auto">
        <a:xfrm>
          <a:off x="4591049" y="1785257"/>
          <a:ext cx="4226379" cy="3035896"/>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2</a:t>
          </a:r>
          <a:r>
            <a:rPr lang="en-US" sz="2000">
              <a:latin typeface="Arial Narrow" pitchFamily="34" charset="0"/>
              <a:cs typeface="Times New Roman" pitchFamily="18" charset="0"/>
            </a:rPr>
            <a:t>. Make-A-Pie has also experimented with demand elasticity.  At a price above $12, there will be no demand for her pies, but demand increases by about 4,000 pies per week for each dollar price decrease below $12.  For example, at a price of $10 Make-A-Pie could expect demand of 8,000 pies.  </a:t>
          </a:r>
          <a:r>
            <a:rPr lang="en-US" sz="2000" b="1">
              <a:latin typeface="Arial Narrow" pitchFamily="34" charset="0"/>
              <a:cs typeface="Times New Roman" pitchFamily="18" charset="0"/>
            </a:rPr>
            <a:t>Propose an algebraic model that shows the relationship between price and revenue.</a:t>
          </a:r>
          <a:endParaRPr lang="en-US" sz="2000" b="1">
            <a:latin typeface="Arial Narrow" pitchFamily="34" charset="0"/>
          </a:endParaRPr>
        </a:p>
      </xdr:txBody>
    </xdr:sp>
    <xdr:clientData/>
  </xdr:twoCellAnchor>
  <xdr:twoCellAnchor>
    <xdr:from>
      <xdr:col>5</xdr:col>
      <xdr:colOff>204107</xdr:colOff>
      <xdr:row>26</xdr:row>
      <xdr:rowOff>69396</xdr:rowOff>
    </xdr:from>
    <xdr:to>
      <xdr:col>14</xdr:col>
      <xdr:colOff>217714</xdr:colOff>
      <xdr:row>36</xdr:row>
      <xdr:rowOff>622</xdr:rowOff>
    </xdr:to>
    <xdr:sp macro="" textlink="">
      <xdr:nvSpPr>
        <xdr:cNvPr id="5" name="Text Box 6">
          <a:extLst>
            <a:ext uri="{FF2B5EF4-FFF2-40B4-BE49-F238E27FC236}">
              <a16:creationId xmlns:a16="http://schemas.microsoft.com/office/drawing/2014/main" id="{F560BF5B-3A0F-43D0-84E0-03699209D743}"/>
            </a:ext>
          </a:extLst>
        </xdr:cNvPr>
        <xdr:cNvSpPr txBox="1">
          <a:spLocks noChangeArrowheads="1"/>
        </xdr:cNvSpPr>
      </xdr:nvSpPr>
      <xdr:spPr bwMode="auto">
        <a:xfrm>
          <a:off x="3252107" y="4826453"/>
          <a:ext cx="5500007" cy="1564083"/>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3.</a:t>
          </a:r>
          <a:r>
            <a:rPr lang="en-US" sz="2000">
              <a:latin typeface="Arial Narrow" pitchFamily="34" charset="0"/>
              <a:cs typeface="Times New Roman" pitchFamily="18" charset="0"/>
            </a:rPr>
            <a:t>  Savory</a:t>
          </a:r>
          <a:r>
            <a:rPr lang="en-US" sz="2000" baseline="0">
              <a:latin typeface="Arial Narrow" pitchFamily="34" charset="0"/>
              <a:cs typeface="Times New Roman" pitchFamily="18" charset="0"/>
            </a:rPr>
            <a:t> vegetable</a:t>
          </a:r>
          <a:r>
            <a:rPr lang="en-US" sz="2000">
              <a:latin typeface="Arial Narrow" pitchFamily="34" charset="0"/>
              <a:cs typeface="Times New Roman" pitchFamily="18" charset="0"/>
            </a:rPr>
            <a:t> filling costs $3.48/pie, and sprouted</a:t>
          </a:r>
          <a:r>
            <a:rPr lang="en-US" sz="2000" baseline="0">
              <a:latin typeface="Arial Narrow" pitchFamily="34" charset="0"/>
              <a:cs typeface="Times New Roman" pitchFamily="18" charset="0"/>
            </a:rPr>
            <a:t> flour</a:t>
          </a:r>
          <a:r>
            <a:rPr lang="en-US" sz="2000">
              <a:latin typeface="Arial Narrow" pitchFamily="34" charset="0"/>
              <a:cs typeface="Times New Roman" pitchFamily="18" charset="0"/>
            </a:rPr>
            <a:t> dough costs $0.30/pie.  Overhead expenses are $12,000 per week. </a:t>
          </a:r>
          <a:r>
            <a:rPr lang="en-US" sz="2000" b="1">
              <a:latin typeface="Arial Narrow" pitchFamily="34" charset="0"/>
              <a:cs typeface="Times New Roman" pitchFamily="18" charset="0"/>
            </a:rPr>
            <a:t>At what pie price will Make-A-Pie maximize profit? At what price will Make-A-Pie break even?</a:t>
          </a:r>
          <a:endParaRPr lang="en-US" sz="2000" b="1">
            <a:latin typeface="Arial Narrow" pitchFamily="34" charset="0"/>
          </a:endParaRPr>
        </a:p>
      </xdr:txBody>
    </xdr:sp>
    <xdr:clientData/>
  </xdr:twoCellAnchor>
  <xdr:twoCellAnchor>
    <xdr:from>
      <xdr:col>0</xdr:col>
      <xdr:colOff>601435</xdr:colOff>
      <xdr:row>34</xdr:row>
      <xdr:rowOff>140155</xdr:rowOff>
    </xdr:from>
    <xdr:to>
      <xdr:col>14</xdr:col>
      <xdr:colOff>190500</xdr:colOff>
      <xdr:row>42</xdr:row>
      <xdr:rowOff>103640</xdr:rowOff>
    </xdr:to>
    <xdr:sp macro="" textlink="">
      <xdr:nvSpPr>
        <xdr:cNvPr id="7" name="Text Box 6">
          <a:extLst>
            <a:ext uri="{FF2B5EF4-FFF2-40B4-BE49-F238E27FC236}">
              <a16:creationId xmlns:a16="http://schemas.microsoft.com/office/drawing/2014/main" id="{5AB47C16-96FE-44C7-B87F-DA2B1A361471}"/>
            </a:ext>
          </a:extLst>
        </xdr:cNvPr>
        <xdr:cNvSpPr txBox="1">
          <a:spLocks noChangeArrowheads="1"/>
        </xdr:cNvSpPr>
      </xdr:nvSpPr>
      <xdr:spPr bwMode="auto">
        <a:xfrm>
          <a:off x="601435" y="6181726"/>
          <a:ext cx="8161565" cy="1269771"/>
        </a:xfrm>
        <a:prstGeom prst="rect">
          <a:avLst/>
        </a:prstGeom>
        <a:noFill/>
        <a:ln w="12700">
          <a:noFill/>
          <a:miter lim="800000"/>
          <a:headEnd/>
          <a:tailEnd/>
        </a:ln>
        <a:effectLst/>
      </xdr:spPr>
      <xdr:txBody>
        <a:bodyPr wrap="square">
          <a:spAutoFit/>
        </a:bodyPr>
        <a:lstStyle>
          <a:defPPr>
            <a:defRPr lang="en-US"/>
          </a:defPPr>
          <a:lvl1pPr algn="l" rtl="0" eaLnBrk="0" fontAlgn="base" hangingPunct="0">
            <a:spcBef>
              <a:spcPct val="0"/>
            </a:spcBef>
            <a:spcAft>
              <a:spcPct val="0"/>
            </a:spcAft>
            <a:defRPr sz="2400" kern="1200">
              <a:solidFill>
                <a:schemeClr val="tx1"/>
              </a:solidFill>
              <a:latin typeface="Times New Roman" pitchFamily="18" charset="0"/>
              <a:ea typeface="+mn-ea"/>
              <a:cs typeface="+mn-cs"/>
            </a:defRPr>
          </a:lvl1pPr>
          <a:lvl2pPr marL="457200" algn="l" rtl="0" eaLnBrk="0" fontAlgn="base" hangingPunct="0">
            <a:spcBef>
              <a:spcPct val="0"/>
            </a:spcBef>
            <a:spcAft>
              <a:spcPct val="0"/>
            </a:spcAft>
            <a:defRPr sz="2400" kern="1200">
              <a:solidFill>
                <a:schemeClr val="tx1"/>
              </a:solidFill>
              <a:latin typeface="Times New Roman" pitchFamily="18" charset="0"/>
              <a:ea typeface="+mn-ea"/>
              <a:cs typeface="+mn-cs"/>
            </a:defRPr>
          </a:lvl2pPr>
          <a:lvl3pPr marL="914400" algn="l" rtl="0" eaLnBrk="0" fontAlgn="base" hangingPunct="0">
            <a:spcBef>
              <a:spcPct val="0"/>
            </a:spcBef>
            <a:spcAft>
              <a:spcPct val="0"/>
            </a:spcAft>
            <a:defRPr sz="2400" kern="1200">
              <a:solidFill>
                <a:schemeClr val="tx1"/>
              </a:solidFill>
              <a:latin typeface="Times New Roman" pitchFamily="18" charset="0"/>
              <a:ea typeface="+mn-ea"/>
              <a:cs typeface="+mn-cs"/>
            </a:defRPr>
          </a:lvl3pPr>
          <a:lvl4pPr marL="1371600" algn="l" rtl="0" eaLnBrk="0" fontAlgn="base" hangingPunct="0">
            <a:spcBef>
              <a:spcPct val="0"/>
            </a:spcBef>
            <a:spcAft>
              <a:spcPct val="0"/>
            </a:spcAft>
            <a:defRPr sz="2400" kern="1200">
              <a:solidFill>
                <a:schemeClr val="tx1"/>
              </a:solidFill>
              <a:latin typeface="Times New Roman" pitchFamily="18" charset="0"/>
              <a:ea typeface="+mn-ea"/>
              <a:cs typeface="+mn-cs"/>
            </a:defRPr>
          </a:lvl4pPr>
          <a:lvl5pPr marL="1828800" algn="l" rtl="0" eaLnBrk="0" fontAlgn="base" hangingPunct="0">
            <a:spcBef>
              <a:spcPct val="0"/>
            </a:spcBef>
            <a:spcAft>
              <a:spcPct val="0"/>
            </a:spcAft>
            <a:defRPr sz="2400" kern="1200">
              <a:solidFill>
                <a:schemeClr val="tx1"/>
              </a:solidFill>
              <a:latin typeface="Times New Roman" pitchFamily="18" charset="0"/>
              <a:ea typeface="+mn-ea"/>
              <a:cs typeface="+mn-cs"/>
            </a:defRPr>
          </a:lvl5pPr>
          <a:lvl6pPr marL="2286000" algn="l" defTabSz="914400" rtl="0" eaLnBrk="1" latinLnBrk="0" hangingPunct="1">
            <a:defRPr sz="2400" kern="1200">
              <a:solidFill>
                <a:schemeClr val="tx1"/>
              </a:solidFill>
              <a:latin typeface="Times New Roman" pitchFamily="18" charset="0"/>
              <a:ea typeface="+mn-ea"/>
              <a:cs typeface="+mn-cs"/>
            </a:defRPr>
          </a:lvl6pPr>
          <a:lvl7pPr marL="2743200" algn="l" defTabSz="914400" rtl="0" eaLnBrk="1" latinLnBrk="0" hangingPunct="1">
            <a:defRPr sz="2400" kern="1200">
              <a:solidFill>
                <a:schemeClr val="tx1"/>
              </a:solidFill>
              <a:latin typeface="Times New Roman" pitchFamily="18" charset="0"/>
              <a:ea typeface="+mn-ea"/>
              <a:cs typeface="+mn-cs"/>
            </a:defRPr>
          </a:lvl7pPr>
          <a:lvl8pPr marL="3200400" algn="l" defTabSz="914400" rtl="0" eaLnBrk="1" latinLnBrk="0" hangingPunct="1">
            <a:defRPr sz="2400" kern="1200">
              <a:solidFill>
                <a:schemeClr val="tx1"/>
              </a:solidFill>
              <a:latin typeface="Times New Roman" pitchFamily="18" charset="0"/>
              <a:ea typeface="+mn-ea"/>
              <a:cs typeface="+mn-cs"/>
            </a:defRPr>
          </a:lvl8pPr>
          <a:lvl9pPr marL="3657600" algn="l" defTabSz="914400" rtl="0" eaLnBrk="1" latinLnBrk="0" hangingPunct="1">
            <a:defRPr sz="2400" kern="1200">
              <a:solidFill>
                <a:schemeClr val="tx1"/>
              </a:solidFill>
              <a:latin typeface="Times New Roman" pitchFamily="18" charset="0"/>
              <a:ea typeface="+mn-ea"/>
              <a:cs typeface="+mn-cs"/>
            </a:defRPr>
          </a:lvl9pPr>
        </a:lstStyle>
        <a:p>
          <a:pPr algn="just">
            <a:spcBef>
              <a:spcPct val="50000"/>
            </a:spcBef>
          </a:pPr>
          <a:r>
            <a:rPr lang="en-US" sz="2000" b="1">
              <a:latin typeface="Arial Narrow" pitchFamily="34" charset="0"/>
              <a:cs typeface="Times New Roman" pitchFamily="18" charset="0"/>
            </a:rPr>
            <a:t>4.</a:t>
          </a:r>
          <a:r>
            <a:rPr lang="en-US" sz="2000">
              <a:latin typeface="Arial Narrow" pitchFamily="34" charset="0"/>
              <a:cs typeface="Times New Roman" pitchFamily="18" charset="0"/>
            </a:rPr>
            <a:t>  Suppose that savory</a:t>
          </a:r>
          <a:r>
            <a:rPr lang="en-US" sz="2000" baseline="0">
              <a:latin typeface="Arial Narrow" pitchFamily="34" charset="0"/>
              <a:cs typeface="Times New Roman" pitchFamily="18" charset="0"/>
            </a:rPr>
            <a:t> vegetable</a:t>
          </a:r>
          <a:r>
            <a:rPr lang="en-US" sz="2000">
              <a:latin typeface="Arial Narrow" pitchFamily="34" charset="0"/>
              <a:cs typeface="Times New Roman" pitchFamily="18" charset="0"/>
            </a:rPr>
            <a:t> filling cost</a:t>
          </a:r>
          <a:r>
            <a:rPr lang="en-US" sz="2000" baseline="0">
              <a:latin typeface="Arial Narrow" pitchFamily="34" charset="0"/>
              <a:cs typeface="Times New Roman" pitchFamily="18" charset="0"/>
            </a:rPr>
            <a:t> rises by 7% per year, </a:t>
          </a:r>
          <a:r>
            <a:rPr lang="en-US" sz="2000">
              <a:latin typeface="Arial Narrow" pitchFamily="34" charset="0"/>
              <a:cs typeface="Times New Roman" pitchFamily="18" charset="0"/>
            </a:rPr>
            <a:t>and sprouted dough rises</a:t>
          </a:r>
          <a:r>
            <a:rPr lang="en-US" sz="2000" baseline="0">
              <a:latin typeface="Arial Narrow" pitchFamily="34" charset="0"/>
              <a:cs typeface="Times New Roman" pitchFamily="18" charset="0"/>
            </a:rPr>
            <a:t> (pun included) by 5%</a:t>
          </a:r>
          <a:r>
            <a:rPr lang="en-US" sz="2000">
              <a:latin typeface="Arial Narrow" pitchFamily="34" charset="0"/>
              <a:cs typeface="Times New Roman" pitchFamily="18" charset="0"/>
            </a:rPr>
            <a:t>.  Overhead expenses rise</a:t>
          </a:r>
          <a:r>
            <a:rPr lang="en-US" sz="2000" baseline="0">
              <a:latin typeface="Arial Narrow" pitchFamily="34" charset="0"/>
              <a:cs typeface="Times New Roman" pitchFamily="18" charset="0"/>
            </a:rPr>
            <a:t> by 2% per year</a:t>
          </a:r>
          <a:r>
            <a:rPr lang="en-US" sz="2000">
              <a:latin typeface="Arial Narrow" pitchFamily="34" charset="0"/>
              <a:cs typeface="Times New Roman" pitchFamily="18" charset="0"/>
            </a:rPr>
            <a:t>. Prices will also rise by 2% per year.  </a:t>
          </a:r>
          <a:r>
            <a:rPr lang="en-US" sz="2000" b="1">
              <a:latin typeface="Arial Narrow" pitchFamily="34" charset="0"/>
              <a:cs typeface="Times New Roman" pitchFamily="18" charset="0"/>
            </a:rPr>
            <a:t>At what year 1</a:t>
          </a:r>
          <a:r>
            <a:rPr lang="en-US" sz="2000" b="1" baseline="0">
              <a:latin typeface="Arial Narrow" pitchFamily="34" charset="0"/>
              <a:cs typeface="Times New Roman" pitchFamily="18" charset="0"/>
            </a:rPr>
            <a:t> </a:t>
          </a:r>
          <a:r>
            <a:rPr lang="en-US" sz="2000" b="1">
              <a:latin typeface="Arial Narrow" pitchFamily="34" charset="0"/>
              <a:cs typeface="Times New Roman" pitchFamily="18" charset="0"/>
            </a:rPr>
            <a:t>pie price will Make-A-Pie maximize profit across a 3</a:t>
          </a:r>
          <a:r>
            <a:rPr lang="en-US" sz="2000" b="1" baseline="0">
              <a:latin typeface="Arial Narrow" pitchFamily="34" charset="0"/>
              <a:cs typeface="Times New Roman" pitchFamily="18" charset="0"/>
            </a:rPr>
            <a:t> year horizon if the business is worth $2,500,000 today</a:t>
          </a:r>
          <a:r>
            <a:rPr lang="en-US" sz="2000" b="1">
              <a:latin typeface="Arial Narrow" pitchFamily="34" charset="0"/>
              <a:cs typeface="Times New Roman" pitchFamily="18" charset="0"/>
            </a:rPr>
            <a:t>?</a:t>
          </a:r>
          <a:endParaRPr lang="en-US" sz="2000" b="1">
            <a:latin typeface="Arial Narrow"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13</xdr:row>
      <xdr:rowOff>104775</xdr:rowOff>
    </xdr:from>
    <xdr:to>
      <xdr:col>1</xdr:col>
      <xdr:colOff>38100</xdr:colOff>
      <xdr:row>15</xdr:row>
      <xdr:rowOff>152400</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161925" y="2209800"/>
          <a:ext cx="485775" cy="371475"/>
        </a:xfrm>
        <a:prstGeom prst="rect">
          <a:avLst/>
        </a:prstGeom>
        <a:solidFill>
          <a:srgbClr val="FFFF00"/>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Pie Price</a:t>
          </a:r>
        </a:p>
      </xdr:txBody>
    </xdr:sp>
    <xdr:clientData/>
  </xdr:twoCellAnchor>
  <xdr:twoCellAnchor>
    <xdr:from>
      <xdr:col>1</xdr:col>
      <xdr:colOff>304800</xdr:colOff>
      <xdr:row>10</xdr:row>
      <xdr:rowOff>9525</xdr:rowOff>
    </xdr:from>
    <xdr:to>
      <xdr:col>2</xdr:col>
      <xdr:colOff>323850</xdr:colOff>
      <xdr:row>11</xdr:row>
      <xdr:rowOff>38100</xdr:rowOff>
    </xdr:to>
    <xdr:sp macro="" textlink="">
      <xdr:nvSpPr>
        <xdr:cNvPr id="2050" name="Rectangle 2">
          <a:extLst>
            <a:ext uri="{FF2B5EF4-FFF2-40B4-BE49-F238E27FC236}">
              <a16:creationId xmlns:a16="http://schemas.microsoft.com/office/drawing/2014/main" id="{00000000-0008-0000-0000-000002080000}"/>
            </a:ext>
          </a:extLst>
        </xdr:cNvPr>
        <xdr:cNvSpPr>
          <a:spLocks noChangeArrowheads="1"/>
        </xdr:cNvSpPr>
      </xdr:nvSpPr>
      <xdr:spPr bwMode="auto">
        <a:xfrm>
          <a:off x="914400" y="1628775"/>
          <a:ext cx="628650" cy="1905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Demand</a:t>
          </a:r>
        </a:p>
      </xdr:txBody>
    </xdr:sp>
    <xdr:clientData/>
  </xdr:twoCellAnchor>
  <xdr:twoCellAnchor>
    <xdr:from>
      <xdr:col>2</xdr:col>
      <xdr:colOff>352425</xdr:colOff>
      <xdr:row>12</xdr:row>
      <xdr:rowOff>85725</xdr:rowOff>
    </xdr:from>
    <xdr:to>
      <xdr:col>3</xdr:col>
      <xdr:colOff>428625</xdr:colOff>
      <xdr:row>15</xdr:row>
      <xdr:rowOff>114300</xdr:rowOff>
    </xdr:to>
    <xdr:sp macro="" textlink="">
      <xdr:nvSpPr>
        <xdr:cNvPr id="2051" name="Text Box 3">
          <a:extLst>
            <a:ext uri="{FF2B5EF4-FFF2-40B4-BE49-F238E27FC236}">
              <a16:creationId xmlns:a16="http://schemas.microsoft.com/office/drawing/2014/main" id="{00000000-0008-0000-0000-000003080000}"/>
            </a:ext>
          </a:extLst>
        </xdr:cNvPr>
        <xdr:cNvSpPr txBox="1">
          <a:spLocks noChangeArrowheads="1"/>
        </xdr:cNvSpPr>
      </xdr:nvSpPr>
      <xdr:spPr bwMode="auto">
        <a:xfrm>
          <a:off x="1571625" y="2028825"/>
          <a:ext cx="685800"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Processing</a:t>
          </a:r>
        </a:p>
        <a:p>
          <a:pPr algn="l" rtl="0">
            <a:defRPr sz="1000"/>
          </a:pPr>
          <a:r>
            <a:rPr lang="en-US" sz="1000" b="0" i="0" u="none" strike="noStrike" baseline="0">
              <a:solidFill>
                <a:srgbClr val="000000"/>
              </a:solidFill>
              <a:latin typeface="Arial"/>
              <a:cs typeface="Arial"/>
            </a:rPr>
            <a:t>Cost</a:t>
          </a:r>
        </a:p>
      </xdr:txBody>
    </xdr:sp>
    <xdr:clientData/>
  </xdr:twoCellAnchor>
  <xdr:twoCellAnchor>
    <xdr:from>
      <xdr:col>4</xdr:col>
      <xdr:colOff>285750</xdr:colOff>
      <xdr:row>12</xdr:row>
      <xdr:rowOff>85725</xdr:rowOff>
    </xdr:from>
    <xdr:to>
      <xdr:col>5</xdr:col>
      <xdr:colOff>95250</xdr:colOff>
      <xdr:row>15</xdr:row>
      <xdr:rowOff>95250</xdr:rowOff>
    </xdr:to>
    <xdr:sp macro="" textlink="">
      <xdr:nvSpPr>
        <xdr:cNvPr id="2052" name="Text Box 4">
          <a:extLst>
            <a:ext uri="{FF2B5EF4-FFF2-40B4-BE49-F238E27FC236}">
              <a16:creationId xmlns:a16="http://schemas.microsoft.com/office/drawing/2014/main" id="{00000000-0008-0000-0000-000004080000}"/>
            </a:ext>
          </a:extLst>
        </xdr:cNvPr>
        <xdr:cNvSpPr txBox="1">
          <a:spLocks noChangeArrowheads="1"/>
        </xdr:cNvSpPr>
      </xdr:nvSpPr>
      <xdr:spPr bwMode="auto">
        <a:xfrm>
          <a:off x="2724150" y="2028825"/>
          <a:ext cx="4191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Filling Cost</a:t>
          </a:r>
        </a:p>
      </xdr:txBody>
    </xdr:sp>
    <xdr:clientData/>
  </xdr:twoCellAnchor>
  <xdr:twoCellAnchor>
    <xdr:from>
      <xdr:col>5</xdr:col>
      <xdr:colOff>552450</xdr:colOff>
      <xdr:row>12</xdr:row>
      <xdr:rowOff>85725</xdr:rowOff>
    </xdr:from>
    <xdr:to>
      <xdr:col>6</xdr:col>
      <xdr:colOff>371475</xdr:colOff>
      <xdr:row>15</xdr:row>
      <xdr:rowOff>104775</xdr:rowOff>
    </xdr:to>
    <xdr:sp macro="" textlink="">
      <xdr:nvSpPr>
        <xdr:cNvPr id="2053" name="Text Box 5">
          <a:extLst>
            <a:ext uri="{FF2B5EF4-FFF2-40B4-BE49-F238E27FC236}">
              <a16:creationId xmlns:a16="http://schemas.microsoft.com/office/drawing/2014/main" id="{00000000-0008-0000-0000-000005080000}"/>
            </a:ext>
          </a:extLst>
        </xdr:cNvPr>
        <xdr:cNvSpPr txBox="1">
          <a:spLocks noChangeArrowheads="1"/>
        </xdr:cNvSpPr>
      </xdr:nvSpPr>
      <xdr:spPr bwMode="auto">
        <a:xfrm>
          <a:off x="3600450" y="2028825"/>
          <a:ext cx="428625" cy="5048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Unit Dough Cost</a:t>
          </a:r>
        </a:p>
      </xdr:txBody>
    </xdr:sp>
    <xdr:clientData/>
  </xdr:twoCellAnchor>
  <xdr:twoCellAnchor>
    <xdr:from>
      <xdr:col>7</xdr:col>
      <xdr:colOff>266700</xdr:colOff>
      <xdr:row>12</xdr:row>
      <xdr:rowOff>95250</xdr:rowOff>
    </xdr:from>
    <xdr:to>
      <xdr:col>8</xdr:col>
      <xdr:colOff>19050</xdr:colOff>
      <xdr:row>15</xdr:row>
      <xdr:rowOff>66675</xdr:rowOff>
    </xdr:to>
    <xdr:sp macro="" textlink="">
      <xdr:nvSpPr>
        <xdr:cNvPr id="2054" name="Text Box 6">
          <a:extLst>
            <a:ext uri="{FF2B5EF4-FFF2-40B4-BE49-F238E27FC236}">
              <a16:creationId xmlns:a16="http://schemas.microsoft.com/office/drawing/2014/main" id="{00000000-0008-0000-0000-000006080000}"/>
            </a:ext>
          </a:extLst>
        </xdr:cNvPr>
        <xdr:cNvSpPr txBox="1">
          <a:spLocks noChangeArrowheads="1"/>
        </xdr:cNvSpPr>
      </xdr:nvSpPr>
      <xdr:spPr bwMode="auto">
        <a:xfrm>
          <a:off x="4533900" y="2038350"/>
          <a:ext cx="361950" cy="457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Fixed Cost</a:t>
          </a:r>
        </a:p>
      </xdr:txBody>
    </xdr:sp>
    <xdr:clientData/>
  </xdr:twoCellAnchor>
  <xdr:twoCellAnchor>
    <xdr:from>
      <xdr:col>5</xdr:col>
      <xdr:colOff>47625</xdr:colOff>
      <xdr:row>5</xdr:row>
      <xdr:rowOff>0</xdr:rowOff>
    </xdr:from>
    <xdr:to>
      <xdr:col>6</xdr:col>
      <xdr:colOff>9525</xdr:colOff>
      <xdr:row>8</xdr:row>
      <xdr:rowOff>9525</xdr:rowOff>
    </xdr:to>
    <xdr:sp macro="" textlink="">
      <xdr:nvSpPr>
        <xdr:cNvPr id="2055" name="Text Box 7">
          <a:extLst>
            <a:ext uri="{FF2B5EF4-FFF2-40B4-BE49-F238E27FC236}">
              <a16:creationId xmlns:a16="http://schemas.microsoft.com/office/drawing/2014/main" id="{00000000-0008-0000-0000-000007080000}"/>
            </a:ext>
          </a:extLst>
        </xdr:cNvPr>
        <xdr:cNvSpPr txBox="1">
          <a:spLocks noChangeArrowheads="1"/>
        </xdr:cNvSpPr>
      </xdr:nvSpPr>
      <xdr:spPr bwMode="auto">
        <a:xfrm>
          <a:off x="3095625" y="809625"/>
          <a:ext cx="571500" cy="4953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Material Cost</a:t>
          </a:r>
        </a:p>
      </xdr:txBody>
    </xdr:sp>
    <xdr:clientData/>
  </xdr:twoCellAnchor>
  <xdr:twoCellAnchor>
    <xdr:from>
      <xdr:col>3</xdr:col>
      <xdr:colOff>19050</xdr:colOff>
      <xdr:row>5</xdr:row>
      <xdr:rowOff>19050</xdr:rowOff>
    </xdr:from>
    <xdr:to>
      <xdr:col>4</xdr:col>
      <xdr:colOff>104775</xdr:colOff>
      <xdr:row>8</xdr:row>
      <xdr:rowOff>47625</xdr:rowOff>
    </xdr:to>
    <xdr:sp macro="" textlink="">
      <xdr:nvSpPr>
        <xdr:cNvPr id="2056" name="Text Box 8">
          <a:extLst>
            <a:ext uri="{FF2B5EF4-FFF2-40B4-BE49-F238E27FC236}">
              <a16:creationId xmlns:a16="http://schemas.microsoft.com/office/drawing/2014/main" id="{00000000-0008-0000-0000-000008080000}"/>
            </a:ext>
          </a:extLst>
        </xdr:cNvPr>
        <xdr:cNvSpPr txBox="1">
          <a:spLocks noChangeArrowheads="1"/>
        </xdr:cNvSpPr>
      </xdr:nvSpPr>
      <xdr:spPr bwMode="auto">
        <a:xfrm>
          <a:off x="1847850" y="828675"/>
          <a:ext cx="695325" cy="5143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Processing Cost</a:t>
          </a:r>
        </a:p>
      </xdr:txBody>
    </xdr:sp>
    <xdr:clientData/>
  </xdr:twoCellAnchor>
  <xdr:twoCellAnchor>
    <xdr:from>
      <xdr:col>3</xdr:col>
      <xdr:colOff>95250</xdr:colOff>
      <xdr:row>8</xdr:row>
      <xdr:rowOff>47625</xdr:rowOff>
    </xdr:from>
    <xdr:to>
      <xdr:col>3</xdr:col>
      <xdr:colOff>285750</xdr:colOff>
      <xdr:row>12</xdr:row>
      <xdr:rowOff>66675</xdr:rowOff>
    </xdr:to>
    <xdr:sp macro="" textlink="">
      <xdr:nvSpPr>
        <xdr:cNvPr id="2057" name="Line 9">
          <a:extLst>
            <a:ext uri="{FF2B5EF4-FFF2-40B4-BE49-F238E27FC236}">
              <a16:creationId xmlns:a16="http://schemas.microsoft.com/office/drawing/2014/main" id="{00000000-0008-0000-0000-000009080000}"/>
            </a:ext>
          </a:extLst>
        </xdr:cNvPr>
        <xdr:cNvSpPr>
          <a:spLocks noChangeShapeType="1"/>
        </xdr:cNvSpPr>
      </xdr:nvSpPr>
      <xdr:spPr bwMode="auto">
        <a:xfrm flipV="1">
          <a:off x="1924050" y="1343025"/>
          <a:ext cx="190500" cy="666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8</xdr:row>
      <xdr:rowOff>57150</xdr:rowOff>
    </xdr:from>
    <xdr:to>
      <xdr:col>3</xdr:col>
      <xdr:colOff>285750</xdr:colOff>
      <xdr:row>10</xdr:row>
      <xdr:rowOff>9525</xdr:rowOff>
    </xdr:to>
    <xdr:sp macro="" textlink="">
      <xdr:nvSpPr>
        <xdr:cNvPr id="2058" name="Line 10">
          <a:extLst>
            <a:ext uri="{FF2B5EF4-FFF2-40B4-BE49-F238E27FC236}">
              <a16:creationId xmlns:a16="http://schemas.microsoft.com/office/drawing/2014/main" id="{00000000-0008-0000-0000-00000A080000}"/>
            </a:ext>
          </a:extLst>
        </xdr:cNvPr>
        <xdr:cNvSpPr>
          <a:spLocks noChangeShapeType="1"/>
        </xdr:cNvSpPr>
      </xdr:nvSpPr>
      <xdr:spPr bwMode="auto">
        <a:xfrm flipV="1">
          <a:off x="1238250" y="1352550"/>
          <a:ext cx="876300" cy="276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352425</xdr:colOff>
      <xdr:row>8</xdr:row>
      <xdr:rowOff>9525</xdr:rowOff>
    </xdr:from>
    <xdr:to>
      <xdr:col>5</xdr:col>
      <xdr:colOff>285750</xdr:colOff>
      <xdr:row>10</xdr:row>
      <xdr:rowOff>104775</xdr:rowOff>
    </xdr:to>
    <xdr:sp macro="" textlink="">
      <xdr:nvSpPr>
        <xdr:cNvPr id="2059" name="Line 11">
          <a:extLst>
            <a:ext uri="{FF2B5EF4-FFF2-40B4-BE49-F238E27FC236}">
              <a16:creationId xmlns:a16="http://schemas.microsoft.com/office/drawing/2014/main" id="{00000000-0008-0000-0000-00000B080000}"/>
            </a:ext>
          </a:extLst>
        </xdr:cNvPr>
        <xdr:cNvSpPr>
          <a:spLocks noChangeShapeType="1"/>
        </xdr:cNvSpPr>
      </xdr:nvSpPr>
      <xdr:spPr bwMode="auto">
        <a:xfrm flipV="1">
          <a:off x="1571625" y="1304925"/>
          <a:ext cx="1762125" cy="41910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8</xdr:row>
      <xdr:rowOff>38100</xdr:rowOff>
    </xdr:from>
    <xdr:to>
      <xdr:col>5</xdr:col>
      <xdr:colOff>276225</xdr:colOff>
      <xdr:row>12</xdr:row>
      <xdr:rowOff>85725</xdr:rowOff>
    </xdr:to>
    <xdr:sp macro="" textlink="">
      <xdr:nvSpPr>
        <xdr:cNvPr id="2060" name="Line 12">
          <a:extLst>
            <a:ext uri="{FF2B5EF4-FFF2-40B4-BE49-F238E27FC236}">
              <a16:creationId xmlns:a16="http://schemas.microsoft.com/office/drawing/2014/main" id="{00000000-0008-0000-0000-00000C080000}"/>
            </a:ext>
          </a:extLst>
        </xdr:cNvPr>
        <xdr:cNvSpPr>
          <a:spLocks noChangeShapeType="1"/>
        </xdr:cNvSpPr>
      </xdr:nvSpPr>
      <xdr:spPr bwMode="auto">
        <a:xfrm flipV="1">
          <a:off x="2943225" y="1333500"/>
          <a:ext cx="38100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8</xdr:row>
      <xdr:rowOff>38100</xdr:rowOff>
    </xdr:from>
    <xdr:to>
      <xdr:col>6</xdr:col>
      <xdr:colOff>133350</xdr:colOff>
      <xdr:row>12</xdr:row>
      <xdr:rowOff>85725</xdr:rowOff>
    </xdr:to>
    <xdr:sp macro="" textlink="">
      <xdr:nvSpPr>
        <xdr:cNvPr id="2061" name="Line 13">
          <a:extLst>
            <a:ext uri="{FF2B5EF4-FFF2-40B4-BE49-F238E27FC236}">
              <a16:creationId xmlns:a16="http://schemas.microsoft.com/office/drawing/2014/main" id="{00000000-0008-0000-0000-00000D080000}"/>
            </a:ext>
          </a:extLst>
        </xdr:cNvPr>
        <xdr:cNvSpPr>
          <a:spLocks noChangeShapeType="1"/>
        </xdr:cNvSpPr>
      </xdr:nvSpPr>
      <xdr:spPr bwMode="auto">
        <a:xfrm flipH="1" flipV="1">
          <a:off x="3352800" y="1333500"/>
          <a:ext cx="438150" cy="6953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590550</xdr:colOff>
      <xdr:row>1</xdr:row>
      <xdr:rowOff>28575</xdr:rowOff>
    </xdr:from>
    <xdr:to>
      <xdr:col>7</xdr:col>
      <xdr:colOff>0</xdr:colOff>
      <xdr:row>3</xdr:row>
      <xdr:rowOff>38100</xdr:rowOff>
    </xdr:to>
    <xdr:sp macro="" textlink="">
      <xdr:nvSpPr>
        <xdr:cNvPr id="2062" name="Text Box 14">
          <a:extLst>
            <a:ext uri="{FF2B5EF4-FFF2-40B4-BE49-F238E27FC236}">
              <a16:creationId xmlns:a16="http://schemas.microsoft.com/office/drawing/2014/main" id="{00000000-0008-0000-0000-00000E080000}"/>
            </a:ext>
          </a:extLst>
        </xdr:cNvPr>
        <xdr:cNvSpPr txBox="1">
          <a:spLocks noChangeArrowheads="1"/>
        </xdr:cNvSpPr>
      </xdr:nvSpPr>
      <xdr:spPr bwMode="auto">
        <a:xfrm>
          <a:off x="3638550" y="190500"/>
          <a:ext cx="628650" cy="3333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Cost</a:t>
          </a:r>
        </a:p>
      </xdr:txBody>
    </xdr:sp>
    <xdr:clientData/>
  </xdr:twoCellAnchor>
  <xdr:oneCellAnchor>
    <xdr:from>
      <xdr:col>2</xdr:col>
      <xdr:colOff>552450</xdr:colOff>
      <xdr:row>1</xdr:row>
      <xdr:rowOff>152400</xdr:rowOff>
    </xdr:from>
    <xdr:ext cx="76200" cy="200025"/>
    <xdr:sp macro="" textlink="">
      <xdr:nvSpPr>
        <xdr:cNvPr id="2063" name="Text Box 15">
          <a:extLst>
            <a:ext uri="{FF2B5EF4-FFF2-40B4-BE49-F238E27FC236}">
              <a16:creationId xmlns:a16="http://schemas.microsoft.com/office/drawing/2014/main" id="{00000000-0008-0000-0000-00000F080000}"/>
            </a:ext>
          </a:extLst>
        </xdr:cNvPr>
        <xdr:cNvSpPr txBox="1">
          <a:spLocks noChangeArrowheads="1"/>
        </xdr:cNvSpPr>
      </xdr:nvSpPr>
      <xdr:spPr bwMode="auto">
        <a:xfrm>
          <a:off x="1771650" y="314325"/>
          <a:ext cx="76200"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oneCellAnchor>
  <xdr:twoCellAnchor>
    <xdr:from>
      <xdr:col>1</xdr:col>
      <xdr:colOff>9525</xdr:colOff>
      <xdr:row>1</xdr:row>
      <xdr:rowOff>47625</xdr:rowOff>
    </xdr:from>
    <xdr:to>
      <xdr:col>1</xdr:col>
      <xdr:colOff>600075</xdr:colOff>
      <xdr:row>3</xdr:row>
      <xdr:rowOff>47625</xdr:rowOff>
    </xdr:to>
    <xdr:sp macro="" textlink="">
      <xdr:nvSpPr>
        <xdr:cNvPr id="2064" name="Text Box 16">
          <a:extLst>
            <a:ext uri="{FF2B5EF4-FFF2-40B4-BE49-F238E27FC236}">
              <a16:creationId xmlns:a16="http://schemas.microsoft.com/office/drawing/2014/main" id="{00000000-0008-0000-0000-000010080000}"/>
            </a:ext>
          </a:extLst>
        </xdr:cNvPr>
        <xdr:cNvSpPr txBox="1">
          <a:spLocks noChangeArrowheads="1"/>
        </xdr:cNvSpPr>
      </xdr:nvSpPr>
      <xdr:spPr bwMode="auto">
        <a:xfrm>
          <a:off x="619125" y="209550"/>
          <a:ext cx="590550" cy="3238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Revenue</a:t>
          </a:r>
        </a:p>
      </xdr:txBody>
    </xdr:sp>
    <xdr:clientData/>
  </xdr:twoCellAnchor>
  <xdr:twoCellAnchor>
    <xdr:from>
      <xdr:col>0</xdr:col>
      <xdr:colOff>400050</xdr:colOff>
      <xdr:row>3</xdr:row>
      <xdr:rowOff>123825</xdr:rowOff>
    </xdr:from>
    <xdr:to>
      <xdr:col>1</xdr:col>
      <xdr:colOff>295275</xdr:colOff>
      <xdr:row>13</xdr:row>
      <xdr:rowOff>95250</xdr:rowOff>
    </xdr:to>
    <xdr:sp macro="" textlink="">
      <xdr:nvSpPr>
        <xdr:cNvPr id="2065" name="Line 17">
          <a:extLst>
            <a:ext uri="{FF2B5EF4-FFF2-40B4-BE49-F238E27FC236}">
              <a16:creationId xmlns:a16="http://schemas.microsoft.com/office/drawing/2014/main" id="{00000000-0008-0000-0000-000011080000}"/>
            </a:ext>
          </a:extLst>
        </xdr:cNvPr>
        <xdr:cNvSpPr>
          <a:spLocks noChangeShapeType="1"/>
        </xdr:cNvSpPr>
      </xdr:nvSpPr>
      <xdr:spPr bwMode="auto">
        <a:xfrm flipV="1">
          <a:off x="400050" y="609600"/>
          <a:ext cx="504825" cy="15906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304800</xdr:colOff>
      <xdr:row>3</xdr:row>
      <xdr:rowOff>104775</xdr:rowOff>
    </xdr:from>
    <xdr:to>
      <xdr:col>2</xdr:col>
      <xdr:colOff>9525</xdr:colOff>
      <xdr:row>10</xdr:row>
      <xdr:rowOff>9525</xdr:rowOff>
    </xdr:to>
    <xdr:sp macro="" textlink="">
      <xdr:nvSpPr>
        <xdr:cNvPr id="2066" name="Line 18">
          <a:extLst>
            <a:ext uri="{FF2B5EF4-FFF2-40B4-BE49-F238E27FC236}">
              <a16:creationId xmlns:a16="http://schemas.microsoft.com/office/drawing/2014/main" id="{00000000-0008-0000-0000-000012080000}"/>
            </a:ext>
          </a:extLst>
        </xdr:cNvPr>
        <xdr:cNvSpPr>
          <a:spLocks noChangeShapeType="1"/>
        </xdr:cNvSpPr>
      </xdr:nvSpPr>
      <xdr:spPr bwMode="auto">
        <a:xfrm flipH="1" flipV="1">
          <a:off x="914400" y="590550"/>
          <a:ext cx="314325" cy="103822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0</xdr:colOff>
      <xdr:row>1</xdr:row>
      <xdr:rowOff>47625</xdr:rowOff>
    </xdr:from>
    <xdr:to>
      <xdr:col>4</xdr:col>
      <xdr:colOff>76200</xdr:colOff>
      <xdr:row>3</xdr:row>
      <xdr:rowOff>66675</xdr:rowOff>
    </xdr:to>
    <xdr:sp macro="" textlink="">
      <xdr:nvSpPr>
        <xdr:cNvPr id="2067" name="Text Box 19">
          <a:extLst>
            <a:ext uri="{FF2B5EF4-FFF2-40B4-BE49-F238E27FC236}">
              <a16:creationId xmlns:a16="http://schemas.microsoft.com/office/drawing/2014/main" id="{00000000-0008-0000-0000-000013080000}"/>
            </a:ext>
          </a:extLst>
        </xdr:cNvPr>
        <xdr:cNvSpPr txBox="1">
          <a:spLocks noChangeArrowheads="1"/>
        </xdr:cNvSpPr>
      </xdr:nvSpPr>
      <xdr:spPr bwMode="auto">
        <a:xfrm>
          <a:off x="1828800" y="209550"/>
          <a:ext cx="685800" cy="342900"/>
        </a:xfrm>
        <a:prstGeom prst="rect">
          <a:avLst/>
        </a:prstGeom>
        <a:solidFill>
          <a:srgbClr val="00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Total Profit</a:t>
          </a:r>
        </a:p>
      </xdr:txBody>
    </xdr:sp>
    <xdr:clientData/>
  </xdr:twoCellAnchor>
  <xdr:twoCellAnchor>
    <xdr:from>
      <xdr:col>0</xdr:col>
      <xdr:colOff>400050</xdr:colOff>
      <xdr:row>11</xdr:row>
      <xdr:rowOff>47625</xdr:rowOff>
    </xdr:from>
    <xdr:to>
      <xdr:col>1</xdr:col>
      <xdr:colOff>561975</xdr:colOff>
      <xdr:row>13</xdr:row>
      <xdr:rowOff>95250</xdr:rowOff>
    </xdr:to>
    <xdr:sp macro="" textlink="">
      <xdr:nvSpPr>
        <xdr:cNvPr id="2068" name="Line 20">
          <a:extLst>
            <a:ext uri="{FF2B5EF4-FFF2-40B4-BE49-F238E27FC236}">
              <a16:creationId xmlns:a16="http://schemas.microsoft.com/office/drawing/2014/main" id="{00000000-0008-0000-0000-000014080000}"/>
            </a:ext>
          </a:extLst>
        </xdr:cNvPr>
        <xdr:cNvSpPr>
          <a:spLocks noChangeShapeType="1"/>
        </xdr:cNvSpPr>
      </xdr:nvSpPr>
      <xdr:spPr bwMode="auto">
        <a:xfrm flipV="1">
          <a:off x="400050" y="1828800"/>
          <a:ext cx="771525" cy="371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304800</xdr:colOff>
      <xdr:row>3</xdr:row>
      <xdr:rowOff>28575</xdr:rowOff>
    </xdr:from>
    <xdr:to>
      <xdr:col>7</xdr:col>
      <xdr:colOff>485775</xdr:colOff>
      <xdr:row>12</xdr:row>
      <xdr:rowOff>85725</xdr:rowOff>
    </xdr:to>
    <xdr:sp macro="" textlink="">
      <xdr:nvSpPr>
        <xdr:cNvPr id="2069" name="Line 21">
          <a:extLst>
            <a:ext uri="{FF2B5EF4-FFF2-40B4-BE49-F238E27FC236}">
              <a16:creationId xmlns:a16="http://schemas.microsoft.com/office/drawing/2014/main" id="{00000000-0008-0000-0000-000015080000}"/>
            </a:ext>
          </a:extLst>
        </xdr:cNvPr>
        <xdr:cNvSpPr>
          <a:spLocks noChangeShapeType="1"/>
        </xdr:cNvSpPr>
      </xdr:nvSpPr>
      <xdr:spPr bwMode="auto">
        <a:xfrm flipH="1" flipV="1">
          <a:off x="3962400" y="514350"/>
          <a:ext cx="790575" cy="1514475"/>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304800</xdr:colOff>
      <xdr:row>3</xdr:row>
      <xdr:rowOff>47625</xdr:rowOff>
    </xdr:from>
    <xdr:to>
      <xdr:col>6</xdr:col>
      <xdr:colOff>295275</xdr:colOff>
      <xdr:row>5</xdr:row>
      <xdr:rowOff>9525</xdr:rowOff>
    </xdr:to>
    <xdr:sp macro="" textlink="">
      <xdr:nvSpPr>
        <xdr:cNvPr id="2070" name="Line 22">
          <a:extLst>
            <a:ext uri="{FF2B5EF4-FFF2-40B4-BE49-F238E27FC236}">
              <a16:creationId xmlns:a16="http://schemas.microsoft.com/office/drawing/2014/main" id="{00000000-0008-0000-0000-000016080000}"/>
            </a:ext>
          </a:extLst>
        </xdr:cNvPr>
        <xdr:cNvSpPr>
          <a:spLocks noChangeShapeType="1"/>
        </xdr:cNvSpPr>
      </xdr:nvSpPr>
      <xdr:spPr bwMode="auto">
        <a:xfrm flipV="1">
          <a:off x="3352800" y="533400"/>
          <a:ext cx="600075" cy="2857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590550</xdr:colOff>
      <xdr:row>2</xdr:row>
      <xdr:rowOff>19050</xdr:rowOff>
    </xdr:from>
    <xdr:to>
      <xdr:col>2</xdr:col>
      <xdr:colOff>590550</xdr:colOff>
      <xdr:row>2</xdr:row>
      <xdr:rowOff>19050</xdr:rowOff>
    </xdr:to>
    <xdr:sp macro="" textlink="">
      <xdr:nvSpPr>
        <xdr:cNvPr id="2071" name="Line 23">
          <a:extLst>
            <a:ext uri="{FF2B5EF4-FFF2-40B4-BE49-F238E27FC236}">
              <a16:creationId xmlns:a16="http://schemas.microsoft.com/office/drawing/2014/main" id="{00000000-0008-0000-0000-000017080000}"/>
            </a:ext>
          </a:extLst>
        </xdr:cNvPr>
        <xdr:cNvSpPr>
          <a:spLocks noChangeShapeType="1"/>
        </xdr:cNvSpPr>
      </xdr:nvSpPr>
      <xdr:spPr bwMode="auto">
        <a:xfrm flipV="1">
          <a:off x="1200150" y="342900"/>
          <a:ext cx="60960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133350</xdr:colOff>
      <xdr:row>2</xdr:row>
      <xdr:rowOff>19050</xdr:rowOff>
    </xdr:from>
    <xdr:to>
      <xdr:col>5</xdr:col>
      <xdr:colOff>571500</xdr:colOff>
      <xdr:row>2</xdr:row>
      <xdr:rowOff>38100</xdr:rowOff>
    </xdr:to>
    <xdr:sp macro="" textlink="">
      <xdr:nvSpPr>
        <xdr:cNvPr id="2072" name="Line 24">
          <a:extLst>
            <a:ext uri="{FF2B5EF4-FFF2-40B4-BE49-F238E27FC236}">
              <a16:creationId xmlns:a16="http://schemas.microsoft.com/office/drawing/2014/main" id="{00000000-0008-0000-0000-000018080000}"/>
            </a:ext>
          </a:extLst>
        </xdr:cNvPr>
        <xdr:cNvSpPr>
          <a:spLocks noChangeShapeType="1"/>
        </xdr:cNvSpPr>
      </xdr:nvSpPr>
      <xdr:spPr bwMode="auto">
        <a:xfrm flipH="1">
          <a:off x="2571750" y="342900"/>
          <a:ext cx="1047750" cy="1905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365980</xdr:colOff>
      <xdr:row>3</xdr:row>
      <xdr:rowOff>47625</xdr:rowOff>
    </xdr:from>
    <xdr:to>
      <xdr:col>6</xdr:col>
      <xdr:colOff>295275</xdr:colOff>
      <xdr:row>5</xdr:row>
      <xdr:rowOff>19050</xdr:rowOff>
    </xdr:to>
    <xdr:cxnSp macro="">
      <xdr:nvCxnSpPr>
        <xdr:cNvPr id="28" name="Straight Arrow Connector 27">
          <a:extLst>
            <a:ext uri="{FF2B5EF4-FFF2-40B4-BE49-F238E27FC236}">
              <a16:creationId xmlns:a16="http://schemas.microsoft.com/office/drawing/2014/main" id="{00000000-0008-0000-0000-00001C000000}"/>
            </a:ext>
          </a:extLst>
        </xdr:cNvPr>
        <xdr:cNvCxnSpPr>
          <a:stCxn id="2056" idx="0"/>
          <a:endCxn id="2070" idx="1"/>
        </xdr:cNvCxnSpPr>
      </xdr:nvCxnSpPr>
      <xdr:spPr bwMode="auto">
        <a:xfrm flipV="1">
          <a:off x="2190384" y="531202"/>
          <a:ext cx="1753699" cy="293810"/>
        </a:xfrm>
        <a:prstGeom prst="straightConnector1">
          <a:avLst/>
        </a:prstGeom>
        <a:solidFill>
          <a:srgbClr val="090000"/>
        </a:solidFill>
        <a:ln w="9525" cap="flat" cmpd="sng" algn="ctr">
          <a:solidFill>
            <a:srgbClr val="400000"/>
          </a:solidFill>
          <a:prstDash val="solid"/>
          <a:round/>
          <a:headEnd type="none" w="med" len="med"/>
          <a:tailEnd type="arrow"/>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194467</xdr:colOff>
      <xdr:row>0</xdr:row>
      <xdr:rowOff>88901</xdr:rowOff>
    </xdr:from>
    <xdr:to>
      <xdr:col>24</xdr:col>
      <xdr:colOff>578642</xdr:colOff>
      <xdr:row>14</xdr:row>
      <xdr:rowOff>95251</xdr:rowOff>
    </xdr:to>
    <xdr:graphicFrame macro="">
      <xdr:nvGraphicFramePr>
        <xdr:cNvPr id="2" name="Chart 1">
          <a:extLst>
            <a:ext uri="{FF2B5EF4-FFF2-40B4-BE49-F238E27FC236}">
              <a16:creationId xmlns:a16="http://schemas.microsoft.com/office/drawing/2014/main" id="{879A9CD3-EEBE-4741-B8AB-7D502E109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9525</xdr:colOff>
      <xdr:row>2</xdr:row>
      <xdr:rowOff>4762</xdr:rowOff>
    </xdr:from>
    <xdr:to>
      <xdr:col>17</xdr:col>
      <xdr:colOff>314325</xdr:colOff>
      <xdr:row>18</xdr:row>
      <xdr:rowOff>157162</xdr:rowOff>
    </xdr:to>
    <xdr:graphicFrame macro="">
      <xdr:nvGraphicFramePr>
        <xdr:cNvPr id="2" name="Chart 1">
          <a:extLst>
            <a:ext uri="{FF2B5EF4-FFF2-40B4-BE49-F238E27FC236}">
              <a16:creationId xmlns:a16="http://schemas.microsoft.com/office/drawing/2014/main" id="{F5C04D70-5732-42D1-BC2E-65D18F18E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676275</xdr:colOff>
      <xdr:row>32</xdr:row>
      <xdr:rowOff>133350</xdr:rowOff>
    </xdr:from>
    <xdr:to>
      <xdr:col>9</xdr:col>
      <xdr:colOff>361950</xdr:colOff>
      <xdr:row>47</xdr:row>
      <xdr:rowOff>38100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767715</xdr:colOff>
      <xdr:row>0</xdr:row>
      <xdr:rowOff>36194</xdr:rowOff>
    </xdr:from>
    <xdr:to>
      <xdr:col>16</xdr:col>
      <xdr:colOff>340995</xdr:colOff>
      <xdr:row>32</xdr:row>
      <xdr:rowOff>7620</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341995" y="36194"/>
          <a:ext cx="5135880" cy="54044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a:r>
            <a:rPr lang="en-US" sz="1100" b="0" i="0" baseline="0">
              <a:solidFill>
                <a:schemeClr val="dk1"/>
              </a:solidFill>
              <a:latin typeface="+mn-lt"/>
              <a:ea typeface="+mn-ea"/>
              <a:cs typeface="+mn-cs"/>
            </a:rPr>
            <a:t>The Data/Table procedure allows us to quickly assess the sensitivity of profits to price, or the way profit changes as we vary the price.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To create a data table where the value of the input variable changes across a row: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1. enter possible pie prices from, for example, $4 to $12 in Cells </a:t>
          </a:r>
          <a:r>
            <a:rPr lang="en-US" sz="1100" b="1" i="0" baseline="0">
              <a:solidFill>
                <a:schemeClr val="dk1"/>
              </a:solidFill>
              <a:latin typeface="+mn-lt"/>
              <a:ea typeface="+mn-ea"/>
              <a:cs typeface="+mn-cs"/>
            </a:rPr>
            <a:t>B24:B32</a:t>
          </a:r>
          <a:r>
            <a:rPr lang="en-US" sz="1100" b="0" i="0" baseline="0">
              <a:solidFill>
                <a:schemeClr val="dk1"/>
              </a:solidFill>
              <a:latin typeface="+mn-lt"/>
              <a:ea typeface="+mn-ea"/>
              <a:cs typeface="+mn-cs"/>
            </a:rPr>
            <a:t>.  (note: the prices should be constants rather than functions or equations) </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2.  In B23 just below the pie prices, and one column to the right of the price change column, enter a reference to cell for "profit": "=B20".</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3. Select the range of cells </a:t>
          </a:r>
          <a:r>
            <a:rPr lang="en-US" sz="1100" b="1" i="0" baseline="0">
              <a:solidFill>
                <a:schemeClr val="dk1"/>
              </a:solidFill>
              <a:latin typeface="+mn-lt"/>
              <a:ea typeface="+mn-ea"/>
              <a:cs typeface="+mn-cs"/>
            </a:rPr>
            <a:t>B23:C32</a:t>
          </a:r>
          <a:r>
            <a:rPr lang="en-US" sz="1100" b="0" i="0" baseline="0">
              <a:solidFill>
                <a:schemeClr val="dk1"/>
              </a:solidFill>
              <a:latin typeface="+mn-lt"/>
              <a:ea typeface="+mn-ea"/>
              <a:cs typeface="+mn-cs"/>
            </a:rPr>
            <a:t>.</a:t>
          </a:r>
          <a:endParaRPr lang="en-US"/>
        </a:p>
        <a:p>
          <a:pPr rtl="0" fontAlgn="base"/>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4. From the Data tab, choose What-if Analysis and select Data Table and enter the yellow "Pie Price" cell B3 as the row input cell. Press OK.</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5. Deposit price and profit as X and Y coordinates in a scatterplot.</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6. Place the cursor on any number in the horizontal axis (X-axis) of the plot. Right click and choose Format Axis. In the resulting dialogue change the minimum to 6 and the maximum to 10.</a:t>
          </a:r>
        </a:p>
        <a:p>
          <a:pPr rtl="0"/>
          <a:endParaRPr lang="en-US" sz="1100" b="0" i="0" baseline="0">
            <a:solidFill>
              <a:schemeClr val="dk1"/>
            </a:solidFill>
            <a:latin typeface="+mn-lt"/>
            <a:ea typeface="+mn-ea"/>
            <a:cs typeface="+mn-cs"/>
          </a:endParaRPr>
        </a:p>
        <a:p>
          <a:pPr rtl="0"/>
          <a:r>
            <a:rPr lang="en-US" sz="1100" b="0" i="0" baseline="0">
              <a:solidFill>
                <a:schemeClr val="dk1"/>
              </a:solidFill>
              <a:latin typeface="+mn-lt"/>
              <a:ea typeface="+mn-ea"/>
              <a:cs typeface="+mn-cs"/>
            </a:rPr>
            <a:t>7. Click on the chart body. Click on the + box at the upper right hand corner of the chart region. Check the Axis title box and uncheck the Legend box.</a:t>
          </a:r>
          <a:endParaRPr lang="en-US"/>
        </a:p>
        <a:p>
          <a:pPr rtl="0"/>
          <a:r>
            <a:rPr lang="en-US" sz="1100" b="0" i="0" baseline="0">
              <a:solidFill>
                <a:schemeClr val="dk1"/>
              </a:solidFill>
              <a:latin typeface="+mn-lt"/>
              <a:ea typeface="+mn-ea"/>
              <a:cs typeface="+mn-cs"/>
            </a:rPr>
            <a:t> </a:t>
          </a:r>
        </a:p>
        <a:p>
          <a:pPr rtl="0"/>
          <a:r>
            <a:rPr lang="en-US" sz="1100" b="0" i="0" baseline="0">
              <a:solidFill>
                <a:schemeClr val="dk1"/>
              </a:solidFill>
              <a:latin typeface="+mn-lt"/>
              <a:ea typeface="+mn-ea"/>
              <a:cs typeface="+mn-cs"/>
            </a:rPr>
            <a:t>8. Locate the title texts in cells B34:C36. Click on the chart title text box, then click on the now blank formula box above the column headers. When the cursor flashes in the formla box type and "=" character. This will allow you to move the cursor to cell B34. Press Enter. The chart title text will appear in the chart title text box on the chart. Perform the same steps for the Axis Titles.</a:t>
          </a:r>
          <a:endParaRPr lang="en-US"/>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19050</xdr:colOff>
      <xdr:row>1</xdr:row>
      <xdr:rowOff>104775</xdr:rowOff>
    </xdr:from>
    <xdr:to>
      <xdr:col>5</xdr:col>
      <xdr:colOff>600075</xdr:colOff>
      <xdr:row>9</xdr:row>
      <xdr:rowOff>38100</xdr:rowOff>
    </xdr:to>
    <xdr:sp macro="" textlink="">
      <xdr:nvSpPr>
        <xdr:cNvPr id="5121" name="Text Box 1">
          <a:extLst>
            <a:ext uri="{FF2B5EF4-FFF2-40B4-BE49-F238E27FC236}">
              <a16:creationId xmlns:a16="http://schemas.microsoft.com/office/drawing/2014/main" id="{00000000-0008-0000-0400-000001140000}"/>
            </a:ext>
          </a:extLst>
        </xdr:cNvPr>
        <xdr:cNvSpPr txBox="1">
          <a:spLocks noChangeArrowheads="1"/>
        </xdr:cNvSpPr>
      </xdr:nvSpPr>
      <xdr:spPr bwMode="auto">
        <a:xfrm>
          <a:off x="3962400" y="333375"/>
          <a:ext cx="1800225" cy="12287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Goal seek allows us to find the</a:t>
          </a:r>
        </a:p>
        <a:p>
          <a:pPr algn="l" rtl="0">
            <a:defRPr sz="1000"/>
          </a:pPr>
          <a:r>
            <a:rPr lang="en-US" sz="1000" b="0" i="0" u="none" strike="noStrike" baseline="0">
              <a:solidFill>
                <a:srgbClr val="000000"/>
              </a:solidFill>
              <a:latin typeface="Arial"/>
              <a:cs typeface="Arial"/>
            </a:rPr>
            <a:t>breakeven pie price.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Is there more than one breakeven price?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mit.edu/~mbarker/formula1/f1help/04-g-m60.ht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41062-D33C-49B1-887F-8E072E93199A}">
  <dimension ref="A1:P31"/>
  <sheetViews>
    <sheetView tabSelected="1" workbookViewId="0">
      <selection activeCell="K28" activeCellId="1" sqref="R17 K28"/>
    </sheetView>
  </sheetViews>
  <sheetFormatPr defaultRowHeight="13.2" x14ac:dyDescent="0.25"/>
  <cols>
    <col min="11" max="11" width="46.5546875" customWidth="1"/>
    <col min="12" max="12" width="15.44140625" customWidth="1"/>
  </cols>
  <sheetData>
    <row r="1" spans="1:16" ht="15.6" x14ac:dyDescent="0.3">
      <c r="A1" s="139" t="str">
        <f>profit!A1</f>
        <v>Make-A-Pie Co. -- Weekly Profit Model</v>
      </c>
      <c r="B1" s="140"/>
      <c r="C1" s="140"/>
      <c r="D1" s="140"/>
      <c r="E1" s="140"/>
      <c r="F1" s="140"/>
      <c r="G1" s="140"/>
      <c r="H1" s="140"/>
      <c r="I1" s="140"/>
      <c r="J1" s="140"/>
      <c r="K1" s="140"/>
      <c r="L1" s="140"/>
      <c r="M1" s="140"/>
      <c r="N1" s="140"/>
      <c r="O1" s="140"/>
    </row>
    <row r="2" spans="1:16" x14ac:dyDescent="0.25">
      <c r="A2" s="140"/>
      <c r="B2" s="140"/>
      <c r="C2" s="140"/>
      <c r="D2" s="140"/>
      <c r="E2" s="140"/>
      <c r="F2" s="140"/>
      <c r="G2" s="140"/>
      <c r="H2" s="140"/>
      <c r="I2" s="140"/>
      <c r="J2" s="140"/>
      <c r="K2" s="140"/>
      <c r="L2" s="140"/>
      <c r="M2" s="140"/>
      <c r="N2" s="140"/>
      <c r="O2" s="140"/>
    </row>
    <row r="3" spans="1:16" x14ac:dyDescent="0.25">
      <c r="A3" s="140"/>
      <c r="B3" s="140"/>
      <c r="C3" s="140"/>
      <c r="D3" s="140"/>
      <c r="E3" s="140"/>
      <c r="F3" s="140"/>
      <c r="G3" s="140"/>
      <c r="H3" s="140"/>
      <c r="I3" s="140"/>
      <c r="J3" s="140"/>
      <c r="K3" s="141" t="str">
        <f>profit!A2</f>
        <v>Decision Variable</v>
      </c>
      <c r="L3" s="142"/>
      <c r="M3" s="142"/>
      <c r="N3" s="140"/>
      <c r="O3" s="140"/>
    </row>
    <row r="4" spans="1:16" x14ac:dyDescent="0.25">
      <c r="A4" s="140"/>
      <c r="B4" s="140"/>
      <c r="C4" s="140"/>
      <c r="D4" s="140"/>
      <c r="E4" s="140"/>
      <c r="F4" s="140"/>
      <c r="G4" s="140"/>
      <c r="H4" s="140"/>
      <c r="I4" s="140"/>
      <c r="J4" s="140"/>
      <c r="K4" s="165" t="str">
        <f>profit!A3</f>
        <v>Pie Price</v>
      </c>
      <c r="L4" s="166">
        <f>profit!B3</f>
        <v>9.375</v>
      </c>
      <c r="M4" s="142"/>
      <c r="N4" s="140"/>
      <c r="O4" s="140"/>
    </row>
    <row r="5" spans="1:16" x14ac:dyDescent="0.25">
      <c r="A5" s="140"/>
      <c r="B5" s="140"/>
      <c r="C5" s="140"/>
      <c r="D5" s="140"/>
      <c r="E5" s="140"/>
      <c r="F5" s="140"/>
      <c r="G5" s="140"/>
      <c r="H5" s="140"/>
      <c r="I5" s="140"/>
      <c r="J5" s="140"/>
      <c r="K5" s="142"/>
      <c r="L5" s="143"/>
      <c r="M5" s="142"/>
      <c r="N5" s="140"/>
      <c r="O5" s="140"/>
    </row>
    <row r="6" spans="1:16" x14ac:dyDescent="0.25">
      <c r="A6" s="140"/>
      <c r="B6" s="140"/>
      <c r="C6" s="140"/>
      <c r="D6" s="140"/>
      <c r="E6" s="140"/>
      <c r="F6" s="140"/>
      <c r="G6" s="140"/>
      <c r="H6" s="140"/>
      <c r="I6" s="140"/>
      <c r="J6" s="140"/>
      <c r="K6" s="141" t="str">
        <f>profit!A5</f>
        <v>Model Parameters</v>
      </c>
      <c r="L6" s="144"/>
      <c r="M6" s="142"/>
      <c r="N6" s="140"/>
      <c r="O6" s="145"/>
      <c r="P6" s="22"/>
    </row>
    <row r="7" spans="1:16" x14ac:dyDescent="0.25">
      <c r="A7" s="140"/>
      <c r="B7" s="140"/>
      <c r="C7" s="140"/>
      <c r="D7" s="140"/>
      <c r="E7" s="140"/>
      <c r="F7" s="140"/>
      <c r="G7" s="140"/>
      <c r="H7" s="140"/>
      <c r="I7" s="140"/>
      <c r="J7" s="140"/>
      <c r="K7" s="146" t="str">
        <f>profit!A6</f>
        <v>Filling cost/pie</v>
      </c>
      <c r="L7" s="163">
        <f>profit!B6</f>
        <v>4</v>
      </c>
      <c r="O7" s="140"/>
    </row>
    <row r="8" spans="1:16" x14ac:dyDescent="0.25">
      <c r="A8" s="140"/>
      <c r="B8" s="140"/>
      <c r="C8" s="140"/>
      <c r="D8" s="140"/>
      <c r="E8" s="140"/>
      <c r="F8" s="140"/>
      <c r="G8" s="140"/>
      <c r="H8" s="140"/>
      <c r="I8" s="140"/>
      <c r="J8" s="140"/>
      <c r="K8" s="146" t="str">
        <f>profit!A7</f>
        <v>Dough costs/pie</v>
      </c>
      <c r="L8" s="163">
        <f>profit!B7</f>
        <v>1.2</v>
      </c>
      <c r="N8">
        <v>0.2</v>
      </c>
      <c r="O8" s="140"/>
    </row>
    <row r="9" spans="1:16" x14ac:dyDescent="0.25">
      <c r="A9" s="140"/>
      <c r="B9" s="140"/>
      <c r="C9" s="140"/>
      <c r="D9" s="140"/>
      <c r="E9" s="140"/>
      <c r="F9" s="140"/>
      <c r="G9" s="140"/>
      <c r="H9" s="140"/>
      <c r="I9" s="140"/>
      <c r="J9" s="140"/>
      <c r="K9" s="146" t="str">
        <f>profit!A8</f>
        <v>Fixed Cost</v>
      </c>
      <c r="L9" s="163">
        <f>profit!B8</f>
        <v>13000</v>
      </c>
      <c r="O9" s="140"/>
    </row>
    <row r="10" spans="1:16" x14ac:dyDescent="0.25">
      <c r="A10" s="140"/>
      <c r="B10" s="140"/>
      <c r="C10" s="140"/>
      <c r="D10" s="140"/>
      <c r="E10" s="140"/>
      <c r="F10" s="140"/>
      <c r="G10" s="140"/>
      <c r="H10" s="140"/>
      <c r="I10" s="140"/>
      <c r="J10" s="140"/>
      <c r="K10" s="148"/>
      <c r="L10" s="147"/>
      <c r="M10" s="142"/>
      <c r="N10" s="140"/>
      <c r="O10" s="140"/>
    </row>
    <row r="11" spans="1:16" x14ac:dyDescent="0.25">
      <c r="A11" s="140"/>
      <c r="B11" s="140"/>
      <c r="C11" s="140"/>
      <c r="D11" s="140"/>
      <c r="E11" s="140"/>
      <c r="F11" s="140"/>
      <c r="G11" s="140"/>
      <c r="H11" s="140"/>
      <c r="I11" s="140"/>
      <c r="J11" s="140"/>
      <c r="K11" s="149" t="str">
        <f>profit!A10</f>
        <v>Operations</v>
      </c>
      <c r="L11" s="142"/>
      <c r="M11" s="142"/>
      <c r="N11" s="140"/>
      <c r="O11" s="140"/>
    </row>
    <row r="12" spans="1:16" x14ac:dyDescent="0.25">
      <c r="A12" s="140"/>
      <c r="B12" s="140"/>
      <c r="C12" s="140"/>
      <c r="D12" s="140"/>
      <c r="E12" s="140"/>
      <c r="F12" s="140"/>
      <c r="G12" s="140"/>
      <c r="H12" s="140"/>
      <c r="I12" s="140"/>
      <c r="J12" s="140"/>
      <c r="K12" s="150" t="str">
        <f>profit!A11</f>
        <v xml:space="preserve">Consumer:  Pie Demand (X) = a_0 + a_1*Price </v>
      </c>
      <c r="L12" s="151">
        <f>profit!B11</f>
        <v>10500</v>
      </c>
      <c r="M12" s="152"/>
      <c r="N12" s="140"/>
      <c r="O12" s="140"/>
    </row>
    <row r="13" spans="1:16" x14ac:dyDescent="0.25">
      <c r="A13" s="140"/>
      <c r="B13" s="140"/>
      <c r="C13" s="140"/>
      <c r="D13" s="140"/>
      <c r="E13" s="140"/>
      <c r="F13" s="140"/>
      <c r="G13" s="140"/>
      <c r="H13" s="140"/>
      <c r="I13" s="140"/>
      <c r="J13" s="140"/>
      <c r="K13" s="153" t="str">
        <f>profit!A12</f>
        <v>Intercept: a_0</v>
      </c>
      <c r="L13" s="162">
        <f>profit!B12</f>
        <v>48000</v>
      </c>
      <c r="M13" s="142"/>
      <c r="N13" s="140"/>
      <c r="O13" s="140"/>
    </row>
    <row r="14" spans="1:16" x14ac:dyDescent="0.25">
      <c r="A14" s="140"/>
      <c r="B14" s="140"/>
      <c r="C14" s="140"/>
      <c r="D14" s="140"/>
      <c r="E14" s="140"/>
      <c r="F14" s="140"/>
      <c r="G14" s="140"/>
      <c r="H14" s="140"/>
      <c r="I14" s="140"/>
      <c r="J14" s="140"/>
      <c r="K14" s="153" t="str">
        <f>profit!A13</f>
        <v>Slope: a_1</v>
      </c>
      <c r="L14" s="162">
        <f>profit!B13</f>
        <v>-4000</v>
      </c>
      <c r="M14" s="142"/>
      <c r="N14" s="140"/>
      <c r="O14" s="140"/>
    </row>
    <row r="15" spans="1:16" x14ac:dyDescent="0.25">
      <c r="A15" s="140"/>
      <c r="B15" s="140"/>
      <c r="C15" s="140"/>
      <c r="D15" s="140"/>
      <c r="E15" s="140"/>
      <c r="F15" s="140"/>
      <c r="G15" s="140"/>
      <c r="H15" s="140"/>
      <c r="I15" s="140"/>
      <c r="J15" s="140"/>
      <c r="K15" s="150" t="str">
        <f>profit!A14</f>
        <v>Production: Processing cost = b_1*X + b_2*X^2</v>
      </c>
      <c r="L15" s="154">
        <f>profit!B14</f>
        <v>17.644456989296408</v>
      </c>
      <c r="M15" s="142"/>
      <c r="N15" s="140"/>
      <c r="O15" s="140"/>
    </row>
    <row r="16" spans="1:16" x14ac:dyDescent="0.25">
      <c r="A16" s="140"/>
      <c r="B16" s="140"/>
      <c r="C16" s="140"/>
      <c r="D16" s="140"/>
      <c r="E16" s="140"/>
      <c r="F16" s="140"/>
      <c r="G16" s="140"/>
      <c r="H16" s="140"/>
      <c r="I16" s="140"/>
      <c r="J16" s="140"/>
      <c r="K16" s="153" t="str">
        <f>profit!A15</f>
        <v>Quadratic term: b_2</v>
      </c>
      <c r="L16" s="162">
        <f>profit!B15</f>
        <v>7.1170179732592986E-2</v>
      </c>
      <c r="M16" s="145"/>
      <c r="N16" s="140"/>
      <c r="O16" s="140"/>
    </row>
    <row r="17" spans="1:15" x14ac:dyDescent="0.25">
      <c r="A17" s="140"/>
      <c r="B17" s="140"/>
      <c r="C17" s="140"/>
      <c r="D17" s="140"/>
      <c r="E17" s="140"/>
      <c r="F17" s="140"/>
      <c r="G17" s="140"/>
      <c r="H17" s="140"/>
      <c r="I17" s="140"/>
      <c r="J17" s="140"/>
      <c r="K17" s="153" t="str">
        <f>profit!A16</f>
        <v>Linear term: b_1</v>
      </c>
      <c r="L17" s="162">
        <f>profit!B16</f>
        <v>0.93313758797886004</v>
      </c>
      <c r="M17" s="155"/>
      <c r="N17" s="140"/>
      <c r="O17" s="140"/>
    </row>
    <row r="18" spans="1:15" x14ac:dyDescent="0.25">
      <c r="A18" s="140"/>
      <c r="B18" s="140"/>
      <c r="C18" s="140"/>
      <c r="D18" s="140"/>
      <c r="E18" s="140"/>
      <c r="F18" s="140"/>
      <c r="G18" s="140"/>
      <c r="H18" s="140"/>
      <c r="I18" s="140"/>
      <c r="J18" s="140"/>
      <c r="K18" s="156" t="str">
        <f>profit!A17</f>
        <v>Total Revenue</v>
      </c>
      <c r="L18" s="157">
        <f>profit!B17</f>
        <v>98437.5</v>
      </c>
      <c r="M18" s="142"/>
      <c r="N18" s="140"/>
      <c r="O18" s="140"/>
    </row>
    <row r="19" spans="1:15" x14ac:dyDescent="0.25">
      <c r="A19" s="140"/>
      <c r="B19" s="140"/>
      <c r="C19" s="140"/>
      <c r="D19" s="140"/>
      <c r="E19" s="140"/>
      <c r="F19" s="140"/>
      <c r="G19" s="140"/>
      <c r="H19" s="140"/>
      <c r="I19" s="140"/>
      <c r="J19" s="140"/>
      <c r="K19" s="148" t="str">
        <f>profit!A18</f>
        <v>Total Material Cost</v>
      </c>
      <c r="L19" s="158">
        <f>profit!B18</f>
        <v>54600</v>
      </c>
      <c r="M19" s="142"/>
      <c r="N19" s="140"/>
      <c r="O19" s="140"/>
    </row>
    <row r="20" spans="1:15" x14ac:dyDescent="0.25">
      <c r="A20" s="140"/>
      <c r="B20" s="140"/>
      <c r="C20" s="140"/>
      <c r="D20" s="140"/>
      <c r="E20" s="140"/>
      <c r="F20" s="140"/>
      <c r="G20" s="140"/>
      <c r="H20" s="140"/>
      <c r="I20" s="140"/>
      <c r="J20" s="140"/>
      <c r="K20" s="148" t="str">
        <f>profit!A19</f>
        <v>Processing Cost</v>
      </c>
      <c r="L20" s="159">
        <f>profit!B19</f>
        <v>17644.45698929641</v>
      </c>
      <c r="M20" s="142"/>
      <c r="N20" s="140"/>
      <c r="O20" s="140"/>
    </row>
    <row r="21" spans="1:15" x14ac:dyDescent="0.25">
      <c r="A21" s="140"/>
      <c r="B21" s="140"/>
      <c r="C21" s="140"/>
      <c r="D21" s="140"/>
      <c r="E21" s="140"/>
      <c r="F21" s="140"/>
      <c r="G21" s="140"/>
      <c r="H21" s="140"/>
      <c r="I21" s="140"/>
      <c r="J21" s="140"/>
      <c r="K21" s="148" t="str">
        <f>profit!A20</f>
        <v>Fixed Cost</v>
      </c>
      <c r="L21" s="158">
        <f>profit!B20</f>
        <v>13000</v>
      </c>
      <c r="M21" s="142"/>
      <c r="N21" s="140"/>
      <c r="O21" s="140"/>
    </row>
    <row r="22" spans="1:15" x14ac:dyDescent="0.25">
      <c r="A22" s="140"/>
      <c r="B22" s="140"/>
      <c r="C22" s="140"/>
      <c r="D22" s="140"/>
      <c r="E22" s="140"/>
      <c r="F22" s="140"/>
      <c r="G22" s="140"/>
      <c r="H22" s="140"/>
      <c r="I22" s="140"/>
      <c r="J22" s="140"/>
      <c r="K22" s="156" t="str">
        <f>profit!A21</f>
        <v>Total Cost</v>
      </c>
      <c r="L22" s="160">
        <f>profit!B21</f>
        <v>85244.456989296406</v>
      </c>
      <c r="M22" s="142"/>
      <c r="N22" s="140"/>
      <c r="O22" s="140"/>
    </row>
    <row r="23" spans="1:15" x14ac:dyDescent="0.25">
      <c r="A23" s="140"/>
      <c r="B23" s="140"/>
      <c r="C23" s="140"/>
      <c r="D23" s="140"/>
      <c r="E23" s="140"/>
      <c r="F23" s="140"/>
      <c r="G23" s="140"/>
      <c r="H23" s="140"/>
      <c r="I23" s="140"/>
      <c r="J23" s="140"/>
      <c r="K23" s="161" t="str">
        <f>profit!A22</f>
        <v>Profit</v>
      </c>
      <c r="L23" s="164">
        <f>profit!B22</f>
        <v>13193.043010703594</v>
      </c>
      <c r="M23" s="142"/>
      <c r="N23" s="140"/>
      <c r="O23" s="140"/>
    </row>
    <row r="24" spans="1:15" x14ac:dyDescent="0.25">
      <c r="A24" s="140"/>
      <c r="B24" s="140"/>
      <c r="C24" s="140"/>
      <c r="D24" s="140"/>
      <c r="E24" s="140"/>
      <c r="F24" s="140"/>
      <c r="G24" s="140"/>
      <c r="H24" s="140"/>
      <c r="I24" s="140"/>
      <c r="J24" s="140"/>
      <c r="K24" s="140"/>
      <c r="L24" s="140"/>
      <c r="M24" s="140"/>
      <c r="N24" s="140"/>
      <c r="O24" s="140"/>
    </row>
    <row r="25" spans="1:15" x14ac:dyDescent="0.25">
      <c r="A25" s="140"/>
      <c r="B25" s="140"/>
      <c r="C25" s="140"/>
      <c r="D25" s="140"/>
      <c r="E25" s="140"/>
      <c r="F25" s="140"/>
      <c r="G25" s="140"/>
      <c r="H25" s="140"/>
      <c r="I25" s="140"/>
      <c r="J25" s="140"/>
      <c r="K25" s="140"/>
      <c r="L25" s="140"/>
      <c r="M25" s="140"/>
      <c r="N25" s="140"/>
      <c r="O25" s="140"/>
    </row>
    <row r="26" spans="1:15" x14ac:dyDescent="0.25">
      <c r="A26" s="140"/>
      <c r="B26" s="140"/>
      <c r="C26" s="140"/>
      <c r="D26" s="140"/>
      <c r="E26" s="140"/>
      <c r="F26" s="140"/>
      <c r="G26" s="140"/>
      <c r="H26" s="140"/>
      <c r="I26" s="140"/>
      <c r="J26" s="140"/>
      <c r="K26" s="140"/>
      <c r="L26" s="140"/>
      <c r="M26" s="140"/>
      <c r="N26" s="140"/>
      <c r="O26" s="140"/>
    </row>
    <row r="27" spans="1:15" x14ac:dyDescent="0.25">
      <c r="A27" s="140"/>
      <c r="B27" s="140"/>
      <c r="C27" s="140"/>
      <c r="D27" s="140"/>
      <c r="E27" s="140"/>
      <c r="F27" s="140"/>
      <c r="G27" s="140"/>
      <c r="H27" s="140"/>
      <c r="I27" s="140"/>
      <c r="J27" s="140"/>
      <c r="K27" s="140"/>
      <c r="L27" s="140"/>
      <c r="M27" s="140"/>
      <c r="N27" s="140"/>
      <c r="O27" s="140"/>
    </row>
    <row r="28" spans="1:15" x14ac:dyDescent="0.25">
      <c r="A28" s="140"/>
      <c r="B28" s="140"/>
      <c r="C28" s="140"/>
      <c r="D28" s="140"/>
      <c r="E28" s="140"/>
      <c r="F28" s="140"/>
      <c r="G28" s="140"/>
      <c r="H28" s="140"/>
      <c r="I28" s="140"/>
      <c r="J28" s="140"/>
      <c r="K28" s="140"/>
      <c r="L28" s="140"/>
      <c r="M28" s="140"/>
      <c r="N28" s="140"/>
      <c r="O28" s="140"/>
    </row>
    <row r="29" spans="1:15" x14ac:dyDescent="0.25">
      <c r="A29" s="140"/>
      <c r="B29" s="140"/>
      <c r="C29" s="140"/>
      <c r="D29" s="140"/>
      <c r="E29" s="140"/>
      <c r="F29" s="140"/>
      <c r="G29" s="140"/>
      <c r="H29" s="140"/>
      <c r="I29" s="140"/>
      <c r="J29" s="140"/>
      <c r="K29" s="140"/>
      <c r="L29" s="140"/>
      <c r="M29" s="140"/>
      <c r="N29" s="140"/>
      <c r="O29" s="140"/>
    </row>
    <row r="30" spans="1:15" x14ac:dyDescent="0.25">
      <c r="A30" s="140"/>
      <c r="B30" s="140"/>
      <c r="C30" s="140"/>
      <c r="D30" s="140"/>
      <c r="E30" s="140"/>
      <c r="F30" s="140"/>
      <c r="G30" s="140"/>
      <c r="H30" s="140"/>
      <c r="I30" s="140"/>
      <c r="J30" s="140"/>
      <c r="K30" s="140"/>
      <c r="L30" s="140"/>
      <c r="M30" s="140"/>
      <c r="N30" s="140"/>
      <c r="O30" s="140"/>
    </row>
    <row r="31" spans="1:15" x14ac:dyDescent="0.25">
      <c r="A31" s="140"/>
      <c r="B31" s="140"/>
      <c r="C31" s="140"/>
      <c r="D31" s="140"/>
      <c r="E31" s="140"/>
      <c r="F31" s="140"/>
      <c r="G31" s="140"/>
      <c r="H31" s="140"/>
      <c r="I31" s="140"/>
      <c r="J31" s="140"/>
      <c r="K31" s="140"/>
      <c r="L31" s="140"/>
      <c r="M31" s="140"/>
      <c r="N31" s="140"/>
      <c r="O31" s="140"/>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Scroll Bar 1">
              <controlPr defaultSize="0" autoPict="0">
                <anchor moveWithCells="1">
                  <from>
                    <xdr:col>12</xdr:col>
                    <xdr:colOff>7620</xdr:colOff>
                    <xdr:row>6</xdr:row>
                    <xdr:rowOff>7620</xdr:rowOff>
                  </from>
                  <to>
                    <xdr:col>13</xdr:col>
                    <xdr:colOff>586740</xdr:colOff>
                    <xdr:row>7</xdr:row>
                    <xdr:rowOff>0</xdr:rowOff>
                  </to>
                </anchor>
              </controlPr>
            </control>
          </mc:Choice>
        </mc:AlternateContent>
        <mc:AlternateContent xmlns:mc="http://schemas.openxmlformats.org/markup-compatibility/2006">
          <mc:Choice Requires="x14">
            <control shapeId="11266" r:id="rId5" name="Scroll Bar 2">
              <controlPr defaultSize="0" autoPict="0">
                <anchor moveWithCells="1">
                  <from>
                    <xdr:col>12</xdr:col>
                    <xdr:colOff>7620</xdr:colOff>
                    <xdr:row>6</xdr:row>
                    <xdr:rowOff>160020</xdr:rowOff>
                  </from>
                  <to>
                    <xdr:col>13</xdr:col>
                    <xdr:colOff>586740</xdr:colOff>
                    <xdr:row>7</xdr:row>
                    <xdr:rowOff>152400</xdr:rowOff>
                  </to>
                </anchor>
              </controlPr>
            </control>
          </mc:Choice>
        </mc:AlternateContent>
        <mc:AlternateContent xmlns:mc="http://schemas.openxmlformats.org/markup-compatibility/2006">
          <mc:Choice Requires="x14">
            <control shapeId="11267" r:id="rId6" name="Scroll Bar 3">
              <controlPr defaultSize="0" autoPict="0">
                <anchor moveWithCells="1">
                  <from>
                    <xdr:col>12</xdr:col>
                    <xdr:colOff>7620</xdr:colOff>
                    <xdr:row>8</xdr:row>
                    <xdr:rowOff>0</xdr:rowOff>
                  </from>
                  <to>
                    <xdr:col>13</xdr:col>
                    <xdr:colOff>586740</xdr:colOff>
                    <xdr:row>8</xdr:row>
                    <xdr:rowOff>160020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BC5D-4A21-4AB6-959E-9AAF3D0A0F6A}">
  <dimension ref="A1:X53"/>
  <sheetViews>
    <sheetView zoomScale="70" zoomScaleNormal="70" workbookViewId="0">
      <selection activeCell="P20" sqref="P20"/>
    </sheetView>
  </sheetViews>
  <sheetFormatPr defaultRowHeight="13.2" x14ac:dyDescent="0.25"/>
  <sheetData>
    <row r="1" spans="1:17" x14ac:dyDescent="0.25">
      <c r="A1" s="59"/>
      <c r="B1" s="59"/>
      <c r="C1" s="59"/>
      <c r="D1" s="59"/>
      <c r="E1" s="59"/>
      <c r="F1" s="59"/>
      <c r="G1" s="59"/>
      <c r="H1" s="59"/>
      <c r="I1" s="59"/>
      <c r="J1" s="59"/>
      <c r="K1" s="59"/>
      <c r="L1" s="59"/>
      <c r="M1" s="59"/>
      <c r="N1" s="59"/>
      <c r="O1" s="59"/>
    </row>
    <row r="2" spans="1:17" x14ac:dyDescent="0.25">
      <c r="A2" s="59"/>
      <c r="B2" s="59"/>
      <c r="C2" s="59"/>
      <c r="D2" s="59"/>
      <c r="E2" s="59"/>
      <c r="F2" s="59"/>
      <c r="G2" s="59"/>
      <c r="H2" s="59"/>
      <c r="I2" s="59"/>
      <c r="J2" s="59"/>
      <c r="K2" s="59"/>
      <c r="L2" s="59"/>
      <c r="M2" s="59"/>
      <c r="N2" s="59"/>
      <c r="O2" s="59"/>
    </row>
    <row r="3" spans="1:17" x14ac:dyDescent="0.25">
      <c r="A3" s="59"/>
      <c r="B3" s="59"/>
      <c r="C3" s="59"/>
      <c r="D3" s="59"/>
      <c r="E3" s="59"/>
      <c r="F3" s="59"/>
      <c r="G3" s="59"/>
      <c r="H3" s="59"/>
      <c r="I3" s="59"/>
      <c r="J3" s="59"/>
      <c r="K3" s="59"/>
      <c r="L3" s="59"/>
      <c r="M3" s="59"/>
      <c r="N3" s="59"/>
      <c r="O3" s="59"/>
    </row>
    <row r="4" spans="1:17" x14ac:dyDescent="0.25">
      <c r="A4" s="59"/>
      <c r="B4" s="59"/>
      <c r="C4" s="59"/>
      <c r="D4" s="59"/>
      <c r="E4" s="59"/>
      <c r="F4" s="59"/>
      <c r="G4" s="59"/>
      <c r="H4" s="59"/>
      <c r="I4" s="59"/>
      <c r="J4" s="59"/>
      <c r="K4" s="59"/>
      <c r="L4" s="59"/>
      <c r="M4" s="59"/>
      <c r="N4" s="59"/>
      <c r="O4" s="59"/>
    </row>
    <row r="5" spans="1:17" x14ac:dyDescent="0.25">
      <c r="A5" s="59"/>
      <c r="B5" s="59"/>
      <c r="C5" s="59"/>
      <c r="D5" s="59"/>
      <c r="E5" s="59"/>
      <c r="F5" s="59"/>
      <c r="G5" s="59"/>
      <c r="H5" s="59"/>
      <c r="I5" s="59"/>
      <c r="J5" s="59"/>
      <c r="K5" s="59"/>
      <c r="L5" s="59"/>
      <c r="M5" s="59"/>
      <c r="N5" s="59"/>
      <c r="O5" s="59"/>
      <c r="Q5" s="22" t="s">
        <v>35</v>
      </c>
    </row>
    <row r="6" spans="1:17" x14ac:dyDescent="0.25">
      <c r="A6" s="59"/>
      <c r="B6" s="59"/>
      <c r="C6" s="59"/>
      <c r="D6" s="59"/>
      <c r="E6" s="59"/>
      <c r="F6" s="59"/>
      <c r="G6" s="59"/>
      <c r="H6" s="59"/>
      <c r="I6" s="59"/>
      <c r="J6" s="59"/>
      <c r="K6" s="59"/>
      <c r="L6" s="59"/>
      <c r="M6" s="59"/>
      <c r="N6" s="59"/>
      <c r="O6" s="59"/>
    </row>
    <row r="7" spans="1:17" x14ac:dyDescent="0.25">
      <c r="A7" s="59"/>
      <c r="B7" s="59"/>
      <c r="C7" s="59"/>
      <c r="D7" s="59"/>
      <c r="E7" s="59"/>
      <c r="F7" s="59"/>
      <c r="G7" s="59"/>
      <c r="H7" s="59"/>
      <c r="I7" s="59"/>
      <c r="J7" s="59"/>
      <c r="K7" s="59"/>
      <c r="L7" s="59"/>
      <c r="M7" s="59"/>
      <c r="N7" s="59"/>
      <c r="O7" s="59"/>
      <c r="Q7" s="22" t="s">
        <v>36</v>
      </c>
    </row>
    <row r="8" spans="1:17" x14ac:dyDescent="0.25">
      <c r="A8" s="59"/>
      <c r="B8" s="59"/>
      <c r="C8" s="59"/>
      <c r="D8" s="59"/>
      <c r="E8" s="59"/>
      <c r="F8" s="59"/>
      <c r="G8" s="59"/>
      <c r="H8" s="59"/>
      <c r="I8" s="59"/>
      <c r="J8" s="59"/>
      <c r="K8" s="59"/>
      <c r="L8" s="59"/>
      <c r="M8" s="59"/>
      <c r="N8" s="59"/>
      <c r="O8" s="59"/>
    </row>
    <row r="9" spans="1:17" x14ac:dyDescent="0.25">
      <c r="A9" s="59"/>
      <c r="B9" s="59"/>
      <c r="C9" s="59"/>
      <c r="D9" s="59"/>
      <c r="E9" s="59"/>
      <c r="F9" s="59"/>
      <c r="G9" s="59"/>
      <c r="H9" s="59"/>
      <c r="I9" s="59"/>
      <c r="J9" s="59"/>
      <c r="K9" s="59"/>
      <c r="L9" s="59"/>
      <c r="M9" s="59"/>
      <c r="N9" s="59"/>
      <c r="O9" s="59"/>
    </row>
    <row r="10" spans="1:17" x14ac:dyDescent="0.25">
      <c r="A10" s="59"/>
      <c r="B10" s="59"/>
      <c r="C10" s="59"/>
      <c r="D10" s="59"/>
      <c r="E10" s="59"/>
      <c r="F10" s="59"/>
      <c r="G10" s="59"/>
      <c r="H10" s="59"/>
      <c r="I10" s="59"/>
      <c r="J10" s="59"/>
      <c r="K10" s="59"/>
      <c r="L10" s="59"/>
      <c r="M10" s="59"/>
      <c r="N10" s="59"/>
      <c r="O10" s="59"/>
    </row>
    <row r="11" spans="1:17" x14ac:dyDescent="0.25">
      <c r="A11" s="59"/>
      <c r="B11" s="59"/>
      <c r="C11" s="59"/>
      <c r="D11" s="59"/>
      <c r="E11" s="59"/>
      <c r="F11" s="59"/>
      <c r="G11" s="59"/>
      <c r="H11" s="59"/>
      <c r="I11" s="59"/>
      <c r="J11" s="59"/>
      <c r="K11" s="59"/>
      <c r="L11" s="59"/>
      <c r="M11" s="59"/>
      <c r="N11" s="59"/>
      <c r="O11" s="59"/>
    </row>
    <row r="12" spans="1:17" x14ac:dyDescent="0.25">
      <c r="A12" s="59"/>
      <c r="B12" s="59"/>
      <c r="C12" s="59"/>
      <c r="D12" s="59"/>
      <c r="E12" s="59"/>
      <c r="F12" s="59"/>
      <c r="G12" s="59"/>
      <c r="H12" s="59"/>
      <c r="I12" s="59"/>
      <c r="J12" s="59"/>
      <c r="K12" s="59"/>
      <c r="L12" s="59"/>
      <c r="M12" s="59"/>
      <c r="N12" s="59"/>
      <c r="O12" s="59"/>
      <c r="Q12" s="22" t="s">
        <v>37</v>
      </c>
    </row>
    <row r="13" spans="1:17" x14ac:dyDescent="0.25">
      <c r="A13" s="59"/>
      <c r="B13" s="59"/>
      <c r="C13" s="59"/>
      <c r="D13" s="59"/>
      <c r="E13" s="59"/>
      <c r="F13" s="59"/>
      <c r="G13" s="59"/>
      <c r="H13" s="59"/>
      <c r="I13" s="59"/>
      <c r="J13" s="59"/>
      <c r="K13" s="59"/>
      <c r="L13" s="59"/>
      <c r="M13" s="59"/>
      <c r="N13" s="59"/>
      <c r="O13" s="59"/>
    </row>
    <row r="14" spans="1:17" x14ac:dyDescent="0.25">
      <c r="A14" s="59"/>
      <c r="B14" s="59"/>
      <c r="C14" s="59"/>
      <c r="D14" s="59"/>
      <c r="E14" s="59"/>
      <c r="F14" s="59"/>
      <c r="G14" s="59"/>
      <c r="H14" s="59"/>
      <c r="I14" s="59"/>
      <c r="J14" s="59"/>
      <c r="K14" s="59"/>
      <c r="L14" s="59"/>
      <c r="M14" s="59"/>
      <c r="N14" s="59"/>
      <c r="O14" s="59"/>
      <c r="Q14" s="22" t="s">
        <v>39</v>
      </c>
    </row>
    <row r="15" spans="1:17" x14ac:dyDescent="0.25">
      <c r="A15" s="59"/>
      <c r="B15" s="59"/>
      <c r="C15" s="59"/>
      <c r="D15" s="59"/>
      <c r="E15" s="59"/>
      <c r="F15" s="59"/>
      <c r="G15" s="59"/>
      <c r="H15" s="59"/>
      <c r="I15" s="59"/>
      <c r="J15" s="59"/>
      <c r="K15" s="59"/>
      <c r="L15" s="59"/>
      <c r="M15" s="59"/>
      <c r="N15" s="59"/>
      <c r="O15" s="59"/>
      <c r="Q15" s="22" t="s">
        <v>40</v>
      </c>
    </row>
    <row r="16" spans="1:17" x14ac:dyDescent="0.25">
      <c r="A16" s="59"/>
      <c r="B16" s="59"/>
      <c r="C16" s="59"/>
      <c r="D16" s="59"/>
      <c r="E16" s="59"/>
      <c r="F16" s="59"/>
      <c r="G16" s="59"/>
      <c r="H16" s="59"/>
      <c r="I16" s="59"/>
      <c r="J16" s="59"/>
      <c r="K16" s="59"/>
      <c r="L16" s="59"/>
      <c r="M16" s="59"/>
      <c r="N16" s="59"/>
      <c r="O16" s="59"/>
      <c r="Q16" s="22" t="s">
        <v>38</v>
      </c>
    </row>
    <row r="17" spans="1:24" x14ac:dyDescent="0.25">
      <c r="A17" s="59"/>
      <c r="B17" s="59"/>
      <c r="C17" s="59"/>
      <c r="D17" s="59"/>
      <c r="E17" s="59"/>
      <c r="F17" s="59"/>
      <c r="G17" s="59"/>
      <c r="H17" s="59"/>
      <c r="I17" s="59"/>
      <c r="J17" s="59"/>
      <c r="K17" s="59"/>
      <c r="L17" s="59"/>
      <c r="M17" s="59"/>
      <c r="N17" s="59"/>
      <c r="O17" s="59"/>
      <c r="Q17" s="22" t="s">
        <v>41</v>
      </c>
    </row>
    <row r="18" spans="1:24" x14ac:dyDescent="0.25">
      <c r="A18" s="59"/>
      <c r="B18" s="59"/>
      <c r="C18" s="59"/>
      <c r="D18" s="59"/>
      <c r="E18" s="59"/>
      <c r="F18" s="59"/>
      <c r="G18" s="59"/>
      <c r="H18" s="59"/>
      <c r="I18" s="59"/>
      <c r="J18" s="59"/>
      <c r="K18" s="59"/>
      <c r="L18" s="59"/>
      <c r="M18" s="59"/>
      <c r="N18" s="59"/>
      <c r="O18" s="59"/>
    </row>
    <row r="19" spans="1:24" x14ac:dyDescent="0.25">
      <c r="A19" s="59"/>
      <c r="B19" s="59"/>
      <c r="C19" s="59"/>
      <c r="D19" s="59"/>
      <c r="E19" s="59"/>
      <c r="F19" s="59"/>
      <c r="G19" s="59"/>
      <c r="H19" s="59"/>
      <c r="I19" s="59"/>
      <c r="J19" s="59"/>
      <c r="K19" s="59"/>
      <c r="L19" s="59"/>
      <c r="M19" s="59"/>
      <c r="N19" s="59"/>
      <c r="O19" s="59"/>
      <c r="Q19" s="22" t="s">
        <v>42</v>
      </c>
    </row>
    <row r="20" spans="1:24" x14ac:dyDescent="0.25">
      <c r="A20" s="59"/>
      <c r="B20" s="59"/>
      <c r="C20" s="59"/>
      <c r="D20" s="59"/>
      <c r="E20" s="59"/>
      <c r="F20" s="59"/>
      <c r="G20" s="59"/>
      <c r="H20" s="59"/>
      <c r="I20" s="59"/>
      <c r="J20" s="59"/>
      <c r="K20" s="59"/>
      <c r="L20" s="59"/>
      <c r="M20" s="59"/>
      <c r="N20" s="59"/>
      <c r="O20" s="59"/>
    </row>
    <row r="21" spans="1:24" x14ac:dyDescent="0.25">
      <c r="A21" s="59"/>
      <c r="B21" s="59"/>
      <c r="C21" s="59"/>
      <c r="D21" s="59"/>
      <c r="E21" s="59"/>
      <c r="F21" s="59"/>
      <c r="G21" s="59"/>
      <c r="H21" s="59"/>
      <c r="I21" s="59"/>
      <c r="J21" s="59"/>
      <c r="K21" s="59"/>
      <c r="L21" s="59"/>
      <c r="M21" s="59"/>
      <c r="N21" s="59"/>
      <c r="O21" s="59"/>
      <c r="Q21" s="22" t="s">
        <v>58</v>
      </c>
      <c r="W21" s="22" t="s">
        <v>63</v>
      </c>
      <c r="X21" s="22" t="s">
        <v>19</v>
      </c>
    </row>
    <row r="22" spans="1:24" x14ac:dyDescent="0.25">
      <c r="A22" s="59"/>
      <c r="B22" s="59"/>
      <c r="C22" s="59"/>
      <c r="D22" s="59"/>
      <c r="E22" s="59"/>
      <c r="F22" s="59"/>
      <c r="G22" s="59"/>
      <c r="H22" s="59"/>
      <c r="I22" s="59"/>
      <c r="J22" s="59"/>
      <c r="K22" s="59"/>
      <c r="L22" s="59"/>
      <c r="M22" s="59"/>
      <c r="N22" s="59"/>
      <c r="O22" s="59"/>
      <c r="R22" s="22" t="s">
        <v>59</v>
      </c>
      <c r="S22">
        <v>12</v>
      </c>
      <c r="T22" s="22" t="s">
        <v>64</v>
      </c>
      <c r="U22">
        <v>4000</v>
      </c>
      <c r="W22">
        <v>48000</v>
      </c>
      <c r="X22">
        <v>0</v>
      </c>
    </row>
    <row r="23" spans="1:24" x14ac:dyDescent="0.25">
      <c r="A23" s="59"/>
      <c r="B23" s="59"/>
      <c r="C23" s="59"/>
      <c r="D23" s="59"/>
      <c r="E23" s="59"/>
      <c r="F23" s="59"/>
      <c r="G23" s="59"/>
      <c r="H23" s="59"/>
      <c r="I23" s="59"/>
      <c r="J23" s="59"/>
      <c r="K23" s="59"/>
      <c r="L23" s="59"/>
      <c r="M23" s="59"/>
      <c r="N23" s="59"/>
      <c r="O23" s="59"/>
      <c r="R23" s="22" t="s">
        <v>60</v>
      </c>
      <c r="S23">
        <v>4000</v>
      </c>
      <c r="W23">
        <f>W22-$U$22</f>
        <v>44000</v>
      </c>
      <c r="X23">
        <v>1</v>
      </c>
    </row>
    <row r="24" spans="1:24" ht="52.8" x14ac:dyDescent="0.25">
      <c r="A24" s="59"/>
      <c r="B24" s="59"/>
      <c r="C24" s="51" t="s">
        <v>21</v>
      </c>
      <c r="D24" s="51" t="s">
        <v>88</v>
      </c>
      <c r="E24" s="59"/>
      <c r="F24" s="59"/>
      <c r="G24" s="59"/>
      <c r="H24" s="59"/>
      <c r="I24" s="59"/>
      <c r="J24" s="59"/>
      <c r="K24" s="59"/>
      <c r="L24" s="59"/>
      <c r="M24" s="59"/>
      <c r="N24" s="59"/>
      <c r="O24" s="59"/>
      <c r="R24" s="22" t="s">
        <v>61</v>
      </c>
      <c r="S24">
        <f>S22*S23</f>
        <v>48000</v>
      </c>
      <c r="T24" s="22" t="s">
        <v>62</v>
      </c>
      <c r="U24">
        <f>(W32-W31)/(X32-X31)</f>
        <v>-4000</v>
      </c>
      <c r="W24">
        <f t="shared" ref="W24:W36" si="0">W23-$U$22</f>
        <v>40000</v>
      </c>
      <c r="X24">
        <v>2</v>
      </c>
    </row>
    <row r="25" spans="1:24" x14ac:dyDescent="0.25">
      <c r="A25" s="59"/>
      <c r="B25" s="59"/>
      <c r="C25" s="52" t="s">
        <v>22</v>
      </c>
      <c r="D25" s="52" t="s">
        <v>24</v>
      </c>
      <c r="E25" s="59"/>
      <c r="F25" s="59"/>
      <c r="G25" s="59"/>
      <c r="H25" s="59"/>
      <c r="I25" s="59"/>
      <c r="J25" s="59"/>
      <c r="K25" s="59"/>
      <c r="L25" s="59"/>
      <c r="M25" s="59"/>
      <c r="N25" s="59"/>
      <c r="O25" s="59"/>
      <c r="Q25" s="22" t="s">
        <v>43</v>
      </c>
      <c r="W25">
        <f t="shared" si="0"/>
        <v>36000</v>
      </c>
      <c r="X25">
        <v>3</v>
      </c>
    </row>
    <row r="26" spans="1:24" x14ac:dyDescent="0.25">
      <c r="A26" s="59"/>
      <c r="B26" s="59"/>
      <c r="C26" s="56">
        <v>8</v>
      </c>
      <c r="D26" s="53">
        <v>12.8</v>
      </c>
      <c r="E26" s="59"/>
      <c r="F26" s="59"/>
      <c r="G26" s="59"/>
      <c r="H26" s="59"/>
      <c r="I26" s="59"/>
      <c r="J26" s="59"/>
      <c r="K26" s="59"/>
      <c r="L26" s="59"/>
      <c r="M26" s="59"/>
      <c r="N26" s="59"/>
      <c r="O26" s="59"/>
      <c r="W26">
        <f t="shared" si="0"/>
        <v>32000</v>
      </c>
      <c r="X26">
        <v>4</v>
      </c>
    </row>
    <row r="27" spans="1:24" x14ac:dyDescent="0.25">
      <c r="A27" s="59"/>
      <c r="B27" s="59"/>
      <c r="C27" s="57">
        <v>10</v>
      </c>
      <c r="D27" s="54">
        <v>17.5</v>
      </c>
      <c r="E27" s="59"/>
      <c r="F27" s="59"/>
      <c r="G27" s="59"/>
      <c r="H27" s="59"/>
      <c r="I27" s="59"/>
      <c r="J27" s="59"/>
      <c r="K27" s="59"/>
      <c r="L27" s="59"/>
      <c r="M27" s="59"/>
      <c r="N27" s="59"/>
      <c r="O27" s="59"/>
      <c r="W27">
        <f t="shared" si="0"/>
        <v>28000</v>
      </c>
      <c r="X27">
        <v>5</v>
      </c>
    </row>
    <row r="28" spans="1:24" x14ac:dyDescent="0.25">
      <c r="A28" s="59"/>
      <c r="B28" s="59"/>
      <c r="C28" s="57">
        <v>12</v>
      </c>
      <c r="D28" s="54">
        <v>21.6</v>
      </c>
      <c r="E28" s="59"/>
      <c r="F28" s="59"/>
      <c r="G28" s="59"/>
      <c r="H28" s="59"/>
      <c r="I28" s="59"/>
      <c r="J28" s="59"/>
      <c r="K28" s="59"/>
      <c r="L28" s="59"/>
      <c r="M28" s="59"/>
      <c r="N28" s="59"/>
      <c r="O28" s="59"/>
      <c r="W28">
        <f t="shared" si="0"/>
        <v>24000</v>
      </c>
      <c r="X28">
        <v>6</v>
      </c>
    </row>
    <row r="29" spans="1:24" x14ac:dyDescent="0.25">
      <c r="A29" s="59"/>
      <c r="B29" s="59"/>
      <c r="C29" s="57">
        <v>14</v>
      </c>
      <c r="D29" s="54">
        <v>25.9</v>
      </c>
      <c r="E29" s="59"/>
      <c r="F29" s="59"/>
      <c r="G29" s="59"/>
      <c r="H29" s="59"/>
      <c r="I29" s="59"/>
      <c r="J29" s="59"/>
      <c r="K29" s="59"/>
      <c r="L29" s="59"/>
      <c r="M29" s="59"/>
      <c r="N29" s="59"/>
      <c r="O29" s="59"/>
      <c r="W29">
        <f t="shared" si="0"/>
        <v>20000</v>
      </c>
      <c r="X29">
        <v>7</v>
      </c>
    </row>
    <row r="30" spans="1:24" x14ac:dyDescent="0.25">
      <c r="A30" s="59"/>
      <c r="B30" s="59"/>
      <c r="C30" s="57">
        <v>16</v>
      </c>
      <c r="D30" s="54">
        <v>32.799999999999997</v>
      </c>
      <c r="E30" s="59"/>
      <c r="F30" s="59"/>
      <c r="G30" s="59"/>
      <c r="H30" s="59"/>
      <c r="I30" s="59"/>
      <c r="J30" s="59"/>
      <c r="K30" s="59"/>
      <c r="L30" s="59"/>
      <c r="M30" s="59"/>
      <c r="N30" s="59"/>
      <c r="O30" s="59"/>
      <c r="W30">
        <f t="shared" si="0"/>
        <v>16000</v>
      </c>
      <c r="X30">
        <v>8</v>
      </c>
    </row>
    <row r="31" spans="1:24" x14ac:dyDescent="0.25">
      <c r="A31" s="59"/>
      <c r="B31" s="59"/>
      <c r="C31" s="57">
        <v>18</v>
      </c>
      <c r="D31" s="54">
        <v>39.6</v>
      </c>
      <c r="E31" s="59"/>
      <c r="F31" s="59"/>
      <c r="G31" s="59"/>
      <c r="H31" s="59"/>
      <c r="I31" s="59"/>
      <c r="J31" s="59"/>
      <c r="K31" s="59"/>
      <c r="L31" s="59"/>
      <c r="M31" s="59"/>
      <c r="N31" s="59"/>
      <c r="O31" s="59"/>
      <c r="W31">
        <f t="shared" si="0"/>
        <v>12000</v>
      </c>
      <c r="X31">
        <v>9</v>
      </c>
    </row>
    <row r="32" spans="1:24" x14ac:dyDescent="0.25">
      <c r="A32" s="59"/>
      <c r="B32" s="59"/>
      <c r="C32" s="57">
        <v>20</v>
      </c>
      <c r="D32" s="54">
        <v>46</v>
      </c>
      <c r="E32" s="59"/>
      <c r="F32" s="59"/>
      <c r="G32" s="59"/>
      <c r="H32" s="59"/>
      <c r="I32" s="59"/>
      <c r="J32" s="59"/>
      <c r="K32" s="59"/>
      <c r="L32" s="59"/>
      <c r="M32" s="59"/>
      <c r="N32" s="59"/>
      <c r="O32" s="59"/>
      <c r="W32">
        <f t="shared" si="0"/>
        <v>8000</v>
      </c>
      <c r="X32">
        <v>10</v>
      </c>
    </row>
    <row r="33" spans="1:24" x14ac:dyDescent="0.25">
      <c r="A33" s="59"/>
      <c r="B33" s="59"/>
      <c r="C33" s="57">
        <v>22</v>
      </c>
      <c r="D33" s="54">
        <v>56.1</v>
      </c>
      <c r="E33" s="59"/>
      <c r="F33" s="59"/>
      <c r="G33" s="59"/>
      <c r="H33" s="59"/>
      <c r="I33" s="59"/>
      <c r="J33" s="59"/>
      <c r="K33" s="59"/>
      <c r="L33" s="59"/>
      <c r="M33" s="59"/>
      <c r="N33" s="59"/>
      <c r="O33" s="59"/>
      <c r="Q33" s="22" t="s">
        <v>44</v>
      </c>
      <c r="W33">
        <f t="shared" si="0"/>
        <v>4000</v>
      </c>
      <c r="X33">
        <v>11</v>
      </c>
    </row>
    <row r="34" spans="1:24" x14ac:dyDescent="0.25">
      <c r="A34" s="59"/>
      <c r="B34" s="59"/>
      <c r="C34" s="58">
        <v>24</v>
      </c>
      <c r="D34" s="55">
        <v>63.6</v>
      </c>
      <c r="E34" s="59"/>
      <c r="F34" s="59"/>
      <c r="G34" s="59"/>
      <c r="H34" s="59"/>
      <c r="I34" s="59"/>
      <c r="J34" s="59"/>
      <c r="K34" s="59"/>
      <c r="L34" s="59"/>
      <c r="M34" s="59"/>
      <c r="N34" s="59"/>
      <c r="O34" s="59"/>
      <c r="W34">
        <f t="shared" si="0"/>
        <v>0</v>
      </c>
      <c r="X34">
        <v>12</v>
      </c>
    </row>
    <row r="35" spans="1:24" x14ac:dyDescent="0.25">
      <c r="A35" s="59"/>
      <c r="B35" s="59"/>
      <c r="C35" s="59"/>
      <c r="D35" s="59"/>
      <c r="E35" s="59"/>
      <c r="F35" s="59"/>
      <c r="G35" s="59"/>
      <c r="H35" s="59"/>
      <c r="I35" s="59"/>
      <c r="J35" s="59"/>
      <c r="K35" s="59"/>
      <c r="L35" s="59"/>
      <c r="M35" s="59"/>
      <c r="N35" s="59"/>
      <c r="O35" s="59"/>
      <c r="W35">
        <f t="shared" si="0"/>
        <v>-4000</v>
      </c>
      <c r="X35">
        <v>13</v>
      </c>
    </row>
    <row r="36" spans="1:24" x14ac:dyDescent="0.25">
      <c r="A36" s="59"/>
      <c r="B36" s="59"/>
      <c r="C36" s="59"/>
      <c r="D36" s="59"/>
      <c r="E36" s="59"/>
      <c r="F36" s="59"/>
      <c r="G36" s="59"/>
      <c r="H36" s="59"/>
      <c r="I36" s="59"/>
      <c r="J36" s="59"/>
      <c r="K36" s="59"/>
      <c r="L36" s="59"/>
      <c r="M36" s="59"/>
      <c r="N36" s="59"/>
      <c r="O36" s="59"/>
      <c r="Q36" s="22" t="s">
        <v>65</v>
      </c>
      <c r="W36">
        <f t="shared" si="0"/>
        <v>-8000</v>
      </c>
      <c r="X36">
        <v>14</v>
      </c>
    </row>
    <row r="37" spans="1:24" x14ac:dyDescent="0.25">
      <c r="A37" s="59"/>
      <c r="B37" s="59"/>
      <c r="C37" s="59"/>
      <c r="D37" s="59"/>
      <c r="E37" s="59"/>
      <c r="F37" s="59"/>
      <c r="G37" s="59"/>
      <c r="H37" s="59"/>
      <c r="I37" s="59"/>
      <c r="J37" s="59"/>
      <c r="K37" s="59"/>
      <c r="L37" s="59"/>
      <c r="M37" s="59"/>
      <c r="N37" s="59"/>
      <c r="O37" s="59"/>
    </row>
    <row r="38" spans="1:24" x14ac:dyDescent="0.25">
      <c r="A38" s="59"/>
      <c r="B38" s="59"/>
      <c r="C38" s="59"/>
      <c r="D38" s="59"/>
      <c r="E38" s="59"/>
      <c r="F38" s="59"/>
      <c r="G38" s="59"/>
      <c r="H38" s="59"/>
      <c r="I38" s="59"/>
      <c r="J38" s="59"/>
      <c r="K38" s="59"/>
      <c r="L38" s="59"/>
      <c r="M38" s="59"/>
      <c r="N38" s="59"/>
      <c r="O38" s="59"/>
      <c r="Q38" s="22" t="s">
        <v>66</v>
      </c>
    </row>
    <row r="39" spans="1:24" x14ac:dyDescent="0.25">
      <c r="A39" s="59"/>
      <c r="B39" s="59"/>
      <c r="C39" s="59"/>
      <c r="D39" s="59"/>
      <c r="E39" s="59"/>
      <c r="F39" s="59"/>
      <c r="G39" s="59"/>
      <c r="H39" s="59"/>
      <c r="I39" s="59"/>
      <c r="J39" s="59"/>
      <c r="K39" s="59"/>
      <c r="L39" s="59"/>
      <c r="M39" s="59"/>
      <c r="N39" s="59"/>
      <c r="O39" s="59"/>
    </row>
    <row r="40" spans="1:24" x14ac:dyDescent="0.25">
      <c r="A40" s="59"/>
      <c r="B40" s="59"/>
      <c r="C40" s="59"/>
      <c r="D40" s="59"/>
      <c r="E40" s="59"/>
      <c r="F40" s="59"/>
      <c r="G40" s="59"/>
      <c r="H40" s="59"/>
      <c r="I40" s="59"/>
      <c r="J40" s="59"/>
      <c r="K40" s="59"/>
      <c r="L40" s="59"/>
      <c r="M40" s="59"/>
      <c r="N40" s="59"/>
      <c r="O40" s="59"/>
    </row>
    <row r="41" spans="1:24" x14ac:dyDescent="0.25">
      <c r="A41" s="59"/>
      <c r="B41" s="59"/>
      <c r="C41" s="59"/>
      <c r="D41" s="59"/>
      <c r="E41" s="59"/>
      <c r="F41" s="59"/>
      <c r="G41" s="59"/>
      <c r="H41" s="59"/>
      <c r="I41" s="59"/>
      <c r="J41" s="59"/>
      <c r="K41" s="59"/>
      <c r="L41" s="59"/>
      <c r="M41" s="59"/>
      <c r="N41" s="59"/>
      <c r="O41" s="59"/>
    </row>
    <row r="42" spans="1:24" x14ac:dyDescent="0.25">
      <c r="A42" s="59"/>
      <c r="B42" s="59"/>
      <c r="C42" s="59"/>
      <c r="D42" s="59"/>
      <c r="E42" s="59"/>
      <c r="F42" s="59"/>
      <c r="G42" s="59"/>
      <c r="H42" s="59"/>
      <c r="I42" s="59"/>
      <c r="J42" s="59"/>
      <c r="K42" s="59"/>
      <c r="L42" s="59"/>
      <c r="M42" s="59"/>
      <c r="N42" s="59"/>
      <c r="O42" s="59"/>
    </row>
    <row r="43" spans="1:24" ht="52.8" x14ac:dyDescent="0.25">
      <c r="A43" s="59"/>
      <c r="B43" s="59"/>
      <c r="C43" s="59"/>
      <c r="D43" s="59"/>
      <c r="E43" s="59"/>
      <c r="F43" s="59"/>
      <c r="G43" s="59"/>
      <c r="H43" s="59"/>
      <c r="I43" s="59"/>
      <c r="J43" s="59"/>
      <c r="K43" s="59"/>
      <c r="L43" s="59"/>
      <c r="M43" s="59"/>
      <c r="N43" s="59"/>
      <c r="O43" s="59"/>
      <c r="S43" s="51" t="s">
        <v>21</v>
      </c>
      <c r="T43" s="51" t="s">
        <v>88</v>
      </c>
    </row>
    <row r="44" spans="1:24" x14ac:dyDescent="0.25">
      <c r="A44" s="59"/>
      <c r="B44" s="59"/>
      <c r="C44" s="59"/>
      <c r="D44" s="59"/>
      <c r="E44" s="59"/>
      <c r="F44" s="59"/>
      <c r="G44" s="59"/>
      <c r="H44" s="59"/>
      <c r="I44" s="59"/>
      <c r="J44" s="59"/>
      <c r="K44" s="59"/>
      <c r="L44" s="59"/>
      <c r="M44" s="59"/>
      <c r="N44" s="59"/>
      <c r="O44" s="59"/>
      <c r="S44" s="52" t="s">
        <v>22</v>
      </c>
      <c r="T44" s="52" t="s">
        <v>24</v>
      </c>
    </row>
    <row r="45" spans="1:24" x14ac:dyDescent="0.25">
      <c r="A45" s="59"/>
      <c r="B45" s="59"/>
      <c r="C45" s="59"/>
      <c r="D45" s="59"/>
      <c r="E45" s="59"/>
      <c r="F45" s="59"/>
      <c r="G45" s="59"/>
      <c r="H45" s="59"/>
      <c r="I45" s="59"/>
      <c r="J45" s="59"/>
      <c r="K45" s="59"/>
      <c r="L45" s="59"/>
      <c r="M45" s="59"/>
      <c r="N45" s="59"/>
      <c r="O45" s="59"/>
      <c r="S45" s="56">
        <v>8</v>
      </c>
      <c r="T45" s="53">
        <v>12.8</v>
      </c>
    </row>
    <row r="46" spans="1:24" x14ac:dyDescent="0.25">
      <c r="A46" s="59"/>
      <c r="B46" s="59"/>
      <c r="C46" s="59"/>
      <c r="D46" s="59"/>
      <c r="E46" s="59"/>
      <c r="F46" s="59"/>
      <c r="G46" s="59"/>
      <c r="H46" s="59"/>
      <c r="I46" s="59"/>
      <c r="J46" s="59"/>
      <c r="K46" s="59"/>
      <c r="L46" s="59"/>
      <c r="M46" s="59"/>
      <c r="N46" s="59"/>
      <c r="O46" s="59"/>
      <c r="S46" s="57">
        <v>10</v>
      </c>
      <c r="T46" s="54">
        <v>17.5</v>
      </c>
    </row>
    <row r="47" spans="1:24" x14ac:dyDescent="0.25">
      <c r="S47" s="57">
        <v>12</v>
      </c>
      <c r="T47" s="54">
        <v>21.6</v>
      </c>
    </row>
    <row r="48" spans="1:24" x14ac:dyDescent="0.25">
      <c r="S48" s="57">
        <v>14</v>
      </c>
      <c r="T48" s="54">
        <v>25.9</v>
      </c>
    </row>
    <row r="49" spans="19:20" x14ac:dyDescent="0.25">
      <c r="S49" s="57">
        <v>16</v>
      </c>
      <c r="T49" s="54">
        <v>32.799999999999997</v>
      </c>
    </row>
    <row r="50" spans="19:20" x14ac:dyDescent="0.25">
      <c r="S50" s="57">
        <v>18</v>
      </c>
      <c r="T50" s="54">
        <v>39.6</v>
      </c>
    </row>
    <row r="51" spans="19:20" x14ac:dyDescent="0.25">
      <c r="S51" s="57">
        <v>20</v>
      </c>
      <c r="T51" s="54">
        <v>46</v>
      </c>
    </row>
    <row r="52" spans="19:20" x14ac:dyDescent="0.25">
      <c r="S52" s="57">
        <v>22</v>
      </c>
      <c r="T52" s="54">
        <v>56.1</v>
      </c>
    </row>
    <row r="53" spans="19:20" x14ac:dyDescent="0.25">
      <c r="S53" s="58">
        <v>24</v>
      </c>
      <c r="T53" s="55">
        <v>63.6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J6"/>
  <sheetViews>
    <sheetView showGridLines="0" zoomScale="130" zoomScaleNormal="130" workbookViewId="0">
      <selection activeCell="J7" sqref="J7"/>
    </sheetView>
  </sheetViews>
  <sheetFormatPr defaultRowHeight="13.2" x14ac:dyDescent="0.25"/>
  <sheetData>
    <row r="6" spans="10:10" x14ac:dyDescent="0.25">
      <c r="J6" t="s">
        <v>123</v>
      </c>
    </row>
  </sheetData>
  <pageMargins left="0.75" right="0.75" top="1" bottom="1" header="0.5" footer="0.5"/>
  <pageSetup orientation="landscape" r:id="rId1"/>
  <headerFooter alignWithMargins="0">
    <oddHeader>&amp;F</oddHeader>
    <oddFooter>&amp;A&amp;RPage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3F34-F8AA-4A5C-98A6-F479FD6A5F80}">
  <dimension ref="B2:C12"/>
  <sheetViews>
    <sheetView workbookViewId="0">
      <selection activeCell="C6" sqref="C6"/>
    </sheetView>
  </sheetViews>
  <sheetFormatPr defaultRowHeight="13.2" x14ac:dyDescent="0.25"/>
  <sheetData>
    <row r="2" spans="2:3" ht="52.8" x14ac:dyDescent="0.25">
      <c r="B2" s="51" t="s">
        <v>21</v>
      </c>
      <c r="C2" s="51" t="s">
        <v>88</v>
      </c>
    </row>
    <row r="3" spans="2:3" x14ac:dyDescent="0.25">
      <c r="B3" s="52" t="s">
        <v>22</v>
      </c>
      <c r="C3" s="52" t="s">
        <v>24</v>
      </c>
    </row>
    <row r="4" spans="2:3" x14ac:dyDescent="0.25">
      <c r="B4" s="56">
        <v>8</v>
      </c>
      <c r="C4" s="53">
        <v>12.8</v>
      </c>
    </row>
    <row r="5" spans="2:3" x14ac:dyDescent="0.25">
      <c r="B5" s="57">
        <v>10</v>
      </c>
      <c r="C5" s="54">
        <v>17.5</v>
      </c>
    </row>
    <row r="6" spans="2:3" x14ac:dyDescent="0.25">
      <c r="B6" s="57">
        <v>12</v>
      </c>
      <c r="C6" s="54">
        <v>21.6</v>
      </c>
    </row>
    <row r="7" spans="2:3" x14ac:dyDescent="0.25">
      <c r="B7" s="57">
        <v>14</v>
      </c>
      <c r="C7" s="54">
        <v>25.9</v>
      </c>
    </row>
    <row r="8" spans="2:3" x14ac:dyDescent="0.25">
      <c r="B8" s="57">
        <v>16</v>
      </c>
      <c r="C8" s="54">
        <v>32.799999999999997</v>
      </c>
    </row>
    <row r="9" spans="2:3" x14ac:dyDescent="0.25">
      <c r="B9" s="57">
        <v>18</v>
      </c>
      <c r="C9" s="54">
        <v>39.6</v>
      </c>
    </row>
    <row r="10" spans="2:3" x14ac:dyDescent="0.25">
      <c r="B10" s="57">
        <v>20</v>
      </c>
      <c r="C10" s="54">
        <v>46</v>
      </c>
    </row>
    <row r="11" spans="2:3" x14ac:dyDescent="0.25">
      <c r="B11" s="57">
        <v>22</v>
      </c>
      <c r="C11" s="54">
        <v>56.1</v>
      </c>
    </row>
    <row r="12" spans="2:3" x14ac:dyDescent="0.25">
      <c r="B12" s="58">
        <v>24</v>
      </c>
      <c r="C12" s="55">
        <v>63.6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D1" zoomScale="120" zoomScaleNormal="120" workbookViewId="0">
      <selection activeCell="N13" sqref="N13"/>
    </sheetView>
  </sheetViews>
  <sheetFormatPr defaultRowHeight="13.2" x14ac:dyDescent="0.25"/>
  <cols>
    <col min="2" max="3" width="8.5546875" customWidth="1"/>
    <col min="4" max="4" width="10.88671875" customWidth="1"/>
    <col min="5" max="5" width="10.33203125" customWidth="1"/>
    <col min="6" max="6" width="5.44140625" customWidth="1"/>
    <col min="8" max="8" width="15" customWidth="1"/>
  </cols>
  <sheetData>
    <row r="1" spans="1:17" ht="15.6" x14ac:dyDescent="0.3">
      <c r="A1" s="6" t="s">
        <v>20</v>
      </c>
      <c r="C1" s="6"/>
    </row>
    <row r="2" spans="1:17" x14ac:dyDescent="0.25">
      <c r="B2" s="7"/>
      <c r="C2" s="7"/>
      <c r="D2" s="7"/>
      <c r="E2" s="7"/>
      <c r="G2" s="22" t="s">
        <v>115</v>
      </c>
    </row>
    <row r="3" spans="1:17" ht="52.8" x14ac:dyDescent="0.25">
      <c r="A3" s="22"/>
      <c r="B3" s="51" t="str">
        <f>data!B2</f>
        <v>Number of Pies (x1000)</v>
      </c>
      <c r="C3" s="97" t="str">
        <f>B3&amp;" ^2"</f>
        <v>Number of Pies (x1000) ^2</v>
      </c>
      <c r="D3" s="51" t="str">
        <f>data!C2</f>
        <v>Actual Cost ($/1000 pies)</v>
      </c>
      <c r="E3" s="51" t="s">
        <v>26</v>
      </c>
      <c r="H3" s="132" t="s">
        <v>33</v>
      </c>
      <c r="I3" s="41" t="s">
        <v>23</v>
      </c>
      <c r="J3" s="41" t="s">
        <v>22</v>
      </c>
      <c r="K3" s="41" t="s">
        <v>32</v>
      </c>
      <c r="M3" s="41" t="s">
        <v>22</v>
      </c>
      <c r="N3" s="41" t="s">
        <v>23</v>
      </c>
      <c r="O3" s="46" t="s">
        <v>90</v>
      </c>
    </row>
    <row r="4" spans="1:17" x14ac:dyDescent="0.25">
      <c r="B4" s="41" t="str">
        <f>data!B3</f>
        <v>X</v>
      </c>
      <c r="C4" s="51" t="s">
        <v>23</v>
      </c>
      <c r="D4" s="51" t="s">
        <v>24</v>
      </c>
      <c r="E4" s="51" t="s">
        <v>25</v>
      </c>
      <c r="F4" s="50"/>
      <c r="H4" s="42" t="s">
        <v>27</v>
      </c>
      <c r="I4" s="21">
        <f t="array" ref="I4:K8">LINEST(D5:D13, B5:C13, FALSE, TRUE )</f>
        <v>7.1170179732592986E-2</v>
      </c>
      <c r="J4" s="21">
        <v>0.93313758797886004</v>
      </c>
      <c r="K4" s="47">
        <v>0</v>
      </c>
      <c r="M4" s="21">
        <f>INDEX($I$4:$J$4, 1, MATCH(M3, $I$3:$J$3, 0 ))</f>
        <v>0.93313758797886004</v>
      </c>
      <c r="N4" s="21">
        <f>INDEX($I$4:$J$4, 1, MATCH(N3, $I$3:$J$3, 0 ))</f>
        <v>7.1170179732592986E-2</v>
      </c>
    </row>
    <row r="5" spans="1:17" x14ac:dyDescent="0.25">
      <c r="B5" s="41">
        <f>data!B4</f>
        <v>8</v>
      </c>
      <c r="C5" s="98">
        <f>B5^2</f>
        <v>64</v>
      </c>
      <c r="D5" s="99">
        <f>data!C4</f>
        <v>12.8</v>
      </c>
      <c r="E5" s="100">
        <f>SUMPRODUCT($M$4:$N$4, B5:C5)</f>
        <v>12.019992206716832</v>
      </c>
      <c r="F5" s="69"/>
      <c r="H5" s="43" t="s">
        <v>28</v>
      </c>
      <c r="I5" s="21">
        <v>4.0712523605663537E-3</v>
      </c>
      <c r="J5" s="21">
        <v>7.9489317569728324E-2</v>
      </c>
      <c r="K5" s="48" t="e">
        <v>#N/A</v>
      </c>
      <c r="M5" s="95" t="s">
        <v>111</v>
      </c>
    </row>
    <row r="6" spans="1:17" x14ac:dyDescent="0.25">
      <c r="B6" s="41">
        <f>data!B5</f>
        <v>10</v>
      </c>
      <c r="C6" s="98">
        <f t="shared" ref="C6:C13" si="0">B6^2</f>
        <v>100</v>
      </c>
      <c r="D6" s="99">
        <f>data!C5</f>
        <v>17.5</v>
      </c>
      <c r="E6" s="100">
        <f>SUMPRODUCT($M$4:$N$4, B6:C6)</f>
        <v>16.4483938530479</v>
      </c>
      <c r="H6" s="44" t="s">
        <v>29</v>
      </c>
      <c r="I6" s="21">
        <v>0.99957573239347808</v>
      </c>
      <c r="J6" s="21">
        <v>0.90655641739356274</v>
      </c>
      <c r="K6" s="48" t="e">
        <v>#N/A</v>
      </c>
      <c r="M6" s="133" t="str">
        <f ca="1">_xlfn.FORMULATEXT(M4)</f>
        <v>=INDEX($I$4:$J$4, 1, MATCH(M3, $I$3:$J$3, 0 ))</v>
      </c>
      <c r="N6" s="133"/>
      <c r="O6" s="133"/>
      <c r="P6" s="133"/>
    </row>
    <row r="7" spans="1:17" x14ac:dyDescent="0.25">
      <c r="B7" s="41">
        <f>data!B6</f>
        <v>12</v>
      </c>
      <c r="C7" s="98">
        <f t="shared" si="0"/>
        <v>144</v>
      </c>
      <c r="D7" s="99">
        <f>data!C6</f>
        <v>21.6</v>
      </c>
      <c r="E7" s="100">
        <f>SUMPRODUCT($M$4:$N$4, B7:C7)</f>
        <v>21.44615693723971</v>
      </c>
      <c r="H7" s="44" t="s">
        <v>31</v>
      </c>
      <c r="I7" s="21">
        <v>8246.0103236677878</v>
      </c>
      <c r="J7" s="21">
        <v>7</v>
      </c>
      <c r="K7" s="48" t="e">
        <v>#N/A</v>
      </c>
      <c r="N7" s="134" t="s">
        <v>112</v>
      </c>
    </row>
    <row r="8" spans="1:17" x14ac:dyDescent="0.25">
      <c r="B8" s="41">
        <f>data!B7</f>
        <v>14</v>
      </c>
      <c r="C8" s="98">
        <f t="shared" si="0"/>
        <v>196</v>
      </c>
      <c r="D8" s="99">
        <f>data!C7</f>
        <v>25.9</v>
      </c>
      <c r="E8" s="100">
        <f>SUMPRODUCT($M$4:$N$4, B8:C8)</f>
        <v>27.013281459292266</v>
      </c>
      <c r="H8" s="45" t="s">
        <v>30</v>
      </c>
      <c r="I8" s="21">
        <v>13553.877088234578</v>
      </c>
      <c r="J8" s="21">
        <v>5.7529117654221613</v>
      </c>
      <c r="K8" s="49" t="e">
        <v>#N/A</v>
      </c>
      <c r="N8" s="133" t="str">
        <f ca="1">_xlfn.FORMULATEXT(N4)</f>
        <v>=INDEX($I$4:$J$4, 1, MATCH(N3, $I$3:$J$3, 0 ))</v>
      </c>
      <c r="O8" s="133"/>
      <c r="P8" s="133"/>
      <c r="Q8" s="133"/>
    </row>
    <row r="9" spans="1:17" x14ac:dyDescent="0.25">
      <c r="B9" s="41">
        <f>data!B8</f>
        <v>16</v>
      </c>
      <c r="C9" s="98">
        <f t="shared" si="0"/>
        <v>256</v>
      </c>
      <c r="D9" s="99">
        <f>data!C8</f>
        <v>32.799999999999997</v>
      </c>
      <c r="E9" s="100">
        <f>SUMPRODUCT($M$4:$N$4, B9:C9)</f>
        <v>33.149767419205567</v>
      </c>
      <c r="I9" s="95" t="s">
        <v>89</v>
      </c>
      <c r="N9" s="69" t="s">
        <v>116</v>
      </c>
    </row>
    <row r="10" spans="1:17" x14ac:dyDescent="0.25">
      <c r="B10" s="41">
        <f>data!B9</f>
        <v>18</v>
      </c>
      <c r="C10" s="98">
        <f t="shared" si="0"/>
        <v>324</v>
      </c>
      <c r="D10" s="99">
        <f>data!C9</f>
        <v>39.6</v>
      </c>
      <c r="E10" s="100">
        <f>SUMPRODUCT($M$4:$N$4, B10:C10)</f>
        <v>39.85561481697961</v>
      </c>
      <c r="I10" s="96" t="str">
        <f ca="1">_xlfn.FORMULATEXT(I4)</f>
        <v>{=LINEST(D5:D13, B5:C13, FALSE, TRUE )}</v>
      </c>
      <c r="J10" s="96"/>
      <c r="K10" s="96"/>
      <c r="L10" s="21"/>
      <c r="N10" s="69" t="s">
        <v>91</v>
      </c>
    </row>
    <row r="11" spans="1:17" x14ac:dyDescent="0.25">
      <c r="B11" s="41">
        <f>data!B10</f>
        <v>20</v>
      </c>
      <c r="C11" s="98">
        <f t="shared" si="0"/>
        <v>400</v>
      </c>
      <c r="D11" s="99">
        <f>data!C10</f>
        <v>46</v>
      </c>
      <c r="E11" s="100">
        <f>SUMPRODUCT($M$4:$N$4, B11:C11)</f>
        <v>47.130823652614396</v>
      </c>
    </row>
    <row r="12" spans="1:17" x14ac:dyDescent="0.25">
      <c r="B12" s="41">
        <f>data!B11</f>
        <v>22</v>
      </c>
      <c r="C12" s="98">
        <f t="shared" si="0"/>
        <v>484</v>
      </c>
      <c r="D12" s="99">
        <f>data!C11</f>
        <v>56.1</v>
      </c>
      <c r="E12" s="100">
        <f>SUMPRODUCT($M$4:$N$4, B12:C12)</f>
        <v>54.97539392610993</v>
      </c>
      <c r="H12" s="22" t="s">
        <v>117</v>
      </c>
      <c r="M12" s="22"/>
      <c r="N12">
        <f>INDEX( I4:J4, 1,  MATCH( M3, I3:J3, 0 ) )</f>
        <v>0.93313758797886004</v>
      </c>
    </row>
    <row r="13" spans="1:17" x14ac:dyDescent="0.25">
      <c r="B13" s="41">
        <f>data!B12</f>
        <v>24</v>
      </c>
      <c r="C13" s="98">
        <f t="shared" si="0"/>
        <v>576</v>
      </c>
      <c r="D13" s="99">
        <f>data!C12</f>
        <v>63.6</v>
      </c>
      <c r="E13" s="100">
        <f>SUMPRODUCT($M$4:$N$4, B13:C13)</f>
        <v>63.3893256374662</v>
      </c>
      <c r="H13" s="68" t="s">
        <v>67</v>
      </c>
      <c r="M13" s="22"/>
    </row>
    <row r="14" spans="1:17" x14ac:dyDescent="0.25">
      <c r="B14" s="22"/>
      <c r="C14" s="70" t="s">
        <v>113</v>
      </c>
      <c r="D14" s="22"/>
      <c r="E14" s="95" t="s">
        <v>114</v>
      </c>
    </row>
    <row r="15" spans="1:17" x14ac:dyDescent="0.25">
      <c r="C15" s="21" t="str">
        <f ca="1">_xlfn.FORMULATEXT(C5)</f>
        <v>=B5^2</v>
      </c>
      <c r="E15" s="133" t="str">
        <f ca="1">_xlfn.FORMULATEXT(E5)</f>
        <v>=SUMPRODUCT($M$4:$N$4, B5:C5)</v>
      </c>
      <c r="F15" s="133"/>
      <c r="G15" s="133"/>
      <c r="H15" s="133"/>
    </row>
  </sheetData>
  <mergeCells count="3">
    <mergeCell ref="E15:H15"/>
    <mergeCell ref="M6:P6"/>
    <mergeCell ref="N8:Q8"/>
  </mergeCells>
  <hyperlinks>
    <hyperlink ref="H13" r:id="rId1" xr:uid="{48366E9A-198A-47AD-AF30-971E2ACE5ACB}"/>
  </hyperlinks>
  <pageMargins left="0.75" right="0.75" top="1" bottom="1" header="0.5" footer="0.5"/>
  <pageSetup orientation="landscape" r:id="rId2"/>
  <headerFooter alignWithMargins="0">
    <oddHeader>&amp;F</oddHeader>
    <oddFooter>&amp;A&amp;RPage &amp;P</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B19E-9079-4191-9F01-7E9D0B7CD2AE}">
  <dimension ref="B3:I22"/>
  <sheetViews>
    <sheetView workbookViewId="0">
      <selection activeCell="O25" sqref="O25"/>
    </sheetView>
  </sheetViews>
  <sheetFormatPr defaultRowHeight="13.2" x14ac:dyDescent="0.25"/>
  <cols>
    <col min="5" max="5" width="19.109375" customWidth="1"/>
  </cols>
  <sheetData>
    <row r="3" spans="2:9" x14ac:dyDescent="0.25">
      <c r="B3" s="70" t="s">
        <v>118</v>
      </c>
      <c r="C3" s="112"/>
      <c r="D3" s="112"/>
      <c r="E3" s="113"/>
      <c r="H3" s="70" t="s">
        <v>63</v>
      </c>
      <c r="I3" s="70" t="s">
        <v>19</v>
      </c>
    </row>
    <row r="4" spans="2:9" x14ac:dyDescent="0.25">
      <c r="C4" s="22" t="s">
        <v>59</v>
      </c>
      <c r="D4">
        <v>12</v>
      </c>
      <c r="E4" s="22" t="s">
        <v>64</v>
      </c>
      <c r="F4">
        <v>4000</v>
      </c>
      <c r="H4" s="21">
        <f>D6</f>
        <v>48000</v>
      </c>
      <c r="I4" s="21">
        <v>0</v>
      </c>
    </row>
    <row r="5" spans="2:9" x14ac:dyDescent="0.25">
      <c r="C5" s="22" t="s">
        <v>60</v>
      </c>
      <c r="D5">
        <v>4000</v>
      </c>
      <c r="E5" s="22"/>
      <c r="H5" s="76">
        <f>H4-$F$4</f>
        <v>44000</v>
      </c>
      <c r="I5" s="76">
        <v>1</v>
      </c>
    </row>
    <row r="6" spans="2:9" x14ac:dyDescent="0.25">
      <c r="C6" s="70" t="s">
        <v>61</v>
      </c>
      <c r="D6" s="21">
        <f>D4*D5</f>
        <v>48000</v>
      </c>
      <c r="E6" s="21" t="str">
        <f ca="1">_xlfn.FORMULATEXT(D6)</f>
        <v>=D4*D5</v>
      </c>
      <c r="H6" s="76">
        <f t="shared" ref="H6:H18" si="0">H5-$F$4</f>
        <v>40000</v>
      </c>
      <c r="I6" s="76">
        <v>2</v>
      </c>
    </row>
    <row r="7" spans="2:9" x14ac:dyDescent="0.25">
      <c r="H7" s="76">
        <f t="shared" si="0"/>
        <v>36000</v>
      </c>
      <c r="I7" s="76">
        <v>3</v>
      </c>
    </row>
    <row r="8" spans="2:9" x14ac:dyDescent="0.25">
      <c r="B8" s="70" t="s">
        <v>119</v>
      </c>
      <c r="C8" s="112"/>
      <c r="D8" s="112"/>
      <c r="E8" s="113"/>
      <c r="H8" s="76">
        <f t="shared" si="0"/>
        <v>32000</v>
      </c>
      <c r="I8" s="76">
        <v>4</v>
      </c>
    </row>
    <row r="9" spans="2:9" x14ac:dyDescent="0.25">
      <c r="C9" s="70" t="s">
        <v>62</v>
      </c>
      <c r="D9" s="21">
        <f>(H14-H13)/(I14-I13)</f>
        <v>-4000</v>
      </c>
      <c r="E9" s="21" t="str">
        <f ca="1">_xlfn.FORMULATEXT(D9)</f>
        <v>=(H14-H13)/(I14-I13)</v>
      </c>
      <c r="H9" s="76">
        <f t="shared" si="0"/>
        <v>28000</v>
      </c>
      <c r="I9" s="76">
        <v>5</v>
      </c>
    </row>
    <row r="10" spans="2:9" x14ac:dyDescent="0.25">
      <c r="H10" s="76">
        <f t="shared" si="0"/>
        <v>24000</v>
      </c>
      <c r="I10" s="76">
        <v>6</v>
      </c>
    </row>
    <row r="11" spans="2:9" x14ac:dyDescent="0.25">
      <c r="C11" s="22" t="s">
        <v>85</v>
      </c>
      <c r="H11" s="76">
        <f t="shared" si="0"/>
        <v>20000</v>
      </c>
      <c r="I11" s="76">
        <v>7</v>
      </c>
    </row>
    <row r="12" spans="2:9" x14ac:dyDescent="0.25">
      <c r="H12" s="76">
        <f t="shared" si="0"/>
        <v>16000</v>
      </c>
      <c r="I12" s="76">
        <v>8</v>
      </c>
    </row>
    <row r="13" spans="2:9" x14ac:dyDescent="0.25">
      <c r="C13" s="135" t="str">
        <f>"Demand = "&amp;D6&amp;" -  "&amp;ABS(D9)&amp;"*Price"</f>
        <v>Demand = 48000 -  4000*Price</v>
      </c>
      <c r="D13" s="135"/>
      <c r="E13" s="135"/>
      <c r="H13" s="76">
        <f t="shared" si="0"/>
        <v>12000</v>
      </c>
      <c r="I13" s="76">
        <v>9</v>
      </c>
    </row>
    <row r="14" spans="2:9" x14ac:dyDescent="0.25">
      <c r="H14" s="76">
        <f t="shared" si="0"/>
        <v>8000</v>
      </c>
      <c r="I14" s="76">
        <v>10</v>
      </c>
    </row>
    <row r="15" spans="2:9" x14ac:dyDescent="0.25">
      <c r="B15" s="22"/>
      <c r="C15" s="70" t="s">
        <v>120</v>
      </c>
      <c r="H15" s="76">
        <f t="shared" si="0"/>
        <v>4000</v>
      </c>
      <c r="I15" s="76">
        <v>11</v>
      </c>
    </row>
    <row r="16" spans="2:9" x14ac:dyDescent="0.25">
      <c r="C16" s="136" t="str">
        <f ca="1">_xlfn.FORMULATEXT(C13)</f>
        <v>="Demand = "&amp;D6&amp;" -  "&amp;ABS(D9)&amp;"*Price"</v>
      </c>
      <c r="D16" s="137"/>
      <c r="E16" s="137"/>
      <c r="H16" s="21">
        <f t="shared" si="0"/>
        <v>0</v>
      </c>
      <c r="I16" s="21">
        <v>12</v>
      </c>
    </row>
    <row r="17" spans="8:9" x14ac:dyDescent="0.25">
      <c r="H17" s="76">
        <f t="shared" si="0"/>
        <v>-4000</v>
      </c>
      <c r="I17" s="76">
        <v>13</v>
      </c>
    </row>
    <row r="18" spans="8:9" x14ac:dyDescent="0.25">
      <c r="H18" s="77">
        <f t="shared" si="0"/>
        <v>-8000</v>
      </c>
      <c r="I18" s="77">
        <v>14</v>
      </c>
    </row>
    <row r="19" spans="8:9" x14ac:dyDescent="0.25">
      <c r="H19" s="70" t="s">
        <v>122</v>
      </c>
    </row>
    <row r="20" spans="8:9" x14ac:dyDescent="0.25">
      <c r="H20" s="138" t="str">
        <f ca="1">_xlfn.FORMULATEXT(H4)</f>
        <v>=D6</v>
      </c>
    </row>
    <row r="21" spans="8:9" x14ac:dyDescent="0.25">
      <c r="H21" s="70" t="s">
        <v>121</v>
      </c>
    </row>
    <row r="22" spans="8:9" x14ac:dyDescent="0.25">
      <c r="H22" s="21" t="str">
        <f ca="1">_xlfn.FORMULATEXT(H5)</f>
        <v>=H4-$F$4</v>
      </c>
    </row>
  </sheetData>
  <mergeCells count="1">
    <mergeCell ref="C13:E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showGridLines="0" zoomScaleNormal="100" workbookViewId="0">
      <selection activeCell="B8" sqref="B8"/>
    </sheetView>
  </sheetViews>
  <sheetFormatPr defaultColWidth="9.109375" defaultRowHeight="13.2" x14ac:dyDescent="0.25"/>
  <cols>
    <col min="1" max="1" width="50.88671875" style="25" customWidth="1"/>
    <col min="2" max="2" width="12.5546875" style="25" customWidth="1"/>
    <col min="3" max="3" width="19" style="25" customWidth="1"/>
    <col min="4" max="4" width="32.5546875" style="25" customWidth="1"/>
    <col min="5" max="16384" width="9.109375" style="25"/>
  </cols>
  <sheetData>
    <row r="1" spans="1:4" ht="17.399999999999999" x14ac:dyDescent="0.3">
      <c r="A1" s="2" t="s">
        <v>34</v>
      </c>
      <c r="B1" s="24"/>
      <c r="C1" s="24"/>
    </row>
    <row r="2" spans="1:4" x14ac:dyDescent="0.25">
      <c r="A2" s="26" t="s">
        <v>0</v>
      </c>
    </row>
    <row r="3" spans="1:4" x14ac:dyDescent="0.25">
      <c r="A3" s="29" t="s">
        <v>1</v>
      </c>
      <c r="B3" s="27">
        <f>sensitivity!C3</f>
        <v>9.375</v>
      </c>
      <c r="D3" s="131" t="str">
        <f ca="1">_xlfn.FORMULATEXT(B3)</f>
        <v>=sensitivity!C3</v>
      </c>
    </row>
    <row r="4" spans="1:4" x14ac:dyDescent="0.25">
      <c r="B4" s="28"/>
    </row>
    <row r="5" spans="1:4" x14ac:dyDescent="0.25">
      <c r="A5" s="26" t="s">
        <v>2</v>
      </c>
      <c r="B5" s="29"/>
    </row>
    <row r="6" spans="1:4" x14ac:dyDescent="0.25">
      <c r="A6" s="66" t="s">
        <v>109</v>
      </c>
      <c r="B6" s="31">
        <f>'plot-setup'!K3</f>
        <v>4</v>
      </c>
      <c r="D6" s="131" t="str">
        <f t="shared" ref="D6:D8" ca="1" si="0">_xlfn.FORMULATEXT(B6)</f>
        <v>='plot-setup'!K3</v>
      </c>
    </row>
    <row r="7" spans="1:4" x14ac:dyDescent="0.25">
      <c r="A7" s="30" t="s">
        <v>4</v>
      </c>
      <c r="B7" s="31">
        <f>'plot-setup'!K4</f>
        <v>1.2</v>
      </c>
      <c r="D7" s="131" t="str">
        <f t="shared" ca="1" si="0"/>
        <v>='plot-setup'!K4</v>
      </c>
    </row>
    <row r="8" spans="1:4" x14ac:dyDescent="0.25">
      <c r="A8" s="30" t="s">
        <v>5</v>
      </c>
      <c r="B8" s="31">
        <f>'plot-setup'!K5</f>
        <v>13000</v>
      </c>
      <c r="D8" s="131" t="str">
        <f t="shared" ca="1" si="0"/>
        <v>='plot-setup'!K5</v>
      </c>
    </row>
    <row r="9" spans="1:4" x14ac:dyDescent="0.25">
      <c r="A9" s="30"/>
      <c r="B9" s="31"/>
    </row>
    <row r="10" spans="1:4" x14ac:dyDescent="0.25">
      <c r="A10" s="1" t="s">
        <v>71</v>
      </c>
    </row>
    <row r="11" spans="1:4" ht="13.8" x14ac:dyDescent="0.3">
      <c r="A11" s="66" t="s">
        <v>86</v>
      </c>
      <c r="B11" s="32">
        <f>B12+B13*B3</f>
        <v>10500</v>
      </c>
      <c r="C11" s="33" t="s">
        <v>18</v>
      </c>
      <c r="D11" s="131" t="str">
        <f ca="1">_xlfn.FORMULATEXT(B11)</f>
        <v>=B12+B13*B3</v>
      </c>
    </row>
    <row r="12" spans="1:4" x14ac:dyDescent="0.25">
      <c r="A12" s="67" t="s">
        <v>54</v>
      </c>
      <c r="B12" s="34">
        <f>demand!D6</f>
        <v>48000</v>
      </c>
      <c r="D12" s="131" t="str">
        <f ca="1">_xlfn.FORMULATEXT(B12)</f>
        <v>=demand!D6</v>
      </c>
    </row>
    <row r="13" spans="1:4" x14ac:dyDescent="0.25">
      <c r="A13" s="67" t="s">
        <v>55</v>
      </c>
      <c r="B13" s="34">
        <f>demand!D9</f>
        <v>-4000</v>
      </c>
      <c r="D13" s="131" t="str">
        <f ca="1">_xlfn.FORMULATEXT(B13)</f>
        <v>=demand!D9</v>
      </c>
    </row>
    <row r="14" spans="1:4" x14ac:dyDescent="0.25">
      <c r="A14" s="66" t="s">
        <v>72</v>
      </c>
      <c r="B14" s="35">
        <f>B15*(B11/1000)^2+B16*(B11/1000)</f>
        <v>17.644456989296408</v>
      </c>
      <c r="D14" s="131" t="str">
        <f ca="1">_xlfn.FORMULATEXT(B14)</f>
        <v>=B15*(B11/1000)^2+B16*(B11/1000)</v>
      </c>
    </row>
    <row r="15" spans="1:4" x14ac:dyDescent="0.25">
      <c r="A15" s="67" t="s">
        <v>56</v>
      </c>
      <c r="B15" s="34">
        <f>cost!I4</f>
        <v>7.1170179732592986E-2</v>
      </c>
      <c r="C15" s="69" t="s">
        <v>81</v>
      </c>
      <c r="D15" s="131" t="str">
        <f t="shared" ref="D15:D22" ca="1" si="1">_xlfn.FORMULATEXT(B15)</f>
        <v>=cost!I4</v>
      </c>
    </row>
    <row r="16" spans="1:4" x14ac:dyDescent="0.25">
      <c r="A16" s="67" t="s">
        <v>57</v>
      </c>
      <c r="B16" s="34">
        <f>cost!J4</f>
        <v>0.93313758797886004</v>
      </c>
      <c r="C16" s="130" t="s">
        <v>82</v>
      </c>
      <c r="D16" s="131" t="str">
        <f t="shared" ca="1" si="1"/>
        <v>=cost!J4</v>
      </c>
    </row>
    <row r="17" spans="1:4" x14ac:dyDescent="0.25">
      <c r="A17" s="36" t="s">
        <v>7</v>
      </c>
      <c r="B17" s="37">
        <f>B11*B3</f>
        <v>98437.5</v>
      </c>
      <c r="D17" s="131" t="str">
        <f t="shared" ca="1" si="1"/>
        <v>=B11*B3</v>
      </c>
    </row>
    <row r="18" spans="1:4" x14ac:dyDescent="0.25">
      <c r="A18" s="30" t="s">
        <v>8</v>
      </c>
      <c r="B18" s="38">
        <f>B11*(B6+B7)</f>
        <v>54600</v>
      </c>
      <c r="D18" s="131" t="str">
        <f t="shared" ca="1" si="1"/>
        <v>=B11*(B6+B7)</v>
      </c>
    </row>
    <row r="19" spans="1:4" x14ac:dyDescent="0.25">
      <c r="A19" s="30" t="s">
        <v>15</v>
      </c>
      <c r="B19" s="90">
        <f>B14*1000</f>
        <v>17644.45698929641</v>
      </c>
      <c r="D19" s="131" t="str">
        <f t="shared" ca="1" si="1"/>
        <v>=B14*1000</v>
      </c>
    </row>
    <row r="20" spans="1:4" x14ac:dyDescent="0.25">
      <c r="A20" s="30" t="s">
        <v>5</v>
      </c>
      <c r="B20" s="38">
        <f>B8</f>
        <v>13000</v>
      </c>
      <c r="D20" s="131" t="str">
        <f t="shared" ca="1" si="1"/>
        <v>=B8</v>
      </c>
    </row>
    <row r="21" spans="1:4" x14ac:dyDescent="0.25">
      <c r="A21" s="36" t="s">
        <v>9</v>
      </c>
      <c r="B21" s="39">
        <f>SUM(B18:B20)</f>
        <v>85244.456989296406</v>
      </c>
      <c r="D21" s="131" t="str">
        <f t="shared" ca="1" si="1"/>
        <v>=SUM(B18:B20)</v>
      </c>
    </row>
    <row r="22" spans="1:4" x14ac:dyDescent="0.25">
      <c r="A22" s="129" t="s">
        <v>10</v>
      </c>
      <c r="B22" s="40">
        <f>B17-B21</f>
        <v>13193.043010703594</v>
      </c>
      <c r="D22" s="131" t="str">
        <f t="shared" ca="1" si="1"/>
        <v>=B17-B21</v>
      </c>
    </row>
  </sheetData>
  <pageMargins left="0.75" right="0.75" top="1" bottom="1" header="0.5" footer="0.5"/>
  <pageSetup orientation="landscape" horizontalDpi="300" verticalDpi="300" r:id="rId1"/>
  <headerFooter alignWithMargins="0">
    <oddFooter>&amp;A&amp;RPage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0"/>
  <sheetViews>
    <sheetView workbookViewId="0">
      <selection activeCell="F11" sqref="F11"/>
    </sheetView>
  </sheetViews>
  <sheetFormatPr defaultRowHeight="13.2" x14ac:dyDescent="0.25"/>
  <cols>
    <col min="2" max="2" width="13.21875" customWidth="1"/>
    <col min="3" max="3" width="11.88671875" customWidth="1"/>
    <col min="4" max="4" width="13.109375" customWidth="1"/>
    <col min="5" max="5" width="12.6640625" customWidth="1"/>
    <col min="6" max="6" width="13.6640625" customWidth="1"/>
    <col min="7" max="14" width="12.6640625" customWidth="1"/>
  </cols>
  <sheetData>
    <row r="1" spans="1:12" ht="17.399999999999999" x14ac:dyDescent="0.3">
      <c r="A1" s="101" t="s">
        <v>93</v>
      </c>
      <c r="C1" s="102"/>
    </row>
    <row r="2" spans="1:12" x14ac:dyDescent="0.25">
      <c r="B2" s="103"/>
      <c r="C2" s="18"/>
    </row>
    <row r="3" spans="1:12" x14ac:dyDescent="0.25">
      <c r="B3" s="18" t="str">
        <f>profit!A3</f>
        <v>Pie Price</v>
      </c>
      <c r="C3" s="104">
        <f>F11</f>
        <v>9.375</v>
      </c>
    </row>
    <row r="4" spans="1:12" x14ac:dyDescent="0.25">
      <c r="B4" s="18"/>
      <c r="C4" s="18"/>
    </row>
    <row r="5" spans="1:12" ht="13.8" thickBot="1" x14ac:dyDescent="0.3">
      <c r="B5" s="119" t="str">
        <f>B3</f>
        <v>Pie Price</v>
      </c>
      <c r="C5" s="120" t="str">
        <f>profit!A22</f>
        <v>Profit</v>
      </c>
      <c r="E5" s="74" t="s">
        <v>101</v>
      </c>
      <c r="F5" s="118">
        <v>12</v>
      </c>
      <c r="G5" s="18"/>
      <c r="H5" s="18"/>
      <c r="I5" s="18"/>
      <c r="J5" s="18"/>
      <c r="K5" s="18"/>
      <c r="L5" s="18"/>
    </row>
    <row r="6" spans="1:12" x14ac:dyDescent="0.25">
      <c r="B6" s="121"/>
      <c r="C6" s="122">
        <f>profit!B22</f>
        <v>13193.043010703594</v>
      </c>
      <c r="E6" s="74" t="s">
        <v>102</v>
      </c>
      <c r="F6" s="118">
        <v>5</v>
      </c>
      <c r="G6" s="18"/>
      <c r="H6" s="18"/>
      <c r="I6" s="18"/>
      <c r="J6" s="18"/>
      <c r="K6" s="18"/>
      <c r="L6" s="18"/>
    </row>
    <row r="7" spans="1:12" x14ac:dyDescent="0.25">
      <c r="B7" s="123">
        <f>F6</f>
        <v>5</v>
      </c>
      <c r="C7" s="124">
        <f t="dataTable" ref="C7:C15" dt2D="0" dtr="0" r1="C3"/>
        <v>-100525.27337376098</v>
      </c>
      <c r="E7" s="74" t="s">
        <v>103</v>
      </c>
      <c r="F7" s="118">
        <v>9</v>
      </c>
      <c r="G7" s="18"/>
      <c r="H7" s="18"/>
      <c r="I7" s="18"/>
      <c r="J7" s="18"/>
      <c r="K7" s="18"/>
      <c r="L7" s="18"/>
    </row>
    <row r="8" spans="1:12" x14ac:dyDescent="0.25">
      <c r="B8" s="123">
        <f>B7+$F$8</f>
        <v>5.875</v>
      </c>
      <c r="C8" s="124">
        <v>-62044.271289971017</v>
      </c>
      <c r="E8" s="74" t="s">
        <v>104</v>
      </c>
      <c r="F8" s="118">
        <f>( F5 - F6 ) / (F7-1)</f>
        <v>0.875</v>
      </c>
      <c r="G8" s="18"/>
      <c r="H8" s="18"/>
      <c r="I8" s="18"/>
      <c r="J8" s="18"/>
      <c r="K8" s="18"/>
      <c r="L8" s="18"/>
    </row>
    <row r="9" spans="1:12" x14ac:dyDescent="0.25">
      <c r="B9" s="123">
        <f>B8+$F$8</f>
        <v>6.75</v>
      </c>
      <c r="C9" s="124">
        <v>-31431.938609629578</v>
      </c>
      <c r="E9" s="18"/>
      <c r="F9" s="18"/>
      <c r="G9" s="18"/>
      <c r="H9" s="18"/>
      <c r="I9" s="18"/>
      <c r="J9" s="18"/>
      <c r="K9" s="18"/>
      <c r="L9" s="18"/>
    </row>
    <row r="10" spans="1:12" x14ac:dyDescent="0.25">
      <c r="B10" s="123">
        <f>B9+$F$8</f>
        <v>7.625</v>
      </c>
      <c r="C10" s="124">
        <v>-8688.2753327366663</v>
      </c>
      <c r="E10" s="70" t="s">
        <v>94</v>
      </c>
      <c r="F10" s="108">
        <f>MAX(C7:C15)</f>
        <v>13193.043010703594</v>
      </c>
      <c r="G10" s="18"/>
      <c r="H10" s="18"/>
      <c r="I10" s="18"/>
      <c r="J10" s="18"/>
      <c r="K10" s="18"/>
      <c r="L10" s="18"/>
    </row>
    <row r="11" spans="1:12" x14ac:dyDescent="0.25">
      <c r="B11" s="123">
        <f>B10+$F$8</f>
        <v>8.5</v>
      </c>
      <c r="C11" s="124">
        <v>6186.7185407077341</v>
      </c>
      <c r="E11" s="70" t="s">
        <v>110</v>
      </c>
      <c r="F11" s="21">
        <f>INDEX( B7:B15, MATCH( F10, C7:C15, 0 ) )</f>
        <v>9.375</v>
      </c>
      <c r="G11" s="18"/>
      <c r="H11" s="18"/>
      <c r="I11" s="18"/>
      <c r="J11" s="18"/>
      <c r="K11" s="18"/>
      <c r="L11" s="18"/>
    </row>
    <row r="12" spans="1:12" x14ac:dyDescent="0.25">
      <c r="B12" s="123">
        <f>B11+$F$8</f>
        <v>9.375</v>
      </c>
      <c r="C12" s="124">
        <v>13193.043010703594</v>
      </c>
      <c r="E12" s="18"/>
      <c r="F12" s="18"/>
      <c r="G12" s="18"/>
      <c r="H12" s="18"/>
      <c r="I12" s="18"/>
      <c r="J12" s="18"/>
      <c r="K12" s="18"/>
      <c r="L12" s="18"/>
    </row>
    <row r="13" spans="1:12" x14ac:dyDescent="0.25">
      <c r="B13" s="123">
        <f>B12+$F$8</f>
        <v>10.25</v>
      </c>
      <c r="C13" s="124">
        <v>12330.698077250927</v>
      </c>
      <c r="F13" s="18"/>
      <c r="G13" s="18"/>
      <c r="H13" s="18"/>
      <c r="I13" s="18"/>
      <c r="J13" s="18"/>
      <c r="K13" s="18"/>
      <c r="L13" s="18"/>
    </row>
    <row r="14" spans="1:12" x14ac:dyDescent="0.25">
      <c r="B14" s="123">
        <f>B13+$F$8</f>
        <v>11.125</v>
      </c>
      <c r="C14" s="124">
        <v>3599.6837403497266</v>
      </c>
      <c r="F14" s="18"/>
      <c r="G14" s="18"/>
      <c r="H14" s="18"/>
      <c r="I14" s="18"/>
      <c r="J14" s="18"/>
      <c r="K14" s="18"/>
      <c r="L14" s="18"/>
    </row>
    <row r="15" spans="1:12" ht="13.8" thickBot="1" x14ac:dyDescent="0.3">
      <c r="B15" s="125">
        <f>B14+$F$8</f>
        <v>12</v>
      </c>
      <c r="C15" s="126">
        <v>-13000</v>
      </c>
      <c r="E15" s="18"/>
      <c r="F15" s="18"/>
      <c r="G15" s="18"/>
      <c r="H15" s="18"/>
      <c r="I15" s="18"/>
      <c r="J15" s="18"/>
      <c r="K15" s="18"/>
      <c r="L15" s="18"/>
    </row>
    <row r="16" spans="1:12" x14ac:dyDescent="0.25">
      <c r="B16" s="18"/>
      <c r="C16" s="18"/>
      <c r="E16" s="18"/>
      <c r="F16" s="18"/>
      <c r="G16" s="18"/>
      <c r="H16" s="18"/>
      <c r="I16" s="18"/>
      <c r="J16" s="18"/>
      <c r="K16" s="18"/>
      <c r="L16" s="18"/>
    </row>
    <row r="17" spans="2:12" x14ac:dyDescent="0.25">
      <c r="B17" s="70" t="s">
        <v>107</v>
      </c>
      <c r="C17" s="128" t="s">
        <v>105</v>
      </c>
      <c r="E17" s="18"/>
      <c r="F17" s="70" t="s">
        <v>106</v>
      </c>
      <c r="G17" s="18"/>
      <c r="H17" s="18"/>
      <c r="I17" s="18"/>
      <c r="J17" s="18"/>
      <c r="K17" s="18"/>
      <c r="L17" s="18"/>
    </row>
    <row r="18" spans="2:12" x14ac:dyDescent="0.25">
      <c r="B18" s="21" t="str">
        <f ca="1">_xlfn.FORMULATEXT(B7)</f>
        <v>=F6</v>
      </c>
      <c r="C18" s="113" t="str">
        <f ca="1">_xlfn.FORMULATEXT(C6)</f>
        <v>=profit!B22</v>
      </c>
      <c r="E18" s="18"/>
      <c r="F18" s="127" t="str">
        <f ca="1">_xlfn.FORMULATEXT(F8)</f>
        <v>=( F5 - F6 ) / (F7-1)</v>
      </c>
      <c r="G18" s="18"/>
      <c r="H18" s="18"/>
      <c r="I18" s="18"/>
      <c r="J18" s="18"/>
      <c r="K18" s="18"/>
      <c r="L18" s="18"/>
    </row>
    <row r="19" spans="2:12" x14ac:dyDescent="0.25">
      <c r="B19" s="70" t="s">
        <v>108</v>
      </c>
      <c r="E19" s="18"/>
      <c r="F19" s="18"/>
      <c r="G19" s="18"/>
      <c r="H19" s="18"/>
      <c r="I19" s="18"/>
      <c r="J19" s="18"/>
      <c r="K19" s="18"/>
      <c r="L19" s="18"/>
    </row>
    <row r="20" spans="2:12" x14ac:dyDescent="0.25">
      <c r="B20" s="21" t="str">
        <f ca="1">_xlfn.FORMULATEXT(B8)</f>
        <v>=B7+$F$8</v>
      </c>
      <c r="E20" s="18"/>
      <c r="F20" s="18"/>
      <c r="G20" s="18"/>
      <c r="H20" s="18"/>
      <c r="I20" s="18"/>
      <c r="J20" s="18"/>
      <c r="K20" s="18"/>
      <c r="L20" s="18"/>
    </row>
  </sheetData>
  <printOptions headings="1" gridLines="1"/>
  <pageMargins left="0.75" right="0.75" top="1" bottom="1" header="0.5" footer="0.5"/>
  <pageSetup orientation="landscape" r:id="rId1"/>
  <headerFooter alignWithMargins="0">
    <oddHeader>&amp;F</oddHeader>
    <oddFooter>&amp;A&amp;RPage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C87A-5BEE-461B-AC97-2F004BB2190B}">
  <dimension ref="B2:K9"/>
  <sheetViews>
    <sheetView workbookViewId="0">
      <selection activeCell="K3" sqref="K3:K5"/>
    </sheetView>
  </sheetViews>
  <sheetFormatPr defaultRowHeight="13.2" x14ac:dyDescent="0.25"/>
  <cols>
    <col min="11" max="11" width="15.88671875" customWidth="1"/>
  </cols>
  <sheetData>
    <row r="2" spans="2:11" x14ac:dyDescent="0.25">
      <c r="B2" s="105" t="s">
        <v>98</v>
      </c>
      <c r="C2" s="115" t="s">
        <v>74</v>
      </c>
      <c r="D2" s="116"/>
      <c r="E2" s="116"/>
      <c r="F2" s="117"/>
    </row>
    <row r="3" spans="2:11" x14ac:dyDescent="0.25">
      <c r="B3" s="105" t="s">
        <v>99</v>
      </c>
      <c r="C3" s="114" t="str">
        <f>sensitivity!C5</f>
        <v>Profit</v>
      </c>
      <c r="D3" s="114"/>
      <c r="E3" s="114"/>
      <c r="F3" s="114"/>
      <c r="H3" t="str">
        <f>profit!A6</f>
        <v>Filling cost/pie</v>
      </c>
      <c r="I3" s="147">
        <v>100</v>
      </c>
      <c r="J3" s="140">
        <v>3</v>
      </c>
      <c r="K3" s="163">
        <f>'plot-setup'!J3 + 'plot-setup'!I3/100</f>
        <v>4</v>
      </c>
    </row>
    <row r="4" spans="2:11" x14ac:dyDescent="0.25">
      <c r="B4" s="105" t="s">
        <v>100</v>
      </c>
      <c r="C4" s="114" t="str">
        <f>sensitivity!B3</f>
        <v>Pie Price</v>
      </c>
      <c r="D4" s="114"/>
      <c r="E4" s="114"/>
      <c r="F4" s="114"/>
      <c r="H4" t="str">
        <f>profit!A7</f>
        <v>Dough costs/pie</v>
      </c>
      <c r="I4" s="142">
        <v>100</v>
      </c>
      <c r="J4" s="140">
        <v>0.2</v>
      </c>
      <c r="K4" s="163">
        <f>'plot-setup'!J4 + 'plot-setup'!I4/100</f>
        <v>1.2</v>
      </c>
    </row>
    <row r="5" spans="2:11" x14ac:dyDescent="0.25">
      <c r="B5" s="107" t="s">
        <v>94</v>
      </c>
      <c r="C5" s="110">
        <f>MAX(sensitivity!C7:C15)</f>
        <v>13193.043010703594</v>
      </c>
      <c r="H5" t="str">
        <f>profit!A8</f>
        <v>Fixed Cost</v>
      </c>
      <c r="I5" s="140">
        <v>100</v>
      </c>
      <c r="J5" s="140">
        <v>11000</v>
      </c>
      <c r="K5" s="163">
        <f>'plot-setup'!J5 + 20*  'plot-setup'!I5</f>
        <v>13000</v>
      </c>
    </row>
    <row r="6" spans="2:11" x14ac:dyDescent="0.25">
      <c r="B6" s="109" t="s">
        <v>92</v>
      </c>
      <c r="C6" s="106">
        <f>INDEX(sensitivity!B7:B15, MATCH(C5, sensitivity!C7:C15, 0 ))</f>
        <v>9.375</v>
      </c>
    </row>
    <row r="7" spans="2:11" x14ac:dyDescent="0.25">
      <c r="B7" s="107" t="str">
        <f>B5</f>
        <v>max profit</v>
      </c>
      <c r="C7" s="111" t="s">
        <v>95</v>
      </c>
      <c r="D7" s="41" t="s">
        <v>97</v>
      </c>
    </row>
    <row r="8" spans="2:11" x14ac:dyDescent="0.25">
      <c r="B8" s="107" t="s">
        <v>96</v>
      </c>
      <c r="C8" s="106">
        <f>C6</f>
        <v>9.375</v>
      </c>
      <c r="D8" s="75">
        <v>0</v>
      </c>
    </row>
    <row r="9" spans="2:11" x14ac:dyDescent="0.25">
      <c r="B9" s="107" t="s">
        <v>27</v>
      </c>
      <c r="C9" s="110">
        <f>C6</f>
        <v>9.375</v>
      </c>
      <c r="D9" s="110">
        <f>C5</f>
        <v>13193.043010703594</v>
      </c>
    </row>
  </sheetData>
  <mergeCells count="3">
    <mergeCell ref="C2:F2"/>
    <mergeCell ref="C3:F3"/>
    <mergeCell ref="C4:F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2"/>
  <sheetViews>
    <sheetView workbookViewId="0">
      <selection activeCell="B3" sqref="B3"/>
    </sheetView>
  </sheetViews>
  <sheetFormatPr defaultRowHeight="13.2" x14ac:dyDescent="0.25"/>
  <cols>
    <col min="1" max="1" width="34.5546875" customWidth="1"/>
    <col min="2" max="2" width="20.44140625" customWidth="1"/>
    <col min="3" max="3" width="15.5546875" customWidth="1"/>
  </cols>
  <sheetData>
    <row r="1" spans="1:9" ht="17.399999999999999" x14ac:dyDescent="0.3">
      <c r="A1" s="2" t="s">
        <v>34</v>
      </c>
      <c r="B1" s="3"/>
      <c r="C1" s="3"/>
    </row>
    <row r="2" spans="1:9" x14ac:dyDescent="0.25">
      <c r="A2" s="1" t="s">
        <v>0</v>
      </c>
    </row>
    <row r="3" spans="1:9" x14ac:dyDescent="0.25">
      <c r="A3" t="s">
        <v>1</v>
      </c>
      <c r="B3" s="11">
        <v>11.617157231283269</v>
      </c>
    </row>
    <row r="4" spans="1:9" x14ac:dyDescent="0.25">
      <c r="B4" s="20"/>
    </row>
    <row r="5" spans="1:9" x14ac:dyDescent="0.25">
      <c r="A5" s="1" t="s">
        <v>2</v>
      </c>
      <c r="B5" s="5"/>
    </row>
    <row r="6" spans="1:9" x14ac:dyDescent="0.25">
      <c r="A6" s="4" t="s">
        <v>3</v>
      </c>
      <c r="B6" s="9">
        <v>3.48</v>
      </c>
    </row>
    <row r="7" spans="1:9" x14ac:dyDescent="0.25">
      <c r="A7" s="4" t="s">
        <v>4</v>
      </c>
      <c r="B7" s="9">
        <v>0.3</v>
      </c>
    </row>
    <row r="8" spans="1:9" x14ac:dyDescent="0.25">
      <c r="A8" s="4" t="s">
        <v>5</v>
      </c>
      <c r="B8" s="9">
        <v>12000</v>
      </c>
    </row>
    <row r="9" spans="1:9" x14ac:dyDescent="0.25">
      <c r="A9" s="4"/>
      <c r="B9" s="9"/>
    </row>
    <row r="10" spans="1:9" x14ac:dyDescent="0.25">
      <c r="A10" s="1" t="s">
        <v>6</v>
      </c>
    </row>
    <row r="11" spans="1:9" x14ac:dyDescent="0.25">
      <c r="A11" s="4" t="s">
        <v>16</v>
      </c>
      <c r="B11" s="14">
        <f>B12+B13*B3</f>
        <v>1531.3710748669255</v>
      </c>
    </row>
    <row r="12" spans="1:9" x14ac:dyDescent="0.25">
      <c r="A12" s="10" t="s">
        <v>11</v>
      </c>
      <c r="B12" s="8">
        <v>48000</v>
      </c>
      <c r="D12" s="60" t="s">
        <v>45</v>
      </c>
      <c r="E12" s="61" t="s">
        <v>10</v>
      </c>
      <c r="F12" s="62">
        <f>B22</f>
        <v>-1594.2973894554343</v>
      </c>
      <c r="G12" t="s">
        <v>46</v>
      </c>
      <c r="I12" s="22" t="s">
        <v>47</v>
      </c>
    </row>
    <row r="13" spans="1:9" ht="15.6" x14ac:dyDescent="0.25">
      <c r="A13" s="10" t="s">
        <v>12</v>
      </c>
      <c r="B13" s="8">
        <v>-4000</v>
      </c>
      <c r="D13" s="63" t="s">
        <v>48</v>
      </c>
      <c r="E13" s="64" t="s">
        <v>49</v>
      </c>
      <c r="F13" s="62">
        <v>0</v>
      </c>
      <c r="G13" t="s">
        <v>50</v>
      </c>
      <c r="I13" s="22" t="s">
        <v>51</v>
      </c>
    </row>
    <row r="14" spans="1:9" x14ac:dyDescent="0.25">
      <c r="A14" s="4" t="s">
        <v>17</v>
      </c>
      <c r="B14" s="16">
        <f>B15*(B11/1000)^2+B16*(B11/1000)</f>
        <v>1.5958932826267911</v>
      </c>
      <c r="D14" s="60"/>
      <c r="E14" s="65" t="s">
        <v>19</v>
      </c>
      <c r="F14" s="62">
        <v>4.1661159919794342</v>
      </c>
      <c r="G14" t="s">
        <v>52</v>
      </c>
      <c r="I14" s="22" t="s">
        <v>53</v>
      </c>
    </row>
    <row r="15" spans="1:9" x14ac:dyDescent="0.25">
      <c r="A15" s="10" t="s">
        <v>14</v>
      </c>
      <c r="B15" s="8">
        <v>7.1199999999999999E-2</v>
      </c>
    </row>
    <row r="16" spans="1:9" x14ac:dyDescent="0.25">
      <c r="A16" s="10" t="s">
        <v>13</v>
      </c>
      <c r="B16" s="8">
        <v>0.93310000000000004</v>
      </c>
    </row>
    <row r="17" spans="1:2" x14ac:dyDescent="0.25">
      <c r="A17" s="19" t="s">
        <v>7</v>
      </c>
      <c r="B17" s="12">
        <f>B11*B3</f>
        <v>17790.178556168335</v>
      </c>
    </row>
    <row r="18" spans="1:2" x14ac:dyDescent="0.25">
      <c r="A18" s="4" t="s">
        <v>8</v>
      </c>
      <c r="B18" s="17">
        <f>B11*(B6+B7)</f>
        <v>5788.5826629969779</v>
      </c>
    </row>
    <row r="19" spans="1:2" x14ac:dyDescent="0.25">
      <c r="A19" s="4" t="s">
        <v>15</v>
      </c>
      <c r="B19" s="16">
        <f>B14*1000</f>
        <v>1595.893282626791</v>
      </c>
    </row>
    <row r="20" spans="1:2" x14ac:dyDescent="0.25">
      <c r="A20" s="4" t="s">
        <v>5</v>
      </c>
      <c r="B20" s="17">
        <f>B8</f>
        <v>12000</v>
      </c>
    </row>
    <row r="21" spans="1:2" x14ac:dyDescent="0.25">
      <c r="A21" s="1" t="s">
        <v>9</v>
      </c>
      <c r="B21" s="13">
        <f>SUM(B18:B20)</f>
        <v>19384.47594562377</v>
      </c>
    </row>
    <row r="22" spans="1:2" x14ac:dyDescent="0.25">
      <c r="A22" s="1" t="s">
        <v>10</v>
      </c>
      <c r="B22" s="15">
        <f>B17-B21</f>
        <v>-1594.2973894554343</v>
      </c>
    </row>
  </sheetData>
  <pageMargins left="0.75" right="0.75" top="1" bottom="1" header="0.5" footer="0.5"/>
  <pageSetup orientation="portrait" r:id="rId1"/>
  <headerFooter alignWithMargins="0">
    <oddHeader>&amp;F</oddHeader>
    <oddFooter>&amp;A&amp;RPage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ECE5-9442-422F-B6D6-751B4ED23DBE}">
  <dimension ref="A1:Q41"/>
  <sheetViews>
    <sheetView showGridLines="0" zoomScaleNormal="100" workbookViewId="0"/>
  </sheetViews>
  <sheetFormatPr defaultColWidth="9.109375" defaultRowHeight="13.2" x14ac:dyDescent="0.25"/>
  <cols>
    <col min="1" max="1" width="38.33203125" style="25" customWidth="1"/>
    <col min="2" max="2" width="21.5546875" style="25" customWidth="1"/>
    <col min="3" max="3" width="34" style="25" customWidth="1"/>
    <col min="4" max="4" width="17.109375" style="25" customWidth="1"/>
    <col min="5" max="5" width="17" style="25" customWidth="1"/>
    <col min="6" max="6" width="18.5546875" style="25" customWidth="1"/>
    <col min="7" max="7" width="9.109375" style="25"/>
    <col min="8" max="8" width="11" style="29" customWidth="1"/>
    <col min="9" max="9" width="9.109375" style="25"/>
    <col min="10" max="10" width="13.88671875" style="25" customWidth="1"/>
    <col min="11" max="15" width="9.109375" style="25"/>
    <col min="16" max="16" width="12.33203125" style="25" bestFit="1" customWidth="1"/>
    <col min="17" max="16384" width="9.109375" style="25"/>
  </cols>
  <sheetData>
    <row r="1" spans="1:17" ht="17.399999999999999" x14ac:dyDescent="0.3">
      <c r="A1" s="2" t="s">
        <v>68</v>
      </c>
      <c r="B1" s="24"/>
      <c r="C1" s="24"/>
    </row>
    <row r="2" spans="1:17" x14ac:dyDescent="0.25">
      <c r="A2" s="22"/>
      <c r="B2" s="71" t="s">
        <v>69</v>
      </c>
      <c r="C2" s="72">
        <v>0</v>
      </c>
      <c r="D2" s="72">
        <v>1</v>
      </c>
      <c r="E2" s="72">
        <v>2</v>
      </c>
      <c r="F2" s="72">
        <v>3</v>
      </c>
      <c r="H2" s="41" t="s">
        <v>73</v>
      </c>
      <c r="J2" s="22" t="s">
        <v>87</v>
      </c>
    </row>
    <row r="3" spans="1:17" x14ac:dyDescent="0.25">
      <c r="B3" s="26" t="s">
        <v>0</v>
      </c>
    </row>
    <row r="4" spans="1:17" x14ac:dyDescent="0.25">
      <c r="B4" s="22" t="s">
        <v>75</v>
      </c>
      <c r="D4" s="27">
        <v>9</v>
      </c>
      <c r="E4" s="28">
        <f>D4*(1+$H4)</f>
        <v>9.18</v>
      </c>
      <c r="F4" s="28">
        <f>E4*(1+$H4)</f>
        <v>9.3635999999999999</v>
      </c>
      <c r="H4" s="93">
        <v>0.02</v>
      </c>
      <c r="N4" s="60" t="s">
        <v>45</v>
      </c>
      <c r="O4" s="61" t="s">
        <v>80</v>
      </c>
      <c r="P4" s="92">
        <f>C27</f>
        <v>372565.12548633479</v>
      </c>
      <c r="Q4" t="s">
        <v>46</v>
      </c>
    </row>
    <row r="5" spans="1:17" ht="15.6" x14ac:dyDescent="0.25">
      <c r="D5" s="28"/>
      <c r="E5" s="28"/>
      <c r="F5" s="28"/>
      <c r="N5" s="63" t="s">
        <v>48</v>
      </c>
      <c r="O5" s="64" t="s">
        <v>83</v>
      </c>
      <c r="P5" s="62">
        <v>0</v>
      </c>
      <c r="Q5" t="s">
        <v>50</v>
      </c>
    </row>
    <row r="6" spans="1:17" x14ac:dyDescent="0.25">
      <c r="B6" s="26" t="s">
        <v>2</v>
      </c>
      <c r="D6" s="29"/>
      <c r="E6" s="29"/>
      <c r="F6" s="29"/>
      <c r="N6" s="60"/>
      <c r="O6" s="65" t="s">
        <v>19</v>
      </c>
      <c r="P6" s="91" t="s">
        <v>84</v>
      </c>
      <c r="Q6" t="s">
        <v>52</v>
      </c>
    </row>
    <row r="7" spans="1:17" x14ac:dyDescent="0.25">
      <c r="B7" s="30" t="s">
        <v>3</v>
      </c>
      <c r="C7" s="25">
        <v>3.48</v>
      </c>
      <c r="D7" s="31">
        <f>C7*(1+$H7)</f>
        <v>3.7236000000000002</v>
      </c>
      <c r="E7" s="31">
        <f t="shared" ref="E7:F7" si="0">D7*(1+$H7)</f>
        <v>3.9842520000000006</v>
      </c>
      <c r="F7" s="31">
        <f t="shared" si="0"/>
        <v>4.2631496400000009</v>
      </c>
      <c r="H7" s="94">
        <v>7.0000000000000007E-2</v>
      </c>
    </row>
    <row r="8" spans="1:17" x14ac:dyDescent="0.25">
      <c r="B8" s="30" t="s">
        <v>4</v>
      </c>
      <c r="C8" s="25">
        <v>0.3</v>
      </c>
      <c r="D8" s="31">
        <f t="shared" ref="D8:F8" si="1">C8*(1+$H8)</f>
        <v>0.315</v>
      </c>
      <c r="E8" s="31">
        <f t="shared" si="1"/>
        <v>0.33075000000000004</v>
      </c>
      <c r="F8" s="31">
        <f t="shared" si="1"/>
        <v>0.34728750000000008</v>
      </c>
      <c r="H8" s="93">
        <v>0.05</v>
      </c>
    </row>
    <row r="9" spans="1:17" x14ac:dyDescent="0.25">
      <c r="B9" s="30" t="s">
        <v>5</v>
      </c>
      <c r="C9" s="25">
        <f>12000*52</f>
        <v>624000</v>
      </c>
      <c r="D9" s="31">
        <f t="shared" ref="D9:F9" si="2">C9*(1+$H9)</f>
        <v>636480</v>
      </c>
      <c r="E9" s="31">
        <f t="shared" si="2"/>
        <v>649209.59999999998</v>
      </c>
      <c r="F9" s="31">
        <f t="shared" si="2"/>
        <v>662193.79200000002</v>
      </c>
      <c r="H9" s="93">
        <v>0.02</v>
      </c>
    </row>
    <row r="10" spans="1:17" x14ac:dyDescent="0.25">
      <c r="B10" s="30"/>
      <c r="D10" s="31"/>
      <c r="E10" s="31"/>
      <c r="F10" s="31"/>
    </row>
    <row r="11" spans="1:17" x14ac:dyDescent="0.25">
      <c r="B11" s="1" t="s">
        <v>71</v>
      </c>
    </row>
    <row r="12" spans="1:17" ht="13.8" x14ac:dyDescent="0.3">
      <c r="B12" s="66" t="s">
        <v>86</v>
      </c>
      <c r="D12" s="32">
        <f>((D13+D14*D4)*52)</f>
        <v>624000</v>
      </c>
      <c r="E12" s="32">
        <f t="shared" ref="E12:F12" si="3">((E13+E14*E4)*52)</f>
        <v>586560</v>
      </c>
      <c r="F12" s="32">
        <f t="shared" si="3"/>
        <v>548371.19999999995</v>
      </c>
      <c r="J12" s="33" t="s">
        <v>18</v>
      </c>
    </row>
    <row r="13" spans="1:17" x14ac:dyDescent="0.25">
      <c r="B13" s="67" t="s">
        <v>54</v>
      </c>
      <c r="D13" s="34">
        <f>48000</f>
        <v>48000</v>
      </c>
      <c r="E13" s="34">
        <v>48000</v>
      </c>
      <c r="F13" s="34">
        <v>48000</v>
      </c>
    </row>
    <row r="14" spans="1:17" x14ac:dyDescent="0.25">
      <c r="B14" s="67" t="s">
        <v>55</v>
      </c>
      <c r="D14" s="34">
        <v>-4000</v>
      </c>
      <c r="E14" s="34">
        <v>-4000</v>
      </c>
      <c r="F14" s="34">
        <v>-4000</v>
      </c>
    </row>
    <row r="15" spans="1:17" x14ac:dyDescent="0.25">
      <c r="B15" s="66" t="s">
        <v>72</v>
      </c>
      <c r="D15" s="35">
        <f>D16*(D12/52000)^2+D17*(D12/52000)</f>
        <v>21.44615693723971</v>
      </c>
      <c r="E15" s="35">
        <f t="shared" ref="E15:F15" si="4">E16*(E12/52000)^2+E17*(E12/52000)</f>
        <v>19.581371789289101</v>
      </c>
      <c r="F15" s="35">
        <f t="shared" si="4"/>
        <v>17.755308615845099</v>
      </c>
    </row>
    <row r="16" spans="1:17" x14ac:dyDescent="0.25">
      <c r="B16" s="67" t="s">
        <v>56</v>
      </c>
      <c r="D16" s="34">
        <f>cost!$I$4</f>
        <v>7.1170179732592986E-2</v>
      </c>
      <c r="E16" s="34">
        <f>cost!$I$4</f>
        <v>7.1170179732592986E-2</v>
      </c>
      <c r="F16" s="34">
        <f>cost!$I$4</f>
        <v>7.1170179732592986E-2</v>
      </c>
      <c r="J16" s="22" t="s">
        <v>78</v>
      </c>
    </row>
    <row r="17" spans="2:10" x14ac:dyDescent="0.25">
      <c r="B17" s="67" t="s">
        <v>57</v>
      </c>
      <c r="D17" s="34">
        <f>cost!$J$4</f>
        <v>0.93313758797886004</v>
      </c>
      <c r="E17" s="34">
        <f>cost!$J$4</f>
        <v>0.93313758797886004</v>
      </c>
      <c r="F17" s="34">
        <f>cost!$J$4</f>
        <v>0.93313758797886004</v>
      </c>
      <c r="J17" s="23" t="s">
        <v>79</v>
      </c>
    </row>
    <row r="18" spans="2:10" x14ac:dyDescent="0.25">
      <c r="B18" s="36" t="s">
        <v>7</v>
      </c>
      <c r="D18" s="88">
        <f>D12*D4</f>
        <v>5616000</v>
      </c>
      <c r="E18" s="88">
        <f>E12*E4</f>
        <v>5384620.7999999998</v>
      </c>
      <c r="F18" s="88">
        <f>F12*F4</f>
        <v>5134728.5683199996</v>
      </c>
    </row>
    <row r="19" spans="2:10" x14ac:dyDescent="0.25">
      <c r="B19" s="30" t="s">
        <v>8</v>
      </c>
      <c r="D19" s="81">
        <f>(D7+D8)*D12</f>
        <v>2520086.4000000004</v>
      </c>
      <c r="E19" s="81">
        <f t="shared" ref="E19:F19" si="5">(E7+E8)*E12</f>
        <v>2531007.5731200003</v>
      </c>
      <c r="F19" s="81">
        <f t="shared" si="5"/>
        <v>2528230.9469863684</v>
      </c>
      <c r="J19" s="38"/>
    </row>
    <row r="20" spans="2:10" x14ac:dyDescent="0.25">
      <c r="B20" s="30" t="s">
        <v>15</v>
      </c>
      <c r="D20" s="81">
        <f>D15*52000</f>
        <v>1115200.1607364649</v>
      </c>
      <c r="E20" s="81">
        <f t="shared" ref="E20:F20" si="6">E15*52000</f>
        <v>1018231.3330430333</v>
      </c>
      <c r="F20" s="81">
        <f t="shared" si="6"/>
        <v>923276.04802394519</v>
      </c>
      <c r="J20" s="35"/>
    </row>
    <row r="21" spans="2:10" x14ac:dyDescent="0.25">
      <c r="B21" s="30" t="s">
        <v>5</v>
      </c>
      <c r="D21" s="81">
        <f>D9</f>
        <v>636480</v>
      </c>
      <c r="E21" s="81">
        <f t="shared" ref="E21:F21" si="7">E9</f>
        <v>649209.59999999998</v>
      </c>
      <c r="F21" s="81">
        <f t="shared" si="7"/>
        <v>662193.79200000002</v>
      </c>
      <c r="J21" s="38"/>
    </row>
    <row r="22" spans="2:10" x14ac:dyDescent="0.25">
      <c r="B22" s="26" t="s">
        <v>9</v>
      </c>
      <c r="D22" s="81">
        <f>SUM(D19:D21)</f>
        <v>4271766.5607364653</v>
      </c>
      <c r="E22" s="81">
        <f t="shared" ref="E22:F22" si="8">SUM(E19:E21)</f>
        <v>4198448.5061630337</v>
      </c>
      <c r="F22" s="81">
        <f t="shared" si="8"/>
        <v>4113700.7870103135</v>
      </c>
    </row>
    <row r="23" spans="2:10" x14ac:dyDescent="0.25">
      <c r="B23" s="26" t="s">
        <v>10</v>
      </c>
      <c r="D23" s="89">
        <f>D18-D22</f>
        <v>1344233.4392635347</v>
      </c>
      <c r="E23" s="89">
        <f>E18-E22</f>
        <v>1186172.2938369662</v>
      </c>
      <c r="F23" s="89">
        <f>F18-F22</f>
        <v>1021027.7813096861</v>
      </c>
    </row>
    <row r="25" spans="2:10" x14ac:dyDescent="0.25">
      <c r="B25" s="1" t="s">
        <v>77</v>
      </c>
      <c r="C25" s="81">
        <v>2500000</v>
      </c>
      <c r="D25" s="81">
        <f>D23</f>
        <v>1344233.4392635347</v>
      </c>
      <c r="E25" s="81">
        <f t="shared" ref="E25:F25" si="9">E23</f>
        <v>1186172.2938369662</v>
      </c>
      <c r="F25" s="81">
        <f t="shared" si="9"/>
        <v>1021027.7813096861</v>
      </c>
    </row>
    <row r="26" spans="2:10" x14ac:dyDescent="0.25">
      <c r="B26" s="73" t="s">
        <v>76</v>
      </c>
      <c r="C26" s="81">
        <f>C25/(1+$H$26)^C2</f>
        <v>2500000</v>
      </c>
      <c r="D26" s="81">
        <f t="shared" ref="D26:F26" si="10">D25/(1+$H$26)^D2</f>
        <v>1200208.4279138702</v>
      </c>
      <c r="E26" s="81">
        <f t="shared" si="10"/>
        <v>945609.2903674792</v>
      </c>
      <c r="F26" s="81">
        <f t="shared" si="10"/>
        <v>726747.4072049855</v>
      </c>
      <c r="H26" s="80">
        <v>0.12</v>
      </c>
    </row>
    <row r="27" spans="2:10" x14ac:dyDescent="0.25">
      <c r="B27" s="73" t="s">
        <v>70</v>
      </c>
      <c r="C27" s="87">
        <f>SUM(D26:F26) - C26</f>
        <v>372565.12548633479</v>
      </c>
      <c r="D27" s="81"/>
      <c r="E27" s="81"/>
      <c r="F27" s="81"/>
    </row>
    <row r="31" spans="2:10" x14ac:dyDescent="0.25">
      <c r="B31" s="41" t="s">
        <v>19</v>
      </c>
      <c r="C31" s="41" t="s">
        <v>80</v>
      </c>
    </row>
    <row r="32" spans="2:10" x14ac:dyDescent="0.25">
      <c r="C32" s="82">
        <f>C27</f>
        <v>372565.12548633479</v>
      </c>
    </row>
    <row r="33" spans="2:3" x14ac:dyDescent="0.25">
      <c r="B33" s="83">
        <v>8</v>
      </c>
      <c r="C33" s="84">
        <f t="dataTable" ref="C33:C41" dt2D="0" dtr="0" r1="D4"/>
        <v>-552176.90417202655</v>
      </c>
    </row>
    <row r="34" spans="2:3" x14ac:dyDescent="0.25">
      <c r="B34" s="78">
        <f>B33+0.25</f>
        <v>8.25</v>
      </c>
      <c r="C34" s="85">
        <v>-196100.19987736596</v>
      </c>
    </row>
    <row r="35" spans="2:3" x14ac:dyDescent="0.25">
      <c r="B35" s="78">
        <f t="shared" ref="B35:B41" si="11">B34+0.25</f>
        <v>8.5</v>
      </c>
      <c r="C35" s="85">
        <v>76715.706497248262</v>
      </c>
    </row>
    <row r="36" spans="2:3" x14ac:dyDescent="0.25">
      <c r="B36" s="78">
        <f t="shared" si="11"/>
        <v>8.75</v>
      </c>
      <c r="C36" s="85">
        <v>266270.81495181471</v>
      </c>
    </row>
    <row r="37" spans="2:3" x14ac:dyDescent="0.25">
      <c r="B37" s="78">
        <f t="shared" si="11"/>
        <v>9</v>
      </c>
      <c r="C37" s="85">
        <v>372565.12548633479</v>
      </c>
    </row>
    <row r="38" spans="2:3" x14ac:dyDescent="0.25">
      <c r="B38" s="78">
        <f t="shared" si="11"/>
        <v>9.25</v>
      </c>
      <c r="C38" s="85">
        <v>395598.63810080895</v>
      </c>
    </row>
    <row r="39" spans="2:3" x14ac:dyDescent="0.25">
      <c r="B39" s="78">
        <f t="shared" si="11"/>
        <v>9.5</v>
      </c>
      <c r="C39" s="85">
        <v>335371.35279523581</v>
      </c>
    </row>
    <row r="40" spans="2:3" x14ac:dyDescent="0.25">
      <c r="B40" s="78">
        <f t="shared" si="11"/>
        <v>9.75</v>
      </c>
      <c r="C40" s="85">
        <v>191883.26956961583</v>
      </c>
    </row>
    <row r="41" spans="2:3" x14ac:dyDescent="0.25">
      <c r="B41" s="79">
        <f t="shared" si="11"/>
        <v>10</v>
      </c>
      <c r="C41" s="86">
        <v>-34865.611576051451</v>
      </c>
    </row>
  </sheetData>
  <pageMargins left="0.75" right="0.75" top="1" bottom="1" header="0.5" footer="0.5"/>
  <pageSetup orientation="landscape" horizontalDpi="300" verticalDpi="300" r:id="rId1"/>
  <headerFooter alignWithMargins="0">
    <oddFooter>&amp;A&amp;RPage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dashboard</vt:lpstr>
      <vt:lpstr>questions</vt:lpstr>
      <vt:lpstr>influence-diagram</vt:lpstr>
      <vt:lpstr>data</vt:lpstr>
      <vt:lpstr>cost</vt:lpstr>
      <vt:lpstr>demand</vt:lpstr>
      <vt:lpstr>profit</vt:lpstr>
      <vt:lpstr>sensitivity</vt:lpstr>
      <vt:lpstr>plot-setup</vt:lpstr>
      <vt:lpstr>Goal Seek</vt:lpstr>
      <vt:lpstr>3 Year Profit Model</vt:lpstr>
      <vt:lpstr>X_1</vt:lpstr>
      <vt:lpstr>X_2</vt:lpstr>
      <vt:lpstr>Y</vt:lpstr>
      <vt:lpstr>Y_hat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2017-12-20T16:53:07Z</dcterms:created>
  <dcterms:modified xsi:type="dcterms:W3CDTF">2021-03-21T20:25:47Z</dcterms:modified>
</cp:coreProperties>
</file>